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7.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8.xml" ContentType="application/vnd.openxmlformats-officedocument.drawing+xml"/>
  <Override PartName="/xl/tables/table10.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tables/table11.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12.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tables/table13.xml" ContentType="application/vnd.openxmlformats-officedocument.spreadsheetml.table+xml"/>
  <Override PartName="/xl/drawings/drawing12.xml" ContentType="application/vnd.openxmlformats-officedocument.drawing+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9.xml" ContentType="application/vnd.openxmlformats-officedocument.spreadsheetml.pivotTable+xml"/>
  <Override PartName="/xl/tables/table14.xml" ContentType="application/vnd.openxmlformats-officedocument.spreadsheetml.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activeX/activeX4.xml" ContentType="application/vnd.ms-office.activeX+xml"/>
  <Override PartName="/xl/activeX/activeX4.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17.xml" ContentType="application/vnd.openxmlformats-officedocument.spreadsheetml.tab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harts/chart25.xml" ContentType="application/vnd.openxmlformats-officedocument.drawingml.chart+xml"/>
  <Override PartName="/xl/charts/style26.xml" ContentType="application/vnd.ms-office.chartstyle+xml"/>
  <Override PartName="/xl/charts/colors26.xml" ContentType="application/vnd.ms-office.chartcolorstyle+xml"/>
  <Override PartName="/xl/charts/chart26.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5.xml" ContentType="application/vnd.openxmlformats-officedocument.drawing+xml"/>
  <Override PartName="/xl/activeX/activeX7.xml" ContentType="application/vnd.ms-office.activeX+xml"/>
  <Override PartName="/xl/activeX/activeX7.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6.xml" ContentType="application/vnd.openxmlformats-officedocument.drawing+xml"/>
  <Override PartName="/xl/tables/table20.xml" ContentType="application/vnd.openxmlformats-officedocument.spreadsheetml.table+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7.xml" ContentType="application/vnd.openxmlformats-officedocument.drawing+xml"/>
  <Override PartName="/xl/tables/table21.xml" ContentType="application/vnd.openxmlformats-officedocument.spreadsheetml.table+xml"/>
  <Override PartName="/xl/charts/chart29.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8.xml" ContentType="application/vnd.openxmlformats-officedocument.drawing+xml"/>
  <Override PartName="/xl/tables/table22.xml" ContentType="application/vnd.openxmlformats-officedocument.spreadsheetml.table+xml"/>
  <Override PartName="/xl/charts/chart30.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9.xml" ContentType="application/vnd.openxmlformats-officedocument.drawing+xml"/>
  <Override PartName="/xl/tables/table23.xml" ContentType="application/vnd.openxmlformats-officedocument.spreadsheetml.table+xml"/>
  <Override PartName="/xl/charts/chart31.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0.xml" ContentType="application/vnd.openxmlformats-officedocument.drawing+xml"/>
  <Override PartName="/xl/tables/table24.xml" ContentType="application/vnd.openxmlformats-officedocument.spreadsheetml.table+xml"/>
  <Override PartName="/xl/charts/chart32.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1.xml" ContentType="application/vnd.openxmlformats-officedocument.drawing+xml"/>
  <Override PartName="/xl/tables/table25.xml" ContentType="application/vnd.openxmlformats-officedocument.spreadsheetml.table+xml"/>
  <Override PartName="/xl/charts/chart33.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27.xml" ContentType="application/vnd.openxmlformats-officedocument.spreadsheetml.table+xml"/>
  <Override PartName="/xl/slicers/slicer2.xml" ContentType="application/vnd.ms-excel.slicer+xml"/>
  <Override PartName="/xl/drawings/drawing24.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charts/style35.xml" ContentType="application/vnd.ms-office.chartstyle+xml"/>
  <Override PartName="/xl/charts/colors35.xml" ContentType="application/vnd.ms-office.chartcolorstyle+xml"/>
  <Override PartName="/xl/charts/chart35.xml" ContentType="application/vnd.openxmlformats-officedocument.drawingml.chart+xml"/>
  <Override PartName="/xl/charts/style36.xml" ContentType="application/vnd.ms-office.chartstyle+xml"/>
  <Override PartName="/xl/charts/colors36.xml" ContentType="application/vnd.ms-office.chartcolorstyle+xml"/>
  <Override PartName="/xl/charts/chart36.xml" ContentType="application/vnd.openxmlformats-officedocument.drawingml.chart+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ables/table29.xml" ContentType="application/vnd.openxmlformats-officedocument.spreadsheetml.table+xml"/>
  <Override PartName="/xl/tables/table30.xml" ContentType="application/vnd.openxmlformats-officedocument.spreadsheetml.table+xml"/>
  <Override PartName="/xl/drawings/drawing26.xml" ContentType="application/vnd.openxmlformats-officedocument.drawing+xml"/>
  <Override PartName="/xl/tables/table31.xml" ContentType="application/vnd.openxmlformats-officedocument.spreadsheetml.table+xml"/>
  <Override PartName="/xl/queryTables/queryTable2.xml" ContentType="application/vnd.openxmlformats-officedocument.spreadsheetml.queryTable+xml"/>
  <Override PartName="/xl/slicers/slicer3.xml" ContentType="application/vnd.ms-excel.slicer+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8.xml" ContentType="application/vnd.openxmlformats-officedocument.drawing+xml"/>
  <Override PartName="/xl/activeX/activeX12.xml" ContentType="application/vnd.ms-office.activeX+xml"/>
  <Override PartName="/xl/activeX/activeX12.bin" ContentType="application/vnd.ms-office.activeX"/>
  <Override PartName="/xl/tables/table32.xml" ContentType="application/vnd.openxmlformats-officedocument.spreadsheetml.table+xml"/>
  <Override PartName="/xl/drawings/drawing29.xml" ContentType="application/vnd.openxmlformats-officedocument.drawing+xml"/>
  <Override PartName="/xl/slicers/slicer4.xml" ContentType="application/vnd.ms-excel.slicer+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ables/table33.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30.xml" ContentType="application/vnd.openxmlformats-officedocument.drawing+xml"/>
  <Override PartName="/xl/pivotTables/pivotTable17.xml" ContentType="application/vnd.openxmlformats-officedocument.spreadsheetml.pivotTable+xml"/>
  <Override PartName="/xl/pivotTables/pivotTable18.xml" ContentType="application/vnd.openxmlformats-officedocument.spreadsheetml.pivotTable+xml"/>
  <Override PartName="/xl/tables/table34.xml" ContentType="application/vnd.openxmlformats-officedocument.spreadsheetml.table+xml"/>
  <Override PartName="/xl/tables/table3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connectnpedu.sharepoint.com/sites/SDDClassP06Oct2021-TeamC/Shared Documents/Team C/"/>
    </mc:Choice>
  </mc:AlternateContent>
  <xr:revisionPtr revIDLastSave="1170" documentId="13_ncr:20001_{925A0BBA-E5B3-4D63-9EB2-5F0B3562C675}" xr6:coauthVersionLast="47" xr6:coauthVersionMax="47" xr10:uidLastSave="{ED9EDCEE-344E-4293-9A8C-45284C0F9C2F}"/>
  <bookViews>
    <workbookView xWindow="-110" yWindow="-110" windowWidth="19420" windowHeight="10420" tabRatio="872" firstSheet="8" activeTab="24" xr2:uid="{35AC7B82-87E8-4374-B4CD-727613AE2446}"/>
  </bookViews>
  <sheets>
    <sheet name="Home Tab" sheetId="29" r:id="rId1"/>
    <sheet name="Registration Form" sheetId="44" r:id="rId2"/>
    <sheet name="Balance Sheet" sheetId="61" r:id="rId3"/>
    <sheet name="Savings Tracker " sheetId="54" r:id="rId4"/>
    <sheet name="Savings Estimator" sheetId="10" r:id="rId5"/>
    <sheet name="CPF Contribution &amp; Forecast" sheetId="15" r:id="rId6"/>
    <sheet name="CPF Tracker" sheetId="25" r:id="rId7"/>
    <sheet name="New CPF Tracker" sheetId="43" r:id="rId8"/>
    <sheet name="Cryptocurrency Holdings" sheetId="30" r:id="rId9"/>
    <sheet name="Cryptocurrency GoinGecko API" sheetId="32" r:id="rId10"/>
    <sheet name="Stock Ledger" sheetId="27" r:id="rId11"/>
    <sheet name="Stock Investment Tracker" sheetId="28" r:id="rId12"/>
    <sheet name="Watch List" sheetId="11" r:id="rId13"/>
    <sheet name="Watch List - BLD" sheetId="12" r:id="rId14"/>
    <sheet name="Watch List - ASB" sheetId="13" r:id="rId15"/>
    <sheet name="Fixed Assets Tracker" sheetId="5" r:id="rId16"/>
    <sheet name="Credit Card pay off calculator" sheetId="16" r:id="rId17"/>
    <sheet name="Credit card summary" sheetId="24" r:id="rId18"/>
    <sheet name="SGDUSD Forcast Data" sheetId="47" state="hidden" r:id="rId19"/>
    <sheet name="USDEUR Forcast Data" sheetId="48" state="hidden" r:id="rId20"/>
    <sheet name="SGDJPY Forcast Data" sheetId="49" state="hidden" r:id="rId21"/>
    <sheet name="SGDGBP Forcast Data" sheetId="50" state="hidden" r:id="rId22"/>
    <sheet name="SGDAUD Forcasting Data" sheetId="51" state="hidden" r:id="rId23"/>
    <sheet name="SGDCAD Forcast Data" sheetId="52" state="hidden" r:id="rId24"/>
    <sheet name="Income" sheetId="18" r:id="rId25"/>
    <sheet name="Budget" sheetId="33" r:id="rId26"/>
    <sheet name="Summary" sheetId="34" r:id="rId27"/>
    <sheet name="Loan Calculator" sheetId="40" r:id="rId28"/>
    <sheet name="Loan Chart Data" sheetId="41" r:id="rId29"/>
    <sheet name="Mortgage Calculator" sheetId="37" r:id="rId30"/>
    <sheet name="Amortization Table" sheetId="38" r:id="rId31"/>
    <sheet name="Currency Converter" sheetId="56" r:id="rId32"/>
    <sheet name="Currency Forecasting" sheetId="45" r:id="rId33"/>
    <sheet name="Data for Forecasting Currency" sheetId="46" r:id="rId34"/>
    <sheet name="Popular Currency" sheetId="55" r:id="rId35"/>
    <sheet name="CHART" sheetId="60" r:id="rId36"/>
    <sheet name="HELP" sheetId="59" r:id="rId37"/>
    <sheet name="Flags" sheetId="58" r:id="rId38"/>
    <sheet name="pivot" sheetId="57" r:id="rId39"/>
  </sheets>
  <externalReferences>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s>
  <definedNames>
    <definedName name="_xlnm._FilterDatabase" localSheetId="3" hidden="1">'[1]Savings Tracker '!$K$77:$K$79</definedName>
    <definedName name="_xlchart.v1.0" hidden="1">'CPF Contribution &amp; Forecast'!$I$85:$K$85</definedName>
    <definedName name="_xlchart.v1.1" hidden="1">'CPF Contribution &amp; Forecast'!$I$86:$K$86</definedName>
    <definedName name="_xlchart.v1.2" hidden="1">'Cryptocurrency Holdings'!$A$6:$A$13</definedName>
    <definedName name="_xlchart.v1.3" hidden="1">'Cryptocurrency Holdings'!$E$6:$E$13</definedName>
    <definedName name="_xlcn.WorksheetConnection_SDDAssignmentTeamCwithVBA.xlsmTable12_11" hidden="1">Table12_1[]</definedName>
    <definedName name="Abbreviation" localSheetId="34">'Popular Currency'!$AC$32:$AC$208</definedName>
    <definedName name="Abbreviation">#REF!</definedName>
    <definedName name="Acc_Int" localSheetId="7">'New CPF Tracker'!$M$11:$M$13</definedName>
    <definedName name="Acc_Int" localSheetId="34">#REF!</definedName>
    <definedName name="ACC_INT" localSheetId="3">'[2]CPF Tracker'!$N$10:$N$12</definedName>
    <definedName name="ACC_INT">'CPF Tracker'!$M$10:$M$12</definedName>
    <definedName name="Acc_Type" localSheetId="7">'New CPF Tracker'!$L$11:$L$13</definedName>
    <definedName name="Acc_Type" localSheetId="34">#REF!</definedName>
    <definedName name="ACC_TYPE" localSheetId="3">'[2]CPF Tracker'!$M$10:$M$12</definedName>
    <definedName name="ACC_TYPE">'CPF Tracker'!$L$10:$L$12</definedName>
    <definedName name="AccountList" localSheetId="3">#REF!</definedName>
    <definedName name="AccountList">#REF!</definedName>
    <definedName name="Actual_Expenses">'[3]Budget Overview'!$G$8</definedName>
    <definedName name="Actual_Income">'[3]Budget Overview'!$D$11</definedName>
    <definedName name="AfterRetirement">#REF!&gt;=DesiredRetirementAge</definedName>
    <definedName name="Age">IF(PlanYear&lt;=PlanYears,PlanYear-1+YourCurrentAge,NA())</definedName>
    <definedName name="Age_Check" localSheetId="7">'New CPF Tracker'!$C$11:$D$17</definedName>
    <definedName name="Age_Check" localSheetId="34">#REF!</definedName>
    <definedName name="AGE_CHECK" localSheetId="3">'[2]CPF Tracker'!$D$10:$E$16</definedName>
    <definedName name="AGE_CHECK">'CPF Tracker'!$C$10:$D$16</definedName>
    <definedName name="Age_Grp" localSheetId="7">'New CPF Tracker'!$D$11:$D$17</definedName>
    <definedName name="Age_Grp" localSheetId="34">#REF!</definedName>
    <definedName name="AGE_GRP" localSheetId="3">[2]!Table1015[[#All],[35 &amp; below]]</definedName>
    <definedName name="AGE_GRP">Table1015[[#All],[35 &amp; below]]</definedName>
    <definedName name="AmountSaved" localSheetId="4">'Savings Estimator'!$D$5</definedName>
    <definedName name="AmountSaved">#REF!</definedName>
    <definedName name="AnnualPenionsBenefitsAtRetirement">#REF!</definedName>
    <definedName name="AnnualPensionBenefitAfterRetirementIncreasesPercentage">#REF!</definedName>
    <definedName name="AnnualPensionBenefitAmountUncertaintyPercentage">#REF!</definedName>
    <definedName name="AnnualPensionCenefitIncreasesUncertaintyPercentage">#REF!</definedName>
    <definedName name="AnnualSavings" localSheetId="4">'Savings Estimator'!$G$13</definedName>
    <definedName name="AnnualSavings">#REF!</definedName>
    <definedName name="AnnualSavingsAmountUncertaintyPercentage">#REF!</definedName>
    <definedName name="AnnualSavingsIncreasesUncertaintyPercentage">#REF!</definedName>
    <definedName name="AUD" localSheetId="35">Flags!$D$11</definedName>
    <definedName name="AUD" localSheetId="37">Flags!$D$11</definedName>
    <definedName name="AUD" localSheetId="36">Flags!$D$11</definedName>
    <definedName name="AUD">#REF!</definedName>
    <definedName name="Balance">IF(PlanYear&lt;=PlanYears,[4]Calculations!$K1048576,NA())</definedName>
    <definedName name="Balance_Over">IF(PlanYear&lt;=PlanYears,[4]Calculations!$AA1048576,NA())</definedName>
    <definedName name="Balance_Under">IF(PlanYear&lt;=PlanYears,[4]Calculations!$S1048576,NA())</definedName>
    <definedName name="bbb" localSheetId="3">#REF!</definedName>
    <definedName name="bbb">#REF!</definedName>
    <definedName name="BeforeRetirement">#REF!&lt;DesiredRetirementAge</definedName>
    <definedName name="BiWeeklySavings" localSheetId="4">'Savings Estimator'!#REF!</definedName>
    <definedName name="BiWeeklySavings">#REF!</definedName>
    <definedName name="BiWeeksUntilEvent" localSheetId="4">'Savings Estimator'!#REF!</definedName>
    <definedName name="BiWeeksUntilEvent">#REF!</definedName>
    <definedName name="BudgetTitle" localSheetId="24">[5]Summary!$B$1</definedName>
    <definedName name="BudgetTitle" localSheetId="26">Summary!$B$1</definedName>
    <definedName name="BudgetTitle">#REF!</definedName>
    <definedName name="C_CHART_MAX_DT" localSheetId="35">HELP!$A$20</definedName>
    <definedName name="C_CHART_MAX_DT" localSheetId="37">HELP!$A$20</definedName>
    <definedName name="C_CHART_MAX_DT" localSheetId="36">HELP!$A$20</definedName>
    <definedName name="C_CHART_MAX_DT" localSheetId="38">HELP!$A$20</definedName>
    <definedName name="C_CHART_MAX_DT">#REF!</definedName>
    <definedName name="C_CHART_MIN_DT" localSheetId="35">HELP!$A$22</definedName>
    <definedName name="C_CHART_MIN_DT" localSheetId="37">HELP!$A$22</definedName>
    <definedName name="C_CHART_MIN_DT" localSheetId="36">HELP!$A$22</definedName>
    <definedName name="C_CHART_MIN_DT" localSheetId="38">HELP!$A$22</definedName>
    <definedName name="C_CHART_MIN_DT">#REF!</definedName>
    <definedName name="C_CHART_ST_ROW" localSheetId="35">HELP!$A$14</definedName>
    <definedName name="C_CHART_ST_ROW" localSheetId="37">HELP!$A$14</definedName>
    <definedName name="C_CHART_ST_ROW" localSheetId="36">HELP!$A$14</definedName>
    <definedName name="C_CHART_ST_ROW" localSheetId="38">HELP!$A$14</definedName>
    <definedName name="C_CHART_ST_ROW">#REF!</definedName>
    <definedName name="C_END_DT" localSheetId="35">HELP!$A$5</definedName>
    <definedName name="C_END_DT" localSheetId="37">HELP!$A$5</definedName>
    <definedName name="C_END_DT" localSheetId="36">HELP!$A$5</definedName>
    <definedName name="C_END_DT" localSheetId="38">HELP!$A$5</definedName>
    <definedName name="C_END_DT">#REF!</definedName>
    <definedName name="C_INTERVAL" localSheetId="35">HELP!$A$9</definedName>
    <definedName name="C_INTERVAL" localSheetId="37">HELP!$A$9</definedName>
    <definedName name="C_INTERVAL" localSheetId="36">HELP!$A$9</definedName>
    <definedName name="C_INTERVAL" localSheetId="38">HELP!$A$9</definedName>
    <definedName name="C_INTERVAL">#REF!</definedName>
    <definedName name="C_MAX_PRICE" localSheetId="35">HELP!$A$24</definedName>
    <definedName name="C_MAX_PRICE" localSheetId="36">HELP!$A$24</definedName>
    <definedName name="C_MAX_PRICE">#REF!</definedName>
    <definedName name="C_MIN_PRICE" localSheetId="35">HELP!$A$26</definedName>
    <definedName name="C_MIN_PRICE" localSheetId="36">HELP!$A$26</definedName>
    <definedName name="C_MIN_PRICE">#REF!</definedName>
    <definedName name="C_N_TRADING_DAYS" localSheetId="35">HELP!$A$16</definedName>
    <definedName name="C_N_TRADING_DAYS" localSheetId="37">HELP!$A$16</definedName>
    <definedName name="C_N_TRADING_DAYS" localSheetId="36">HELP!$A$16</definedName>
    <definedName name="C_N_TRADING_DAYS" localSheetId="38">HELP!$A$16</definedName>
    <definedName name="C_N_TRADING_DAYS">#REF!</definedName>
    <definedName name="C_ST_DT" localSheetId="35">HELP!$A$3</definedName>
    <definedName name="C_ST_DT" localSheetId="37">HELP!$A$3</definedName>
    <definedName name="C_ST_DT" localSheetId="36">HELP!$A$3</definedName>
    <definedName name="C_ST_DT" localSheetId="38">HELP!$A$3</definedName>
    <definedName name="C_ST_DT">#REF!</definedName>
    <definedName name="CAD" localSheetId="35">Flags!$D$9</definedName>
    <definedName name="CAD" localSheetId="37">Flags!$D$9</definedName>
    <definedName name="CAD" localSheetId="36">Flags!$D$9</definedName>
    <definedName name="CAD">#REF!</definedName>
    <definedName name="CH_DATE" localSheetId="35">IFERROR(OFFSET(HELP!$L$4,CHART!C_CHART_ST_ROW-1,0,CHART!C_N_TRADING_DAYS-CHART!C_CHART_ST_ROW+1),{1})</definedName>
    <definedName name="CH_DATE" localSheetId="37">IFERROR(OFFSET(HELP!$L$4,Flags!C_CHART_ST_ROW-1,0,Flags!C_N_TRADING_DAYS-Flags!C_CHART_ST_ROW+1),{1})</definedName>
    <definedName name="CH_DATE" localSheetId="36">IFERROR(OFFSET(HELP!$L$4,HELP!C_CHART_ST_ROW-1,0,HELP!C_N_TRADING_DAYS-HELP!C_CHART_ST_ROW+1),{1})</definedName>
    <definedName name="CH_DATE" localSheetId="38">IFERROR(OFFSET(HELP!$L$4,pivot!C_CHART_ST_ROW-1,0,pivot!C_N_TRADING_DAYS-pivot!C_CHART_ST_ROW+1),{1})</definedName>
    <definedName name="CH_DATE">IFERROR(OFFSET(#REF!,C_CHART_ST_ROW-1,0,C_N_TRADING_DAYS-C_CHART_ST_ROW+1),{1})</definedName>
    <definedName name="CH_PRICE" localSheetId="35">IFERROR(OFFSET(HELP!$P$4,CHART!C_CHART_ST_ROW-1,0,CHART!C_N_TRADING_DAYS-CHART!C_CHART_ST_ROW+1),{1})</definedName>
    <definedName name="CH_PRICE" localSheetId="37">IFERROR(OFFSET(HELP!$P$4,Flags!C_CHART_ST_ROW-1,0,Flags!C_N_TRADING_DAYS-Flags!C_CHART_ST_ROW+1),{1})</definedName>
    <definedName name="CH_PRICE" localSheetId="36">IFERROR(OFFSET(HELP!$P$4,HELP!C_CHART_ST_ROW-1,0,HELP!C_N_TRADING_DAYS-HELP!C_CHART_ST_ROW+1),{1})</definedName>
    <definedName name="CH_PRICE" localSheetId="38">IFERROR(OFFSET(HELP!$P$4,pivot!C_CHART_ST_ROW-1,0,pivot!C_N_TRADING_DAYS-pivot!C_CHART_ST_ROW+1),{1})</definedName>
    <definedName name="CH_PRICE">IFERROR(OFFSET(#REF!,C_CHART_ST_ROW-1,0,C_N_TRADING_DAYS-C_CHART_ST_ROW+1),{1})</definedName>
    <definedName name="chart_balance" localSheetId="3">OFFSET(#REF!,2,0,'Savings Tracker '!payments,1)</definedName>
    <definedName name="chart_balance">OFFSET(#REF!,2,0,payments,1)</definedName>
    <definedName name="chart_balance_noextra" localSheetId="3">OFFSET(#REF!,2,0,'Savings Tracker '!nper,1)</definedName>
    <definedName name="chart_balance_noextra">OFFSET(#REF!,2,0,nper,1)</definedName>
    <definedName name="chart_date" localSheetId="3">OFFSET(#REF!,2,0,'Savings Tracker '!nper,1)</definedName>
    <definedName name="chart_date">OFFSET(#REF!,2,0,nper,1)</definedName>
    <definedName name="chart_date_noextra" localSheetId="3">OFFSET(#REF!,2,0,'Savings Tracker '!nper,1)</definedName>
    <definedName name="chart_date_noextra">OFFSET(#REF!,2,0,nper,1)</definedName>
    <definedName name="chart_nper" localSheetId="3">ROW(OFFSET(#REF!,0,0,'Savings Tracker '!nper,1))</definedName>
    <definedName name="chart_nper">ROW(OFFSET(#REF!,0,0,nper,1))</definedName>
    <definedName name="chart_ratehist" localSheetId="3">OFFSET(#REF!,2,0,'Savings Tracker '!payments,1)</definedName>
    <definedName name="chart_ratehist">OFFSET(#REF!,2,0,payments,1)</definedName>
    <definedName name="chart_taxreturned" localSheetId="3">OFFSET(#REF!,2,0,'Savings Tracker '!payments,1)</definedName>
    <definedName name="chart_taxreturned">OFFSET(#REF!,2,0,payments,1)</definedName>
    <definedName name="CHECKER" localSheetId="34">#REF!</definedName>
    <definedName name="CHECKER" localSheetId="3">#REF!</definedName>
    <definedName name="CHECKER">#REF!</definedName>
    <definedName name="CHF" localSheetId="35">Flags!$D$7</definedName>
    <definedName name="CHF" localSheetId="37">Flags!$D$7</definedName>
    <definedName name="CHF" localSheetId="36">Flags!$D$7</definedName>
    <definedName name="CHF">#REF!</definedName>
    <definedName name="ColumnTitle1" localSheetId="3">#REF!</definedName>
    <definedName name="ColumnTitle1">#REF!</definedName>
    <definedName name="ColumnTitleRegion1..C4.1" localSheetId="24">#REF!</definedName>
    <definedName name="ColumnTitleRegion1..C4.1" localSheetId="26">Summary!$B$3</definedName>
    <definedName name="ColumnTitleRegion1..C4.1">#REF!</definedName>
    <definedName name="ColumnTitleRegion1..E3">'Savings Estimator'!$C$2</definedName>
    <definedName name="ColumnTitleRegion1..I114.1">#REF!</definedName>
    <definedName name="ColumnTitleRegion2..C6.1" localSheetId="24">#REF!</definedName>
    <definedName name="ColumnTitleRegion2..C6.1" localSheetId="26">Summary!$B$5</definedName>
    <definedName name="ColumnTitleRegion2..C6.1">#REF!</definedName>
    <definedName name="ColumnTitleRegion3..C8.1" localSheetId="25">[6]Summary!#REF!</definedName>
    <definedName name="ColumnTitleRegion3..C8.1" localSheetId="24">[5]Summary!#REF!</definedName>
    <definedName name="ColumnTitleRegion3..C8.1" localSheetId="26">Summary!#REF!</definedName>
    <definedName name="ColumnTitleRegion3..C8.1">#REF!</definedName>
    <definedName name="ColumnTitleRegion4..C10.1" localSheetId="24">#REF!</definedName>
    <definedName name="ColumnTitleRegion4..C10.1" localSheetId="26">Summary!$B$7</definedName>
    <definedName name="ColumnTitleRegion4..C10.1">#REF!</definedName>
    <definedName name="compound_period" localSheetId="3">INDEX({2,12},MATCH(#REF!,'Savings Tracker '!compound_periods,0))</definedName>
    <definedName name="compound_period">INDEX({2,12},MATCH(#REF!,compound_periods,0))</definedName>
    <definedName name="compound_periods" localSheetId="3">{"Semi-Annually";"Monthly"}</definedName>
    <definedName name="compound_periods">{"Semi-Annually";"Monthly"}</definedName>
    <definedName name="Country" localSheetId="34">'Popular Currency'!$AB$32:$AB$208</definedName>
    <definedName name="Country">#REF!</definedName>
    <definedName name="CP" localSheetId="3">INDEX({2,12},MATCH(#REF!,'Savings Tracker '!compound_periods,0))</definedName>
    <definedName name="CP">INDEX({2,12},MATCH(#REF!,compound_periods,0))</definedName>
    <definedName name="CryptoHoldingTable" localSheetId="3">[2]!Table21[#All]</definedName>
    <definedName name="CryptoHoldingTable">Table21[#All]</definedName>
    <definedName name="CurrentAnnualIncome">#REF!</definedName>
    <definedName name="CurrentAnnualIncomeIncreasesPercentage">#REF!</definedName>
    <definedName name="CurrentAnnualSavingsAmount">#REF!</definedName>
    <definedName name="CurrentAnnualSavingsAmount_Over">CurrentAnnualSavingsAmount+CurrentAnnualSavingsAmount*AnnualSavingsAmountUncertaintyPercentage/2</definedName>
    <definedName name="CurrentAnnualSavingsAmount_Under">CurrentAnnualSavingsAmount-CurrentAnnualSavingsAmount*AnnualSavingsAmountUncertaintyPercentage/2</definedName>
    <definedName name="CurrentAnnualSavingsIncreasesPercentage">#REF!</definedName>
    <definedName name="CurrentRetirementSavingsBalance">#REF!</definedName>
    <definedName name="d" localSheetId="3">#REF!</definedName>
    <definedName name="d">#REF!</definedName>
    <definedName name="DailySavings" localSheetId="4">'Savings Estimator'!$D$13</definedName>
    <definedName name="DailySavings">#REF!</definedName>
    <definedName name="DateSavingsBegin" localSheetId="4">'Savings Estimator'!$C$3</definedName>
    <definedName name="DateSavingsBegin">#REF!</definedName>
    <definedName name="DaysUntilEvent" localSheetId="4">'Savings Estimator'!$D$15</definedName>
    <definedName name="DaysUntilEvent">#REF!</definedName>
    <definedName name="DesiredRetirementAge">#REF!</definedName>
    <definedName name="DesiredRetirementIncome">IF(PlanYear&lt;=PlanYears,AfterRetirement*IncomeReplacementAtRetirementPercentage*CurrentAnnualIncome*(1+CurrentAnnualIncomeIncreasesPercentage)^([4]Calculations!$B1-[4]Calculations!$B$17),NA())</definedName>
    <definedName name="DropDownSearch" localSheetId="34">'Popular Currency'!$Y$32:INDEX('Popular Currency'!$Y$32:$Y$208,COUNTIF('Popular Currency'!$Y$32:$Y$208,"?*"))</definedName>
    <definedName name="DropDownSearch">#REF!:INDEX(#REF!,COUNTIF(#REF!,"?*"))</definedName>
    <definedName name="DurationOfLoan" localSheetId="30">'[7]Mortgage Calculator'!$C$6</definedName>
    <definedName name="DurationOfLoan" localSheetId="29">'Mortgage Calculator'!$C$6</definedName>
    <definedName name="DurationOfLoan">#REF!</definedName>
    <definedName name="EmployeeContribution" localSheetId="7">'New CPF Tracker'!$F$11:$F$17</definedName>
    <definedName name="EmployeeContribution" localSheetId="34">#REF!</definedName>
    <definedName name="EmployeeContribution" localSheetId="3">'[1]CPF Tracker'!$F$10:$F$16</definedName>
    <definedName name="EmployeeContribution">'CPF Tracker'!$F$10:$F$16</definedName>
    <definedName name="EmployerContribution" localSheetId="7">'New CPF Tracker'!$E$11:$E$17</definedName>
    <definedName name="EmployerContribution" localSheetId="34">#REF!</definedName>
    <definedName name="EmployerContribution" localSheetId="3">'[1]CPF Tracker'!$E$10:$E$16</definedName>
    <definedName name="EmployerContribution">'CPF Tracker'!$E$10:$E$16</definedName>
    <definedName name="EndBalance">IF(PlanYear&lt;=PlanYears,[4]Calculations!XEZ1+[4]Calculations!XFA1+[4]Calculations!XFB1-[4]Calculations!XFC1+[4]Calculations!XFD1,NA())</definedName>
    <definedName name="EndingBalance" localSheetId="0">-FV(InterestRate/12,'Home Tab'!PaymentNumber,-'Home Tab'!MonthlyPayment,LoanAmount)</definedName>
    <definedName name="EndingBalance" localSheetId="24">-FV(InterestRate/12,Income!PaymentNumber,-Income!MonthlyPayment,LoanAmount)</definedName>
    <definedName name="EndingBalance" localSheetId="3">-FV(InterestRate/12,'Savings Tracker '!PaymentNumber,-'Savings Tracker '!MonthlyPayment,LoanAmount)</definedName>
    <definedName name="EndingBalance" localSheetId="11">-FV(InterestRate/12,'Stock Investment Tracker'!PaymentNumber,-'Stock Investment Tracker'!MonthlyPayment,LoanAmount)</definedName>
    <definedName name="EndingBalance" localSheetId="10">-FV(InterestRate/12,'Stock Ledger'!PaymentNumber,-'Stock Ledger'!MonthlyPayment,LoanAmount)</definedName>
    <definedName name="EndingBalance">-FV(InterestRate/12,PaymentNumber,-MonthlyPayment,LoanAmount)</definedName>
    <definedName name="EUR" localSheetId="35">Flags!$D$8</definedName>
    <definedName name="EUR" localSheetId="37">Flags!$D$8</definedName>
    <definedName name="EUR" localSheetId="36">Flags!$D$8</definedName>
    <definedName name="EUR">#REF!</definedName>
    <definedName name="EventCost" localSheetId="4">'Savings Estimator'!$D$4</definedName>
    <definedName name="EventCost">#REF!</definedName>
    <definedName name="EventDate" localSheetId="4">'Savings Estimator'!$D$3</definedName>
    <definedName name="EventDate">#REF!</definedName>
    <definedName name="ExternalData_1" localSheetId="9" hidden="1">'Cryptocurrency GoinGecko API'!$A$5:$J$55</definedName>
    <definedName name="ExternalData_1" localSheetId="31" hidden="1">'Currency Converter'!$A$1:$D$173</definedName>
    <definedName name="fpdate">#REF!</definedName>
    <definedName name="frequency" localSheetId="3">{"Monthly";"Semi-Monthly";"Bi-Weekly";"Weekly";"Acc Bi-Weekly";"Acc Weekly"}</definedName>
    <definedName name="frequency">{"Monthly";"Semi-Monthly";"Bi-Weekly";"Weekly";"Acc Bi-Weekly";"Acc Weekly"}</definedName>
    <definedName name="GBP" localSheetId="35">Flags!$D$10</definedName>
    <definedName name="GBP" localSheetId="37">Flags!$D$10</definedName>
    <definedName name="GBP" localSheetId="36">Flags!$D$10</definedName>
    <definedName name="GBP">#REF!</definedName>
    <definedName name="gender">#REF!</definedName>
    <definedName name="Goal" localSheetId="4">'Savings Estimator'!$D$6</definedName>
    <definedName name="Goal">#REF!</definedName>
    <definedName name="HeaderRow" localSheetId="30">ROW('Amortization Table'!$B$3:$J$3)</definedName>
    <definedName name="HeaderRow" localSheetId="29">ROW('[7]Amortization Table'!$B$3:$J$3)</definedName>
    <definedName name="HeaderRow">ROW(#REF!)</definedName>
    <definedName name="I_CHART_PER_SEL" localSheetId="35">pivot!$E$18</definedName>
    <definedName name="I_CHART_PER_SEL" localSheetId="37">pivot!$E$18</definedName>
    <definedName name="I_CHART_PER_SEL" localSheetId="36">pivot!$E$18</definedName>
    <definedName name="I_CHART_PER_SEL" localSheetId="38">pivot!$E$18</definedName>
    <definedName name="I_CHART_PER_SEL">#REF!</definedName>
    <definedName name="I_INTERVAL" localSheetId="35">pivot!$B$18</definedName>
    <definedName name="I_INTERVAL" localSheetId="37">pivot!$B$18</definedName>
    <definedName name="I_INTERVAL" localSheetId="36">pivot!$B$18</definedName>
    <definedName name="I_INTERVAL" localSheetId="38">pivot!$B$18</definedName>
    <definedName name="I_INTERVAL">#REF!</definedName>
    <definedName name="I_SYM" localSheetId="35">CHART!$B$2</definedName>
    <definedName name="I_SYM" localSheetId="37">CHART!$B$2</definedName>
    <definedName name="I_SYM" localSheetId="36">CHART!$B$2</definedName>
    <definedName name="I_SYM" localSheetId="38">CHART!$B$2</definedName>
    <definedName name="I_SYM">#REF!</definedName>
    <definedName name="IMG" localSheetId="35">INDIRECT(CHART!$E$6)</definedName>
    <definedName name="IMG" localSheetId="37">INDIRECT(CHART!$E$6)</definedName>
    <definedName name="IMG" localSheetId="36">INDIRECT(CHART!$E$6)</definedName>
    <definedName name="IMG" localSheetId="38">INDIRECT(CHART!$E$6)</definedName>
    <definedName name="IMG">INDIRECT(#REF!)</definedName>
    <definedName name="IMGG" localSheetId="35">INDIRECT(CHART!$G$6)</definedName>
    <definedName name="IMGG" localSheetId="37">INDIRECT(CHART!$G$6)</definedName>
    <definedName name="IMGG" localSheetId="36">INDIRECT(CHART!$G$6)</definedName>
    <definedName name="IMGG" localSheetId="38">INDIRECT(CHART!$G$6)</definedName>
    <definedName name="IMGG">INDIRECT(#REF!)</definedName>
    <definedName name="IncomeReplacementAtRetirementPercentage">#REF!</definedName>
    <definedName name="INR">#REF!</definedName>
    <definedName name="int" localSheetId="3">#REF!</definedName>
    <definedName name="int">#REF!</definedName>
    <definedName name="interest" localSheetId="30">'Amortization Table'!$E$4:$E$363</definedName>
    <definedName name="interest" localSheetId="29">'[7]Amortization Table'!$E$4:$E$363</definedName>
    <definedName name="interest">#REF!</definedName>
    <definedName name="Interest_Over">IF(PlanYear&lt;=PlanYears,([4]Calculations!XFD1*BeforeRetirement*(InvestmentReturnPreRetirementPercentage+InvestmentReturnUncertaintyPercentage/2))+([4]Calculations!XFD1*AfterRetirement*(InvestmentReturnPostRetirementPercentage+InvestmentReturnUncertaintyPercentage/2)),NA())</definedName>
    <definedName name="Interest_rate" localSheetId="3">#REF!</definedName>
    <definedName name="Interest_rate">#REF!</definedName>
    <definedName name="Interest_Under">IF(PlanYear&lt;=PlanYears,([4]Calculations!XFD1*BeforeRetirement*(InvestmentReturnPreRetirementPercentage-InvestmentReturnUncertaintyPercentage/2))+([4]Calculations!XFD1*AfterRetirement*(InvestmentReturnPostRetirementPercentage-InvestmentReturnUncertaintyPercentage/2)),NA())</definedName>
    <definedName name="InterestAmt" localSheetId="0">-IPMT(InterestRate/12,'Home Tab'!PaymentNumber,NumberOfPayments,LoanAmount)</definedName>
    <definedName name="InterestAmt" localSheetId="24">-IPMT(InterestRate/12,Income!PaymentNumber,NumberOfPayments,LoanAmount)</definedName>
    <definedName name="InterestAmt" localSheetId="3">-IPMT(InterestRate/12,'Savings Tracker '!PaymentNumber,'Savings Tracker '!NumberOfPayments,LoanAmount)</definedName>
    <definedName name="InterestAmt" localSheetId="11">-IPMT(InterestRate/12,'Stock Investment Tracker'!PaymentNumber,NumberOfPayments,LoanAmount)</definedName>
    <definedName name="InterestAmt" localSheetId="10">-IPMT(InterestRate/12,'Stock Ledger'!PaymentNumber,NumberOfPayments,LoanAmount)</definedName>
    <definedName name="InterestAmt">-IPMT(InterestRate/12,PaymentNumber,NumberOfPayments,LoanAmount)</definedName>
    <definedName name="InterestRate" localSheetId="30">'[7]Mortgage Calculator'!$C$5</definedName>
    <definedName name="InterestRate" localSheetId="27">'Loan Calculator'!$D$6</definedName>
    <definedName name="InterestRate" localSheetId="28">[8]Template!$D$6</definedName>
    <definedName name="InterestRate" localSheetId="29">'Mortgage Calculator'!$C$5</definedName>
    <definedName name="InterestRate">#REF!</definedName>
    <definedName name="InterestRate2">'Mortgage Calculator'!$C$5</definedName>
    <definedName name="InvestmentReturnPostRetirementPercentage">#REF!</definedName>
    <definedName name="InvestmentReturnPreRetirementPercentage">#REF!</definedName>
    <definedName name="InvestmentReturnUncertaintyPercentage">#REF!</definedName>
    <definedName name="JPY" localSheetId="35">Flags!$D$4</definedName>
    <definedName name="JPY" localSheetId="37">Flags!$D$4</definedName>
    <definedName name="JPY" localSheetId="36">Flags!$D$4</definedName>
    <definedName name="JPY">#REF!</definedName>
    <definedName name="L_PER_OPTIONS" localSheetId="35">pivot!$E$5:$E$12</definedName>
    <definedName name="L_PER_OPTIONS" localSheetId="37">pivot!$E$5:$E$12</definedName>
    <definedName name="L_PER_OPTIONS" localSheetId="36">pivot!$E$5:$E$12</definedName>
    <definedName name="L_PER_OPTIONS" localSheetId="38">pivot!$E$5:$E$12</definedName>
    <definedName name="L_PER_OPTIONS">#REF!</definedName>
    <definedName name="LastCol">COUNTA(#REF!)</definedName>
    <definedName name="LastRow" localSheetId="30">COUNTIF('Amortization Table'!$C$4:$C$363,"&gt;1")+'Amortization Table'!HeaderRow</definedName>
    <definedName name="LastRow" localSheetId="29">COUNTIF('[7]Amortization Table'!$C$4:$C$363,"&gt;1")+'Mortgage Calculator'!HeaderRow</definedName>
    <definedName name="LastRow">MATCH(9.99E+307,#REF!)</definedName>
    <definedName name="List_Categories">[3]!Category_List_Table[To add a category, type below]</definedName>
    <definedName name="loan_amount" localSheetId="3">#REF!</definedName>
    <definedName name="loan_amount">#REF!</definedName>
    <definedName name="loan_calculator" localSheetId="0">-FV(Interest_rate/12,'Home Tab'!PaymentNumber,-'Home Tab'!MonthlyPayment,LoanAmount)</definedName>
    <definedName name="loan_calculator" localSheetId="24">-FV(Interest_rate/12,Income!PaymentNumber,-Income!MonthlyPayment,LoanAmount)</definedName>
    <definedName name="loan_calculator" localSheetId="3">-FV('Savings Tracker '!Interest_rate/12,'Savings Tracker '!PaymentNumber,-'Savings Tracker '!MonthlyPayment,LoanAmount)</definedName>
    <definedName name="loan_calculator" localSheetId="11">-FV(Interest_rate/12,'Stock Investment Tracker'!PaymentNumber,-'Stock Investment Tracker'!MonthlyPayment,LoanAmount)</definedName>
    <definedName name="loan_calculator" localSheetId="10">-FV(Interest_rate/12,'Stock Ledger'!PaymentNumber,-'Stock Ledger'!MonthlyPayment,LoanAmount)</definedName>
    <definedName name="loan_calculator">-FV(Interest_rate/12,PaymentNumber,-MonthlyPayment,LoanAmount)</definedName>
    <definedName name="LoanAmount" localSheetId="30">'[7]Mortgage Calculator'!$C$7</definedName>
    <definedName name="LoanAmount" localSheetId="27">'Loan Calculator'!$D$5</definedName>
    <definedName name="LoanAmount" localSheetId="28">[8]Template!$D$5</definedName>
    <definedName name="LoanAmount" localSheetId="29">'Mortgage Calculator'!$C$7</definedName>
    <definedName name="LoanAmount">#REF!</definedName>
    <definedName name="LoanIsGood" localSheetId="30">('[7]Mortgage Calculator'!$C$5*'[7]Mortgage Calculator'!$C$6*'[7]Mortgage Calculator'!$C$7)&gt;0</definedName>
    <definedName name="LoanIsGood" localSheetId="0">IF(LoanAmount*InterestRate*LoanYears*LoanStartDate&gt;0,1,0)</definedName>
    <definedName name="LoanIsGood" localSheetId="24">IF(LoanAmount*InterestRate*LoanYears*LoanStartDate&gt;0,1,0)</definedName>
    <definedName name="LoanIsGood" localSheetId="29">('Mortgage Calculator'!$C$5*'Mortgage Calculator'!$C$6*'Mortgage Calculator'!$C$7)&gt;0</definedName>
    <definedName name="LoanIsGood" localSheetId="3">IF(LoanAmount*InterestRate*LoanYears*LoanStartDate&gt;0,1,0)</definedName>
    <definedName name="LoanIsGood" localSheetId="11">IF(LoanAmount*InterestRate*LoanYears*LoanStartDate&gt;0,1,0)</definedName>
    <definedName name="LoanIsGood" localSheetId="10">IF(LoanAmount*InterestRate*LoanYears*LoanStartDate&gt;0,1,0)</definedName>
    <definedName name="LoanIsGood">IF(LoanAmount*InterestRate*LoanYears*LoanStartDate&gt;0,1,0)</definedName>
    <definedName name="LoanIsNotPaid" localSheetId="0">IF('Home Tab'!PaymentNumber&lt;=NumberOfPayments,1,0)</definedName>
    <definedName name="LoanIsNotPaid" localSheetId="24">IF(Income!PaymentNumber&lt;=NumberOfPayments,1,0)</definedName>
    <definedName name="LoanIsNotPaid" localSheetId="3">IF('Savings Tracker '!PaymentNumber&lt;='Savings Tracker '!NumberOfPayments,1,0)</definedName>
    <definedName name="LoanIsNotPaid" localSheetId="11">IF('Stock Investment Tracker'!PaymentNumber&lt;=NumberOfPayments,1,0)</definedName>
    <definedName name="LoanIsNotPaid" localSheetId="10">IF('Stock Ledger'!PaymentNumber&lt;=NumberOfPayments,1,0)</definedName>
    <definedName name="LoanIsNotPaid">IF(PaymentNumber&lt;=NumberOfPayments,1,0)</definedName>
    <definedName name="LoanStart" localSheetId="30">'[7]Mortgage Calculator'!$C$8</definedName>
    <definedName name="LoanStart" localSheetId="29">'Mortgage Calculator'!$C$8</definedName>
    <definedName name="LoanStart">#REF!</definedName>
    <definedName name="LoanStartDate" localSheetId="27">'Loan Calculator'!$D$8</definedName>
    <definedName name="LoanStartDate" localSheetId="28">[8]Template!$D$8</definedName>
    <definedName name="LoanStartDate">#REF!</definedName>
    <definedName name="LoanValue" localSheetId="0">-FV(InterestRate/12,'Home Tab'!PaymentNumber-1,-'Home Tab'!MonthlyPayment,LoanAmount)</definedName>
    <definedName name="LoanValue" localSheetId="24">-FV(InterestRate/12,Income!PaymentNumber-1,-Income!MonthlyPayment,LoanAmount)</definedName>
    <definedName name="LoanValue" localSheetId="3">-FV(InterestRate/12,'Savings Tracker '!PaymentNumber-1,-'Savings Tracker '!MonthlyPayment,LoanAmount)</definedName>
    <definedName name="LoanValue" localSheetId="11">-FV(InterestRate/12,'Stock Investment Tracker'!PaymentNumber-1,-'Stock Investment Tracker'!MonthlyPayment,LoanAmount)</definedName>
    <definedName name="LoanValue" localSheetId="10">-FV(InterestRate/12,'Stock Ledger'!PaymentNumber-1,-'Stock Ledger'!MonthlyPayment,LoanAmount)</definedName>
    <definedName name="LoanValue">-FV(InterestRate/12,PaymentNumber-1,-MonthlyPayment,LoanAmount)</definedName>
    <definedName name="LoanYears" localSheetId="27">'Loan Calculator'!$D$7</definedName>
    <definedName name="LoanYears" localSheetId="28">[8]Template!$D$7</definedName>
    <definedName name="LoanYears">#REF!</definedName>
    <definedName name="MA_cut" localSheetId="3">[2]!Table1015[[#All],[8.00%]]</definedName>
    <definedName name="MA_cut">Table1015[[#All],[8.00%]]</definedName>
    <definedName name="monthly_payment" localSheetId="3">-PMT((((1+#REF!/'Savings Tracker '!CP)^('Savings Tracker '!CP/12))-1),'Savings Tracker '!term*12,'Savings Tracker '!loan_amount)</definedName>
    <definedName name="monthly_payment">-PMT((((1+#REF!/CP)^(CP/12))-1),term*12,loan_amount)</definedName>
    <definedName name="MonthlyLoanPayment" localSheetId="30">'[7]Mortgage Calculator'!$E$4</definedName>
    <definedName name="MonthlyLoanPayment" localSheetId="29">'Mortgage Calculator'!$E$4</definedName>
    <definedName name="MonthlyLoanPayment">#REF!</definedName>
    <definedName name="MonthlyPayment" localSheetId="0">-PMT(InterestRate/12,NumberOfPayments,LoanAmount)</definedName>
    <definedName name="MonthlyPayment" localSheetId="24">-PMT(InterestRate/12,NumberOfPayments,LoanAmount)</definedName>
    <definedName name="MonthlyPayment" localSheetId="3">-PMT(InterestRate/12,'Savings Tracker '!NumberOfPayments,LoanAmount)</definedName>
    <definedName name="MonthlyPayment" localSheetId="11">-PMT(InterestRate/12,NumberOfPayments,LoanAmount)</definedName>
    <definedName name="MonthlyPayment" localSheetId="10">-PMT(InterestRate/12,NumberOfPayments,LoanAmount)</definedName>
    <definedName name="MonthlyPayment">-PMT(InterestRate/12,NumberOfPayments,LoanAmount)</definedName>
    <definedName name="MonthlySavings" localSheetId="4">'Savings Estimator'!$F$13</definedName>
    <definedName name="MonthlySavings">#REF!</definedName>
    <definedName name="months_per_period" localSheetId="3">INDEX({1,0.5,0.5,0.25,0.5,0.25},MATCH(#REF!,'Savings Tracker '!frequency,0))</definedName>
    <definedName name="months_per_period">INDEX({1,0.5,0.5,0.25,0.5,0.25},MATCH(#REF!,frequency,0))</definedName>
    <definedName name="MonthsUntilEvent" localSheetId="4">'Savings Estimator'!$F$15</definedName>
    <definedName name="MonthsUntilEvent">#REF!</definedName>
    <definedName name="MS_Cut" localSheetId="7">'New CPF Tracker'!$J$11:$J$17</definedName>
    <definedName name="MS_Cut" localSheetId="34">#REF!</definedName>
    <definedName name="MS_Cut">'[9]CPF Tracker'!$O$11:$O$17</definedName>
    <definedName name="NCA_CAT" localSheetId="34">#REF!</definedName>
    <definedName name="NCA_CAT">[9]app!$B$10:$B$14</definedName>
    <definedName name="NCA_RATE" localSheetId="34">#REF!</definedName>
    <definedName name="NCA_RATE">[9]app!$C$10:$C$14</definedName>
    <definedName name="Non_current_assets" localSheetId="34">#REF!</definedName>
    <definedName name="Non_current_assets">#REF!</definedName>
    <definedName name="NoPaymentsRemaining" localSheetId="30">'Amortization Table'!$J$4:$J$363</definedName>
    <definedName name="NoPaymentsRemaining">#REF!</definedName>
    <definedName name="nper" localSheetId="3">'Savings Tracker '!term*'Savings Tracker '!periods_per_year</definedName>
    <definedName name="nper">term*periods_per_year</definedName>
    <definedName name="NumberOfPayments" localSheetId="3">#REF!</definedName>
    <definedName name="NumberOfPayments">#REF!</definedName>
    <definedName name="NZD" localSheetId="35">Flags!$D$5</definedName>
    <definedName name="NZD" localSheetId="37">Flags!$D$5</definedName>
    <definedName name="NZD" localSheetId="36">Flags!$D$5</definedName>
    <definedName name="NZD">#REF!</definedName>
    <definedName name="OA_Cut" localSheetId="7">'New CPF Tracker'!$H$11:$H$17</definedName>
    <definedName name="OA_Cut" localSheetId="34">#REF!</definedName>
    <definedName name="OA_cut" localSheetId="3">[2]!Table1015[[#All],[23.00%]]</definedName>
    <definedName name="OA_cut">Table1015[[#All],[23.00%]]</definedName>
    <definedName name="OTH" localSheetId="35">Flags!$D$3</definedName>
    <definedName name="OTH" localSheetId="37">Flags!$D$3</definedName>
    <definedName name="OTH" localSheetId="36">Flags!$D$3</definedName>
    <definedName name="OTH">#REF!</definedName>
    <definedName name="payment" localSheetId="3">#REF!</definedName>
    <definedName name="payment">#REF!</definedName>
    <definedName name="PaymentDate" localSheetId="0">DATE(YEAR(LoanStartDate),MONTH(LoanStartDate)+'Home Tab'!PaymentNumber,DAY(LoanStartDate))</definedName>
    <definedName name="PaymentDate" localSheetId="24">DATE(YEAR(LoanStartDate),MONTH(LoanStartDate)+Income!PaymentNumber,DAY(LoanStartDate))</definedName>
    <definedName name="PaymentDate" localSheetId="3">DATE(YEAR(LoanStartDate),MONTH(LoanStartDate)+'Savings Tracker '!PaymentNumber,DAY(LoanStartDate))</definedName>
    <definedName name="PaymentDate" localSheetId="11">DATE(YEAR(LoanStartDate),MONTH(LoanStartDate)+'Stock Investment Tracker'!PaymentNumber,DAY(LoanStartDate))</definedName>
    <definedName name="PaymentDate" localSheetId="10">DATE(YEAR(LoanStartDate),MONTH(LoanStartDate)+'Stock Ledger'!PaymentNumber,DAY(LoanStartDate))</definedName>
    <definedName name="PaymentDate">DATE(YEAR(LoanStartDate),MONTH(LoanStartDate)+PaymentNumber,DAY(LoanStartDate))</definedName>
    <definedName name="PaymentDurationIncreaseDecrease" localSheetId="30">INT(NPER('Amortization Table'!InterestRate/12,-'Amortization Table'!MonthlyLoanPayment*VLOOKUP(PaymentPercentage,PaymentScenarios,2,FALSE),'Amortization Table'!LoanAmount))</definedName>
    <definedName name="PaymentDurationIncreaseDecrease" localSheetId="0">INT(NPER([5]!InterestRate/12,-MonthlyLoanPayment*VLOOKUP(PaymentPercentage,PaymentScenarios,2,FALSE),[5]!LoanAmount))</definedName>
    <definedName name="PaymentDurationIncreaseDecrease" localSheetId="24">INT(NPER([0]!InterestRate/12,-MonthlyLoanPayment*VLOOKUP(PaymentPercentage,PaymentScenarios,2,FALSE),[0]!LoanAmount))</definedName>
    <definedName name="PaymentDurationIncreaseDecrease" localSheetId="29">INT(NPER('Mortgage Calculator'!InterestRate/12,-'Mortgage Calculator'!MonthlyLoanPayment*VLOOKUP(PaymentPercentage,PaymentScenarios,2,FALSE),'Mortgage Calculator'!LoanAmount))</definedName>
    <definedName name="PaymentDurationIncreaseDecrease" localSheetId="3">INT(NPER([5]!InterestRate/12,-MonthlyLoanPayment*VLOOKUP(PaymentPercentage,PaymentScenarios,2,FALSE),[5]!LoanAmount))</definedName>
    <definedName name="PaymentDurationIncreaseDecrease" localSheetId="11">INT(NPER([5]!InterestRate/12,-MonthlyLoanPayment*VLOOKUP(PaymentPercentage,PaymentScenarios,2,FALSE),[5]!LoanAmount))</definedName>
    <definedName name="PaymentDurationIncreaseDecrease" localSheetId="10">INT(NPER([5]!InterestRate/12,-MonthlyLoanPayment*VLOOKUP(PaymentPercentage,PaymentScenarios,2,FALSE),[5]!LoanAmount))</definedName>
    <definedName name="PaymentDurationIncreaseDecrease">INT(NPER([5]!InterestRate/12,-MonthlyLoanPayment*VLOOKUP(PaymentPercentage,PaymentScenarios,2,FALSE),[5]!LoanAmount))</definedName>
    <definedName name="PaymentNumber" localSheetId="0">ROW()-HeaderRow</definedName>
    <definedName name="PaymentNumber" localSheetId="24">ROW()-HeaderRow</definedName>
    <definedName name="PaymentNumber" localSheetId="3">ROW()-HeaderRow</definedName>
    <definedName name="PaymentNumber" localSheetId="11">ROW()-HeaderRow</definedName>
    <definedName name="PaymentNumber" localSheetId="10">ROW()-HeaderRow</definedName>
    <definedName name="PaymentNumber">ROW()-HeaderRow</definedName>
    <definedName name="payments" localSheetId="3">MAX(#REF!)</definedName>
    <definedName name="payments">MAX(#REF!)</definedName>
    <definedName name="PensionIncome">IF(PlanYear&lt;=PlanYears,AfterRetirement*PensionIncomeInflated,NA())</definedName>
    <definedName name="PensionIncome_Over">IF(PlanYear&lt;=PlanYears,AfterRetirement*PensionIncomeInflated_Over,NA())</definedName>
    <definedName name="PensionIncome_Under">IF(PlanYear&lt;=PlanYears,AfterRetirement*PensionIncomeInflated_Under,NA())</definedName>
    <definedName name="PensionIncomeInflated">AnnualPenionsBenefitsAtRetirement*(1+AnnualPensionBenefitAfterRetirementIncreasesPercentage)^([4]Calculations!$B1-DesiredRetirementAge)</definedName>
    <definedName name="PensionIncomeInflated_Over">(AnnualPenionsBenefitsAtRetirement+AnnualPenionsBenefitsAtRetirement*AnnualPensionBenefitAmountUncertaintyPercentage/2)*(1+AnnualPensionBenefitAfterRetirementIncreasesPercentage+AnnualPensionCenefitIncreasesUncertaintyPercentage/2)^([4]Calculations!$B1-DesiredRetirementAge)</definedName>
    <definedName name="PensionIncomeInflated_Under">(AnnualPenionsBenefitsAtRetirement-AnnualPenionsBenefitsAtRetirement*AnnualPensionBenefitAmountUncertaintyPercentage/2)*(1+AnnualPensionBenefitAfterRetirementIncreasesPercentage-AnnualPensionCenefitIncreasesUncertaintyPercentage/2)^([4]Calculations!$B1-DesiredRetirementAge)</definedName>
    <definedName name="Percentage_of_Income_Spent">'[10]Chart Data'!$B$5</definedName>
    <definedName name="PercentageAvailable">#REF!</definedName>
    <definedName name="PercentageIncreaseDecrease" localSheetId="30">1-'Amortization Table'!PaymentDurationIncreaseDecrease/'Amortization Table'!DurationOfLoan</definedName>
    <definedName name="PercentageIncreaseDecrease" localSheetId="0">1-'Home Tab'!PaymentDurationIncreaseDecrease/DurationOfLoan</definedName>
    <definedName name="PercentageIncreaseDecrease" localSheetId="24">1-Income!PaymentDurationIncreaseDecrease/DurationOfLoan</definedName>
    <definedName name="PercentageIncreaseDecrease" localSheetId="29">1-'Mortgage Calculator'!PaymentDurationIncreaseDecrease/'Mortgage Calculator'!DurationOfLoan</definedName>
    <definedName name="PercentageIncreaseDecrease" localSheetId="3">1-'Savings Tracker '!PaymentDurationIncreaseDecrease/DurationOfLoan</definedName>
    <definedName name="PercentageIncreaseDecrease" localSheetId="11">1-'Stock Investment Tracker'!PaymentDurationIncreaseDecrease/DurationOfLoan</definedName>
    <definedName name="PercentageIncreaseDecrease" localSheetId="10">1-'Stock Ledger'!PaymentDurationIncreaseDecrease/DurationOfLoan</definedName>
    <definedName name="PercentageIncreaseDecrease">1-PaymentDurationIncreaseDecrease/DurationOfLoan</definedName>
    <definedName name="periods_per_year" localSheetId="3">INDEX({12,24,26,52,26,52},MATCH(#REF!,'Savings Tracker '!frequency,0))</definedName>
    <definedName name="periods_per_year">INDEX({12,24,26,52,26,52},MATCH(#REF!,frequency,0))</definedName>
    <definedName name="PlanYear">ROWS([4]Calculations!$B$17:$B1)</definedName>
    <definedName name="PlanYears">YearsOfRetirementIncome+(DesiredRetirementAge-YourCurrentAge)</definedName>
    <definedName name="ppy" localSheetId="3">'Savings Tracker '!periods_per_year</definedName>
    <definedName name="ppy">periods_per_year</definedName>
    <definedName name="Principal" localSheetId="0">-PPMT(InterestRate/12,'Home Tab'!PaymentNumber,NumberOfPayments,LoanAmount)</definedName>
    <definedName name="Principal" localSheetId="24">-PPMT(InterestRate/12,Income!PaymentNumber,NumberOfPayments,LoanAmount)</definedName>
    <definedName name="Principal" localSheetId="3">-PPMT(InterestRate/12,'Savings Tracker '!PaymentNumber,'Savings Tracker '!NumberOfPayments,LoanAmount)</definedName>
    <definedName name="Principal" localSheetId="11">-PPMT(InterestRate/12,'Stock Investment Tracker'!PaymentNumber,NumberOfPayments,LoanAmount)</definedName>
    <definedName name="Principal" localSheetId="10">-PPMT(InterestRate/12,'Stock Ledger'!PaymentNumber,NumberOfPayments,LoanAmount)</definedName>
    <definedName name="Principal">-PPMT(InterestRate/12,PaymentNumber,NumberOfPayments,LoanAmount)</definedName>
    <definedName name="_xlnm.Print_Area" localSheetId="2">'Balance Sheet'!$C$1:$F$36</definedName>
    <definedName name="Print_Area_Reset">OFFSET(#REF!,0,0,[0]!LastRow)</definedName>
    <definedName name="_xlnm.Print_Titles" localSheetId="30">'Amortization Table'!$3:$3</definedName>
    <definedName name="_xlnm.Print_Titles" localSheetId="24">Income!$2:$3</definedName>
    <definedName name="PrintArea_SET" localSheetId="0">OFFSET(#REF!,,,LastRow,LastCol)</definedName>
    <definedName name="PrintArea_SET" localSheetId="24">OFFSET(#REF!,,,LastRow,LastCol)</definedName>
    <definedName name="PrintArea_SET" localSheetId="3">OFFSET(#REF!,,,LastRow,LastCol)</definedName>
    <definedName name="PrintArea_SET" localSheetId="11">OFFSET(#REF!,,,LastRow,LastCol)</definedName>
    <definedName name="PrintArea_SET" localSheetId="10">OFFSET(#REF!,,,LastRow,LastCol)</definedName>
    <definedName name="PrintArea_SET">OFFSET(#REF!,,,LastRow,LastCol)</definedName>
    <definedName name="Projected_Expenses">'[3]Budget Overview'!$F$8</definedName>
    <definedName name="Projected_Income">'[3]Budget Overview'!$C$11</definedName>
    <definedName name="PropertyTaxAmount" localSheetId="30">'[7]Mortgage Calculator'!$E$8</definedName>
    <definedName name="PropertyTaxAmount" localSheetId="29">'Mortgage Calculator'!$E$8</definedName>
    <definedName name="PropertyTaxAmount">#REF!</definedName>
    <definedName name="ResultsDisplay_Failure_1">[4]Calculations!$K$10</definedName>
    <definedName name="ResultsDisplay_Failure_2">[4]Calculations!$K$11</definedName>
    <definedName name="ResultsDisplay_Failure_3">[4]Calculations!$K$12</definedName>
    <definedName name="ResultsDisplay_Failure_4">[4]Calculations!$K$13</definedName>
    <definedName name="ResultsDisplay_Success_1">[4]Calculations!$I$10</definedName>
    <definedName name="ResultsDisplay_Success_2">[4]Calculations!$I$11</definedName>
    <definedName name="ResultsDisplay_Success_3">[4]Calculations!$I$12</definedName>
    <definedName name="ResultsDisplay_Success_4">[4]Calculations!$I$13</definedName>
    <definedName name="ResultsDisplay_Success_5">[4]Calculations!$I$14</definedName>
    <definedName name="RowTitleRegion1..C6">'Savings Estimator'!$C$4</definedName>
    <definedName name="RowTitleRegion1..D12">#REF!</definedName>
    <definedName name="RowTitleRegion1..D6">#REF!</definedName>
    <definedName name="RowTitleRegion2..C9">'Savings Estimator'!$C$8</definedName>
    <definedName name="RowTitleRegion2..G11">#REF!</definedName>
    <definedName name="RowTitleRegion2..H6">#REF!</definedName>
    <definedName name="RowTitleRegion3..J10">#REF!</definedName>
    <definedName name="RptTitle" localSheetId="3">'[11]forex proj (SB) (2)'!$H$7</definedName>
    <definedName name="RptTitle">#REF!</definedName>
    <definedName name="SA_Cut" localSheetId="7">'New CPF Tracker'!$I$11:$I$17</definedName>
    <definedName name="SA_Cut" localSheetId="34">#REF!</definedName>
    <definedName name="SA_cut" localSheetId="3">[2]!Table1015[[#All],[6.00%]]</definedName>
    <definedName name="SA_cut">Table1015[[#All],[6.00%]]</definedName>
    <definedName name="Salary">IF(PlanYear&lt;=PlanYears,BeforeRetirement*([4]Calculations!$C1048576+[4]Calculations!$C1048576*CurrentAnnualIncomeIncreasesPercentage),NA())</definedName>
    <definedName name="SavingFrequency" localSheetId="4">'Savings Estimator'!$F$3</definedName>
    <definedName name="SavingFrequency">#REF!</definedName>
    <definedName name="SavingsBalance_Disbursements">[4]Calculations!$I$17:INDEX([4]Calculations!$I$17:$I$116,PlanYears)</definedName>
    <definedName name="SavingsBalance_RetiredPeriod">[4]Calculations!$AE$17:INDEX([4]Calculations!$AE$17:$AE$116,PlanYears)</definedName>
    <definedName name="SavingsBalance_WorkingPeriod">[4]Calculations!$AD$17:INDEX([4]Calculations!$AD$17:$AD$116,PlanYears)</definedName>
    <definedName name="SavingsPlanInfo" localSheetId="0">IF(SavingFrequency="Weekly",WeeklySavings,IF(SavingFrequency="Bi-Weekly",BiWeeklySavings,IF(SavingFrequency="Monthly",MonthlySavings,AnnualSavings)))</definedName>
    <definedName name="SavingsPlanInfo" localSheetId="24">IF(SavingFrequency="Weekly",WeeklySavings,IF(SavingFrequency="Bi-Weekly",BiWeeklySavings,IF(SavingFrequency="Monthly",MonthlySavings,AnnualSavings)))</definedName>
    <definedName name="SavingsPlanInfo" localSheetId="4">IF('Savings Estimator'!SavingFrequency="Weekly",'Savings Estimator'!WeeklySavings,IF('Savings Estimator'!SavingFrequency="Bi-Weekly",'Savings Estimator'!BiWeeklySavings,IF('Savings Estimator'!SavingFrequency="Monthly",'Savings Estimator'!MonthlySavings,'Savings Estimator'!AnnualSavings)))</definedName>
    <definedName name="SavingsPlanInfo" localSheetId="3">IF(SavingFrequency="Weekly",WeeklySavings,IF(SavingFrequency="Bi-Weekly",BiWeeklySavings,IF(SavingFrequency="Monthly",MonthlySavings,AnnualSavings)))</definedName>
    <definedName name="SavingsPlanInfo" localSheetId="11">IF(SavingFrequency="Weekly",WeeklySavings,IF(SavingFrequency="Bi-Weekly",BiWeeklySavings,IF(SavingFrequency="Monthly",MonthlySavings,AnnualSavings)))</definedName>
    <definedName name="SavingsPlanInfo" localSheetId="10">IF(SavingFrequency="Weekly",WeeklySavings,IF(SavingFrequency="Bi-Weekly",BiWeeklySavings,IF(SavingFrequency="Monthly",MonthlySavings,AnnualSavings)))</definedName>
    <definedName name="SavingsPlanInfo">IF(SavingFrequency="Weekly",WeeklySavings,IF(SavingFrequency="Bi-Weekly",BiWeeklySavings,IF(SavingFrequency="Monthly",MonthlySavings,AnnualSavings)))</definedName>
    <definedName name="SavingsToDate" localSheetId="4">'Savings Estimator'!$D$8</definedName>
    <definedName name="SavingsToDate">#REF!</definedName>
    <definedName name="SGD">#REF!</definedName>
    <definedName name="SGDSdad">#REF!</definedName>
    <definedName name="Slicer_Banks">#N/A</definedName>
    <definedName name="Slicer_Banks1">#N/A</definedName>
    <definedName name="Slicer_Category1">#N/A</definedName>
    <definedName name="Slicer_Name">#N/A</definedName>
    <definedName name="Slicer_Options">#N/A</definedName>
    <definedName name="Slicer_Options1">#N/A</definedName>
    <definedName name="start_rate">#REF!</definedName>
    <definedName name="Success">[4]Calculations!$G$9</definedName>
    <definedName name="term" localSheetId="3">#REF!</definedName>
    <definedName name="term">#REF!</definedName>
    <definedName name="Title2" localSheetId="25">[6]!MonthlyIncome[[#Headers],[ITEM]]</definedName>
    <definedName name="Title2" localSheetId="24">#REF!</definedName>
    <definedName name="Title2" localSheetId="3">#REF!</definedName>
    <definedName name="Title2" localSheetId="26">[6]!MonthlyIncome[[#Headers],[ITEM]]</definedName>
    <definedName name="Title2">#REF!</definedName>
    <definedName name="Title3">[10]!MonthlyExpenses[[#Headers],[ITEM]]</definedName>
    <definedName name="Title4">[10]!Savings[[#Headers],[DATE]]</definedName>
    <definedName name="TitleRegion1..G13">'Savings Estimator'!$C$12</definedName>
    <definedName name="TitleRegion2..G15">'Savings Estimator'!$C$14</definedName>
    <definedName name="Total_Interest">#REF!</definedName>
    <definedName name="total_interest_paid" localSheetId="29">'Mortgage Calculator'!$E$7</definedName>
    <definedName name="total_interest_paid">#REF!</definedName>
    <definedName name="total_loan_payment" localSheetId="30">'Amortization Table'!$E$4:$F$363</definedName>
    <definedName name="total_loan_payment" localSheetId="29">'[7]Amortization Table'!$E$4:$F$363</definedName>
    <definedName name="total_loan_payment">#REF!</definedName>
    <definedName name="total_payments" localSheetId="30">'Amortization Table'!$H$4:$H$363</definedName>
    <definedName name="total_payments" localSheetId="29">'[7]Amortization Table'!$H$4:$H$363</definedName>
    <definedName name="total_payments">#REF!</definedName>
    <definedName name="TotalLoanCost" localSheetId="3">#REF!</definedName>
    <definedName name="TotalLoanCost">#REF!</definedName>
    <definedName name="TotalMonthlyExpenses" localSheetId="25">[6]Summary!$B$6</definedName>
    <definedName name="TotalMonthlyExpenses" localSheetId="24">[5]Summary!$B$6</definedName>
    <definedName name="TotalMonthlyExpenses" localSheetId="26">Summary!$B$6</definedName>
    <definedName name="TotalMonthlyExpenses">#REF!</definedName>
    <definedName name="TotalMonthlyIncome" localSheetId="25">[6]Summary!$B$4</definedName>
    <definedName name="TotalMonthlyIncome" localSheetId="24">[5]Summary!$B$4</definedName>
    <definedName name="TotalMonthlyIncome" localSheetId="26">Summary!$B$4</definedName>
    <definedName name="TotalMonthlyIncome">#REF!</definedName>
    <definedName name="TotalMonthlySavings" localSheetId="25">[6]Summary!#REF!</definedName>
    <definedName name="TotalMonthlySavings" localSheetId="24">[5]Summary!#REF!</definedName>
    <definedName name="TotalMonthlySavings" localSheetId="26">Summary!#REF!</definedName>
    <definedName name="TotalMonthlySavings">#REF!</definedName>
    <definedName name="UncertaintyCone_Over">[4]Calculations!$AH$17:INDEX([4]Calculations!$AH$17:$AH$116,PlanYears)</definedName>
    <definedName name="UncertaintyCone_Under">[4]Calculations!$S$17:INDEX([4]Calculations!$S$17:$S$116,PlanYears)</definedName>
    <definedName name="USD" localSheetId="35">Flags!$D$6</definedName>
    <definedName name="USD" localSheetId="37">Flags!$D$6</definedName>
    <definedName name="USD" localSheetId="36">Flags!$D$6</definedName>
    <definedName name="USD">#REF!</definedName>
    <definedName name="ValueOfHome" localSheetId="29">'Mortgage Calculator'!$C$4</definedName>
    <definedName name="ValueOfHome">#REF!</definedName>
    <definedName name="ValuesEntered" localSheetId="30">IF('Amortization Table'!LoanAmount*(LEN('Amortization Table'!InterestRate)&gt;0)*'Amortization Table'!DurationOfLoan*'Amortization Table'!LoanStart*(LEN('Amortization Table'!PropertyTaxAmount)&gt;0)&gt;0,1,0)</definedName>
    <definedName name="ValuesEntered" localSheetId="0">IF([5]!LoanAmount*(LEN([5]!InterestRate)&gt;0)*DurationOfLoan*LoanStart*(LEN(PropertyTaxAmount)&gt;0)&gt;0,1,0)</definedName>
    <definedName name="ValuesEntered" localSheetId="24">IF([0]!LoanAmount*(LEN([0]!InterestRate)&gt;0)*DurationOfLoan*LoanStart*(LEN(PropertyTaxAmount)&gt;0)&gt;0,1,0)</definedName>
    <definedName name="ValuesEntered" localSheetId="29">IF('Mortgage Calculator'!LoanAmount*(LEN('Mortgage Calculator'!InterestRate)&gt;0)*'Mortgage Calculator'!DurationOfLoan*'Mortgage Calculator'!LoanStart*(LEN('Mortgage Calculator'!PropertyTaxAmount)&gt;0)&gt;0,1,0)</definedName>
    <definedName name="ValuesEntered" localSheetId="3">IF([5]!LoanAmount*(LEN([5]!InterestRate)&gt;0)*DurationOfLoan*LoanStart*(LEN(PropertyTaxAmount)&gt;0)&gt;0,1,0)</definedName>
    <definedName name="ValuesEntered" localSheetId="11">IF([5]!LoanAmount*(LEN([5]!InterestRate)&gt;0)*DurationOfLoan*LoanStart*(LEN(PropertyTaxAmount)&gt;0)&gt;0,1,0)</definedName>
    <definedName name="ValuesEntered" localSheetId="10">IF([5]!LoanAmount*(LEN([5]!InterestRate)&gt;0)*DurationOfLoan*LoanStart*(LEN(PropertyTaxAmount)&gt;0)&gt;0,1,0)</definedName>
    <definedName name="ValuesEntered">IF([5]!LoanAmount*(LEN([5]!InterestRate)&gt;0)*DurationOfLoan*LoanStart*(LEN(PropertyTaxAmount)&gt;0)&gt;0,1,0)</definedName>
    <definedName name="valuevx">42.314159</definedName>
    <definedName name="variable">IF(#REF!="Variable Rate",TRUE,FALSE)</definedName>
    <definedName name="vertex42_copyright" localSheetId="2" hidden="1">"© 2015 Vertex42 LLC"</definedName>
    <definedName name="vertex42_copyright" hidden="1">"© 2007-2018 Vertex42 LLC"</definedName>
    <definedName name="vertex42_id" localSheetId="2" hidden="1">"personal-financial-statement.xlsx"</definedName>
    <definedName name="vertex42_id" hidden="1">"home-mortgage-calculator.xlsx"</definedName>
    <definedName name="vertex42_title" localSheetId="2" hidden="1">"Personal Financial Statement Template"</definedName>
    <definedName name="vertex42_title" hidden="1">"Home Mortgage Calculator"</definedName>
    <definedName name="WeeklySavings" localSheetId="4">'Savings Estimator'!$E$13</definedName>
    <definedName name="WeeklySavings">#REF!</definedName>
    <definedName name="WeeksUntilEvent" localSheetId="4">'Savings Estimator'!$E$15</definedName>
    <definedName name="WeeksUntilEvent">#REF!</definedName>
    <definedName name="YearlySavings">IF(PlanYear&lt;=PlanYears,BeforeRetirement*YearlySavingsInflated,NA())</definedName>
    <definedName name="YearlySavings_Over">IF(PlanYear&lt;=PlanYears,BeforeRetirement*YearlySavingsInflated_Over,NA())</definedName>
    <definedName name="YearlySavings_Under">IF(PlanYear&lt;=PlanYears,BeforeRetirement*YearlySavingsInflated_Under,NA())</definedName>
    <definedName name="YearlySavingsInflated">[4]Calculations!$H1048576+[4]Calculations!$H1048576*CurrentAnnualSavingsIncreasesPercentage</definedName>
    <definedName name="YearlySavingsInflated_Over">[4]Calculations!$X1048576+[4]Calculations!$X1048576*(CurrentAnnualSavingsIncreasesPercentage+AnnualSavingsIncreasesUncertaintyPercentage/2)</definedName>
    <definedName name="YearlySavingsInflated_Under">[4]Calculations!$P1048576+[4]Calculations!$P1048576*(CurrentAnnualSavingsIncreasesPercentage-AnnualSavingsIncreasesUncertaintyPercentage/2)</definedName>
    <definedName name="YearsOfRetirementIncome">#REF!</definedName>
    <definedName name="YearsUntilEvent" localSheetId="4">'Savings Estimator'!$G$15</definedName>
    <definedName name="YearsUntilEvent">#REF!</definedName>
    <definedName name="YourCurrentAge">#REF!</definedName>
  </definedNames>
  <calcPr calcId="191029" calcCompleted="0"/>
  <pivotCaches>
    <pivotCache cacheId="1" r:id="rId54"/>
    <pivotCache cacheId="2" r:id="rId55"/>
    <pivotCache cacheId="3" r:id="rId56"/>
    <pivotCache cacheId="4" r:id="rId57"/>
    <pivotCache cacheId="5" r:id="rId58"/>
    <pivotCache cacheId="6" r:id="rId59"/>
    <pivotCache cacheId="7" r:id="rId60"/>
    <pivotCache cacheId="8" r:id="rId61"/>
    <pivotCache cacheId="9" r:id="rId62"/>
    <pivotCache cacheId="10" r:id="rId63"/>
  </pivotCaches>
  <extLst>
    <ext xmlns:x14="http://schemas.microsoft.com/office/spreadsheetml/2009/9/main" uri="{876F7934-8845-4945-9796-88D515C7AA90}">
      <x14:pivotCaches>
        <pivotCache cacheId="11" r:id="rId64"/>
        <pivotCache cacheId="12" r:id="rId65"/>
      </x14:pivotCaches>
    </ext>
    <ext xmlns:x14="http://schemas.microsoft.com/office/spreadsheetml/2009/9/main" uri="{BBE1A952-AA13-448e-AADC-164F8A28A991}">
      <x14:slicerCaches>
        <x14:slicerCache r:id="rId66"/>
        <x14:slicerCache r:id="rId67"/>
        <x14:slicerCache r:id="rId68"/>
        <x14:slicerCache r:id="rId6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0"/>
        <x14:slicerCache r:id="rId7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2_1" name="Table12_1" connection="WorksheetConnection_SDD Assignment Team C with VBA.xlsm!Table12_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33" l="1"/>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5" i="33"/>
  <c r="B7" i="11" a="1"/>
  <c r="B7" i="11" s="1"/>
  <c r="C7" i="11" a="1"/>
  <c r="C7" i="11" s="1"/>
  <c r="D7" i="11" a="1"/>
  <c r="D7" i="11" s="1"/>
  <c r="E7" i="11" a="1"/>
  <c r="E7" i="11" s="1"/>
  <c r="F7" i="11" a="1"/>
  <c r="F7" i="11" s="1"/>
  <c r="G7" i="11" a="1"/>
  <c r="G7" i="11" s="1"/>
  <c r="H7" i="11" a="1"/>
  <c r="H7" i="11" s="1"/>
  <c r="F23" i="61"/>
  <c r="F22" i="61"/>
  <c r="F29" i="61" s="1"/>
  <c r="F15" i="61"/>
  <c r="F10" i="61"/>
  <c r="F35" i="61" s="1"/>
  <c r="F2" i="61"/>
  <c r="E29" i="16"/>
  <c r="H18" i="54"/>
  <c r="H2" i="60" a="1"/>
  <c r="H2" i="60" s="1"/>
  <c r="C3" i="60" a="1"/>
  <c r="C3" i="60" s="1"/>
  <c r="D3" i="60" a="1"/>
  <c r="D3" i="60" s="1"/>
  <c r="C5" i="60" a="1"/>
  <c r="C5" i="60" s="1"/>
  <c r="E5" i="60" a="1"/>
  <c r="E5" i="60" s="1"/>
  <c r="G5" i="60" a="1"/>
  <c r="G5" i="60" s="1"/>
  <c r="G6" i="60" s="1"/>
  <c r="A5" i="59"/>
  <c r="A3" i="59" s="1"/>
  <c r="A9" i="59"/>
  <c r="G65" i="33"/>
  <c r="H65" i="33"/>
  <c r="G64" i="33"/>
  <c r="H64" i="33"/>
  <c r="AA208" i="55"/>
  <c r="Z208" i="55" s="1"/>
  <c r="AA207" i="55"/>
  <c r="Z207" i="55" s="1"/>
  <c r="AA206" i="55"/>
  <c r="Z206" i="55" s="1"/>
  <c r="AA205" i="55"/>
  <c r="Z205" i="55" s="1"/>
  <c r="AA204" i="55"/>
  <c r="Z204" i="55" s="1"/>
  <c r="AA203" i="55"/>
  <c r="Z203" i="55" s="1"/>
  <c r="AA202" i="55"/>
  <c r="Z202" i="55" s="1"/>
  <c r="AA201" i="55"/>
  <c r="Z201" i="55" s="1"/>
  <c r="AA200" i="55"/>
  <c r="Z200" i="55" s="1"/>
  <c r="AA199" i="55"/>
  <c r="Z199" i="55" s="1"/>
  <c r="AA198" i="55"/>
  <c r="Z198" i="55" s="1"/>
  <c r="AA197" i="55"/>
  <c r="Z197" i="55" s="1"/>
  <c r="AA196" i="55"/>
  <c r="Z196" i="55" s="1"/>
  <c r="AA195" i="55"/>
  <c r="Z195" i="55" s="1"/>
  <c r="AA194" i="55"/>
  <c r="Z194" i="55" s="1"/>
  <c r="AA193" i="55"/>
  <c r="Z193" i="55" s="1"/>
  <c r="AA192" i="55"/>
  <c r="Z192" i="55" s="1"/>
  <c r="AA191" i="55"/>
  <c r="Z191" i="55" s="1"/>
  <c r="AA190" i="55"/>
  <c r="Z190" i="55" s="1"/>
  <c r="AA189" i="55"/>
  <c r="Z189" i="55" s="1"/>
  <c r="AA188" i="55"/>
  <c r="Z188" i="55" s="1"/>
  <c r="AA187" i="55"/>
  <c r="Z187" i="55" s="1"/>
  <c r="AA186" i="55"/>
  <c r="Z186" i="55" s="1"/>
  <c r="AA185" i="55"/>
  <c r="Z185" i="55" s="1"/>
  <c r="AA184" i="55"/>
  <c r="Z184" i="55" s="1"/>
  <c r="AA183" i="55"/>
  <c r="Z183" i="55" s="1"/>
  <c r="AA182" i="55"/>
  <c r="Z182" i="55" s="1"/>
  <c r="AA181" i="55"/>
  <c r="Z181" i="55" s="1"/>
  <c r="AA180" i="55"/>
  <c r="Z180" i="55" s="1"/>
  <c r="AA179" i="55"/>
  <c r="Z179" i="55" s="1"/>
  <c r="AA178" i="55"/>
  <c r="Z178" i="55" s="1"/>
  <c r="AA177" i="55"/>
  <c r="Z177" i="55" s="1"/>
  <c r="AA176" i="55"/>
  <c r="Z176" i="55" s="1"/>
  <c r="AA175" i="55"/>
  <c r="Z175" i="55" s="1"/>
  <c r="AA174" i="55"/>
  <c r="AA173" i="55"/>
  <c r="Z173" i="55" s="1"/>
  <c r="AA172" i="55"/>
  <c r="Z172" i="55" s="1"/>
  <c r="AA171" i="55"/>
  <c r="Z171" i="55" s="1"/>
  <c r="AA170" i="55"/>
  <c r="Z170" i="55" s="1"/>
  <c r="AA169" i="55"/>
  <c r="Z169" i="55" s="1"/>
  <c r="AA168" i="55"/>
  <c r="Z168" i="55" s="1"/>
  <c r="AA167" i="55"/>
  <c r="Z167" i="55" s="1"/>
  <c r="AA166" i="55"/>
  <c r="Z166" i="55" s="1"/>
  <c r="AA165" i="55"/>
  <c r="Z165" i="55" s="1"/>
  <c r="AA164" i="55"/>
  <c r="Z164" i="55" s="1"/>
  <c r="AA163" i="55"/>
  <c r="Z163" i="55" s="1"/>
  <c r="AA162" i="55"/>
  <c r="Z162" i="55" s="1"/>
  <c r="AA161" i="55"/>
  <c r="Z161" i="55" s="1"/>
  <c r="AA160" i="55"/>
  <c r="Z160" i="55" s="1"/>
  <c r="AA159" i="55"/>
  <c r="Z159" i="55" s="1"/>
  <c r="AA158" i="55"/>
  <c r="Z158" i="55" s="1"/>
  <c r="AA157" i="55"/>
  <c r="Z157" i="55" s="1"/>
  <c r="AA156" i="55"/>
  <c r="Z156" i="55" s="1"/>
  <c r="AA155" i="55"/>
  <c r="Z155" i="55" s="1"/>
  <c r="AA154" i="55"/>
  <c r="Z154" i="55" s="1"/>
  <c r="AA153" i="55"/>
  <c r="Z153" i="55" s="1"/>
  <c r="AA152" i="55"/>
  <c r="Z152" i="55" s="1"/>
  <c r="AA151" i="55"/>
  <c r="Z151" i="55" s="1"/>
  <c r="AA150" i="55"/>
  <c r="Z150" i="55" s="1"/>
  <c r="AA149" i="55"/>
  <c r="Z149" i="55" s="1"/>
  <c r="AA148" i="55"/>
  <c r="Z148" i="55" s="1"/>
  <c r="AA147" i="55"/>
  <c r="Z147" i="55" s="1"/>
  <c r="AA146" i="55"/>
  <c r="Z146" i="55" s="1"/>
  <c r="AA145" i="55"/>
  <c r="Z145" i="55" s="1"/>
  <c r="AA144" i="55"/>
  <c r="Z144" i="55" s="1"/>
  <c r="AA143" i="55"/>
  <c r="Z143" i="55" s="1"/>
  <c r="AA142" i="55"/>
  <c r="Z142" i="55" s="1"/>
  <c r="AA141" i="55"/>
  <c r="Z141" i="55" s="1"/>
  <c r="AA140" i="55"/>
  <c r="Z140" i="55" s="1"/>
  <c r="AA139" i="55"/>
  <c r="Z139" i="55" s="1"/>
  <c r="AA138" i="55"/>
  <c r="Z138" i="55" s="1"/>
  <c r="AA137" i="55"/>
  <c r="Z137" i="55" s="1"/>
  <c r="AA136" i="55"/>
  <c r="Z136" i="55" s="1"/>
  <c r="AA135" i="55"/>
  <c r="Z135" i="55" s="1"/>
  <c r="AA134" i="55"/>
  <c r="Z134" i="55" s="1"/>
  <c r="AA133" i="55"/>
  <c r="Z133" i="55" s="1"/>
  <c r="AA132" i="55"/>
  <c r="Z132" i="55" s="1"/>
  <c r="AA131" i="55"/>
  <c r="Z131" i="55" s="1"/>
  <c r="AA130" i="55"/>
  <c r="Z130" i="55" s="1"/>
  <c r="AA129" i="55"/>
  <c r="Z129" i="55" s="1"/>
  <c r="AA128" i="55"/>
  <c r="Z128" i="55" s="1"/>
  <c r="AA127" i="55"/>
  <c r="Z127" i="55" s="1"/>
  <c r="AA126" i="55"/>
  <c r="Z126" i="55" s="1"/>
  <c r="AA125" i="55"/>
  <c r="Z125" i="55" s="1"/>
  <c r="AA124" i="55"/>
  <c r="Z124" i="55" s="1"/>
  <c r="AA123" i="55"/>
  <c r="Z123" i="55" s="1"/>
  <c r="AA122" i="55"/>
  <c r="Z122" i="55" s="1"/>
  <c r="AA121" i="55"/>
  <c r="Z121" i="55" s="1"/>
  <c r="AA120" i="55"/>
  <c r="Z120" i="55" s="1"/>
  <c r="AA119" i="55"/>
  <c r="Z119" i="55" s="1"/>
  <c r="AA118" i="55"/>
  <c r="Z118" i="55" s="1"/>
  <c r="AA117" i="55"/>
  <c r="Z117" i="55" s="1"/>
  <c r="AA116" i="55"/>
  <c r="Z116" i="55" s="1"/>
  <c r="AA115" i="55"/>
  <c r="Z115" i="55" s="1"/>
  <c r="AA114" i="55"/>
  <c r="Z114" i="55" s="1"/>
  <c r="AA113" i="55"/>
  <c r="Z113" i="55" s="1"/>
  <c r="AA112" i="55"/>
  <c r="Z112" i="55" s="1"/>
  <c r="AA111" i="55"/>
  <c r="Z111" i="55" s="1"/>
  <c r="AA110" i="55"/>
  <c r="Z110" i="55" s="1"/>
  <c r="AA109" i="55"/>
  <c r="Z109" i="55" s="1"/>
  <c r="AA108" i="55"/>
  <c r="Z108" i="55" s="1"/>
  <c r="AA107" i="55"/>
  <c r="Z107" i="55" s="1"/>
  <c r="AA106" i="55"/>
  <c r="Z106" i="55" s="1"/>
  <c r="AA105" i="55"/>
  <c r="Z105" i="55" s="1"/>
  <c r="AA104" i="55"/>
  <c r="Z104" i="55" s="1"/>
  <c r="AA103" i="55"/>
  <c r="Z103" i="55" s="1"/>
  <c r="AA102" i="55"/>
  <c r="Z102" i="55" s="1"/>
  <c r="AA101" i="55"/>
  <c r="Z101" i="55" s="1"/>
  <c r="AA100" i="55"/>
  <c r="Z100" i="55" s="1"/>
  <c r="AA99" i="55"/>
  <c r="Z99" i="55" s="1"/>
  <c r="AA98" i="55"/>
  <c r="Z98" i="55" s="1"/>
  <c r="AA97" i="55"/>
  <c r="Z97" i="55" s="1"/>
  <c r="AA96" i="55"/>
  <c r="Z96" i="55" s="1"/>
  <c r="AA95" i="55"/>
  <c r="Z95" i="55" s="1"/>
  <c r="AA94" i="55"/>
  <c r="Z94" i="55" s="1"/>
  <c r="AA93" i="55"/>
  <c r="Z93" i="55" s="1"/>
  <c r="AA92" i="55"/>
  <c r="Z92" i="55" s="1"/>
  <c r="AA91" i="55"/>
  <c r="Z91" i="55" s="1"/>
  <c r="AA90" i="55"/>
  <c r="Z90" i="55" s="1"/>
  <c r="AA89" i="55"/>
  <c r="Z89" i="55" s="1"/>
  <c r="AA88" i="55"/>
  <c r="Z88" i="55" s="1"/>
  <c r="AA87" i="55"/>
  <c r="Z87" i="55" s="1"/>
  <c r="AA86" i="55"/>
  <c r="Z86" i="55" s="1"/>
  <c r="AA85" i="55"/>
  <c r="Z85" i="55" s="1"/>
  <c r="AA84" i="55"/>
  <c r="Z84" i="55" s="1"/>
  <c r="AA83" i="55"/>
  <c r="Z83" i="55" s="1"/>
  <c r="AA82" i="55"/>
  <c r="Z82" i="55" s="1"/>
  <c r="AA81" i="55"/>
  <c r="Z81" i="55" s="1"/>
  <c r="AA80" i="55"/>
  <c r="Z80" i="55" s="1"/>
  <c r="AA79" i="55"/>
  <c r="Z79" i="55" s="1"/>
  <c r="AA78" i="55"/>
  <c r="Z78" i="55" s="1"/>
  <c r="AA77" i="55"/>
  <c r="Z77" i="55" s="1"/>
  <c r="AA76" i="55"/>
  <c r="Z76" i="55" s="1"/>
  <c r="AA75" i="55"/>
  <c r="Z75" i="55" s="1"/>
  <c r="AA74" i="55"/>
  <c r="Z74" i="55" s="1"/>
  <c r="AA73" i="55"/>
  <c r="Z73" i="55" s="1"/>
  <c r="AA72" i="55"/>
  <c r="Z72" i="55" s="1"/>
  <c r="AA71" i="55"/>
  <c r="Z71" i="55" s="1"/>
  <c r="AA70" i="55"/>
  <c r="Z70" i="55" s="1"/>
  <c r="AA69" i="55"/>
  <c r="Z69" i="55" s="1"/>
  <c r="AA68" i="55"/>
  <c r="Z68" i="55" s="1"/>
  <c r="AA67" i="55"/>
  <c r="Z67" i="55" s="1"/>
  <c r="AA66" i="55"/>
  <c r="Z66" i="55" s="1"/>
  <c r="AA65" i="55"/>
  <c r="Z65" i="55" s="1"/>
  <c r="AA64" i="55"/>
  <c r="Z64" i="55" s="1"/>
  <c r="AA63" i="55"/>
  <c r="Z63" i="55" s="1"/>
  <c r="AA62" i="55"/>
  <c r="Z62" i="55" s="1"/>
  <c r="AA61" i="55"/>
  <c r="Z61" i="55" s="1"/>
  <c r="AA60" i="55"/>
  <c r="Z60" i="55" s="1"/>
  <c r="AA59" i="55"/>
  <c r="Z59" i="55" s="1"/>
  <c r="AA58" i="55"/>
  <c r="Z58" i="55" s="1"/>
  <c r="AA57" i="55"/>
  <c r="Z57" i="55" s="1"/>
  <c r="AA56" i="55"/>
  <c r="Z56" i="55" s="1"/>
  <c r="AA55" i="55"/>
  <c r="Z55" i="55" s="1"/>
  <c r="AA54" i="55"/>
  <c r="Z54" i="55" s="1"/>
  <c r="AA53" i="55"/>
  <c r="Z53" i="55" s="1"/>
  <c r="AA52" i="55"/>
  <c r="Z52" i="55" s="1"/>
  <c r="AA51" i="55"/>
  <c r="Z51" i="55" s="1"/>
  <c r="AA50" i="55"/>
  <c r="Z50" i="55" s="1"/>
  <c r="AA49" i="55"/>
  <c r="Z49" i="55" s="1"/>
  <c r="AA48" i="55"/>
  <c r="Z48" i="55" s="1"/>
  <c r="AA47" i="55"/>
  <c r="Z47" i="55" s="1"/>
  <c r="AA46" i="55"/>
  <c r="Z46" i="55" s="1"/>
  <c r="AA45" i="55"/>
  <c r="Z45" i="55" s="1"/>
  <c r="AA44" i="55"/>
  <c r="Z44" i="55" s="1"/>
  <c r="AA43" i="55"/>
  <c r="Z43" i="55" s="1"/>
  <c r="AA42" i="55"/>
  <c r="Z42" i="55" s="1"/>
  <c r="AA41" i="55"/>
  <c r="Z41" i="55" s="1"/>
  <c r="AA40" i="55"/>
  <c r="Z40" i="55" s="1"/>
  <c r="AA39" i="55"/>
  <c r="Z39" i="55" s="1"/>
  <c r="AA38" i="55"/>
  <c r="Z38" i="55" s="1"/>
  <c r="AA37" i="55"/>
  <c r="Z37" i="55" s="1"/>
  <c r="AA36" i="55"/>
  <c r="Z36" i="55" s="1"/>
  <c r="AA35" i="55"/>
  <c r="Z35" i="55" s="1"/>
  <c r="AA34" i="55"/>
  <c r="Z34" i="55" s="1"/>
  <c r="AA33" i="55"/>
  <c r="Z33" i="55" s="1"/>
  <c r="AA32" i="55"/>
  <c r="Z32" i="55" s="1"/>
  <c r="J21" i="55" a="1"/>
  <c r="J21" i="55" s="1"/>
  <c r="I21" i="55" a="1"/>
  <c r="I21" i="55" s="1"/>
  <c r="H21" i="55" a="1"/>
  <c r="H21" i="55" s="1"/>
  <c r="G21" i="55" a="1"/>
  <c r="G21" i="55" s="1"/>
  <c r="F21" i="55" a="1"/>
  <c r="F21" i="55" s="1"/>
  <c r="J20" i="55" a="1"/>
  <c r="J20" i="55" s="1"/>
  <c r="I20" i="55" a="1"/>
  <c r="I20" i="55" s="1"/>
  <c r="H20" i="55" a="1"/>
  <c r="H20" i="55" s="1"/>
  <c r="G20" i="55" a="1"/>
  <c r="G20" i="55" s="1"/>
  <c r="F20" i="55" a="1"/>
  <c r="F20" i="55" s="1"/>
  <c r="J19" i="55" a="1"/>
  <c r="J19" i="55" s="1"/>
  <c r="I19" i="55" a="1"/>
  <c r="I19" i="55" s="1"/>
  <c r="H19" i="55" a="1"/>
  <c r="H19" i="55" s="1"/>
  <c r="G19" i="55" a="1"/>
  <c r="G19" i="55" s="1"/>
  <c r="F19" i="55" a="1"/>
  <c r="F19" i="55" s="1"/>
  <c r="J18" i="55" a="1"/>
  <c r="J18" i="55" s="1"/>
  <c r="I18" i="55" a="1"/>
  <c r="I18" i="55" s="1"/>
  <c r="H18" i="55" a="1"/>
  <c r="H18" i="55" s="1"/>
  <c r="G18" i="55" a="1"/>
  <c r="G18" i="55" s="1"/>
  <c r="F18" i="55" a="1"/>
  <c r="F18" i="55" s="1"/>
  <c r="J17" i="55" a="1"/>
  <c r="J17" i="55" s="1"/>
  <c r="I17" i="55" a="1"/>
  <c r="I17" i="55" s="1"/>
  <c r="H17" i="55" a="1"/>
  <c r="H17" i="55" s="1"/>
  <c r="G17" i="55" a="1"/>
  <c r="G17" i="55" s="1"/>
  <c r="F17" i="55" a="1"/>
  <c r="F17" i="55" s="1"/>
  <c r="J16" i="55" a="1"/>
  <c r="J16" i="55" s="1"/>
  <c r="I16" i="55" a="1"/>
  <c r="I16" i="55" s="1"/>
  <c r="H16" i="55" a="1"/>
  <c r="H16" i="55" s="1"/>
  <c r="G16" i="55" a="1"/>
  <c r="G16" i="55" s="1"/>
  <c r="F16" i="55" a="1"/>
  <c r="F16" i="55" s="1"/>
  <c r="D14" i="55"/>
  <c r="E13" i="55"/>
  <c r="G10" i="55"/>
  <c r="G9" i="55"/>
  <c r="G8" i="55"/>
  <c r="G7" i="55"/>
  <c r="G6" i="55"/>
  <c r="E3" i="55"/>
  <c r="F10" i="55" s="1"/>
  <c r="H111" i="54"/>
  <c r="H113" i="54" s="1"/>
  <c r="F73" i="54"/>
  <c r="I73" i="54" s="1"/>
  <c r="H73" i="54" s="1"/>
  <c r="H3" i="60" a="1"/>
  <c r="C3" i="59" a="1"/>
  <c r="F34" i="61" l="1"/>
  <c r="F31" i="61"/>
  <c r="F36" i="61" s="1"/>
  <c r="H3" i="60"/>
  <c r="E3" i="60"/>
  <c r="E6" i="60"/>
  <c r="C3" i="59"/>
  <c r="F7" i="55"/>
  <c r="F8" i="55"/>
  <c r="F9" i="55"/>
  <c r="F6" i="55"/>
  <c r="Z174" i="55"/>
  <c r="Y164" i="55" s="1"/>
  <c r="L15" i="55" a="1"/>
  <c r="L15" i="55" s="1"/>
  <c r="F32" i="44"/>
  <c r="L16" i="55" a="1"/>
  <c r="Y208" i="55" l="1"/>
  <c r="Y195" i="55"/>
  <c r="Y158" i="55"/>
  <c r="Y144" i="55"/>
  <c r="Y93" i="55"/>
  <c r="Y44" i="55"/>
  <c r="Y198" i="55"/>
  <c r="Y133" i="55"/>
  <c r="Y69" i="55"/>
  <c r="Y157" i="55"/>
  <c r="Y184" i="55"/>
  <c r="Y155" i="55"/>
  <c r="Y131" i="55"/>
  <c r="Y94" i="55"/>
  <c r="Y80" i="55"/>
  <c r="Y207" i="55"/>
  <c r="Y67" i="55"/>
  <c r="Y134" i="55"/>
  <c r="Y120" i="55"/>
  <c r="Y91" i="55"/>
  <c r="Y70" i="55"/>
  <c r="Y56" i="55"/>
  <c r="Y87" i="55"/>
  <c r="Y188" i="55"/>
  <c r="Y191" i="55"/>
  <c r="Y148" i="55"/>
  <c r="Y186" i="55"/>
  <c r="Y132" i="55"/>
  <c r="Y55" i="55"/>
  <c r="Y197" i="55"/>
  <c r="A16" i="59"/>
  <c r="Y172" i="55"/>
  <c r="Y150" i="55"/>
  <c r="Y86" i="55"/>
  <c r="Y156" i="55"/>
  <c r="Y36" i="55"/>
  <c r="Y147" i="55"/>
  <c r="Y83" i="55"/>
  <c r="Y127" i="55"/>
  <c r="Y200" i="55"/>
  <c r="Y136" i="55"/>
  <c r="Y72" i="55"/>
  <c r="Y76" i="55"/>
  <c r="Y149" i="55"/>
  <c r="Y85" i="55"/>
  <c r="Y199" i="55"/>
  <c r="Y79" i="55"/>
  <c r="Y178" i="55"/>
  <c r="Y106" i="55"/>
  <c r="Y185" i="55"/>
  <c r="Y33" i="55"/>
  <c r="Y122" i="55"/>
  <c r="Y49" i="55"/>
  <c r="Y142" i="55"/>
  <c r="Y78" i="55"/>
  <c r="Y140" i="55"/>
  <c r="Y203" i="55"/>
  <c r="Y139" i="55"/>
  <c r="Y75" i="55"/>
  <c r="Y103" i="55"/>
  <c r="Y192" i="55"/>
  <c r="Y128" i="55"/>
  <c r="Y64" i="55"/>
  <c r="Y205" i="55"/>
  <c r="Y141" i="55"/>
  <c r="Y77" i="55"/>
  <c r="Y183" i="55"/>
  <c r="Y71" i="55"/>
  <c r="Y170" i="55"/>
  <c r="Y98" i="55"/>
  <c r="Y177" i="55"/>
  <c r="Y63" i="55"/>
  <c r="Y82" i="55"/>
  <c r="Y190" i="55"/>
  <c r="Y126" i="55"/>
  <c r="Y62" i="55"/>
  <c r="Y92" i="55"/>
  <c r="Y187" i="55"/>
  <c r="Y123" i="55"/>
  <c r="Y59" i="55"/>
  <c r="Y196" i="55"/>
  <c r="Y176" i="55"/>
  <c r="Y112" i="55"/>
  <c r="Y48" i="55"/>
  <c r="Y189" i="55"/>
  <c r="Y125" i="55"/>
  <c r="Y61" i="55"/>
  <c r="Y151" i="55"/>
  <c r="Y47" i="55"/>
  <c r="Y154" i="55"/>
  <c r="Y74" i="55"/>
  <c r="Y153" i="55"/>
  <c r="Y162" i="55"/>
  <c r="Y161" i="55"/>
  <c r="Y182" i="55"/>
  <c r="Y118" i="55"/>
  <c r="Y54" i="55"/>
  <c r="Y84" i="55"/>
  <c r="Y179" i="55"/>
  <c r="Y115" i="55"/>
  <c r="Y51" i="55"/>
  <c r="Y180" i="55"/>
  <c r="Y168" i="55"/>
  <c r="Y104" i="55"/>
  <c r="Y40" i="55"/>
  <c r="Y181" i="55"/>
  <c r="Y117" i="55"/>
  <c r="Y53" i="55"/>
  <c r="Y143" i="55"/>
  <c r="Y108" i="55"/>
  <c r="Y146" i="55"/>
  <c r="Y42" i="55"/>
  <c r="Y121" i="55"/>
  <c r="Y174" i="55"/>
  <c r="Y110" i="55"/>
  <c r="Y46" i="55"/>
  <c r="Y60" i="55"/>
  <c r="Y171" i="55"/>
  <c r="Y107" i="55"/>
  <c r="Y43" i="55"/>
  <c r="Y116" i="55"/>
  <c r="Y160" i="55"/>
  <c r="Y96" i="55"/>
  <c r="Y32" i="55"/>
  <c r="Y173" i="55"/>
  <c r="Y109" i="55"/>
  <c r="Y45" i="55"/>
  <c r="Y119" i="55"/>
  <c r="Y202" i="55"/>
  <c r="Y138" i="55"/>
  <c r="Y34" i="55"/>
  <c r="Y113" i="55"/>
  <c r="Y175" i="55"/>
  <c r="Y166" i="55"/>
  <c r="Y102" i="55"/>
  <c r="Y38" i="55"/>
  <c r="Y52" i="55"/>
  <c r="Y163" i="55"/>
  <c r="Y99" i="55"/>
  <c r="Y35" i="55"/>
  <c r="Y100" i="55"/>
  <c r="Y152" i="55"/>
  <c r="Y88" i="55"/>
  <c r="Y135" i="55"/>
  <c r="Y165" i="55"/>
  <c r="Y101" i="55"/>
  <c r="Y37" i="55"/>
  <c r="Y95" i="55"/>
  <c r="Y194" i="55"/>
  <c r="Y130" i="55"/>
  <c r="Y204" i="55"/>
  <c r="Y97" i="55"/>
  <c r="Y39" i="55"/>
  <c r="Y89" i="55"/>
  <c r="Y57" i="55"/>
  <c r="Y66" i="55"/>
  <c r="Y124" i="55"/>
  <c r="Y145" i="55"/>
  <c r="Y81" i="55"/>
  <c r="Y68" i="55"/>
  <c r="Y58" i="55"/>
  <c r="Y201" i="55"/>
  <c r="Y137" i="55"/>
  <c r="Y73" i="55"/>
  <c r="Y206" i="55"/>
  <c r="Y114" i="55"/>
  <c r="Y50" i="55"/>
  <c r="Y193" i="55"/>
  <c r="Y129" i="55"/>
  <c r="Y65" i="55"/>
  <c r="Y90" i="55"/>
  <c r="Y167" i="55"/>
  <c r="Y169" i="55"/>
  <c r="Y105" i="55"/>
  <c r="Y41" i="55"/>
  <c r="Y159" i="55"/>
  <c r="Y111" i="55"/>
  <c r="L16" i="55"/>
  <c r="K4" i="59" l="1"/>
  <c r="K7" i="59"/>
  <c r="K10" i="59"/>
  <c r="K16" i="59"/>
  <c r="K31" i="59"/>
  <c r="K39" i="59"/>
  <c r="K47" i="59"/>
  <c r="K55" i="59"/>
  <c r="K12" i="59"/>
  <c r="K15" i="59"/>
  <c r="K18" i="59"/>
  <c r="K21" i="59"/>
  <c r="K33" i="59"/>
  <c r="K41" i="59"/>
  <c r="K49" i="59"/>
  <c r="K6" i="59"/>
  <c r="K9" i="59"/>
  <c r="K30" i="59"/>
  <c r="K38" i="59"/>
  <c r="K46" i="59"/>
  <c r="K54" i="59"/>
  <c r="K5" i="59"/>
  <c r="K23" i="59"/>
  <c r="K29" i="59"/>
  <c r="K37" i="59"/>
  <c r="K45" i="59"/>
  <c r="K53" i="59"/>
  <c r="K34" i="59"/>
  <c r="K50" i="59"/>
  <c r="K62" i="59"/>
  <c r="K70" i="59"/>
  <c r="K78" i="59"/>
  <c r="K8" i="59"/>
  <c r="K14" i="59"/>
  <c r="K20" i="59"/>
  <c r="K32" i="59"/>
  <c r="K48" i="59"/>
  <c r="K61" i="59"/>
  <c r="K69" i="59"/>
  <c r="K77" i="59"/>
  <c r="K24" i="59"/>
  <c r="K35" i="59"/>
  <c r="K51" i="59"/>
  <c r="K60" i="59"/>
  <c r="K68" i="59"/>
  <c r="K76" i="59"/>
  <c r="K11" i="59"/>
  <c r="K36" i="59"/>
  <c r="K40" i="59"/>
  <c r="K42" i="59"/>
  <c r="K44" i="59"/>
  <c r="K88" i="59"/>
  <c r="K96" i="59"/>
  <c r="K19" i="59"/>
  <c r="K82" i="59"/>
  <c r="K90" i="59"/>
  <c r="K98" i="59"/>
  <c r="K25" i="59"/>
  <c r="K27" i="59"/>
  <c r="K56" i="59"/>
  <c r="K57" i="59"/>
  <c r="K58" i="59"/>
  <c r="K59" i="59"/>
  <c r="K87" i="59"/>
  <c r="K95" i="59"/>
  <c r="K13" i="59"/>
  <c r="K22" i="59"/>
  <c r="K79" i="59"/>
  <c r="K80" i="59"/>
  <c r="K81" i="59"/>
  <c r="K86" i="59"/>
  <c r="K94" i="59"/>
  <c r="K102" i="59"/>
  <c r="K93" i="59"/>
  <c r="K109" i="59"/>
  <c r="K117" i="59"/>
  <c r="K125" i="59"/>
  <c r="K43" i="59"/>
  <c r="K63" i="59"/>
  <c r="K65" i="59"/>
  <c r="K67" i="59"/>
  <c r="K92" i="59"/>
  <c r="K106" i="59"/>
  <c r="K114" i="59"/>
  <c r="K122" i="59"/>
  <c r="K71" i="59"/>
  <c r="K73" i="59"/>
  <c r="K75" i="59"/>
  <c r="K97" i="59"/>
  <c r="K103" i="59"/>
  <c r="K111" i="59"/>
  <c r="K119" i="59"/>
  <c r="K28" i="59"/>
  <c r="K91" i="59"/>
  <c r="K108" i="59"/>
  <c r="K116" i="59"/>
  <c r="K124" i="59"/>
  <c r="K52" i="59"/>
  <c r="K85" i="59"/>
  <c r="K101" i="59"/>
  <c r="K105" i="59"/>
  <c r="K113" i="59"/>
  <c r="K121" i="59"/>
  <c r="K17" i="59"/>
  <c r="K64" i="59"/>
  <c r="K66" i="59"/>
  <c r="K84" i="59"/>
  <c r="K100" i="59"/>
  <c r="K110" i="59"/>
  <c r="K118" i="59"/>
  <c r="K26" i="59"/>
  <c r="K83" i="59"/>
  <c r="K99" i="59"/>
  <c r="K104" i="59"/>
  <c r="K112" i="59"/>
  <c r="K120" i="59"/>
  <c r="K115" i="59"/>
  <c r="K89" i="59"/>
  <c r="K133" i="59"/>
  <c r="K141" i="59"/>
  <c r="K149" i="59"/>
  <c r="K157" i="59"/>
  <c r="K165" i="59"/>
  <c r="K107" i="59"/>
  <c r="K128" i="59"/>
  <c r="K135" i="59"/>
  <c r="K143" i="59"/>
  <c r="K151" i="59"/>
  <c r="K159" i="59"/>
  <c r="K167" i="59"/>
  <c r="K126" i="59"/>
  <c r="K132" i="59"/>
  <c r="K140" i="59"/>
  <c r="K148" i="59"/>
  <c r="K156" i="59"/>
  <c r="K164" i="59"/>
  <c r="K123" i="59"/>
  <c r="K137" i="59"/>
  <c r="K145" i="59"/>
  <c r="K74" i="59"/>
  <c r="K127" i="59"/>
  <c r="K131" i="59"/>
  <c r="K139" i="59"/>
  <c r="K147" i="59"/>
  <c r="K155" i="59"/>
  <c r="K163" i="59"/>
  <c r="K130" i="59"/>
  <c r="K150" i="59"/>
  <c r="K166" i="59"/>
  <c r="K173" i="59"/>
  <c r="K181" i="59"/>
  <c r="K189" i="59"/>
  <c r="K197" i="59"/>
  <c r="K142" i="59"/>
  <c r="K154" i="59"/>
  <c r="K175" i="59"/>
  <c r="K183" i="59"/>
  <c r="K191" i="59"/>
  <c r="K72" i="59"/>
  <c r="K129" i="59"/>
  <c r="K134" i="59"/>
  <c r="K153" i="59"/>
  <c r="K169" i="59"/>
  <c r="K172" i="59"/>
  <c r="K180" i="59"/>
  <c r="K188" i="59"/>
  <c r="K196" i="59"/>
  <c r="K144" i="59"/>
  <c r="K158" i="59"/>
  <c r="K170" i="59"/>
  <c r="K177" i="59"/>
  <c r="K185" i="59"/>
  <c r="K193" i="59"/>
  <c r="K201" i="59"/>
  <c r="K146" i="59"/>
  <c r="K162" i="59"/>
  <c r="K171" i="59"/>
  <c r="K179" i="59"/>
  <c r="K192" i="59"/>
  <c r="K198" i="59"/>
  <c r="K202" i="59"/>
  <c r="K210" i="59"/>
  <c r="K218" i="59"/>
  <c r="K226" i="59"/>
  <c r="K234" i="59"/>
  <c r="K242" i="59"/>
  <c r="K136" i="59"/>
  <c r="K168" i="59"/>
  <c r="K174" i="59"/>
  <c r="K190" i="59"/>
  <c r="K204" i="59"/>
  <c r="K212" i="59"/>
  <c r="K220" i="59"/>
  <c r="K228" i="59"/>
  <c r="K236" i="59"/>
  <c r="K244" i="59"/>
  <c r="K176" i="59"/>
  <c r="K184" i="59"/>
  <c r="K206" i="59"/>
  <c r="K214" i="59"/>
  <c r="K222" i="59"/>
  <c r="K230" i="59"/>
  <c r="K238" i="59"/>
  <c r="K246" i="59"/>
  <c r="K194" i="59"/>
  <c r="K203" i="59"/>
  <c r="K211" i="59"/>
  <c r="K219" i="59"/>
  <c r="K227" i="59"/>
  <c r="K138" i="59"/>
  <c r="K178" i="59"/>
  <c r="K208" i="59"/>
  <c r="K216" i="59"/>
  <c r="K224" i="59"/>
  <c r="K232" i="59"/>
  <c r="K240" i="59"/>
  <c r="K248" i="59"/>
  <c r="K152" i="59"/>
  <c r="K161" i="59"/>
  <c r="K199" i="59"/>
  <c r="K221" i="59"/>
  <c r="K237" i="59"/>
  <c r="K252" i="59"/>
  <c r="K260" i="59"/>
  <c r="K268" i="59"/>
  <c r="K187" i="59"/>
  <c r="K213" i="59"/>
  <c r="K231" i="59"/>
  <c r="K247" i="59"/>
  <c r="K249" i="59"/>
  <c r="K257" i="59"/>
  <c r="K265" i="59"/>
  <c r="K273" i="59"/>
  <c r="K205" i="59"/>
  <c r="K223" i="59"/>
  <c r="K241" i="59"/>
  <c r="K254" i="59"/>
  <c r="K262" i="59"/>
  <c r="K270" i="59"/>
  <c r="K215" i="59"/>
  <c r="K235" i="59"/>
  <c r="K251" i="59"/>
  <c r="K259" i="59"/>
  <c r="K267" i="59"/>
  <c r="K275" i="59"/>
  <c r="K200" i="59"/>
  <c r="K207" i="59"/>
  <c r="K225" i="59"/>
  <c r="K245" i="59"/>
  <c r="K256" i="59"/>
  <c r="K264" i="59"/>
  <c r="K272" i="59"/>
  <c r="K195" i="59"/>
  <c r="K217" i="59"/>
  <c r="K239" i="59"/>
  <c r="K253" i="59"/>
  <c r="K261" i="59"/>
  <c r="K269" i="59"/>
  <c r="K277" i="59"/>
  <c r="K182" i="59"/>
  <c r="K279" i="59"/>
  <c r="K287" i="59"/>
  <c r="K295" i="59"/>
  <c r="K160" i="59"/>
  <c r="K276" i="59"/>
  <c r="K284" i="59"/>
  <c r="K292" i="59"/>
  <c r="K300" i="59"/>
  <c r="K308" i="59"/>
  <c r="K316" i="59"/>
  <c r="K324" i="59"/>
  <c r="K332" i="59"/>
  <c r="K340" i="59"/>
  <c r="K348" i="59"/>
  <c r="K356" i="59"/>
  <c r="K364" i="59"/>
  <c r="K250" i="59"/>
  <c r="K281" i="59"/>
  <c r="K289" i="59"/>
  <c r="K297" i="59"/>
  <c r="K186" i="59"/>
  <c r="K255" i="59"/>
  <c r="K274" i="59"/>
  <c r="K278" i="59"/>
  <c r="K286" i="59"/>
  <c r="K294" i="59"/>
  <c r="K302" i="59"/>
  <c r="K310" i="59"/>
  <c r="K318" i="59"/>
  <c r="K326" i="59"/>
  <c r="K334" i="59"/>
  <c r="K342" i="59"/>
  <c r="K350" i="59"/>
  <c r="K358" i="59"/>
  <c r="K366" i="59"/>
  <c r="K233" i="59"/>
  <c r="K258" i="59"/>
  <c r="K283" i="59"/>
  <c r="K291" i="59"/>
  <c r="K299" i="59"/>
  <c r="K307" i="59"/>
  <c r="K315" i="59"/>
  <c r="K323" i="59"/>
  <c r="K331" i="59"/>
  <c r="K339" i="59"/>
  <c r="K347" i="59"/>
  <c r="K355" i="59"/>
  <c r="K363" i="59"/>
  <c r="K243" i="59"/>
  <c r="K263" i="59"/>
  <c r="K280" i="59"/>
  <c r="K288" i="59"/>
  <c r="K296" i="59"/>
  <c r="K304" i="59"/>
  <c r="K312" i="59"/>
  <c r="K320" i="59"/>
  <c r="K328" i="59"/>
  <c r="K336" i="59"/>
  <c r="K344" i="59"/>
  <c r="K352" i="59"/>
  <c r="K360" i="59"/>
  <c r="K305" i="59"/>
  <c r="K321" i="59"/>
  <c r="K229" i="59"/>
  <c r="K309" i="59"/>
  <c r="K325" i="59"/>
  <c r="K341" i="59"/>
  <c r="K357" i="59"/>
  <c r="K369" i="59"/>
  <c r="K377" i="59"/>
  <c r="K385" i="59"/>
  <c r="K393" i="59"/>
  <c r="K401" i="59"/>
  <c r="K409" i="59"/>
  <c r="K417" i="59"/>
  <c r="K425" i="59"/>
  <c r="K209" i="59"/>
  <c r="K298" i="59"/>
  <c r="K314" i="59"/>
  <c r="K330" i="59"/>
  <c r="K346" i="59"/>
  <c r="K362" i="59"/>
  <c r="K374" i="59"/>
  <c r="K382" i="59"/>
  <c r="K390" i="59"/>
  <c r="K398" i="59"/>
  <c r="K406" i="59"/>
  <c r="K414" i="59"/>
  <c r="K422" i="59"/>
  <c r="K271" i="59"/>
  <c r="K282" i="59"/>
  <c r="K303" i="59"/>
  <c r="K285" i="59"/>
  <c r="K313" i="59"/>
  <c r="K329" i="59"/>
  <c r="K345" i="59"/>
  <c r="K361" i="59"/>
  <c r="K368" i="59"/>
  <c r="K376" i="59"/>
  <c r="K384" i="59"/>
  <c r="K392" i="59"/>
  <c r="K400" i="59"/>
  <c r="K408" i="59"/>
  <c r="K416" i="59"/>
  <c r="K424" i="59"/>
  <c r="K290" i="59"/>
  <c r="K301" i="59"/>
  <c r="K317" i="59"/>
  <c r="K333" i="59"/>
  <c r="K349" i="59"/>
  <c r="K365" i="59"/>
  <c r="K373" i="59"/>
  <c r="K381" i="59"/>
  <c r="K389" i="59"/>
  <c r="K397" i="59"/>
  <c r="K405" i="59"/>
  <c r="K413" i="59"/>
  <c r="K421" i="59"/>
  <c r="K327" i="59"/>
  <c r="K359" i="59"/>
  <c r="K375" i="59"/>
  <c r="K322" i="59"/>
  <c r="K337" i="59"/>
  <c r="K380" i="59"/>
  <c r="K396" i="59"/>
  <c r="K412" i="59"/>
  <c r="K432" i="59"/>
  <c r="K440" i="59"/>
  <c r="K448" i="59"/>
  <c r="K456" i="59"/>
  <c r="K464" i="59"/>
  <c r="K472" i="59"/>
  <c r="K480" i="59"/>
  <c r="K266" i="59"/>
  <c r="K293" i="59"/>
  <c r="K319" i="59"/>
  <c r="K335" i="59"/>
  <c r="K379" i="59"/>
  <c r="K395" i="59"/>
  <c r="K411" i="59"/>
  <c r="K427" i="59"/>
  <c r="K429" i="59"/>
  <c r="K437" i="59"/>
  <c r="K445" i="59"/>
  <c r="K453" i="59"/>
  <c r="K461" i="59"/>
  <c r="K469" i="59"/>
  <c r="K477" i="59"/>
  <c r="K485" i="59"/>
  <c r="K338" i="59"/>
  <c r="K378" i="59"/>
  <c r="K306" i="59"/>
  <c r="K343" i="59"/>
  <c r="K367" i="59"/>
  <c r="K383" i="59"/>
  <c r="K399" i="59"/>
  <c r="K415" i="59"/>
  <c r="K431" i="59"/>
  <c r="K439" i="59"/>
  <c r="K447" i="59"/>
  <c r="K455" i="59"/>
  <c r="K463" i="59"/>
  <c r="K471" i="59"/>
  <c r="K479" i="59"/>
  <c r="K311" i="59"/>
  <c r="K353" i="59"/>
  <c r="K372" i="59"/>
  <c r="K388" i="59"/>
  <c r="K404" i="59"/>
  <c r="K420" i="59"/>
  <c r="K428" i="59"/>
  <c r="K436" i="59"/>
  <c r="K444" i="59"/>
  <c r="K452" i="59"/>
  <c r="K460" i="59"/>
  <c r="K468" i="59"/>
  <c r="K476" i="59"/>
  <c r="K484" i="59"/>
  <c r="K402" i="59"/>
  <c r="K438" i="59"/>
  <c r="K454" i="59"/>
  <c r="K470" i="59"/>
  <c r="K407" i="59"/>
  <c r="K443" i="59"/>
  <c r="K459" i="59"/>
  <c r="K475" i="59"/>
  <c r="K488" i="59"/>
  <c r="K496" i="59"/>
  <c r="K504" i="59"/>
  <c r="K512" i="59"/>
  <c r="K520" i="59"/>
  <c r="K528" i="59"/>
  <c r="K536" i="59"/>
  <c r="K351" i="59"/>
  <c r="K410" i="59"/>
  <c r="K442" i="59"/>
  <c r="K458" i="59"/>
  <c r="K474" i="59"/>
  <c r="K403" i="59"/>
  <c r="K441" i="59"/>
  <c r="K457" i="59"/>
  <c r="K473" i="59"/>
  <c r="K490" i="59"/>
  <c r="K498" i="59"/>
  <c r="K506" i="59"/>
  <c r="K514" i="59"/>
  <c r="K522" i="59"/>
  <c r="K530" i="59"/>
  <c r="K538" i="59"/>
  <c r="K386" i="59"/>
  <c r="K418" i="59"/>
  <c r="K430" i="59"/>
  <c r="K446" i="59"/>
  <c r="K462" i="59"/>
  <c r="K478" i="59"/>
  <c r="K487" i="59"/>
  <c r="K495" i="59"/>
  <c r="K503" i="59"/>
  <c r="K511" i="59"/>
  <c r="K519" i="59"/>
  <c r="K527" i="59"/>
  <c r="K535" i="59"/>
  <c r="K387" i="59"/>
  <c r="K419" i="59"/>
  <c r="K433" i="59"/>
  <c r="K449" i="59"/>
  <c r="K465" i="59"/>
  <c r="K481" i="59"/>
  <c r="K486" i="59"/>
  <c r="K494" i="59"/>
  <c r="K502" i="59"/>
  <c r="K510" i="59"/>
  <c r="K518" i="59"/>
  <c r="K526" i="59"/>
  <c r="K534" i="59"/>
  <c r="K542" i="59"/>
  <c r="K370" i="59"/>
  <c r="K423" i="59"/>
  <c r="K435" i="59"/>
  <c r="K501" i="59"/>
  <c r="K517" i="59"/>
  <c r="K371" i="59"/>
  <c r="K394" i="59"/>
  <c r="K450" i="59"/>
  <c r="K500" i="59"/>
  <c r="K516" i="59"/>
  <c r="K532" i="59"/>
  <c r="K547" i="59"/>
  <c r="K555" i="59"/>
  <c r="K563" i="59"/>
  <c r="K571" i="59"/>
  <c r="K579" i="59"/>
  <c r="K587" i="59"/>
  <c r="K595" i="59"/>
  <c r="K603" i="59"/>
  <c r="K451" i="59"/>
  <c r="K489" i="59"/>
  <c r="K505" i="59"/>
  <c r="K521" i="59"/>
  <c r="K426" i="59"/>
  <c r="K466" i="59"/>
  <c r="K499" i="59"/>
  <c r="K515" i="59"/>
  <c r="K531" i="59"/>
  <c r="K549" i="59"/>
  <c r="K557" i="59"/>
  <c r="K565" i="59"/>
  <c r="K573" i="59"/>
  <c r="K581" i="59"/>
  <c r="K589" i="59"/>
  <c r="K597" i="59"/>
  <c r="K605" i="59"/>
  <c r="K354" i="59"/>
  <c r="K467" i="59"/>
  <c r="K493" i="59"/>
  <c r="K509" i="59"/>
  <c r="K525" i="59"/>
  <c r="K541" i="59"/>
  <c r="K546" i="59"/>
  <c r="K554" i="59"/>
  <c r="K562" i="59"/>
  <c r="K570" i="59"/>
  <c r="K578" i="59"/>
  <c r="K586" i="59"/>
  <c r="K594" i="59"/>
  <c r="K602" i="59"/>
  <c r="K482" i="59"/>
  <c r="K492" i="59"/>
  <c r="K508" i="59"/>
  <c r="K524" i="59"/>
  <c r="K540" i="59"/>
  <c r="K543" i="59"/>
  <c r="K551" i="59"/>
  <c r="K559" i="59"/>
  <c r="K567" i="59"/>
  <c r="K575" i="59"/>
  <c r="K583" i="59"/>
  <c r="K591" i="59"/>
  <c r="K599" i="59"/>
  <c r="K607" i="59"/>
  <c r="K391" i="59"/>
  <c r="K497" i="59"/>
  <c r="K545" i="59"/>
  <c r="K561" i="59"/>
  <c r="K577" i="59"/>
  <c r="K593" i="59"/>
  <c r="K609" i="59"/>
  <c r="K617" i="59"/>
  <c r="K625" i="59"/>
  <c r="K633" i="59"/>
  <c r="K641" i="59"/>
  <c r="K649" i="59"/>
  <c r="K657" i="59"/>
  <c r="K665" i="59"/>
  <c r="K507" i="59"/>
  <c r="K533" i="59"/>
  <c r="K550" i="59"/>
  <c r="K566" i="59"/>
  <c r="K582" i="59"/>
  <c r="K598" i="59"/>
  <c r="K614" i="59"/>
  <c r="K622" i="59"/>
  <c r="K630" i="59"/>
  <c r="K638" i="59"/>
  <c r="K646" i="59"/>
  <c r="K654" i="59"/>
  <c r="K662" i="59"/>
  <c r="K670" i="59"/>
  <c r="K678" i="59"/>
  <c r="K686" i="59"/>
  <c r="K694" i="59"/>
  <c r="K702" i="59"/>
  <c r="K710" i="59"/>
  <c r="K718" i="59"/>
  <c r="K726" i="59"/>
  <c r="K734" i="59"/>
  <c r="K513" i="59"/>
  <c r="K544" i="59"/>
  <c r="K560" i="59"/>
  <c r="K576" i="59"/>
  <c r="K592" i="59"/>
  <c r="K611" i="59"/>
  <c r="K619" i="59"/>
  <c r="K627" i="59"/>
  <c r="K635" i="59"/>
  <c r="K643" i="59"/>
  <c r="K651" i="59"/>
  <c r="K659" i="59"/>
  <c r="K667" i="59"/>
  <c r="K434" i="59"/>
  <c r="K523" i="59"/>
  <c r="K548" i="59"/>
  <c r="K564" i="59"/>
  <c r="K580" i="59"/>
  <c r="K596" i="59"/>
  <c r="K608" i="59"/>
  <c r="K616" i="59"/>
  <c r="K624" i="59"/>
  <c r="K632" i="59"/>
  <c r="K640" i="59"/>
  <c r="K648" i="59"/>
  <c r="K656" i="59"/>
  <c r="K664" i="59"/>
  <c r="K672" i="59"/>
  <c r="K680" i="59"/>
  <c r="K688" i="59"/>
  <c r="K696" i="59"/>
  <c r="K704" i="59"/>
  <c r="K712" i="59"/>
  <c r="K720" i="59"/>
  <c r="K728" i="59"/>
  <c r="K736" i="59"/>
  <c r="K529" i="59"/>
  <c r="K539" i="59"/>
  <c r="K553" i="59"/>
  <c r="K569" i="59"/>
  <c r="K585" i="59"/>
  <c r="K601" i="59"/>
  <c r="K613" i="59"/>
  <c r="K621" i="59"/>
  <c r="K629" i="59"/>
  <c r="K637" i="59"/>
  <c r="K645" i="59"/>
  <c r="K653" i="59"/>
  <c r="K661" i="59"/>
  <c r="K669" i="59"/>
  <c r="K677" i="59"/>
  <c r="K685" i="59"/>
  <c r="K693" i="59"/>
  <c r="K701" i="59"/>
  <c r="K709" i="59"/>
  <c r="K717" i="59"/>
  <c r="K725" i="59"/>
  <c r="K733" i="59"/>
  <c r="K558" i="59"/>
  <c r="K574" i="59"/>
  <c r="K590" i="59"/>
  <c r="K606" i="59"/>
  <c r="K610" i="59"/>
  <c r="K618" i="59"/>
  <c r="K626" i="59"/>
  <c r="K634" i="59"/>
  <c r="K642" i="59"/>
  <c r="K650" i="59"/>
  <c r="K658" i="59"/>
  <c r="K666" i="59"/>
  <c r="K674" i="59"/>
  <c r="K682" i="59"/>
  <c r="K690" i="59"/>
  <c r="K698" i="59"/>
  <c r="K706" i="59"/>
  <c r="K714" i="59"/>
  <c r="K722" i="59"/>
  <c r="K730" i="59"/>
  <c r="K738" i="59"/>
  <c r="K568" i="59"/>
  <c r="K615" i="59"/>
  <c r="K647" i="59"/>
  <c r="K681" i="59"/>
  <c r="K697" i="59"/>
  <c r="K713" i="59"/>
  <c r="K729" i="59"/>
  <c r="K745" i="59"/>
  <c r="K753" i="59"/>
  <c r="K761" i="59"/>
  <c r="K769" i="59"/>
  <c r="K777" i="59"/>
  <c r="K785" i="59"/>
  <c r="K793" i="59"/>
  <c r="K801" i="59"/>
  <c r="K809" i="59"/>
  <c r="K817" i="59"/>
  <c r="K825" i="59"/>
  <c r="K588" i="59"/>
  <c r="K620" i="59"/>
  <c r="K652" i="59"/>
  <c r="K675" i="59"/>
  <c r="K691" i="59"/>
  <c r="K707" i="59"/>
  <c r="K723" i="59"/>
  <c r="K739" i="59"/>
  <c r="K740" i="59"/>
  <c r="K742" i="59"/>
  <c r="K750" i="59"/>
  <c r="K758" i="59"/>
  <c r="K766" i="59"/>
  <c r="K774" i="59"/>
  <c r="K782" i="59"/>
  <c r="K790" i="59"/>
  <c r="K798" i="59"/>
  <c r="K806" i="59"/>
  <c r="K814" i="59"/>
  <c r="K822" i="59"/>
  <c r="K830" i="59"/>
  <c r="K838" i="59"/>
  <c r="K846" i="59"/>
  <c r="K854" i="59"/>
  <c r="K862" i="59"/>
  <c r="K870" i="59"/>
  <c r="K878" i="59"/>
  <c r="K886" i="59"/>
  <c r="K483" i="59"/>
  <c r="K537" i="59"/>
  <c r="K584" i="59"/>
  <c r="K623" i="59"/>
  <c r="K655" i="59"/>
  <c r="K679" i="59"/>
  <c r="K695" i="59"/>
  <c r="K711" i="59"/>
  <c r="K727" i="59"/>
  <c r="K747" i="59"/>
  <c r="K755" i="59"/>
  <c r="K763" i="59"/>
  <c r="K771" i="59"/>
  <c r="K779" i="59"/>
  <c r="K787" i="59"/>
  <c r="K795" i="59"/>
  <c r="K803" i="59"/>
  <c r="K811" i="59"/>
  <c r="K819" i="59"/>
  <c r="K827" i="59"/>
  <c r="K604" i="59"/>
  <c r="K628" i="59"/>
  <c r="K660" i="59"/>
  <c r="K684" i="59"/>
  <c r="K700" i="59"/>
  <c r="K716" i="59"/>
  <c r="K732" i="59"/>
  <c r="K744" i="59"/>
  <c r="K752" i="59"/>
  <c r="K760" i="59"/>
  <c r="K768" i="59"/>
  <c r="K776" i="59"/>
  <c r="K784" i="59"/>
  <c r="K792" i="59"/>
  <c r="K800" i="59"/>
  <c r="K808" i="59"/>
  <c r="K816" i="59"/>
  <c r="K824" i="59"/>
  <c r="K832" i="59"/>
  <c r="K840" i="59"/>
  <c r="K848" i="59"/>
  <c r="K856" i="59"/>
  <c r="K864" i="59"/>
  <c r="K872" i="59"/>
  <c r="K880" i="59"/>
  <c r="K600" i="59"/>
  <c r="K631" i="59"/>
  <c r="K663" i="59"/>
  <c r="K673" i="59"/>
  <c r="K689" i="59"/>
  <c r="K705" i="59"/>
  <c r="K721" i="59"/>
  <c r="K737" i="59"/>
  <c r="K741" i="59"/>
  <c r="K749" i="59"/>
  <c r="K757" i="59"/>
  <c r="K765" i="59"/>
  <c r="K773" i="59"/>
  <c r="K781" i="59"/>
  <c r="K789" i="59"/>
  <c r="K797" i="59"/>
  <c r="K805" i="59"/>
  <c r="K813" i="59"/>
  <c r="K821" i="59"/>
  <c r="K829" i="59"/>
  <c r="K837" i="59"/>
  <c r="K845" i="59"/>
  <c r="K853" i="59"/>
  <c r="K861" i="59"/>
  <c r="K869" i="59"/>
  <c r="K877" i="59"/>
  <c r="K885" i="59"/>
  <c r="K491" i="59"/>
  <c r="K556" i="59"/>
  <c r="K636" i="59"/>
  <c r="K668" i="59"/>
  <c r="K683" i="59"/>
  <c r="K699" i="59"/>
  <c r="K715" i="59"/>
  <c r="K731" i="59"/>
  <c r="K746" i="59"/>
  <c r="K754" i="59"/>
  <c r="K762" i="59"/>
  <c r="K770" i="59"/>
  <c r="K778" i="59"/>
  <c r="K786" i="59"/>
  <c r="K794" i="59"/>
  <c r="K802" i="59"/>
  <c r="K810" i="59"/>
  <c r="K818" i="59"/>
  <c r="K826" i="59"/>
  <c r="K834" i="59"/>
  <c r="K842" i="59"/>
  <c r="K850" i="59"/>
  <c r="K858" i="59"/>
  <c r="K866" i="59"/>
  <c r="K874" i="59"/>
  <c r="K882" i="59"/>
  <c r="K719" i="59"/>
  <c r="K759" i="59"/>
  <c r="K791" i="59"/>
  <c r="K823" i="59"/>
  <c r="K835" i="59"/>
  <c r="K851" i="59"/>
  <c r="K867" i="59"/>
  <c r="K883" i="59"/>
  <c r="K894" i="59"/>
  <c r="K902" i="59"/>
  <c r="K910" i="59"/>
  <c r="K918" i="59"/>
  <c r="K926" i="59"/>
  <c r="K934" i="59"/>
  <c r="K942" i="59"/>
  <c r="K950" i="59"/>
  <c r="K958" i="59"/>
  <c r="K966" i="59"/>
  <c r="K974" i="59"/>
  <c r="K982" i="59"/>
  <c r="K990" i="59"/>
  <c r="K998" i="59"/>
  <c r="K1006" i="59"/>
  <c r="K1014" i="59"/>
  <c r="K1022" i="59"/>
  <c r="K1030" i="59"/>
  <c r="K612" i="59"/>
  <c r="K724" i="59"/>
  <c r="K764" i="59"/>
  <c r="K796" i="59"/>
  <c r="K828" i="59"/>
  <c r="K839" i="59"/>
  <c r="K855" i="59"/>
  <c r="K871" i="59"/>
  <c r="K887" i="59"/>
  <c r="K891" i="59"/>
  <c r="K899" i="59"/>
  <c r="K907" i="59"/>
  <c r="K915" i="59"/>
  <c r="K923" i="59"/>
  <c r="K931" i="59"/>
  <c r="K939" i="59"/>
  <c r="K947" i="59"/>
  <c r="K955" i="59"/>
  <c r="K963" i="59"/>
  <c r="K971" i="59"/>
  <c r="K979" i="59"/>
  <c r="K987" i="59"/>
  <c r="K995" i="59"/>
  <c r="K1003" i="59"/>
  <c r="K1011" i="59"/>
  <c r="K1019" i="59"/>
  <c r="K1027" i="59"/>
  <c r="K671" i="59"/>
  <c r="K735" i="59"/>
  <c r="K767" i="59"/>
  <c r="K799" i="59"/>
  <c r="K844" i="59"/>
  <c r="K860" i="59"/>
  <c r="K876" i="59"/>
  <c r="K888" i="59"/>
  <c r="K896" i="59"/>
  <c r="K904" i="59"/>
  <c r="K912" i="59"/>
  <c r="K920" i="59"/>
  <c r="K928" i="59"/>
  <c r="K936" i="59"/>
  <c r="K944" i="59"/>
  <c r="K952" i="59"/>
  <c r="K960" i="59"/>
  <c r="K644" i="59"/>
  <c r="K676" i="59"/>
  <c r="K772" i="59"/>
  <c r="K804" i="59"/>
  <c r="K833" i="59"/>
  <c r="K849" i="59"/>
  <c r="K865" i="59"/>
  <c r="K881" i="59"/>
  <c r="K893" i="59"/>
  <c r="K901" i="59"/>
  <c r="K909" i="59"/>
  <c r="K917" i="59"/>
  <c r="K925" i="59"/>
  <c r="K933" i="59"/>
  <c r="K941" i="59"/>
  <c r="K949" i="59"/>
  <c r="K957" i="59"/>
  <c r="K965" i="59"/>
  <c r="K973" i="59"/>
  <c r="K981" i="59"/>
  <c r="K989" i="59"/>
  <c r="K997" i="59"/>
  <c r="K1005" i="59"/>
  <c r="K1013" i="59"/>
  <c r="K1021" i="59"/>
  <c r="K1029" i="59"/>
  <c r="K552" i="59"/>
  <c r="K639" i="59"/>
  <c r="K703" i="59"/>
  <c r="K751" i="59"/>
  <c r="K815" i="59"/>
  <c r="K852" i="59"/>
  <c r="K884" i="59"/>
  <c r="K892" i="59"/>
  <c r="K908" i="59"/>
  <c r="K924" i="59"/>
  <c r="K940" i="59"/>
  <c r="K956" i="59"/>
  <c r="K1009" i="59"/>
  <c r="K1012" i="59"/>
  <c r="K1015" i="59"/>
  <c r="K1016" i="59"/>
  <c r="K1018" i="59"/>
  <c r="K1033" i="59"/>
  <c r="K1041" i="59"/>
  <c r="K1049" i="59"/>
  <c r="K1057" i="59"/>
  <c r="K1065" i="59"/>
  <c r="K1073" i="59"/>
  <c r="K1081" i="59"/>
  <c r="K1089" i="59"/>
  <c r="K1097" i="59"/>
  <c r="K1105" i="59"/>
  <c r="K1113" i="59"/>
  <c r="K1121" i="59"/>
  <c r="K756" i="59"/>
  <c r="K820" i="59"/>
  <c r="K857" i="59"/>
  <c r="K897" i="59"/>
  <c r="K913" i="59"/>
  <c r="K929" i="59"/>
  <c r="K945" i="59"/>
  <c r="K961" i="59"/>
  <c r="K1017" i="59"/>
  <c r="K1020" i="59"/>
  <c r="K1023" i="59"/>
  <c r="K1024" i="59"/>
  <c r="K1026" i="59"/>
  <c r="K1038" i="59"/>
  <c r="K1046" i="59"/>
  <c r="K1054" i="59"/>
  <c r="K1062" i="59"/>
  <c r="K1070" i="59"/>
  <c r="K1078" i="59"/>
  <c r="K1086" i="59"/>
  <c r="K1094" i="59"/>
  <c r="K1102" i="59"/>
  <c r="K1110" i="59"/>
  <c r="K1118" i="59"/>
  <c r="K1126" i="59"/>
  <c r="K687" i="59"/>
  <c r="K743" i="59"/>
  <c r="K807" i="59"/>
  <c r="K843" i="59"/>
  <c r="K875" i="59"/>
  <c r="K890" i="59"/>
  <c r="K906" i="59"/>
  <c r="K922" i="59"/>
  <c r="K938" i="59"/>
  <c r="K954" i="59"/>
  <c r="K967" i="59"/>
  <c r="K968" i="59"/>
  <c r="K970" i="59"/>
  <c r="K1025" i="59"/>
  <c r="K1028" i="59"/>
  <c r="K1035" i="59"/>
  <c r="K1043" i="59"/>
  <c r="K1051" i="59"/>
  <c r="K1059" i="59"/>
  <c r="K1067" i="59"/>
  <c r="K1075" i="59"/>
  <c r="K1083" i="59"/>
  <c r="K1091" i="59"/>
  <c r="K1099" i="59"/>
  <c r="K1107" i="59"/>
  <c r="K1115" i="59"/>
  <c r="K1123" i="59"/>
  <c r="K748" i="59"/>
  <c r="K812" i="59"/>
  <c r="K831" i="59"/>
  <c r="K863" i="59"/>
  <c r="K895" i="59"/>
  <c r="K911" i="59"/>
  <c r="K927" i="59"/>
  <c r="K943" i="59"/>
  <c r="K959" i="59"/>
  <c r="K969" i="59"/>
  <c r="K972" i="59"/>
  <c r="K975" i="59"/>
  <c r="K976" i="59"/>
  <c r="K978" i="59"/>
  <c r="K1032" i="59"/>
  <c r="K1040" i="59"/>
  <c r="K1048" i="59"/>
  <c r="K1056" i="59"/>
  <c r="K1064" i="59"/>
  <c r="K1072" i="59"/>
  <c r="K1080" i="59"/>
  <c r="K1088" i="59"/>
  <c r="K1096" i="59"/>
  <c r="K1104" i="59"/>
  <c r="K1112" i="59"/>
  <c r="K1120" i="59"/>
  <c r="K783" i="59"/>
  <c r="K572" i="59"/>
  <c r="K708" i="59"/>
  <c r="K788" i="59"/>
  <c r="K841" i="59"/>
  <c r="K873" i="59"/>
  <c r="K889" i="59"/>
  <c r="K905" i="59"/>
  <c r="K921" i="59"/>
  <c r="K937" i="59"/>
  <c r="K953" i="59"/>
  <c r="K985" i="59"/>
  <c r="K988" i="59"/>
  <c r="K991" i="59"/>
  <c r="K992" i="59"/>
  <c r="K994" i="59"/>
  <c r="K1034" i="59"/>
  <c r="K1042" i="59"/>
  <c r="K1050" i="59"/>
  <c r="K1058" i="59"/>
  <c r="K1066" i="59"/>
  <c r="K1074" i="59"/>
  <c r="K1082" i="59"/>
  <c r="K1090" i="59"/>
  <c r="K1098" i="59"/>
  <c r="K1106" i="59"/>
  <c r="K1114" i="59"/>
  <c r="K1122" i="59"/>
  <c r="K775" i="59"/>
  <c r="K932" i="59"/>
  <c r="K935" i="59"/>
  <c r="K692" i="59"/>
  <c r="K859" i="59"/>
  <c r="K916" i="59"/>
  <c r="K919" i="59"/>
  <c r="K962" i="59"/>
  <c r="K1002" i="59"/>
  <c r="K1007" i="59"/>
  <c r="K1047" i="59"/>
  <c r="K1060" i="59"/>
  <c r="K1093" i="59"/>
  <c r="K1111" i="59"/>
  <c r="K1124" i="59"/>
  <c r="K1131" i="59"/>
  <c r="K1139" i="59"/>
  <c r="K1147" i="59"/>
  <c r="K1155" i="59"/>
  <c r="K879" i="59"/>
  <c r="K900" i="59"/>
  <c r="K903" i="59"/>
  <c r="K946" i="59"/>
  <c r="K984" i="59"/>
  <c r="K1010" i="59"/>
  <c r="K1039" i="59"/>
  <c r="K1052" i="59"/>
  <c r="K1085" i="59"/>
  <c r="K1103" i="59"/>
  <c r="K1116" i="59"/>
  <c r="K1128" i="59"/>
  <c r="K1136" i="59"/>
  <c r="K1144" i="59"/>
  <c r="K1152" i="59"/>
  <c r="K780" i="59"/>
  <c r="K847" i="59"/>
  <c r="K930" i="59"/>
  <c r="K868" i="59"/>
  <c r="K914" i="59"/>
  <c r="K1008" i="59"/>
  <c r="K1036" i="59"/>
  <c r="K1069" i="59"/>
  <c r="K1087" i="59"/>
  <c r="K1100" i="59"/>
  <c r="K1130" i="59"/>
  <c r="K1138" i="59"/>
  <c r="K1146" i="59"/>
  <c r="K836" i="59"/>
  <c r="K898" i="59"/>
  <c r="K977" i="59"/>
  <c r="K1061" i="59"/>
  <c r="K1079" i="59"/>
  <c r="K1092" i="59"/>
  <c r="K1125" i="59"/>
  <c r="K1127" i="59"/>
  <c r="K1135" i="59"/>
  <c r="K1143" i="59"/>
  <c r="K1151" i="59"/>
  <c r="K1159" i="59"/>
  <c r="K948" i="59"/>
  <c r="K951" i="59"/>
  <c r="K983" i="59"/>
  <c r="K996" i="59"/>
  <c r="K1001" i="59"/>
  <c r="K1045" i="59"/>
  <c r="K1063" i="59"/>
  <c r="K1076" i="59"/>
  <c r="K1109" i="59"/>
  <c r="K1129" i="59"/>
  <c r="K1137" i="59"/>
  <c r="K1145" i="59"/>
  <c r="K1153" i="59"/>
  <c r="K1004" i="59"/>
  <c r="K1071" i="59"/>
  <c r="K1084" i="59"/>
  <c r="K1119" i="59"/>
  <c r="K1140" i="59"/>
  <c r="K1149" i="59"/>
  <c r="K1156" i="59"/>
  <c r="K1163" i="59"/>
  <c r="K1171" i="59"/>
  <c r="K1179" i="59"/>
  <c r="K1187" i="59"/>
  <c r="K1195" i="59"/>
  <c r="K1203" i="59"/>
  <c r="K1211" i="59"/>
  <c r="K1219" i="59"/>
  <c r="K1227" i="59"/>
  <c r="K1235" i="59"/>
  <c r="K1243" i="59"/>
  <c r="K1251" i="59"/>
  <c r="K1259" i="59"/>
  <c r="K1267" i="59"/>
  <c r="K1275" i="59"/>
  <c r="K1283" i="59"/>
  <c r="K1291" i="59"/>
  <c r="K1299" i="59"/>
  <c r="K1307" i="59"/>
  <c r="K1315" i="59"/>
  <c r="K1323" i="59"/>
  <c r="K1132" i="59"/>
  <c r="K1154" i="59"/>
  <c r="K1160" i="59"/>
  <c r="K1168" i="59"/>
  <c r="K1176" i="59"/>
  <c r="K1184" i="59"/>
  <c r="K1192" i="59"/>
  <c r="K1200" i="59"/>
  <c r="K1208" i="59"/>
  <c r="K1216" i="59"/>
  <c r="K1224" i="59"/>
  <c r="K1232" i="59"/>
  <c r="K1240" i="59"/>
  <c r="K1248" i="59"/>
  <c r="K1256" i="59"/>
  <c r="K1264" i="59"/>
  <c r="K1272" i="59"/>
  <c r="K1280" i="59"/>
  <c r="K1288" i="59"/>
  <c r="K1296" i="59"/>
  <c r="K1304" i="59"/>
  <c r="K1312" i="59"/>
  <c r="K1320" i="59"/>
  <c r="K1328" i="59"/>
  <c r="K964" i="59"/>
  <c r="K999" i="59"/>
  <c r="K1037" i="59"/>
  <c r="K1142" i="59"/>
  <c r="K1148" i="59"/>
  <c r="K1157" i="59"/>
  <c r="K1165" i="59"/>
  <c r="K1173" i="59"/>
  <c r="K1181" i="59"/>
  <c r="K1189" i="59"/>
  <c r="K1197" i="59"/>
  <c r="K1205" i="59"/>
  <c r="K1213" i="59"/>
  <c r="K1221" i="59"/>
  <c r="K1229" i="59"/>
  <c r="K1237" i="59"/>
  <c r="K1245" i="59"/>
  <c r="K1253" i="59"/>
  <c r="K1261" i="59"/>
  <c r="K1269" i="59"/>
  <c r="K1277" i="59"/>
  <c r="K1285" i="59"/>
  <c r="K1293" i="59"/>
  <c r="K1301" i="59"/>
  <c r="K1309" i="59"/>
  <c r="K1317" i="59"/>
  <c r="K1325" i="59"/>
  <c r="K986" i="59"/>
  <c r="K993" i="59"/>
  <c r="K1000" i="59"/>
  <c r="K1055" i="59"/>
  <c r="K1068" i="59"/>
  <c r="K1077" i="59"/>
  <c r="K1134" i="59"/>
  <c r="K1162" i="59"/>
  <c r="K1170" i="59"/>
  <c r="K1178" i="59"/>
  <c r="K1186" i="59"/>
  <c r="K1194" i="59"/>
  <c r="K1202" i="59"/>
  <c r="K1210" i="59"/>
  <c r="K1218" i="59"/>
  <c r="K1226" i="59"/>
  <c r="K1234" i="59"/>
  <c r="K1242" i="59"/>
  <c r="K1250" i="59"/>
  <c r="K1258" i="59"/>
  <c r="K1266" i="59"/>
  <c r="K1274" i="59"/>
  <c r="K1282" i="59"/>
  <c r="K1290" i="59"/>
  <c r="K1298" i="59"/>
  <c r="K1306" i="59"/>
  <c r="K1314" i="59"/>
  <c r="K1322" i="59"/>
  <c r="K1330" i="59"/>
  <c r="K980" i="59"/>
  <c r="K1095" i="59"/>
  <c r="K1108" i="59"/>
  <c r="K1117" i="59"/>
  <c r="K1158" i="59"/>
  <c r="K1167" i="59"/>
  <c r="K1175" i="59"/>
  <c r="K1183" i="59"/>
  <c r="K1191" i="59"/>
  <c r="K1199" i="59"/>
  <c r="K1207" i="59"/>
  <c r="K1215" i="59"/>
  <c r="K1223" i="59"/>
  <c r="K1231" i="59"/>
  <c r="K1239" i="59"/>
  <c r="K1247" i="59"/>
  <c r="K1255" i="59"/>
  <c r="K1263" i="59"/>
  <c r="K1271" i="59"/>
  <c r="K1279" i="59"/>
  <c r="K1287" i="59"/>
  <c r="K1295" i="59"/>
  <c r="K1141" i="59"/>
  <c r="K1164" i="59"/>
  <c r="K1172" i="59"/>
  <c r="K1180" i="59"/>
  <c r="K1188" i="59"/>
  <c r="K1196" i="59"/>
  <c r="K1204" i="59"/>
  <c r="K1212" i="59"/>
  <c r="K1220" i="59"/>
  <c r="K1228" i="59"/>
  <c r="K1236" i="59"/>
  <c r="K1244" i="59"/>
  <c r="K1252" i="59"/>
  <c r="K1260" i="59"/>
  <c r="K1268" i="59"/>
  <c r="K1276" i="59"/>
  <c r="K1284" i="59"/>
  <c r="K1292" i="59"/>
  <c r="K1300" i="59"/>
  <c r="K1308" i="59"/>
  <c r="K1177" i="59"/>
  <c r="K1209" i="59"/>
  <c r="K1241" i="59"/>
  <c r="K1273" i="59"/>
  <c r="K1302" i="59"/>
  <c r="K1310" i="59"/>
  <c r="K1326" i="59"/>
  <c r="K1333" i="59"/>
  <c r="K1341" i="59"/>
  <c r="K1349" i="59"/>
  <c r="K1357" i="59"/>
  <c r="K1365" i="59"/>
  <c r="K1373" i="59"/>
  <c r="K1381" i="59"/>
  <c r="K1389" i="59"/>
  <c r="K1397" i="59"/>
  <c r="K1405" i="59"/>
  <c r="K1413" i="59"/>
  <c r="K1421" i="59"/>
  <c r="K1429" i="59"/>
  <c r="K1437" i="59"/>
  <c r="K1445" i="59"/>
  <c r="K1453" i="59"/>
  <c r="K1461" i="59"/>
  <c r="K1469" i="59"/>
  <c r="K1477" i="59"/>
  <c r="K1044" i="59"/>
  <c r="K1182" i="59"/>
  <c r="K1214" i="59"/>
  <c r="K1246" i="59"/>
  <c r="K1278" i="59"/>
  <c r="K1319" i="59"/>
  <c r="K1338" i="59"/>
  <c r="K1346" i="59"/>
  <c r="K1354" i="59"/>
  <c r="K1362" i="59"/>
  <c r="K1370" i="59"/>
  <c r="K1378" i="59"/>
  <c r="K1386" i="59"/>
  <c r="K1394" i="59"/>
  <c r="K1402" i="59"/>
  <c r="K1410" i="59"/>
  <c r="K1418" i="59"/>
  <c r="K1426" i="59"/>
  <c r="K1434" i="59"/>
  <c r="K1442" i="59"/>
  <c r="K1450" i="59"/>
  <c r="K1458" i="59"/>
  <c r="K1185" i="59"/>
  <c r="K1217" i="59"/>
  <c r="K1249" i="59"/>
  <c r="K1281" i="59"/>
  <c r="K1324" i="59"/>
  <c r="K1335" i="59"/>
  <c r="K1343" i="59"/>
  <c r="K1351" i="59"/>
  <c r="K1359" i="59"/>
  <c r="K1367" i="59"/>
  <c r="K1375" i="59"/>
  <c r="K1383" i="59"/>
  <c r="K1391" i="59"/>
  <c r="K1399" i="59"/>
  <c r="K1407" i="59"/>
  <c r="K1415" i="59"/>
  <c r="K1423" i="59"/>
  <c r="K1431" i="59"/>
  <c r="K1439" i="59"/>
  <c r="K1447" i="59"/>
  <c r="K1455" i="59"/>
  <c r="K1031" i="59"/>
  <c r="K1101" i="59"/>
  <c r="K1190" i="59"/>
  <c r="K1222" i="59"/>
  <c r="K1254" i="59"/>
  <c r="K1286" i="59"/>
  <c r="K1313" i="59"/>
  <c r="K1332" i="59"/>
  <c r="K1340" i="59"/>
  <c r="K1348" i="59"/>
  <c r="K1356" i="59"/>
  <c r="K1364" i="59"/>
  <c r="K1372" i="59"/>
  <c r="K1380" i="59"/>
  <c r="K1388" i="59"/>
  <c r="K1396" i="59"/>
  <c r="K1404" i="59"/>
  <c r="K1412" i="59"/>
  <c r="K1420" i="59"/>
  <c r="K1428" i="59"/>
  <c r="K1436" i="59"/>
  <c r="K1444" i="59"/>
  <c r="K1452" i="59"/>
  <c r="K1161" i="59"/>
  <c r="K1193" i="59"/>
  <c r="K1225" i="59"/>
  <c r="K1257" i="59"/>
  <c r="K1289" i="59"/>
  <c r="K1303" i="59"/>
  <c r="K1318" i="59"/>
  <c r="K1329" i="59"/>
  <c r="K1337" i="59"/>
  <c r="K1345" i="59"/>
  <c r="K1353" i="59"/>
  <c r="K1361" i="59"/>
  <c r="K1369" i="59"/>
  <c r="K1377" i="59"/>
  <c r="K1385" i="59"/>
  <c r="K1393" i="59"/>
  <c r="K1401" i="59"/>
  <c r="K1409" i="59"/>
  <c r="K1417" i="59"/>
  <c r="K1425" i="59"/>
  <c r="K1433" i="59"/>
  <c r="K1441" i="59"/>
  <c r="K1449" i="59"/>
  <c r="K1457" i="59"/>
  <c r="K1465" i="59"/>
  <c r="K1473" i="59"/>
  <c r="K1053" i="59"/>
  <c r="K1150" i="59"/>
  <c r="K1166" i="59"/>
  <c r="K1198" i="59"/>
  <c r="K1230" i="59"/>
  <c r="K1262" i="59"/>
  <c r="K1294" i="59"/>
  <c r="K1169" i="59"/>
  <c r="K1311" i="59"/>
  <c r="K1350" i="59"/>
  <c r="K1363" i="59"/>
  <c r="K1376" i="59"/>
  <c r="K1414" i="59"/>
  <c r="K1427" i="59"/>
  <c r="K1440" i="59"/>
  <c r="K1462" i="59"/>
  <c r="K1471" i="59"/>
  <c r="K1480" i="59"/>
  <c r="K1482" i="59"/>
  <c r="K1490" i="59"/>
  <c r="K1498" i="59"/>
  <c r="K1238" i="59"/>
  <c r="K1297" i="59"/>
  <c r="K1342" i="59"/>
  <c r="K1355" i="59"/>
  <c r="K1368" i="59"/>
  <c r="K1406" i="59"/>
  <c r="K1419" i="59"/>
  <c r="K1432" i="59"/>
  <c r="K1456" i="59"/>
  <c r="K1467" i="59"/>
  <c r="K1476" i="59"/>
  <c r="K1487" i="59"/>
  <c r="K1495" i="59"/>
  <c r="K1503" i="59"/>
  <c r="K1366" i="59"/>
  <c r="K1496" i="59"/>
  <c r="K1201" i="59"/>
  <c r="K1321" i="59"/>
  <c r="K1334" i="59"/>
  <c r="K1347" i="59"/>
  <c r="K1360" i="59"/>
  <c r="K1398" i="59"/>
  <c r="K1411" i="59"/>
  <c r="K1424" i="59"/>
  <c r="K1463" i="59"/>
  <c r="K1472" i="59"/>
  <c r="K1484" i="59"/>
  <c r="K1492" i="59"/>
  <c r="K1500" i="59"/>
  <c r="K1133" i="59"/>
  <c r="K1270" i="59"/>
  <c r="K1339" i="59"/>
  <c r="K1352" i="59"/>
  <c r="K1390" i="59"/>
  <c r="K1403" i="59"/>
  <c r="K1416" i="59"/>
  <c r="K1454" i="59"/>
  <c r="K1468" i="59"/>
  <c r="K1481" i="59"/>
  <c r="K1489" i="59"/>
  <c r="K1497" i="59"/>
  <c r="K1233" i="59"/>
  <c r="K1331" i="59"/>
  <c r="K1344" i="59"/>
  <c r="K1382" i="59"/>
  <c r="K1395" i="59"/>
  <c r="K1408" i="59"/>
  <c r="K1446" i="59"/>
  <c r="K1459" i="59"/>
  <c r="K1464" i="59"/>
  <c r="K1478" i="59"/>
  <c r="K1486" i="59"/>
  <c r="K1494" i="59"/>
  <c r="K1502" i="59"/>
  <c r="K1392" i="59"/>
  <c r="K1470" i="59"/>
  <c r="K1479" i="59"/>
  <c r="K1174" i="59"/>
  <c r="K1305" i="59"/>
  <c r="K1316" i="59"/>
  <c r="K1336" i="59"/>
  <c r="K1374" i="59"/>
  <c r="K1387" i="59"/>
  <c r="K1400" i="59"/>
  <c r="K1438" i="59"/>
  <c r="K1451" i="59"/>
  <c r="K1460" i="59"/>
  <c r="K1474" i="59"/>
  <c r="K1483" i="59"/>
  <c r="K1491" i="59"/>
  <c r="K1499" i="59"/>
  <c r="K1379" i="59"/>
  <c r="K1443" i="59"/>
  <c r="K1206" i="59"/>
  <c r="K1327" i="59"/>
  <c r="K1358" i="59"/>
  <c r="K1371" i="59"/>
  <c r="K1384" i="59"/>
  <c r="K1422" i="59"/>
  <c r="K1435" i="59"/>
  <c r="K1448" i="59"/>
  <c r="K1466" i="59"/>
  <c r="K1475" i="59"/>
  <c r="K1485" i="59"/>
  <c r="K1493" i="59"/>
  <c r="K1501" i="59"/>
  <c r="K1265" i="59"/>
  <c r="K1430" i="59"/>
  <c r="K1488" i="59"/>
  <c r="X32" i="55" a="1"/>
  <c r="X32" i="55" s="1"/>
  <c r="D8" i="40"/>
  <c r="F42" i="44"/>
  <c r="F40" i="44"/>
  <c r="F38" i="44"/>
  <c r="F36" i="44"/>
  <c r="F34" i="44"/>
  <c r="T18" i="43"/>
  <c r="Y18" i="43" s="1"/>
  <c r="T19" i="43"/>
  <c r="AJ19" i="43" s="1"/>
  <c r="T20" i="43"/>
  <c r="Y20" i="43" s="1"/>
  <c r="T42" i="43"/>
  <c r="Y42" i="43" s="1"/>
  <c r="T41" i="43"/>
  <c r="Y41" i="43" s="1"/>
  <c r="T40" i="43"/>
  <c r="Y40" i="43" s="1"/>
  <c r="T39" i="43"/>
  <c r="AJ39" i="43" s="1"/>
  <c r="T38" i="43"/>
  <c r="Y38" i="43" s="1"/>
  <c r="T37" i="43"/>
  <c r="Y37" i="43" s="1"/>
  <c r="T36" i="43"/>
  <c r="Y36" i="43" s="1"/>
  <c r="T35" i="43"/>
  <c r="AJ35" i="43" s="1"/>
  <c r="T34" i="43"/>
  <c r="Y34" i="43" s="1"/>
  <c r="T33" i="43"/>
  <c r="Y33" i="43" s="1"/>
  <c r="T32" i="43"/>
  <c r="Y32" i="43" s="1"/>
  <c r="T31" i="43"/>
  <c r="AJ31" i="43" s="1"/>
  <c r="T30" i="43"/>
  <c r="Y30" i="43" s="1"/>
  <c r="T29" i="43"/>
  <c r="Y29" i="43" s="1"/>
  <c r="T28" i="43"/>
  <c r="Y28" i="43" s="1"/>
  <c r="T27" i="43"/>
  <c r="AJ27" i="43" s="1"/>
  <c r="T26" i="43"/>
  <c r="Y26" i="43" s="1"/>
  <c r="T25" i="43"/>
  <c r="Y25" i="43" s="1"/>
  <c r="T24" i="43"/>
  <c r="Y24" i="43" s="1"/>
  <c r="T23" i="43"/>
  <c r="AJ23" i="43" s="1"/>
  <c r="T22" i="43"/>
  <c r="Y22" i="43" s="1"/>
  <c r="T21" i="43"/>
  <c r="Y21" i="43" s="1"/>
  <c r="T17" i="43"/>
  <c r="Y17" i="43" s="1"/>
  <c r="T16" i="43"/>
  <c r="Y16" i="43" s="1"/>
  <c r="T15" i="43"/>
  <c r="AJ15" i="43" s="1"/>
  <c r="T14" i="43"/>
  <c r="Y14" i="43" s="1"/>
  <c r="T13" i="43"/>
  <c r="Y13" i="43" s="1"/>
  <c r="AL12" i="43"/>
  <c r="AN12" i="43" s="1"/>
  <c r="AG12" i="43"/>
  <c r="AI12" i="43" s="1"/>
  <c r="AB12" i="43"/>
  <c r="AD12" i="43" s="1"/>
  <c r="T12" i="43"/>
  <c r="Y12" i="43" s="1"/>
  <c r="B4" i="38"/>
  <c r="B5" i="38"/>
  <c r="B6" i="38"/>
  <c r="B7" i="38"/>
  <c r="B8" i="38"/>
  <c r="B9" i="38"/>
  <c r="B10" i="38"/>
  <c r="B11" i="38"/>
  <c r="B12" i="38"/>
  <c r="B13" i="38"/>
  <c r="B14" i="38"/>
  <c r="B15" i="38"/>
  <c r="B16" i="38"/>
  <c r="B17" i="38"/>
  <c r="B18" i="38"/>
  <c r="B19" i="38"/>
  <c r="B20" i="38"/>
  <c r="B21" i="38"/>
  <c r="B22" i="38"/>
  <c r="B23" i="38"/>
  <c r="B24" i="38"/>
  <c r="B25" i="38"/>
  <c r="B26" i="38"/>
  <c r="B27" i="38"/>
  <c r="B28" i="38"/>
  <c r="B29" i="38"/>
  <c r="B30"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61" i="38"/>
  <c r="B62" i="38"/>
  <c r="B63" i="38"/>
  <c r="B64" i="38"/>
  <c r="B65" i="38"/>
  <c r="B66" i="38"/>
  <c r="B67" i="38"/>
  <c r="B68" i="38"/>
  <c r="B69" i="38"/>
  <c r="B70" i="38"/>
  <c r="B71" i="38"/>
  <c r="B72" i="38"/>
  <c r="B73" i="38"/>
  <c r="B74" i="38"/>
  <c r="B75" i="38"/>
  <c r="B76" i="38"/>
  <c r="B77" i="38"/>
  <c r="B78" i="38"/>
  <c r="B79" i="38"/>
  <c r="B80" i="38"/>
  <c r="B81" i="38"/>
  <c r="B82" i="38"/>
  <c r="B83" i="38"/>
  <c r="B84" i="38"/>
  <c r="B85" i="38"/>
  <c r="B86" i="38"/>
  <c r="B87" i="38"/>
  <c r="B88" i="38"/>
  <c r="B89" i="38"/>
  <c r="B90" i="38"/>
  <c r="B91" i="38"/>
  <c r="B92" i="38"/>
  <c r="B93" i="38"/>
  <c r="B94" i="38"/>
  <c r="B95" i="38"/>
  <c r="B96" i="38"/>
  <c r="B97" i="38"/>
  <c r="B98" i="38"/>
  <c r="B99" i="38"/>
  <c r="B100" i="38"/>
  <c r="B101" i="38"/>
  <c r="B102" i="38"/>
  <c r="B103" i="38"/>
  <c r="B104" i="38"/>
  <c r="B105" i="38"/>
  <c r="B106" i="38"/>
  <c r="B107" i="38"/>
  <c r="B108" i="38"/>
  <c r="B109" i="38"/>
  <c r="B110" i="38"/>
  <c r="B111" i="38"/>
  <c r="B112" i="38"/>
  <c r="B113" i="38"/>
  <c r="B114" i="38"/>
  <c r="B115" i="38"/>
  <c r="B116" i="38"/>
  <c r="B117" i="38"/>
  <c r="B118" i="38"/>
  <c r="B119" i="38"/>
  <c r="B120" i="38"/>
  <c r="B121" i="38"/>
  <c r="B122" i="38"/>
  <c r="B123" i="38"/>
  <c r="B124" i="38"/>
  <c r="B125" i="38"/>
  <c r="B126" i="38"/>
  <c r="B127" i="38"/>
  <c r="B128" i="38"/>
  <c r="B129" i="38"/>
  <c r="B130" i="38"/>
  <c r="B131" i="38"/>
  <c r="B132" i="38"/>
  <c r="B133" i="38"/>
  <c r="B134" i="38"/>
  <c r="B135" i="38"/>
  <c r="B136" i="38"/>
  <c r="B137" i="38"/>
  <c r="B138" i="38"/>
  <c r="B139" i="38"/>
  <c r="B140" i="38"/>
  <c r="B141" i="38"/>
  <c r="B142" i="38"/>
  <c r="B143"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172" i="38"/>
  <c r="B173" i="38"/>
  <c r="B174" i="38"/>
  <c r="B175" i="38"/>
  <c r="B176" i="38"/>
  <c r="B177" i="38"/>
  <c r="B178" i="38"/>
  <c r="B179" i="38"/>
  <c r="B180" i="38"/>
  <c r="B181" i="38"/>
  <c r="B182" i="38"/>
  <c r="B183" i="38"/>
  <c r="B184" i="38"/>
  <c r="B185" i="38"/>
  <c r="B186" i="38"/>
  <c r="B187" i="38"/>
  <c r="B188" i="38"/>
  <c r="B189" i="38"/>
  <c r="B190" i="38"/>
  <c r="B191" i="38"/>
  <c r="B192" i="38"/>
  <c r="B193" i="38"/>
  <c r="B194" i="38"/>
  <c r="B195" i="38"/>
  <c r="B196" i="38"/>
  <c r="B197" i="38"/>
  <c r="B198" i="38"/>
  <c r="B199" i="38"/>
  <c r="B200" i="38"/>
  <c r="B201" i="38"/>
  <c r="B202" i="38"/>
  <c r="B203" i="38"/>
  <c r="B204" i="38"/>
  <c r="B205" i="38"/>
  <c r="B206" i="38"/>
  <c r="B207" i="38"/>
  <c r="B208" i="38"/>
  <c r="B209" i="38"/>
  <c r="B210" i="38"/>
  <c r="B211" i="38"/>
  <c r="B212" i="38"/>
  <c r="B213" i="38"/>
  <c r="B214" i="38"/>
  <c r="B215" i="38"/>
  <c r="B216" i="38"/>
  <c r="B217" i="38"/>
  <c r="B218" i="38"/>
  <c r="B219" i="38"/>
  <c r="B220" i="38"/>
  <c r="B221" i="38"/>
  <c r="B222" i="38"/>
  <c r="B223" i="38"/>
  <c r="B224" i="38"/>
  <c r="B225" i="38"/>
  <c r="B226" i="38"/>
  <c r="B227" i="38"/>
  <c r="B228" i="38"/>
  <c r="B229" i="38"/>
  <c r="B230" i="38"/>
  <c r="B231" i="38"/>
  <c r="B232" i="38"/>
  <c r="B233" i="38"/>
  <c r="B234" i="38"/>
  <c r="B235" i="38"/>
  <c r="B236" i="38"/>
  <c r="B237" i="38"/>
  <c r="B238" i="38"/>
  <c r="B239" i="38"/>
  <c r="B240" i="38"/>
  <c r="B241" i="38"/>
  <c r="B242" i="38"/>
  <c r="B243" i="38"/>
  <c r="B244" i="38"/>
  <c r="B245" i="38"/>
  <c r="B246" i="38"/>
  <c r="B247" i="38"/>
  <c r="B248" i="38"/>
  <c r="B249" i="38"/>
  <c r="B250" i="38"/>
  <c r="B251" i="38"/>
  <c r="B252" i="38"/>
  <c r="B253" i="38"/>
  <c r="B254" i="38"/>
  <c r="B255" i="38"/>
  <c r="B256" i="38"/>
  <c r="B257" i="38"/>
  <c r="B258" i="38"/>
  <c r="B259" i="38"/>
  <c r="B260" i="38"/>
  <c r="B261" i="38"/>
  <c r="B262" i="38"/>
  <c r="B263" i="38"/>
  <c r="B264" i="38"/>
  <c r="B265" i="38"/>
  <c r="B266" i="38"/>
  <c r="B267" i="38"/>
  <c r="B268" i="38"/>
  <c r="B269" i="38"/>
  <c r="B270" i="38"/>
  <c r="B271" i="38"/>
  <c r="B272" i="38"/>
  <c r="B273" i="38"/>
  <c r="B274" i="38"/>
  <c r="B275" i="38"/>
  <c r="B276" i="38"/>
  <c r="B277" i="38"/>
  <c r="B278" i="38"/>
  <c r="B279" i="38"/>
  <c r="B280" i="38"/>
  <c r="B281" i="38"/>
  <c r="B282" i="38"/>
  <c r="B283" i="38"/>
  <c r="B284" i="38"/>
  <c r="B285" i="38"/>
  <c r="B286" i="38"/>
  <c r="B287" i="38"/>
  <c r="B288" i="38"/>
  <c r="B289" i="38"/>
  <c r="B290" i="38"/>
  <c r="B291" i="38"/>
  <c r="B292" i="38"/>
  <c r="B293" i="38"/>
  <c r="B294" i="38"/>
  <c r="B295" i="38"/>
  <c r="B296" i="38"/>
  <c r="B297" i="38"/>
  <c r="B298" i="38"/>
  <c r="B299" i="38"/>
  <c r="B300" i="38"/>
  <c r="B301" i="38"/>
  <c r="B302" i="38"/>
  <c r="B303" i="38"/>
  <c r="B304" i="38"/>
  <c r="B305" i="38"/>
  <c r="B306" i="38"/>
  <c r="B307" i="38"/>
  <c r="B308" i="38"/>
  <c r="B309" i="38"/>
  <c r="B310" i="38"/>
  <c r="B311" i="38"/>
  <c r="B312" i="38"/>
  <c r="B313" i="38"/>
  <c r="B314" i="38"/>
  <c r="B315" i="38"/>
  <c r="B316" i="38"/>
  <c r="B317" i="38"/>
  <c r="B318" i="38"/>
  <c r="B319" i="38"/>
  <c r="B320" i="38"/>
  <c r="B321" i="38"/>
  <c r="B322" i="38"/>
  <c r="B323" i="38"/>
  <c r="B324" i="38"/>
  <c r="B325" i="38"/>
  <c r="B326" i="38"/>
  <c r="B327" i="38"/>
  <c r="B328" i="38"/>
  <c r="B329" i="38"/>
  <c r="B330" i="38"/>
  <c r="B331" i="38"/>
  <c r="B332" i="38"/>
  <c r="B333" i="38"/>
  <c r="B334" i="38"/>
  <c r="B335" i="38"/>
  <c r="B336" i="38"/>
  <c r="B337" i="38"/>
  <c r="B338" i="38"/>
  <c r="B339" i="38"/>
  <c r="B340" i="38"/>
  <c r="B341" i="38"/>
  <c r="B342" i="38"/>
  <c r="B343" i="38"/>
  <c r="B344" i="38"/>
  <c r="B345" i="38"/>
  <c r="B346" i="38"/>
  <c r="B347" i="38"/>
  <c r="B348" i="38"/>
  <c r="B349" i="38"/>
  <c r="B350" i="38"/>
  <c r="B351" i="38"/>
  <c r="B352" i="38"/>
  <c r="B353" i="38"/>
  <c r="B354" i="38"/>
  <c r="B355" i="38"/>
  <c r="B356" i="38"/>
  <c r="B357" i="38"/>
  <c r="B358" i="38"/>
  <c r="B359" i="38"/>
  <c r="B360" i="38"/>
  <c r="B361" i="38"/>
  <c r="B362" i="38"/>
  <c r="B363" i="38"/>
  <c r="C11" i="41"/>
  <c r="C12" i="41" s="1"/>
  <c r="C92" i="47"/>
  <c r="C60" i="47"/>
  <c r="C64" i="48"/>
  <c r="C65" i="52"/>
  <c r="C66" i="47"/>
  <c r="C60" i="48"/>
  <c r="C58" i="52"/>
  <c r="C69" i="47"/>
  <c r="C66" i="52"/>
  <c r="C68" i="47"/>
  <c r="C64" i="52"/>
  <c r="C63" i="50"/>
  <c r="C77" i="47"/>
  <c r="C61" i="47"/>
  <c r="C56" i="51"/>
  <c r="C82" i="47"/>
  <c r="C59" i="48"/>
  <c r="C64" i="47"/>
  <c r="C58" i="49"/>
  <c r="C81" i="47"/>
  <c r="C56" i="47"/>
  <c r="C58" i="47"/>
  <c r="C74" i="47"/>
  <c r="C59" i="51"/>
  <c r="C57" i="51"/>
  <c r="C62" i="51"/>
  <c r="C66" i="48"/>
  <c r="C55" i="51"/>
  <c r="C71" i="47"/>
  <c r="C59" i="50"/>
  <c r="C62" i="47"/>
  <c r="C62" i="52"/>
  <c r="C91" i="47"/>
  <c r="C63" i="51"/>
  <c r="C59" i="52"/>
  <c r="C61" i="49"/>
  <c r="C67" i="48"/>
  <c r="C55" i="48"/>
  <c r="C67" i="49"/>
  <c r="C65" i="47"/>
  <c r="C61" i="48"/>
  <c r="C79" i="47"/>
  <c r="C88" i="47"/>
  <c r="C68" i="50"/>
  <c r="C64" i="51"/>
  <c r="C63" i="52"/>
  <c r="C73" i="47"/>
  <c r="C62" i="50"/>
  <c r="C63" i="47"/>
  <c r="C68" i="49"/>
  <c r="C64" i="49"/>
  <c r="C90" i="47"/>
  <c r="C86" i="47"/>
  <c r="C75" i="47"/>
  <c r="C84" i="47"/>
  <c r="C65" i="50"/>
  <c r="C67" i="51"/>
  <c r="C57" i="49"/>
  <c r="C60" i="52"/>
  <c r="C80" i="47"/>
  <c r="C87" i="47"/>
  <c r="C60" i="51"/>
  <c r="C61" i="51"/>
  <c r="C72" i="47"/>
  <c r="C78" i="47"/>
  <c r="C55" i="52"/>
  <c r="C61" i="50"/>
  <c r="C89" i="47"/>
  <c r="C63" i="49"/>
  <c r="C85" i="47"/>
  <c r="C65" i="49"/>
  <c r="C63" i="48"/>
  <c r="C55" i="47"/>
  <c r="C76" i="47"/>
  <c r="C68" i="51"/>
  <c r="C67" i="50"/>
  <c r="C59" i="49"/>
  <c r="C61" i="52"/>
  <c r="C57" i="50"/>
  <c r="C60" i="49"/>
  <c r="C70" i="47"/>
  <c r="C57" i="47"/>
  <c r="C66" i="49"/>
  <c r="C56" i="49"/>
  <c r="C68" i="48"/>
  <c r="C62" i="48"/>
  <c r="C65" i="48"/>
  <c r="C56" i="50"/>
  <c r="C66" i="50"/>
  <c r="C58" i="50"/>
  <c r="C66" i="51"/>
  <c r="C59" i="47"/>
  <c r="C65" i="51"/>
  <c r="C57" i="52"/>
  <c r="C64" i="50"/>
  <c r="C68" i="52"/>
  <c r="C56" i="48"/>
  <c r="C60" i="50"/>
  <c r="C55" i="50"/>
  <c r="C56" i="52"/>
  <c r="C58" i="51"/>
  <c r="C58" i="48"/>
  <c r="C57" i="48"/>
  <c r="C55" i="49"/>
  <c r="C67" i="47"/>
  <c r="C62" i="49"/>
  <c r="C67" i="52"/>
  <c r="C83" i="47"/>
  <c r="N1435" i="59" l="1" a="1"/>
  <c r="N1435" i="59" s="1"/>
  <c r="O1435" i="59" a="1"/>
  <c r="O1435" i="59" s="1"/>
  <c r="M1435" i="59" a="1"/>
  <c r="M1435" i="59" s="1"/>
  <c r="Q1435" i="59" a="1"/>
  <c r="Q1435" i="59" s="1"/>
  <c r="L1435" i="59" a="1"/>
  <c r="L1435" i="59" s="1"/>
  <c r="P1435" i="59" a="1"/>
  <c r="P1435" i="59" s="1"/>
  <c r="Q1422" i="59" a="1"/>
  <c r="Q1422" i="59" s="1"/>
  <c r="O1422" i="59" a="1"/>
  <c r="O1422" i="59" s="1"/>
  <c r="L1422" i="59" a="1"/>
  <c r="L1422" i="59" s="1"/>
  <c r="M1422" i="59" a="1"/>
  <c r="M1422" i="59" s="1"/>
  <c r="N1422" i="59" a="1"/>
  <c r="N1422" i="59" s="1"/>
  <c r="P1422" i="59" a="1"/>
  <c r="P1422" i="59" s="1"/>
  <c r="L1392" i="59" a="1"/>
  <c r="L1392" i="59" s="1"/>
  <c r="N1392" i="59" a="1"/>
  <c r="N1392" i="59" s="1"/>
  <c r="O1392" i="59" a="1"/>
  <c r="O1392" i="59" s="1"/>
  <c r="P1392" i="59" a="1"/>
  <c r="P1392" i="59" s="1"/>
  <c r="M1392" i="59" a="1"/>
  <c r="M1392" i="59" s="1"/>
  <c r="Q1392" i="59" a="1"/>
  <c r="Q1392" i="59" s="1"/>
  <c r="L1270" i="59" a="1"/>
  <c r="L1270" i="59" s="1"/>
  <c r="M1270" i="59" a="1"/>
  <c r="M1270" i="59" s="1"/>
  <c r="P1270" i="59" a="1"/>
  <c r="P1270" i="59" s="1"/>
  <c r="Q1270" i="59" a="1"/>
  <c r="Q1270" i="59" s="1"/>
  <c r="N1270" i="59" a="1"/>
  <c r="N1270" i="59" s="1"/>
  <c r="O1270" i="59" a="1"/>
  <c r="O1270" i="59" s="1"/>
  <c r="L1384" i="59" a="1"/>
  <c r="L1384" i="59" s="1"/>
  <c r="Q1384" i="59" a="1"/>
  <c r="Q1384" i="59" s="1"/>
  <c r="P1384" i="59" a="1"/>
  <c r="P1384" i="59" s="1"/>
  <c r="M1384" i="59" a="1"/>
  <c r="M1384" i="59" s="1"/>
  <c r="N1384" i="59" a="1"/>
  <c r="N1384" i="59" s="1"/>
  <c r="O1384" i="59" a="1"/>
  <c r="O1384" i="59" s="1"/>
  <c r="M1491" i="59" a="1"/>
  <c r="M1491" i="59" s="1"/>
  <c r="Q1491" i="59" a="1"/>
  <c r="Q1491" i="59" s="1"/>
  <c r="N1491" i="59" a="1"/>
  <c r="N1491" i="59" s="1"/>
  <c r="L1491" i="59" a="1"/>
  <c r="L1491" i="59" s="1"/>
  <c r="O1491" i="59" a="1"/>
  <c r="O1491" i="59" s="1"/>
  <c r="P1491" i="59" a="1"/>
  <c r="P1491" i="59" s="1"/>
  <c r="N1502" i="59" a="1"/>
  <c r="N1502" i="59" s="1"/>
  <c r="O1502" i="59" a="1"/>
  <c r="O1502" i="59" s="1"/>
  <c r="M1502" i="59" a="1"/>
  <c r="M1502" i="59" s="1"/>
  <c r="Q1502" i="59" a="1"/>
  <c r="Q1502" i="59" s="1"/>
  <c r="L1502" i="59" a="1"/>
  <c r="L1502" i="59" s="1"/>
  <c r="P1502" i="59" a="1"/>
  <c r="P1502" i="59" s="1"/>
  <c r="L1468" i="59" a="1"/>
  <c r="L1468" i="59" s="1"/>
  <c r="P1468" i="59" a="1"/>
  <c r="P1468" i="59" s="1"/>
  <c r="O1468" i="59" a="1"/>
  <c r="O1468" i="59" s="1"/>
  <c r="Q1468" i="59" a="1"/>
  <c r="Q1468" i="59" s="1"/>
  <c r="N1468" i="59" a="1"/>
  <c r="N1468" i="59" s="1"/>
  <c r="M1468" i="59" a="1"/>
  <c r="M1468" i="59" s="1"/>
  <c r="M1398" i="59" a="1"/>
  <c r="M1398" i="59" s="1"/>
  <c r="N1398" i="59" a="1"/>
  <c r="N1398" i="59" s="1"/>
  <c r="Q1398" i="59" a="1"/>
  <c r="Q1398" i="59" s="1"/>
  <c r="L1398" i="59" a="1"/>
  <c r="L1398" i="59" s="1"/>
  <c r="O1398" i="59" a="1"/>
  <c r="O1398" i="59" s="1"/>
  <c r="P1398" i="59" a="1"/>
  <c r="P1398" i="59" s="1"/>
  <c r="M1482" i="59" a="1"/>
  <c r="M1482" i="59" s="1"/>
  <c r="L1482" i="59" a="1"/>
  <c r="L1482" i="59" s="1"/>
  <c r="Q1482" i="59" a="1"/>
  <c r="Q1482" i="59" s="1"/>
  <c r="O1482" i="59" a="1"/>
  <c r="O1482" i="59" s="1"/>
  <c r="P1482" i="59" a="1"/>
  <c r="P1482" i="59" s="1"/>
  <c r="N1482" i="59" a="1"/>
  <c r="N1482" i="59" s="1"/>
  <c r="L1493" i="59" a="1"/>
  <c r="L1493" i="59" s="1"/>
  <c r="N1493" i="59" a="1"/>
  <c r="N1493" i="59" s="1"/>
  <c r="P1493" i="59" a="1"/>
  <c r="P1493" i="59" s="1"/>
  <c r="O1493" i="59" a="1"/>
  <c r="O1493" i="59" s="1"/>
  <c r="M1493" i="59" a="1"/>
  <c r="M1493" i="59" s="1"/>
  <c r="Q1493" i="59" a="1"/>
  <c r="Q1493" i="59" s="1"/>
  <c r="M1371" i="59" a="1"/>
  <c r="M1371" i="59" s="1"/>
  <c r="N1371" i="59" a="1"/>
  <c r="N1371" i="59" s="1"/>
  <c r="Q1371" i="59" a="1"/>
  <c r="Q1371" i="59" s="1"/>
  <c r="P1371" i="59" a="1"/>
  <c r="P1371" i="59" s="1"/>
  <c r="L1371" i="59" a="1"/>
  <c r="L1371" i="59" s="1"/>
  <c r="O1371" i="59" a="1"/>
  <c r="O1371" i="59" s="1"/>
  <c r="P1483" i="59" a="1"/>
  <c r="P1483" i="59" s="1"/>
  <c r="M1483" i="59" a="1"/>
  <c r="M1483" i="59" s="1"/>
  <c r="O1483" i="59" a="1"/>
  <c r="O1483" i="59" s="1"/>
  <c r="Q1483" i="59" a="1"/>
  <c r="Q1483" i="59" s="1"/>
  <c r="L1483" i="59" a="1"/>
  <c r="L1483" i="59" s="1"/>
  <c r="N1483" i="59" a="1"/>
  <c r="N1483" i="59" s="1"/>
  <c r="L1336" i="59" a="1"/>
  <c r="L1336" i="59" s="1"/>
  <c r="P1336" i="59" a="1"/>
  <c r="P1336" i="59" s="1"/>
  <c r="M1336" i="59" a="1"/>
  <c r="M1336" i="59" s="1"/>
  <c r="Q1336" i="59" a="1"/>
  <c r="Q1336" i="59" s="1"/>
  <c r="N1336" i="59" a="1"/>
  <c r="N1336" i="59" s="1"/>
  <c r="O1336" i="59" a="1"/>
  <c r="O1336" i="59" s="1"/>
  <c r="L1494" i="59" a="1"/>
  <c r="L1494" i="59" s="1"/>
  <c r="Q1494" i="59" a="1"/>
  <c r="Q1494" i="59" s="1"/>
  <c r="P1494" i="59" a="1"/>
  <c r="P1494" i="59" s="1"/>
  <c r="M1494" i="59" a="1"/>
  <c r="M1494" i="59" s="1"/>
  <c r="N1494" i="59" a="1"/>
  <c r="N1494" i="59" s="1"/>
  <c r="O1494" i="59" a="1"/>
  <c r="O1494" i="59" s="1"/>
  <c r="M1382" i="59" a="1"/>
  <c r="M1382" i="59" s="1"/>
  <c r="P1382" i="59" a="1"/>
  <c r="P1382" i="59" s="1"/>
  <c r="N1382" i="59" a="1"/>
  <c r="N1382" i="59" s="1"/>
  <c r="O1382" i="59" a="1"/>
  <c r="O1382" i="59" s="1"/>
  <c r="Q1382" i="59" a="1"/>
  <c r="Q1382" i="59" s="1"/>
  <c r="L1382" i="59" a="1"/>
  <c r="L1382" i="59" s="1"/>
  <c r="Q1454" i="59" a="1"/>
  <c r="Q1454" i="59" s="1"/>
  <c r="O1454" i="59" a="1"/>
  <c r="O1454" i="59" s="1"/>
  <c r="M1454" i="59" a="1"/>
  <c r="M1454" i="59" s="1"/>
  <c r="N1454" i="59" a="1"/>
  <c r="N1454" i="59" s="1"/>
  <c r="P1454" i="59" a="1"/>
  <c r="P1454" i="59" s="1"/>
  <c r="L1454" i="59" a="1"/>
  <c r="L1454" i="59" s="1"/>
  <c r="Q1500" i="59" a="1"/>
  <c r="Q1500" i="59" s="1"/>
  <c r="M1500" i="59" a="1"/>
  <c r="M1500" i="59" s="1"/>
  <c r="N1500" i="59" a="1"/>
  <c r="N1500" i="59" s="1"/>
  <c r="O1500" i="59" a="1"/>
  <c r="O1500" i="59" s="1"/>
  <c r="P1500" i="59" a="1"/>
  <c r="P1500" i="59" s="1"/>
  <c r="L1500" i="59" a="1"/>
  <c r="L1500" i="59" s="1"/>
  <c r="L1360" i="59" a="1"/>
  <c r="L1360" i="59" s="1"/>
  <c r="N1360" i="59" a="1"/>
  <c r="N1360" i="59" s="1"/>
  <c r="P1360" i="59" a="1"/>
  <c r="P1360" i="59" s="1"/>
  <c r="O1360" i="59" a="1"/>
  <c r="O1360" i="59" s="1"/>
  <c r="M1360" i="59" a="1"/>
  <c r="M1360" i="59" s="1"/>
  <c r="Q1360" i="59" a="1"/>
  <c r="Q1360" i="59" s="1"/>
  <c r="P1495" i="59" a="1"/>
  <c r="P1495" i="59" s="1"/>
  <c r="M1495" i="59" a="1"/>
  <c r="M1495" i="59" s="1"/>
  <c r="O1495" i="59" a="1"/>
  <c r="O1495" i="59" s="1"/>
  <c r="L1495" i="59" a="1"/>
  <c r="L1495" i="59" s="1"/>
  <c r="N1495" i="59" a="1"/>
  <c r="N1495" i="59" s="1"/>
  <c r="Q1495" i="59" a="1"/>
  <c r="Q1495" i="59" s="1"/>
  <c r="L1368" i="59" a="1"/>
  <c r="L1368" i="59" s="1"/>
  <c r="P1368" i="59" a="1"/>
  <c r="P1368" i="59" s="1"/>
  <c r="M1368" i="59" a="1"/>
  <c r="M1368" i="59" s="1"/>
  <c r="Q1368" i="59" a="1"/>
  <c r="Q1368" i="59" s="1"/>
  <c r="O1368" i="59" a="1"/>
  <c r="O1368" i="59" s="1"/>
  <c r="N1368" i="59" a="1"/>
  <c r="N1368" i="59" s="1"/>
  <c r="L1480" i="59" a="1"/>
  <c r="L1480" i="59" s="1"/>
  <c r="N1480" i="59" a="1"/>
  <c r="N1480" i="59" s="1"/>
  <c r="Q1480" i="59" a="1"/>
  <c r="Q1480" i="59" s="1"/>
  <c r="M1480" i="59" a="1"/>
  <c r="M1480" i="59" s="1"/>
  <c r="P1480" i="59" a="1"/>
  <c r="P1480" i="59" s="1"/>
  <c r="O1480" i="59" a="1"/>
  <c r="O1480" i="59" s="1"/>
  <c r="M1350" i="59" a="1"/>
  <c r="M1350" i="59" s="1"/>
  <c r="L1350" i="59" a="1"/>
  <c r="L1350" i="59" s="1"/>
  <c r="P1350" i="59" a="1"/>
  <c r="P1350" i="59" s="1"/>
  <c r="Q1350" i="59" a="1"/>
  <c r="Q1350" i="59" s="1"/>
  <c r="O1350" i="59" a="1"/>
  <c r="O1350" i="59" s="1"/>
  <c r="N1350" i="59" a="1"/>
  <c r="N1350" i="59" s="1"/>
  <c r="L1150" i="59" a="1"/>
  <c r="L1150" i="59" s="1"/>
  <c r="P1150" i="59" a="1"/>
  <c r="P1150" i="59" s="1"/>
  <c r="N1150" i="59" a="1"/>
  <c r="N1150" i="59" s="1"/>
  <c r="O1150" i="59" a="1"/>
  <c r="O1150" i="59" s="1"/>
  <c r="M1150" i="59" a="1"/>
  <c r="M1150" i="59" s="1"/>
  <c r="Q1150" i="59" a="1"/>
  <c r="Q1150" i="59" s="1"/>
  <c r="O1425" i="59" a="1"/>
  <c r="O1425" i="59" s="1"/>
  <c r="Q1425" i="59" a="1"/>
  <c r="Q1425" i="59" s="1"/>
  <c r="M1425" i="59" a="1"/>
  <c r="M1425" i="59" s="1"/>
  <c r="N1425" i="59" a="1"/>
  <c r="N1425" i="59" s="1"/>
  <c r="L1425" i="59" a="1"/>
  <c r="L1425" i="59" s="1"/>
  <c r="P1425" i="59" a="1"/>
  <c r="P1425" i="59" s="1"/>
  <c r="O1361" i="59" a="1"/>
  <c r="O1361" i="59" s="1"/>
  <c r="M1361" i="59" a="1"/>
  <c r="M1361" i="59" s="1"/>
  <c r="P1361" i="59" a="1"/>
  <c r="P1361" i="59" s="1"/>
  <c r="L1361" i="59" a="1"/>
  <c r="L1361" i="59" s="1"/>
  <c r="N1361" i="59" a="1"/>
  <c r="N1361" i="59" s="1"/>
  <c r="Q1361" i="59" a="1"/>
  <c r="Q1361" i="59" s="1"/>
  <c r="N1257" i="59" a="1"/>
  <c r="N1257" i="59" s="1"/>
  <c r="M1257" i="59" a="1"/>
  <c r="M1257" i="59" s="1"/>
  <c r="O1257" i="59" a="1"/>
  <c r="O1257" i="59" s="1"/>
  <c r="Q1257" i="59" a="1"/>
  <c r="Q1257" i="59" s="1"/>
  <c r="P1257" i="59" a="1"/>
  <c r="P1257" i="59" s="1"/>
  <c r="L1257" i="59" a="1"/>
  <c r="L1257" i="59" s="1"/>
  <c r="N1420" i="59" a="1"/>
  <c r="N1420" i="59" s="1"/>
  <c r="O1420" i="59" a="1"/>
  <c r="O1420" i="59" s="1"/>
  <c r="L1420" i="59" a="1"/>
  <c r="L1420" i="59" s="1"/>
  <c r="P1420" i="59" a="1"/>
  <c r="P1420" i="59" s="1"/>
  <c r="M1420" i="59" a="1"/>
  <c r="M1420" i="59" s="1"/>
  <c r="Q1420" i="59" a="1"/>
  <c r="Q1420" i="59" s="1"/>
  <c r="N1356" i="59" a="1"/>
  <c r="N1356" i="59" s="1"/>
  <c r="O1356" i="59" a="1"/>
  <c r="O1356" i="59" s="1"/>
  <c r="Q1356" i="59" a="1"/>
  <c r="Q1356" i="59" s="1"/>
  <c r="L1356" i="59" a="1"/>
  <c r="L1356" i="59" s="1"/>
  <c r="P1356" i="59" a="1"/>
  <c r="P1356" i="59" s="1"/>
  <c r="M1356" i="59" a="1"/>
  <c r="M1356" i="59" s="1"/>
  <c r="L1190" i="59" a="1"/>
  <c r="L1190" i="59" s="1"/>
  <c r="P1190" i="59" a="1"/>
  <c r="P1190" i="59" s="1"/>
  <c r="N1190" i="59" a="1"/>
  <c r="N1190" i="59" s="1"/>
  <c r="M1190" i="59" a="1"/>
  <c r="M1190" i="59" s="1"/>
  <c r="Q1190" i="59" a="1"/>
  <c r="Q1190" i="59" s="1"/>
  <c r="O1190" i="59" a="1"/>
  <c r="O1190" i="59" s="1"/>
  <c r="O1415" i="59" a="1"/>
  <c r="O1415" i="59" s="1"/>
  <c r="L1415" i="59" a="1"/>
  <c r="L1415" i="59" s="1"/>
  <c r="P1415" i="59" a="1"/>
  <c r="P1415" i="59" s="1"/>
  <c r="N1415" i="59" a="1"/>
  <c r="N1415" i="59" s="1"/>
  <c r="Q1415" i="59" a="1"/>
  <c r="Q1415" i="59" s="1"/>
  <c r="M1415" i="59" a="1"/>
  <c r="M1415" i="59" s="1"/>
  <c r="O1351" i="59" a="1"/>
  <c r="O1351" i="59" s="1"/>
  <c r="N1351" i="59" a="1"/>
  <c r="N1351" i="59" s="1"/>
  <c r="L1351" i="59" a="1"/>
  <c r="L1351" i="59" s="1"/>
  <c r="Q1351" i="59" a="1"/>
  <c r="Q1351" i="59" s="1"/>
  <c r="P1351" i="59" a="1"/>
  <c r="P1351" i="59" s="1"/>
  <c r="M1351" i="59" a="1"/>
  <c r="M1351" i="59" s="1"/>
  <c r="O1458" i="59" a="1"/>
  <c r="O1458" i="59" s="1"/>
  <c r="M1458" i="59" a="1"/>
  <c r="M1458" i="59" s="1"/>
  <c r="Q1458" i="59" a="1"/>
  <c r="Q1458" i="59" s="1"/>
  <c r="L1458" i="59" a="1"/>
  <c r="L1458" i="59" s="1"/>
  <c r="P1458" i="59" a="1"/>
  <c r="P1458" i="59" s="1"/>
  <c r="N1458" i="59" a="1"/>
  <c r="N1458" i="59" s="1"/>
  <c r="O1394" i="59" a="1"/>
  <c r="O1394" i="59" s="1"/>
  <c r="P1394" i="59" a="1"/>
  <c r="P1394" i="59" s="1"/>
  <c r="L1394" i="59" a="1"/>
  <c r="L1394" i="59" s="1"/>
  <c r="M1394" i="59" a="1"/>
  <c r="M1394" i="59" s="1"/>
  <c r="Q1394" i="59" a="1"/>
  <c r="Q1394" i="59" s="1"/>
  <c r="N1394" i="59" a="1"/>
  <c r="N1394" i="59" s="1"/>
  <c r="O1319" i="59" a="1"/>
  <c r="O1319" i="59" s="1"/>
  <c r="N1319" i="59" a="1"/>
  <c r="N1319" i="59" s="1"/>
  <c r="L1319" i="59" a="1"/>
  <c r="L1319" i="59" s="1"/>
  <c r="Q1319" i="59" a="1"/>
  <c r="Q1319" i="59" s="1"/>
  <c r="P1319" i="59" a="1"/>
  <c r="P1319" i="59" s="1"/>
  <c r="M1319" i="59" a="1"/>
  <c r="M1319" i="59" s="1"/>
  <c r="N1461" i="59" a="1"/>
  <c r="N1461" i="59" s="1"/>
  <c r="M1461" i="59" a="1"/>
  <c r="M1461" i="59" s="1"/>
  <c r="O1461" i="59" a="1"/>
  <c r="O1461" i="59" s="1"/>
  <c r="P1461" i="59" a="1"/>
  <c r="P1461" i="59" s="1"/>
  <c r="Q1461" i="59" a="1"/>
  <c r="Q1461" i="59" s="1"/>
  <c r="L1461" i="59" a="1"/>
  <c r="L1461" i="59" s="1"/>
  <c r="L1397" i="59" a="1"/>
  <c r="L1397" i="59" s="1"/>
  <c r="M1397" i="59" a="1"/>
  <c r="M1397" i="59" s="1"/>
  <c r="P1397" i="59" a="1"/>
  <c r="P1397" i="59" s="1"/>
  <c r="Q1397" i="59" a="1"/>
  <c r="Q1397" i="59" s="1"/>
  <c r="N1397" i="59" a="1"/>
  <c r="N1397" i="59" s="1"/>
  <c r="O1397" i="59" a="1"/>
  <c r="O1397" i="59" s="1"/>
  <c r="L1333" i="59" a="1"/>
  <c r="L1333" i="59" s="1"/>
  <c r="M1333" i="59" a="1"/>
  <c r="M1333" i="59" s="1"/>
  <c r="P1333" i="59" a="1"/>
  <c r="P1333" i="59" s="1"/>
  <c r="Q1333" i="59" a="1"/>
  <c r="Q1333" i="59" s="1"/>
  <c r="O1333" i="59" a="1"/>
  <c r="O1333" i="59" s="1"/>
  <c r="N1333" i="59" a="1"/>
  <c r="N1333" i="59" s="1"/>
  <c r="M1308" i="59" a="1"/>
  <c r="M1308" i="59" s="1"/>
  <c r="Q1308" i="59" a="1"/>
  <c r="Q1308" i="59" s="1"/>
  <c r="N1308" i="59" a="1"/>
  <c r="N1308" i="59" s="1"/>
  <c r="P1308" i="59" a="1"/>
  <c r="P1308" i="59" s="1"/>
  <c r="O1308" i="59" a="1"/>
  <c r="O1308" i="59" s="1"/>
  <c r="L1308" i="59" a="1"/>
  <c r="L1308" i="59" s="1"/>
  <c r="M1244" i="59" a="1"/>
  <c r="M1244" i="59" s="1"/>
  <c r="L1244" i="59" a="1"/>
  <c r="L1244" i="59" s="1"/>
  <c r="Q1244" i="59" a="1"/>
  <c r="Q1244" i="59" s="1"/>
  <c r="O1244" i="59" a="1"/>
  <c r="O1244" i="59" s="1"/>
  <c r="N1244" i="59" a="1"/>
  <c r="N1244" i="59" s="1"/>
  <c r="P1244" i="59" a="1"/>
  <c r="P1244" i="59" s="1"/>
  <c r="M1180" i="59" a="1"/>
  <c r="M1180" i="59" s="1"/>
  <c r="Q1180" i="59" a="1"/>
  <c r="Q1180" i="59" s="1"/>
  <c r="O1180" i="59" a="1"/>
  <c r="O1180" i="59" s="1"/>
  <c r="N1180" i="59" a="1"/>
  <c r="N1180" i="59" s="1"/>
  <c r="P1180" i="59" a="1"/>
  <c r="P1180" i="59" s="1"/>
  <c r="L1180" i="59" a="1"/>
  <c r="L1180" i="59" s="1"/>
  <c r="N1263" i="59" a="1"/>
  <c r="N1263" i="59" s="1"/>
  <c r="P1263" i="59" a="1"/>
  <c r="P1263" i="59" s="1"/>
  <c r="O1263" i="59" a="1"/>
  <c r="O1263" i="59" s="1"/>
  <c r="M1263" i="59" a="1"/>
  <c r="M1263" i="59" s="1"/>
  <c r="L1263" i="59" a="1"/>
  <c r="L1263" i="59" s="1"/>
  <c r="Q1263" i="59" a="1"/>
  <c r="Q1263" i="59" s="1"/>
  <c r="N1199" i="59" a="1"/>
  <c r="N1199" i="59" s="1"/>
  <c r="P1199" i="59" a="1"/>
  <c r="P1199" i="59" s="1"/>
  <c r="M1199" i="59" a="1"/>
  <c r="M1199" i="59" s="1"/>
  <c r="O1199" i="59" a="1"/>
  <c r="O1199" i="59" s="1"/>
  <c r="L1199" i="59" a="1"/>
  <c r="L1199" i="59" s="1"/>
  <c r="Q1199" i="59" a="1"/>
  <c r="Q1199" i="59" s="1"/>
  <c r="M1095" i="59" a="1"/>
  <c r="M1095" i="59" s="1"/>
  <c r="O1095" i="59" a="1"/>
  <c r="O1095" i="59" s="1"/>
  <c r="L1095" i="59" a="1"/>
  <c r="L1095" i="59" s="1"/>
  <c r="Q1095" i="59" a="1"/>
  <c r="Q1095" i="59" s="1"/>
  <c r="N1095" i="59" a="1"/>
  <c r="N1095" i="59" s="1"/>
  <c r="P1095" i="59" a="1"/>
  <c r="P1095" i="59" s="1"/>
  <c r="L1282" i="59" a="1"/>
  <c r="L1282" i="59" s="1"/>
  <c r="P1282" i="59" a="1"/>
  <c r="P1282" i="59" s="1"/>
  <c r="Q1282" i="59" a="1"/>
  <c r="Q1282" i="59" s="1"/>
  <c r="N1282" i="59" a="1"/>
  <c r="N1282" i="59" s="1"/>
  <c r="O1282" i="59" a="1"/>
  <c r="O1282" i="59" s="1"/>
  <c r="M1282" i="59" a="1"/>
  <c r="M1282" i="59" s="1"/>
  <c r="N1218" i="59" a="1"/>
  <c r="N1218" i="59" s="1"/>
  <c r="L1218" i="59" a="1"/>
  <c r="L1218" i="59" s="1"/>
  <c r="P1218" i="59" a="1"/>
  <c r="P1218" i="59" s="1"/>
  <c r="O1218" i="59" a="1"/>
  <c r="O1218" i="59" s="1"/>
  <c r="Q1218" i="59" a="1"/>
  <c r="Q1218" i="59" s="1"/>
  <c r="M1218" i="59" a="1"/>
  <c r="M1218" i="59" s="1"/>
  <c r="O1134" i="59" a="1"/>
  <c r="O1134" i="59" s="1"/>
  <c r="L1134" i="59" a="1"/>
  <c r="L1134" i="59" s="1"/>
  <c r="P1134" i="59" a="1"/>
  <c r="P1134" i="59" s="1"/>
  <c r="N1134" i="59" a="1"/>
  <c r="N1134" i="59" s="1"/>
  <c r="M1134" i="59" a="1"/>
  <c r="M1134" i="59" s="1"/>
  <c r="Q1134" i="59" a="1"/>
  <c r="Q1134" i="59" s="1"/>
  <c r="O1317" i="59" a="1"/>
  <c r="O1317" i="59" s="1"/>
  <c r="N1317" i="59" a="1"/>
  <c r="N1317" i="59" s="1"/>
  <c r="L1317" i="59" a="1"/>
  <c r="L1317" i="59" s="1"/>
  <c r="P1317" i="59" a="1"/>
  <c r="P1317" i="59" s="1"/>
  <c r="Q1317" i="59" a="1"/>
  <c r="Q1317" i="59" s="1"/>
  <c r="M1317" i="59" a="1"/>
  <c r="M1317" i="59" s="1"/>
  <c r="Q1253" i="59" a="1"/>
  <c r="Q1253" i="59" s="1"/>
  <c r="O1253" i="59" a="1"/>
  <c r="O1253" i="59" s="1"/>
  <c r="L1253" i="59" a="1"/>
  <c r="L1253" i="59" s="1"/>
  <c r="P1253" i="59" a="1"/>
  <c r="P1253" i="59" s="1"/>
  <c r="M1253" i="59" a="1"/>
  <c r="M1253" i="59" s="1"/>
  <c r="N1253" i="59" a="1"/>
  <c r="N1253" i="59" s="1"/>
  <c r="Q1189" i="59" a="1"/>
  <c r="Q1189" i="59" s="1"/>
  <c r="N1189" i="59" a="1"/>
  <c r="N1189" i="59" s="1"/>
  <c r="O1189" i="59" a="1"/>
  <c r="O1189" i="59" s="1"/>
  <c r="L1189" i="59" a="1"/>
  <c r="L1189" i="59" s="1"/>
  <c r="P1189" i="59" a="1"/>
  <c r="P1189" i="59" s="1"/>
  <c r="M1189" i="59" a="1"/>
  <c r="M1189" i="59" s="1"/>
  <c r="Q999" i="59" a="1"/>
  <c r="Q999" i="59" s="1"/>
  <c r="P999" i="59" a="1"/>
  <c r="P999" i="59" s="1"/>
  <c r="M999" i="59" a="1"/>
  <c r="M999" i="59" s="1"/>
  <c r="L999" i="59" a="1"/>
  <c r="L999" i="59" s="1"/>
  <c r="N999" i="59" a="1"/>
  <c r="N999" i="59" s="1"/>
  <c r="O999" i="59" a="1"/>
  <c r="O999" i="59" s="1"/>
  <c r="N1280" i="59" a="1"/>
  <c r="N1280" i="59" s="1"/>
  <c r="O1280" i="59" a="1"/>
  <c r="O1280" i="59" s="1"/>
  <c r="L1280" i="59" a="1"/>
  <c r="L1280" i="59" s="1"/>
  <c r="P1280" i="59" a="1"/>
  <c r="P1280" i="59" s="1"/>
  <c r="M1280" i="59" a="1"/>
  <c r="M1280" i="59" s="1"/>
  <c r="Q1280" i="59" a="1"/>
  <c r="Q1280" i="59" s="1"/>
  <c r="O1216" i="59" a="1"/>
  <c r="O1216" i="59" s="1"/>
  <c r="L1216" i="59" a="1"/>
  <c r="L1216" i="59" s="1"/>
  <c r="P1216" i="59" a="1"/>
  <c r="P1216" i="59" s="1"/>
  <c r="N1216" i="59" a="1"/>
  <c r="N1216" i="59" s="1"/>
  <c r="M1216" i="59" a="1"/>
  <c r="M1216" i="59" s="1"/>
  <c r="Q1216" i="59" a="1"/>
  <c r="Q1216" i="59" s="1"/>
  <c r="M1154" i="59" a="1"/>
  <c r="M1154" i="59" s="1"/>
  <c r="Q1154" i="59" a="1"/>
  <c r="Q1154" i="59" s="1"/>
  <c r="N1154" i="59" a="1"/>
  <c r="N1154" i="59" s="1"/>
  <c r="L1154" i="59" a="1"/>
  <c r="L1154" i="59" s="1"/>
  <c r="P1154" i="59" a="1"/>
  <c r="P1154" i="59" s="1"/>
  <c r="O1154" i="59" a="1"/>
  <c r="O1154" i="59" s="1"/>
  <c r="N1275" i="59" a="1"/>
  <c r="N1275" i="59" s="1"/>
  <c r="L1275" i="59" a="1"/>
  <c r="L1275" i="59" s="1"/>
  <c r="P1275" i="59" a="1"/>
  <c r="P1275" i="59" s="1"/>
  <c r="M1275" i="59" a="1"/>
  <c r="M1275" i="59" s="1"/>
  <c r="Q1275" i="59" a="1"/>
  <c r="Q1275" i="59" s="1"/>
  <c r="O1275" i="59" a="1"/>
  <c r="O1275" i="59" s="1"/>
  <c r="N1211" i="59" a="1"/>
  <c r="N1211" i="59" s="1"/>
  <c r="L1211" i="59" a="1"/>
  <c r="L1211" i="59" s="1"/>
  <c r="P1211" i="59" a="1"/>
  <c r="P1211" i="59" s="1"/>
  <c r="O1211" i="59" a="1"/>
  <c r="O1211" i="59" s="1"/>
  <c r="M1211" i="59" a="1"/>
  <c r="M1211" i="59" s="1"/>
  <c r="Q1211" i="59" a="1"/>
  <c r="Q1211" i="59" s="1"/>
  <c r="O1149" i="59" a="1"/>
  <c r="O1149" i="59" s="1"/>
  <c r="N1149" i="59" a="1"/>
  <c r="N1149" i="59" s="1"/>
  <c r="L1149" i="59" a="1"/>
  <c r="L1149" i="59" s="1"/>
  <c r="M1149" i="59" a="1"/>
  <c r="M1149" i="59" s="1"/>
  <c r="P1149" i="59" a="1"/>
  <c r="P1149" i="59" s="1"/>
  <c r="Q1149" i="59" a="1"/>
  <c r="Q1149" i="59" s="1"/>
  <c r="N1137" i="59" a="1"/>
  <c r="N1137" i="59" s="1"/>
  <c r="M1137" i="59" a="1"/>
  <c r="M1137" i="59" s="1"/>
  <c r="Q1137" i="59" a="1"/>
  <c r="Q1137" i="59" s="1"/>
  <c r="L1137" i="59" a="1"/>
  <c r="L1137" i="59" s="1"/>
  <c r="O1137" i="59" a="1"/>
  <c r="O1137" i="59" s="1"/>
  <c r="P1137" i="59" a="1"/>
  <c r="P1137" i="59" s="1"/>
  <c r="M983" i="59" a="1"/>
  <c r="M983" i="59" s="1"/>
  <c r="Q983" i="59" a="1"/>
  <c r="Q983" i="59" s="1"/>
  <c r="O983" i="59" a="1"/>
  <c r="O983" i="59" s="1"/>
  <c r="L983" i="59" a="1"/>
  <c r="L983" i="59" s="1"/>
  <c r="P983" i="59" a="1"/>
  <c r="P983" i="59" s="1"/>
  <c r="N983" i="59" a="1"/>
  <c r="N983" i="59" s="1"/>
  <c r="P1125" i="59" a="1"/>
  <c r="P1125" i="59" s="1"/>
  <c r="N1125" i="59" a="1"/>
  <c r="N1125" i="59" s="1"/>
  <c r="O1125" i="59" a="1"/>
  <c r="O1125" i="59" s="1"/>
  <c r="L1125" i="59" a="1"/>
  <c r="L1125" i="59" s="1"/>
  <c r="Q1125" i="59" a="1"/>
  <c r="Q1125" i="59" s="1"/>
  <c r="M1125" i="59" a="1"/>
  <c r="M1125" i="59" s="1"/>
  <c r="N1138" i="59" a="1"/>
  <c r="N1138" i="59" s="1"/>
  <c r="L1138" i="59" a="1"/>
  <c r="L1138" i="59" s="1"/>
  <c r="P1138" i="59" a="1"/>
  <c r="P1138" i="59" s="1"/>
  <c r="M1138" i="59" a="1"/>
  <c r="M1138" i="59" s="1"/>
  <c r="Q1138" i="59" a="1"/>
  <c r="Q1138" i="59" s="1"/>
  <c r="O1138" i="59" a="1"/>
  <c r="O1138" i="59" s="1"/>
  <c r="N868" i="59" a="1"/>
  <c r="N868" i="59" s="1"/>
  <c r="M868" i="59" a="1"/>
  <c r="M868" i="59" s="1"/>
  <c r="P868" i="59" a="1"/>
  <c r="P868" i="59" s="1"/>
  <c r="O868" i="59" a="1"/>
  <c r="O868" i="59" s="1"/>
  <c r="L868" i="59" a="1"/>
  <c r="L868" i="59" s="1"/>
  <c r="Q868" i="59" a="1"/>
  <c r="Q868" i="59" s="1"/>
  <c r="P1116" i="59" a="1"/>
  <c r="P1116" i="59" s="1"/>
  <c r="Q1116" i="59" a="1"/>
  <c r="Q1116" i="59" s="1"/>
  <c r="L1116" i="59" a="1"/>
  <c r="L1116" i="59" s="1"/>
  <c r="M1116" i="59" a="1"/>
  <c r="M1116" i="59" s="1"/>
  <c r="O1116" i="59" a="1"/>
  <c r="O1116" i="59" s="1"/>
  <c r="N1116" i="59" a="1"/>
  <c r="N1116" i="59" s="1"/>
  <c r="Q903" i="59" a="1"/>
  <c r="Q903" i="59" s="1"/>
  <c r="O903" i="59" a="1"/>
  <c r="O903" i="59" s="1"/>
  <c r="N903" i="59" a="1"/>
  <c r="N903" i="59" s="1"/>
  <c r="M903" i="59" a="1"/>
  <c r="M903" i="59" s="1"/>
  <c r="L903" i="59" a="1"/>
  <c r="L903" i="59" s="1"/>
  <c r="P903" i="59" a="1"/>
  <c r="P903" i="59" s="1"/>
  <c r="M1111" i="59" a="1"/>
  <c r="M1111" i="59" s="1"/>
  <c r="Q1111" i="59" a="1"/>
  <c r="Q1111" i="59" s="1"/>
  <c r="N1111" i="59" a="1"/>
  <c r="N1111" i="59" s="1"/>
  <c r="O1111" i="59" a="1"/>
  <c r="O1111" i="59" s="1"/>
  <c r="L1111" i="59" a="1"/>
  <c r="L1111" i="59" s="1"/>
  <c r="P1111" i="59" a="1"/>
  <c r="P1111" i="59" s="1"/>
  <c r="M916" i="59" a="1"/>
  <c r="M916" i="59" s="1"/>
  <c r="Q916" i="59" a="1"/>
  <c r="Q916" i="59" s="1"/>
  <c r="N916" i="59" a="1"/>
  <c r="N916" i="59" s="1"/>
  <c r="L916" i="59" a="1"/>
  <c r="L916" i="59" s="1"/>
  <c r="O916" i="59" a="1"/>
  <c r="O916" i="59" s="1"/>
  <c r="P916" i="59" a="1"/>
  <c r="P916" i="59" s="1"/>
  <c r="Q1106" i="59" a="1"/>
  <c r="Q1106" i="59" s="1"/>
  <c r="N1106" i="59" a="1"/>
  <c r="N1106" i="59" s="1"/>
  <c r="M1106" i="59" a="1"/>
  <c r="M1106" i="59" s="1"/>
  <c r="L1106" i="59" a="1"/>
  <c r="L1106" i="59" s="1"/>
  <c r="P1106" i="59" a="1"/>
  <c r="P1106" i="59" s="1"/>
  <c r="O1106" i="59" a="1"/>
  <c r="O1106" i="59" s="1"/>
  <c r="Q1042" i="59" a="1"/>
  <c r="Q1042" i="59" s="1"/>
  <c r="N1042" i="59" a="1"/>
  <c r="N1042" i="59" s="1"/>
  <c r="M1042" i="59" a="1"/>
  <c r="M1042" i="59" s="1"/>
  <c r="L1042" i="59" a="1"/>
  <c r="L1042" i="59" s="1"/>
  <c r="P1042" i="59" a="1"/>
  <c r="P1042" i="59" s="1"/>
  <c r="O1042" i="59" a="1"/>
  <c r="O1042" i="59" s="1"/>
  <c r="M937" i="59" a="1"/>
  <c r="M937" i="59" s="1"/>
  <c r="L937" i="59" a="1"/>
  <c r="L937" i="59" s="1"/>
  <c r="Q937" i="59" a="1"/>
  <c r="Q937" i="59" s="1"/>
  <c r="P937" i="59" a="1"/>
  <c r="P937" i="59" s="1"/>
  <c r="N937" i="59" a="1"/>
  <c r="N937" i="59" s="1"/>
  <c r="O937" i="59" a="1"/>
  <c r="O937" i="59" s="1"/>
  <c r="N572" i="59" a="1"/>
  <c r="N572" i="59" s="1"/>
  <c r="M572" i="59" a="1"/>
  <c r="M572" i="59" s="1"/>
  <c r="Q572" i="59" a="1"/>
  <c r="Q572" i="59" s="1"/>
  <c r="L572" i="59" a="1"/>
  <c r="L572" i="59" s="1"/>
  <c r="O572" i="59" a="1"/>
  <c r="O572" i="59" s="1"/>
  <c r="P572" i="59" a="1"/>
  <c r="P572" i="59" s="1"/>
  <c r="M1072" i="59" a="1"/>
  <c r="M1072" i="59" s="1"/>
  <c r="N1072" i="59" a="1"/>
  <c r="N1072" i="59" s="1"/>
  <c r="Q1072" i="59" a="1"/>
  <c r="Q1072" i="59" s="1"/>
  <c r="O1072" i="59" a="1"/>
  <c r="O1072" i="59" s="1"/>
  <c r="L1072" i="59" a="1"/>
  <c r="L1072" i="59" s="1"/>
  <c r="P1072" i="59" a="1"/>
  <c r="P1072" i="59" s="1"/>
  <c r="M975" i="59" a="1"/>
  <c r="M975" i="59" s="1"/>
  <c r="Q975" i="59" a="1"/>
  <c r="Q975" i="59" s="1"/>
  <c r="P975" i="59" a="1"/>
  <c r="P975" i="59" s="1"/>
  <c r="L975" i="59" a="1"/>
  <c r="L975" i="59" s="1"/>
  <c r="O975" i="59" a="1"/>
  <c r="O975" i="59" s="1"/>
  <c r="N975" i="59" a="1"/>
  <c r="N975" i="59" s="1"/>
  <c r="Q863" i="59" a="1"/>
  <c r="Q863" i="59" s="1"/>
  <c r="N863" i="59" a="1"/>
  <c r="N863" i="59" s="1"/>
  <c r="M863" i="59" a="1"/>
  <c r="M863" i="59" s="1"/>
  <c r="O863" i="59" a="1"/>
  <c r="O863" i="59" s="1"/>
  <c r="P863" i="59" a="1"/>
  <c r="P863" i="59" s="1"/>
  <c r="L863" i="59" a="1"/>
  <c r="L863" i="59" s="1"/>
  <c r="O1091" i="59" a="1"/>
  <c r="O1091" i="59" s="1"/>
  <c r="N1091" i="59" a="1"/>
  <c r="N1091" i="59" s="1"/>
  <c r="L1091" i="59" a="1"/>
  <c r="L1091" i="59" s="1"/>
  <c r="P1091" i="59" a="1"/>
  <c r="P1091" i="59" s="1"/>
  <c r="M1091" i="59" a="1"/>
  <c r="M1091" i="59" s="1"/>
  <c r="Q1091" i="59" a="1"/>
  <c r="Q1091" i="59" s="1"/>
  <c r="N1028" i="59" a="1"/>
  <c r="N1028" i="59" s="1"/>
  <c r="M1028" i="59" a="1"/>
  <c r="M1028" i="59" s="1"/>
  <c r="Q1028" i="59" a="1"/>
  <c r="Q1028" i="59" s="1"/>
  <c r="P1028" i="59" a="1"/>
  <c r="P1028" i="59" s="1"/>
  <c r="L1028" i="59" a="1"/>
  <c r="L1028" i="59" s="1"/>
  <c r="O1028" i="59" a="1"/>
  <c r="O1028" i="59" s="1"/>
  <c r="N906" i="59" a="1"/>
  <c r="N906" i="59" s="1"/>
  <c r="O906" i="59" a="1"/>
  <c r="O906" i="59" s="1"/>
  <c r="Q906" i="59" a="1"/>
  <c r="Q906" i="59" s="1"/>
  <c r="L906" i="59" a="1"/>
  <c r="L906" i="59" s="1"/>
  <c r="M906" i="59" a="1"/>
  <c r="M906" i="59" s="1"/>
  <c r="P906" i="59" a="1"/>
  <c r="P906" i="59" s="1"/>
  <c r="O1118" i="59" a="1"/>
  <c r="O1118" i="59" s="1"/>
  <c r="L1118" i="59" a="1"/>
  <c r="L1118" i="59" s="1"/>
  <c r="P1118" i="59" a="1"/>
  <c r="P1118" i="59" s="1"/>
  <c r="Q1118" i="59" a="1"/>
  <c r="Q1118" i="59" s="1"/>
  <c r="N1118" i="59" a="1"/>
  <c r="N1118" i="59" s="1"/>
  <c r="M1118" i="59" a="1"/>
  <c r="M1118" i="59" s="1"/>
  <c r="O1054" i="59" a="1"/>
  <c r="O1054" i="59" s="1"/>
  <c r="L1054" i="59" a="1"/>
  <c r="L1054" i="59" s="1"/>
  <c r="Q1054" i="59" a="1"/>
  <c r="Q1054" i="59" s="1"/>
  <c r="P1054" i="59" a="1"/>
  <c r="P1054" i="59" s="1"/>
  <c r="M1054" i="59" a="1"/>
  <c r="M1054" i="59" s="1"/>
  <c r="N1054" i="59" a="1"/>
  <c r="N1054" i="59" s="1"/>
  <c r="L961" i="59" a="1"/>
  <c r="L961" i="59" s="1"/>
  <c r="P961" i="59" a="1"/>
  <c r="P961" i="59" s="1"/>
  <c r="M961" i="59" a="1"/>
  <c r="M961" i="59" s="1"/>
  <c r="Q961" i="59" a="1"/>
  <c r="Q961" i="59" s="1"/>
  <c r="N961" i="59" a="1"/>
  <c r="N961" i="59" s="1"/>
  <c r="O961" i="59" a="1"/>
  <c r="O961" i="59" s="1"/>
  <c r="L1121" i="59" a="1"/>
  <c r="L1121" i="59" s="1"/>
  <c r="P1121" i="59" a="1"/>
  <c r="P1121" i="59" s="1"/>
  <c r="O1121" i="59" a="1"/>
  <c r="O1121" i="59" s="1"/>
  <c r="M1121" i="59" a="1"/>
  <c r="M1121" i="59" s="1"/>
  <c r="Q1121" i="59" a="1"/>
  <c r="Q1121" i="59" s="1"/>
  <c r="N1121" i="59" a="1"/>
  <c r="N1121" i="59" s="1"/>
  <c r="L1057" i="59" a="1"/>
  <c r="L1057" i="59" s="1"/>
  <c r="M1057" i="59" a="1"/>
  <c r="M1057" i="59" s="1"/>
  <c r="Q1057" i="59" a="1"/>
  <c r="Q1057" i="59" s="1"/>
  <c r="N1057" i="59" a="1"/>
  <c r="N1057" i="59" s="1"/>
  <c r="P1057" i="59" a="1"/>
  <c r="P1057" i="59" s="1"/>
  <c r="O1057" i="59" a="1"/>
  <c r="O1057" i="59" s="1"/>
  <c r="P1009" i="59" a="1"/>
  <c r="P1009" i="59" s="1"/>
  <c r="M1009" i="59" a="1"/>
  <c r="M1009" i="59" s="1"/>
  <c r="L1009" i="59" a="1"/>
  <c r="L1009" i="59" s="1"/>
  <c r="Q1009" i="59" a="1"/>
  <c r="Q1009" i="59" s="1"/>
  <c r="N1009" i="59" a="1"/>
  <c r="N1009" i="59" s="1"/>
  <c r="O1009" i="59" a="1"/>
  <c r="O1009" i="59" s="1"/>
  <c r="N815" i="59" a="1"/>
  <c r="N815" i="59" s="1"/>
  <c r="M815" i="59" a="1"/>
  <c r="M815" i="59" s="1"/>
  <c r="Q815" i="59" a="1"/>
  <c r="Q815" i="59" s="1"/>
  <c r="O815" i="59" a="1"/>
  <c r="O815" i="59" s="1"/>
  <c r="P815" i="59" a="1"/>
  <c r="P815" i="59" s="1"/>
  <c r="L815" i="59" a="1"/>
  <c r="L815" i="59" s="1"/>
  <c r="M1005" i="59" a="1"/>
  <c r="M1005" i="59" s="1"/>
  <c r="N1005" i="59" a="1"/>
  <c r="N1005" i="59" s="1"/>
  <c r="O1005" i="59" a="1"/>
  <c r="O1005" i="59" s="1"/>
  <c r="P1005" i="59" a="1"/>
  <c r="P1005" i="59" s="1"/>
  <c r="Q1005" i="59" a="1"/>
  <c r="Q1005" i="59" s="1"/>
  <c r="L1005" i="59" a="1"/>
  <c r="L1005" i="59" s="1"/>
  <c r="N941" i="59" a="1"/>
  <c r="N941" i="59" s="1"/>
  <c r="O941" i="59" a="1"/>
  <c r="O941" i="59" s="1"/>
  <c r="M941" i="59" a="1"/>
  <c r="M941" i="59" s="1"/>
  <c r="P941" i="59" a="1"/>
  <c r="P941" i="59" s="1"/>
  <c r="L941" i="59" a="1"/>
  <c r="L941" i="59" s="1"/>
  <c r="Q941" i="59" a="1"/>
  <c r="Q941" i="59" s="1"/>
  <c r="L865" i="59" a="1"/>
  <c r="L865" i="59" s="1"/>
  <c r="P865" i="59" a="1"/>
  <c r="P865" i="59" s="1"/>
  <c r="Q865" i="59" a="1"/>
  <c r="Q865" i="59" s="1"/>
  <c r="N865" i="59" a="1"/>
  <c r="N865" i="59" s="1"/>
  <c r="M865" i="59" a="1"/>
  <c r="M865" i="59" s="1"/>
  <c r="O865" i="59" a="1"/>
  <c r="O865" i="59" s="1"/>
  <c r="P952" i="59" a="1"/>
  <c r="P952" i="59" s="1"/>
  <c r="O952" i="59" a="1"/>
  <c r="O952" i="59" s="1"/>
  <c r="L952" i="59" a="1"/>
  <c r="L952" i="59" s="1"/>
  <c r="N952" i="59" a="1"/>
  <c r="N952" i="59" s="1"/>
  <c r="Q952" i="59" a="1"/>
  <c r="Q952" i="59" s="1"/>
  <c r="M952" i="59" a="1"/>
  <c r="M952" i="59" s="1"/>
  <c r="P888" i="59" a="1"/>
  <c r="P888" i="59" s="1"/>
  <c r="O888" i="59" a="1"/>
  <c r="O888" i="59" s="1"/>
  <c r="L888" i="59" a="1"/>
  <c r="L888" i="59" s="1"/>
  <c r="N888" i="59" a="1"/>
  <c r="N888" i="59" s="1"/>
  <c r="Q888" i="59" a="1"/>
  <c r="Q888" i="59" s="1"/>
  <c r="M888" i="59" a="1"/>
  <c r="M888" i="59" s="1"/>
  <c r="Q1027" i="59" a="1"/>
  <c r="Q1027" i="59" s="1"/>
  <c r="O1027" i="59" a="1"/>
  <c r="O1027" i="59" s="1"/>
  <c r="N1027" i="59" a="1"/>
  <c r="N1027" i="59" s="1"/>
  <c r="L1027" i="59" a="1"/>
  <c r="L1027" i="59" s="1"/>
  <c r="M1027" i="59" a="1"/>
  <c r="M1027" i="59" s="1"/>
  <c r="P1027" i="59" a="1"/>
  <c r="P1027" i="59" s="1"/>
  <c r="O963" i="59" a="1"/>
  <c r="O963" i="59" s="1"/>
  <c r="L963" i="59" a="1"/>
  <c r="L963" i="59" s="1"/>
  <c r="N963" i="59" a="1"/>
  <c r="N963" i="59" s="1"/>
  <c r="P963" i="59" a="1"/>
  <c r="P963" i="59" s="1"/>
  <c r="M963" i="59" a="1"/>
  <c r="M963" i="59" s="1"/>
  <c r="Q963" i="59" a="1"/>
  <c r="Q963" i="59" s="1"/>
  <c r="O899" i="59" a="1"/>
  <c r="O899" i="59" s="1"/>
  <c r="L899" i="59" a="1"/>
  <c r="L899" i="59" s="1"/>
  <c r="N899" i="59" a="1"/>
  <c r="N899" i="59" s="1"/>
  <c r="P899" i="59" a="1"/>
  <c r="P899" i="59" s="1"/>
  <c r="M899" i="59" a="1"/>
  <c r="M899" i="59" s="1"/>
  <c r="Q899" i="59" a="1"/>
  <c r="Q899" i="59" s="1"/>
  <c r="L764" i="59" a="1"/>
  <c r="L764" i="59" s="1"/>
  <c r="P764" i="59" a="1"/>
  <c r="P764" i="59" s="1"/>
  <c r="M764" i="59" a="1"/>
  <c r="M764" i="59" s="1"/>
  <c r="Q764" i="59" a="1"/>
  <c r="Q764" i="59" s="1"/>
  <c r="N764" i="59" a="1"/>
  <c r="N764" i="59" s="1"/>
  <c r="O764" i="59" a="1"/>
  <c r="O764" i="59" s="1"/>
  <c r="L990" i="59" a="1"/>
  <c r="L990" i="59" s="1"/>
  <c r="P990" i="59" a="1"/>
  <c r="P990" i="59" s="1"/>
  <c r="N990" i="59" a="1"/>
  <c r="N990" i="59" s="1"/>
  <c r="Q990" i="59" a="1"/>
  <c r="Q990" i="59" s="1"/>
  <c r="O990" i="59" a="1"/>
  <c r="O990" i="59" s="1"/>
  <c r="M990" i="59" a="1"/>
  <c r="M990" i="59" s="1"/>
  <c r="L926" i="59" a="1"/>
  <c r="L926" i="59" s="1"/>
  <c r="P926" i="59" a="1"/>
  <c r="P926" i="59" s="1"/>
  <c r="Q926" i="59" a="1"/>
  <c r="Q926" i="59" s="1"/>
  <c r="N926" i="59" a="1"/>
  <c r="N926" i="59" s="1"/>
  <c r="M926" i="59" a="1"/>
  <c r="M926" i="59" s="1"/>
  <c r="O926" i="59" a="1"/>
  <c r="O926" i="59" s="1"/>
  <c r="P835" i="59" a="1"/>
  <c r="P835" i="59" s="1"/>
  <c r="O835" i="59" a="1"/>
  <c r="O835" i="59" s="1"/>
  <c r="L835" i="59" a="1"/>
  <c r="L835" i="59" s="1"/>
  <c r="M835" i="59" a="1"/>
  <c r="M835" i="59" s="1"/>
  <c r="Q835" i="59" a="1"/>
  <c r="Q835" i="59" s="1"/>
  <c r="N835" i="59" a="1"/>
  <c r="N835" i="59" s="1"/>
  <c r="N858" i="59" a="1"/>
  <c r="N858" i="59" s="1"/>
  <c r="P858" i="59" a="1"/>
  <c r="P858" i="59" s="1"/>
  <c r="O858" i="59" a="1"/>
  <c r="O858" i="59" s="1"/>
  <c r="Q858" i="59" a="1"/>
  <c r="Q858" i="59" s="1"/>
  <c r="M858" i="59" a="1"/>
  <c r="M858" i="59" s="1"/>
  <c r="L858" i="59" a="1"/>
  <c r="L858" i="59" s="1"/>
  <c r="M794" i="59" a="1"/>
  <c r="M794" i="59" s="1"/>
  <c r="Q794" i="59" a="1"/>
  <c r="Q794" i="59" s="1"/>
  <c r="O794" i="59" a="1"/>
  <c r="O794" i="59" s="1"/>
  <c r="N794" i="59" a="1"/>
  <c r="N794" i="59" s="1"/>
  <c r="L794" i="59" a="1"/>
  <c r="L794" i="59" s="1"/>
  <c r="P794" i="59" a="1"/>
  <c r="P794" i="59" s="1"/>
  <c r="O715" i="59" a="1"/>
  <c r="O715" i="59" s="1"/>
  <c r="M715" i="59" a="1"/>
  <c r="M715" i="59" s="1"/>
  <c r="Q715" i="59" a="1"/>
  <c r="Q715" i="59" s="1"/>
  <c r="L715" i="59" a="1"/>
  <c r="L715" i="59" s="1"/>
  <c r="P715" i="59" a="1"/>
  <c r="P715" i="59" s="1"/>
  <c r="N715" i="59" a="1"/>
  <c r="N715" i="59" s="1"/>
  <c r="N877" i="59" a="1"/>
  <c r="N877" i="59" s="1"/>
  <c r="L877" i="59" a="1"/>
  <c r="L877" i="59" s="1"/>
  <c r="P877" i="59" a="1"/>
  <c r="P877" i="59" s="1"/>
  <c r="M877" i="59" a="1"/>
  <c r="M877" i="59" s="1"/>
  <c r="O877" i="59" a="1"/>
  <c r="O877" i="59" s="1"/>
  <c r="Q877" i="59" a="1"/>
  <c r="Q877" i="59" s="1"/>
  <c r="N813" i="59" a="1"/>
  <c r="N813" i="59" s="1"/>
  <c r="L813" i="59" a="1"/>
  <c r="L813" i="59" s="1"/>
  <c r="Q813" i="59" a="1"/>
  <c r="Q813" i="59" s="1"/>
  <c r="P813" i="59" a="1"/>
  <c r="P813" i="59" s="1"/>
  <c r="M813" i="59" a="1"/>
  <c r="M813" i="59" s="1"/>
  <c r="O813" i="59" a="1"/>
  <c r="O813" i="59" s="1"/>
  <c r="N749" i="59" a="1"/>
  <c r="N749" i="59" s="1"/>
  <c r="O749" i="59" a="1"/>
  <c r="O749" i="59" s="1"/>
  <c r="L749" i="59" a="1"/>
  <c r="L749" i="59" s="1"/>
  <c r="Q749" i="59" a="1"/>
  <c r="Q749" i="59" s="1"/>
  <c r="P749" i="59" a="1"/>
  <c r="P749" i="59" s="1"/>
  <c r="M749" i="59" a="1"/>
  <c r="M749" i="59" s="1"/>
  <c r="M631" i="59" a="1"/>
  <c r="M631" i="59" s="1"/>
  <c r="Q631" i="59" a="1"/>
  <c r="Q631" i="59" s="1"/>
  <c r="O631" i="59" a="1"/>
  <c r="O631" i="59" s="1"/>
  <c r="N631" i="59" a="1"/>
  <c r="N631" i="59" s="1"/>
  <c r="P631" i="59" a="1"/>
  <c r="P631" i="59" s="1"/>
  <c r="L631" i="59" a="1"/>
  <c r="L631" i="59" s="1"/>
  <c r="L832" i="59" a="1"/>
  <c r="L832" i="59" s="1"/>
  <c r="P832" i="59" a="1"/>
  <c r="P832" i="59" s="1"/>
  <c r="Q832" i="59" a="1"/>
  <c r="Q832" i="59" s="1"/>
  <c r="N832" i="59" a="1"/>
  <c r="N832" i="59" s="1"/>
  <c r="M832" i="59" a="1"/>
  <c r="M832" i="59" s="1"/>
  <c r="O832" i="59" a="1"/>
  <c r="O832" i="59" s="1"/>
  <c r="N768" i="59" a="1"/>
  <c r="N768" i="59" s="1"/>
  <c r="L768" i="59" a="1"/>
  <c r="L768" i="59" s="1"/>
  <c r="O768" i="59" a="1"/>
  <c r="O768" i="59" s="1"/>
  <c r="P768" i="59" a="1"/>
  <c r="P768" i="59" s="1"/>
  <c r="Q768" i="59" a="1"/>
  <c r="Q768" i="59" s="1"/>
  <c r="M768" i="59" a="1"/>
  <c r="M768" i="59" s="1"/>
  <c r="P660" i="59" a="1"/>
  <c r="P660" i="59" s="1"/>
  <c r="M660" i="59" a="1"/>
  <c r="M660" i="59" s="1"/>
  <c r="Q660" i="59" a="1"/>
  <c r="Q660" i="59" s="1"/>
  <c r="L660" i="59" a="1"/>
  <c r="L660" i="59" s="1"/>
  <c r="N660" i="59" a="1"/>
  <c r="N660" i="59" s="1"/>
  <c r="O660" i="59" a="1"/>
  <c r="O660" i="59" s="1"/>
  <c r="P787" i="59" a="1"/>
  <c r="P787" i="59" s="1"/>
  <c r="O787" i="59" a="1"/>
  <c r="O787" i="59" s="1"/>
  <c r="L787" i="59" a="1"/>
  <c r="L787" i="59" s="1"/>
  <c r="M787" i="59" a="1"/>
  <c r="M787" i="59" s="1"/>
  <c r="Q787" i="59" a="1"/>
  <c r="Q787" i="59" s="1"/>
  <c r="N787" i="59" a="1"/>
  <c r="N787" i="59" s="1"/>
  <c r="M695" i="59" a="1"/>
  <c r="M695" i="59" s="1"/>
  <c r="Q695" i="59" a="1"/>
  <c r="Q695" i="59" s="1"/>
  <c r="N695" i="59" a="1"/>
  <c r="N695" i="59" s="1"/>
  <c r="O695" i="59" a="1"/>
  <c r="O695" i="59" s="1"/>
  <c r="L695" i="59" a="1"/>
  <c r="L695" i="59" s="1"/>
  <c r="P695" i="59" a="1"/>
  <c r="P695" i="59" s="1"/>
  <c r="Q878" i="59" a="1"/>
  <c r="Q878" i="59" s="1"/>
  <c r="L878" i="59" a="1"/>
  <c r="L878" i="59" s="1"/>
  <c r="N878" i="59" a="1"/>
  <c r="N878" i="59" s="1"/>
  <c r="O878" i="59" a="1"/>
  <c r="O878" i="59" s="1"/>
  <c r="P878" i="59" a="1"/>
  <c r="P878" i="59" s="1"/>
  <c r="M878" i="59" a="1"/>
  <c r="M878" i="59" s="1"/>
  <c r="O814" i="59" a="1"/>
  <c r="O814" i="59" s="1"/>
  <c r="Q814" i="59" a="1"/>
  <c r="Q814" i="59" s="1"/>
  <c r="M814" i="59" a="1"/>
  <c r="M814" i="59" s="1"/>
  <c r="L814" i="59" a="1"/>
  <c r="L814" i="59" s="1"/>
  <c r="P814" i="59" a="1"/>
  <c r="P814" i="59" s="1"/>
  <c r="N814" i="59" a="1"/>
  <c r="N814" i="59" s="1"/>
  <c r="O750" i="59" a="1"/>
  <c r="O750" i="59" s="1"/>
  <c r="Q750" i="59" a="1"/>
  <c r="Q750" i="59" s="1"/>
  <c r="M750" i="59" a="1"/>
  <c r="M750" i="59" s="1"/>
  <c r="L750" i="59" a="1"/>
  <c r="L750" i="59" s="1"/>
  <c r="P750" i="59" a="1"/>
  <c r="P750" i="59" s="1"/>
  <c r="N750" i="59" a="1"/>
  <c r="N750" i="59" s="1"/>
  <c r="P652" i="59" a="1"/>
  <c r="P652" i="59" s="1"/>
  <c r="L652" i="59" a="1"/>
  <c r="L652" i="59" s="1"/>
  <c r="N652" i="59" a="1"/>
  <c r="N652" i="59" s="1"/>
  <c r="M652" i="59" a="1"/>
  <c r="M652" i="59" s="1"/>
  <c r="O652" i="59" a="1"/>
  <c r="O652" i="59" s="1"/>
  <c r="Q652" i="59" a="1"/>
  <c r="Q652" i="59" s="1"/>
  <c r="M785" i="59" a="1"/>
  <c r="M785" i="59" s="1"/>
  <c r="N785" i="59" a="1"/>
  <c r="N785" i="59" s="1"/>
  <c r="P785" i="59" a="1"/>
  <c r="P785" i="59" s="1"/>
  <c r="Q785" i="59" a="1"/>
  <c r="Q785" i="59" s="1"/>
  <c r="L785" i="59" a="1"/>
  <c r="L785" i="59" s="1"/>
  <c r="O785" i="59" a="1"/>
  <c r="O785" i="59" s="1"/>
  <c r="L697" i="59" a="1"/>
  <c r="L697" i="59" s="1"/>
  <c r="M697" i="59" a="1"/>
  <c r="M697" i="59" s="1"/>
  <c r="P697" i="59" a="1"/>
  <c r="P697" i="59" s="1"/>
  <c r="Q697" i="59" a="1"/>
  <c r="Q697" i="59" s="1"/>
  <c r="N697" i="59" a="1"/>
  <c r="N697" i="59" s="1"/>
  <c r="O697" i="59" a="1"/>
  <c r="O697" i="59" s="1"/>
  <c r="O714" i="59" a="1"/>
  <c r="O714" i="59" s="1"/>
  <c r="M714" i="59" a="1"/>
  <c r="M714" i="59" s="1"/>
  <c r="N714" i="59" a="1"/>
  <c r="N714" i="59" s="1"/>
  <c r="P714" i="59" a="1"/>
  <c r="P714" i="59" s="1"/>
  <c r="L714" i="59" a="1"/>
  <c r="L714" i="59" s="1"/>
  <c r="Q714" i="59" a="1"/>
  <c r="Q714" i="59" s="1"/>
  <c r="Q650" i="59" a="1"/>
  <c r="Q650" i="59" s="1"/>
  <c r="O650" i="59" a="1"/>
  <c r="O650" i="59" s="1"/>
  <c r="M650" i="59" a="1"/>
  <c r="M650" i="59" s="1"/>
  <c r="N650" i="59" a="1"/>
  <c r="N650" i="59" s="1"/>
  <c r="P650" i="59" a="1"/>
  <c r="P650" i="59" s="1"/>
  <c r="L650" i="59" a="1"/>
  <c r="L650" i="59" s="1"/>
  <c r="L574" i="59" a="1"/>
  <c r="L574" i="59" s="1"/>
  <c r="O574" i="59" a="1"/>
  <c r="O574" i="59" s="1"/>
  <c r="P574" i="59" a="1"/>
  <c r="P574" i="59" s="1"/>
  <c r="M574" i="59" a="1"/>
  <c r="M574" i="59" s="1"/>
  <c r="Q574" i="59" a="1"/>
  <c r="Q574" i="59" s="1"/>
  <c r="N574" i="59" a="1"/>
  <c r="N574" i="59" s="1"/>
  <c r="N685" i="59" a="1"/>
  <c r="N685" i="59" s="1"/>
  <c r="L685" i="59" a="1"/>
  <c r="L685" i="59" s="1"/>
  <c r="O685" i="59" a="1"/>
  <c r="O685" i="59" s="1"/>
  <c r="P685" i="59" a="1"/>
  <c r="P685" i="59" s="1"/>
  <c r="M685" i="59" a="1"/>
  <c r="M685" i="59" s="1"/>
  <c r="Q685" i="59" a="1"/>
  <c r="Q685" i="59" s="1"/>
  <c r="N621" i="59" a="1"/>
  <c r="N621" i="59" s="1"/>
  <c r="O621" i="59" a="1"/>
  <c r="O621" i="59" s="1"/>
  <c r="L621" i="59" a="1"/>
  <c r="L621" i="59" s="1"/>
  <c r="P621" i="59" a="1"/>
  <c r="P621" i="59" s="1"/>
  <c r="Q621" i="59" a="1"/>
  <c r="Q621" i="59" s="1"/>
  <c r="M621" i="59" a="1"/>
  <c r="M621" i="59" s="1"/>
  <c r="L736" i="59" a="1"/>
  <c r="L736" i="59" s="1"/>
  <c r="P736" i="59" a="1"/>
  <c r="P736" i="59" s="1"/>
  <c r="N736" i="59" a="1"/>
  <c r="N736" i="59" s="1"/>
  <c r="O736" i="59" a="1"/>
  <c r="O736" i="59" s="1"/>
  <c r="Q736" i="59" a="1"/>
  <c r="Q736" i="59" s="1"/>
  <c r="M736" i="59" a="1"/>
  <c r="M736" i="59" s="1"/>
  <c r="L672" i="59" a="1"/>
  <c r="L672" i="59" s="1"/>
  <c r="P672" i="59" a="1"/>
  <c r="P672" i="59" s="1"/>
  <c r="N672" i="59" a="1"/>
  <c r="N672" i="59" s="1"/>
  <c r="Q672" i="59" a="1"/>
  <c r="Q672" i="59" s="1"/>
  <c r="O672" i="59" a="1"/>
  <c r="O672" i="59" s="1"/>
  <c r="M672" i="59" a="1"/>
  <c r="M672" i="59" s="1"/>
  <c r="N608" i="59" a="1"/>
  <c r="N608" i="59" s="1"/>
  <c r="O608" i="59" a="1"/>
  <c r="O608" i="59" s="1"/>
  <c r="L608" i="59" a="1"/>
  <c r="L608" i="59" s="1"/>
  <c r="Q608" i="59" a="1"/>
  <c r="Q608" i="59" s="1"/>
  <c r="P608" i="59" a="1"/>
  <c r="P608" i="59" s="1"/>
  <c r="M608" i="59" a="1"/>
  <c r="M608" i="59" s="1"/>
  <c r="O659" i="59" a="1"/>
  <c r="O659" i="59" s="1"/>
  <c r="M659" i="59" a="1"/>
  <c r="M659" i="59" s="1"/>
  <c r="Q659" i="59" a="1"/>
  <c r="Q659" i="59" s="1"/>
  <c r="L659" i="59" a="1"/>
  <c r="L659" i="59" s="1"/>
  <c r="P659" i="59" a="1"/>
  <c r="P659" i="59" s="1"/>
  <c r="N659" i="59" a="1"/>
  <c r="N659" i="59" s="1"/>
  <c r="O576" i="59" a="1"/>
  <c r="O576" i="59" s="1"/>
  <c r="Q576" i="59" a="1"/>
  <c r="Q576" i="59" s="1"/>
  <c r="L576" i="59" a="1"/>
  <c r="L576" i="59" s="1"/>
  <c r="P576" i="59" a="1"/>
  <c r="P576" i="59" s="1"/>
  <c r="M576" i="59" a="1"/>
  <c r="M576" i="59" s="1"/>
  <c r="N576" i="59" a="1"/>
  <c r="N576" i="59" s="1"/>
  <c r="M702" i="59" a="1"/>
  <c r="M702" i="59" s="1"/>
  <c r="Q702" i="59" a="1"/>
  <c r="Q702" i="59" s="1"/>
  <c r="N702" i="59" a="1"/>
  <c r="N702" i="59" s="1"/>
  <c r="L702" i="59" a="1"/>
  <c r="L702" i="59" s="1"/>
  <c r="O702" i="59" a="1"/>
  <c r="O702" i="59" s="1"/>
  <c r="P702" i="59" a="1"/>
  <c r="P702" i="59" s="1"/>
  <c r="M638" i="59" a="1"/>
  <c r="M638" i="59" s="1"/>
  <c r="Q638" i="59" a="1"/>
  <c r="Q638" i="59" s="1"/>
  <c r="O638" i="59" a="1"/>
  <c r="O638" i="59" s="1"/>
  <c r="L638" i="59" a="1"/>
  <c r="L638" i="59" s="1"/>
  <c r="P638" i="59" a="1"/>
  <c r="P638" i="59" s="1"/>
  <c r="N638" i="59" a="1"/>
  <c r="N638" i="59" s="1"/>
  <c r="N533" i="59" a="1"/>
  <c r="N533" i="59" s="1"/>
  <c r="L533" i="59" a="1"/>
  <c r="L533" i="59" s="1"/>
  <c r="O533" i="59" a="1"/>
  <c r="O533" i="59" s="1"/>
  <c r="M533" i="59" a="1"/>
  <c r="M533" i="59" s="1"/>
  <c r="Q533" i="59" a="1"/>
  <c r="Q533" i="59" s="1"/>
  <c r="P533" i="59" a="1"/>
  <c r="P533" i="59" s="1"/>
  <c r="L617" i="59" a="1"/>
  <c r="L617" i="59" s="1"/>
  <c r="N617" i="59" a="1"/>
  <c r="N617" i="59" s="1"/>
  <c r="O617" i="59" a="1"/>
  <c r="O617" i="59" s="1"/>
  <c r="P617" i="59" a="1"/>
  <c r="P617" i="59" s="1"/>
  <c r="M617" i="59" a="1"/>
  <c r="M617" i="59" s="1"/>
  <c r="Q617" i="59" a="1"/>
  <c r="Q617" i="59" s="1"/>
  <c r="O607" i="59" a="1"/>
  <c r="O607" i="59" s="1"/>
  <c r="L607" i="59" a="1"/>
  <c r="L607" i="59" s="1"/>
  <c r="P607" i="59" a="1"/>
  <c r="P607" i="59" s="1"/>
  <c r="M607" i="59" a="1"/>
  <c r="M607" i="59" s="1"/>
  <c r="Q607" i="59" a="1"/>
  <c r="Q607" i="59" s="1"/>
  <c r="N607" i="59" a="1"/>
  <c r="N607" i="59" s="1"/>
  <c r="O543" i="59" a="1"/>
  <c r="O543" i="59" s="1"/>
  <c r="Q543" i="59" a="1"/>
  <c r="Q543" i="59" s="1"/>
  <c r="N543" i="59" a="1"/>
  <c r="N543" i="59" s="1"/>
  <c r="M543" i="59" a="1"/>
  <c r="M543" i="59" s="1"/>
  <c r="P543" i="59" a="1"/>
  <c r="P543" i="59" s="1"/>
  <c r="L543" i="59" a="1"/>
  <c r="L543" i="59" s="1"/>
  <c r="N586" i="59" a="1"/>
  <c r="N586" i="59" s="1"/>
  <c r="P586" i="59" a="1"/>
  <c r="P586" i="59" s="1"/>
  <c r="Q586" i="59" a="1"/>
  <c r="Q586" i="59" s="1"/>
  <c r="O586" i="59" a="1"/>
  <c r="O586" i="59" s="1"/>
  <c r="M586" i="59" a="1"/>
  <c r="M586" i="59" s="1"/>
  <c r="L586" i="59" a="1"/>
  <c r="L586" i="59" s="1"/>
  <c r="O509" i="59" a="1"/>
  <c r="O509" i="59" s="1"/>
  <c r="P509" i="59" a="1"/>
  <c r="P509" i="59" s="1"/>
  <c r="L509" i="59" a="1"/>
  <c r="L509" i="59" s="1"/>
  <c r="N509" i="59" a="1"/>
  <c r="N509" i="59" s="1"/>
  <c r="Q509" i="59" a="1"/>
  <c r="Q509" i="59" s="1"/>
  <c r="M509" i="59" a="1"/>
  <c r="M509" i="59" s="1"/>
  <c r="Q573" i="59" a="1"/>
  <c r="Q573" i="59" s="1"/>
  <c r="M573" i="59" a="1"/>
  <c r="M573" i="59" s="1"/>
  <c r="N573" i="59" a="1"/>
  <c r="N573" i="59" s="1"/>
  <c r="L573" i="59" a="1"/>
  <c r="L573" i="59" s="1"/>
  <c r="O573" i="59" a="1"/>
  <c r="O573" i="59" s="1"/>
  <c r="P573" i="59" a="1"/>
  <c r="P573" i="59" s="1"/>
  <c r="O426" i="59" a="1"/>
  <c r="O426" i="59" s="1"/>
  <c r="M426" i="59" a="1"/>
  <c r="M426" i="59" s="1"/>
  <c r="L426" i="59" a="1"/>
  <c r="L426" i="59" s="1"/>
  <c r="Q426" i="59" a="1"/>
  <c r="Q426" i="59" s="1"/>
  <c r="P426" i="59" a="1"/>
  <c r="P426" i="59" s="1"/>
  <c r="N426" i="59" a="1"/>
  <c r="N426" i="59" s="1"/>
  <c r="O579" i="59" a="1"/>
  <c r="O579" i="59" s="1"/>
  <c r="M579" i="59" a="1"/>
  <c r="M579" i="59" s="1"/>
  <c r="P579" i="59" a="1"/>
  <c r="P579" i="59" s="1"/>
  <c r="Q579" i="59" a="1"/>
  <c r="Q579" i="59" s="1"/>
  <c r="L579" i="59" a="1"/>
  <c r="L579" i="59" s="1"/>
  <c r="N579" i="59" a="1"/>
  <c r="N579" i="59" s="1"/>
  <c r="O450" i="59" a="1"/>
  <c r="O450" i="59" s="1"/>
  <c r="P450" i="59" a="1"/>
  <c r="P450" i="59" s="1"/>
  <c r="N450" i="59" a="1"/>
  <c r="N450" i="59" s="1"/>
  <c r="Q450" i="59" a="1"/>
  <c r="Q450" i="59" s="1"/>
  <c r="M450" i="59" a="1"/>
  <c r="M450" i="59" s="1"/>
  <c r="L450" i="59" a="1"/>
  <c r="L450" i="59" s="1"/>
  <c r="N542" i="59" a="1"/>
  <c r="N542" i="59" s="1"/>
  <c r="Q542" i="59" a="1"/>
  <c r="Q542" i="59" s="1"/>
  <c r="M542" i="59" a="1"/>
  <c r="M542" i="59" s="1"/>
  <c r="L542" i="59" a="1"/>
  <c r="L542" i="59" s="1"/>
  <c r="P542" i="59" a="1"/>
  <c r="P542" i="59" s="1"/>
  <c r="O542" i="59" a="1"/>
  <c r="O542" i="59" s="1"/>
  <c r="O481" i="59" a="1"/>
  <c r="O481" i="59" s="1"/>
  <c r="Q481" i="59" a="1"/>
  <c r="Q481" i="59" s="1"/>
  <c r="N481" i="59" a="1"/>
  <c r="N481" i="59" s="1"/>
  <c r="P481" i="59" a="1"/>
  <c r="P481" i="59" s="1"/>
  <c r="M481" i="59" a="1"/>
  <c r="M481" i="59" s="1"/>
  <c r="L481" i="59" a="1"/>
  <c r="L481" i="59" s="1"/>
  <c r="O519" i="59" a="1"/>
  <c r="O519" i="59" s="1"/>
  <c r="M519" i="59" a="1"/>
  <c r="M519" i="59" s="1"/>
  <c r="Q519" i="59" a="1"/>
  <c r="Q519" i="59" s="1"/>
  <c r="P519" i="59" a="1"/>
  <c r="P519" i="59" s="1"/>
  <c r="N519" i="59" a="1"/>
  <c r="N519" i="59" s="1"/>
  <c r="L519" i="59" a="1"/>
  <c r="L519" i="59" s="1"/>
  <c r="M430" i="59" a="1"/>
  <c r="M430" i="59" s="1"/>
  <c r="N430" i="59" a="1"/>
  <c r="N430" i="59" s="1"/>
  <c r="O430" i="59" a="1"/>
  <c r="O430" i="59" s="1"/>
  <c r="P430" i="59" a="1"/>
  <c r="P430" i="59" s="1"/>
  <c r="L430" i="59" a="1"/>
  <c r="L430" i="59" s="1"/>
  <c r="Q430" i="59" a="1"/>
  <c r="Q430" i="59" s="1"/>
  <c r="L498" i="59" a="1"/>
  <c r="L498" i="59" s="1"/>
  <c r="P498" i="59" a="1"/>
  <c r="P498" i="59" s="1"/>
  <c r="Q498" i="59" a="1"/>
  <c r="Q498" i="59" s="1"/>
  <c r="O498" i="59" a="1"/>
  <c r="O498" i="59" s="1"/>
  <c r="N498" i="59" a="1"/>
  <c r="N498" i="59" s="1"/>
  <c r="M498" i="59" a="1"/>
  <c r="M498" i="59" s="1"/>
  <c r="P442" i="59" a="1"/>
  <c r="P442" i="59" s="1"/>
  <c r="O442" i="59" a="1"/>
  <c r="O442" i="59" s="1"/>
  <c r="L442" i="59" a="1"/>
  <c r="L442" i="59" s="1"/>
  <c r="Q442" i="59" a="1"/>
  <c r="Q442" i="59" s="1"/>
  <c r="M442" i="59" a="1"/>
  <c r="M442" i="59" s="1"/>
  <c r="N442" i="59" a="1"/>
  <c r="N442" i="59" s="1"/>
  <c r="M496" i="59" a="1"/>
  <c r="M496" i="59" s="1"/>
  <c r="Q496" i="59" a="1"/>
  <c r="Q496" i="59" s="1"/>
  <c r="L496" i="59" a="1"/>
  <c r="L496" i="59" s="1"/>
  <c r="N496" i="59" a="1"/>
  <c r="N496" i="59" s="1"/>
  <c r="O496" i="59" a="1"/>
  <c r="O496" i="59" s="1"/>
  <c r="P496" i="59" a="1"/>
  <c r="P496" i="59" s="1"/>
  <c r="N438" i="59" a="1"/>
  <c r="N438" i="59" s="1"/>
  <c r="M438" i="59" a="1"/>
  <c r="M438" i="59" s="1"/>
  <c r="Q438" i="59" a="1"/>
  <c r="Q438" i="59" s="1"/>
  <c r="L438" i="59" a="1"/>
  <c r="L438" i="59" s="1"/>
  <c r="O438" i="59" a="1"/>
  <c r="O438" i="59" s="1"/>
  <c r="P438" i="59" a="1"/>
  <c r="P438" i="59" s="1"/>
  <c r="N436" i="59" a="1"/>
  <c r="N436" i="59" s="1"/>
  <c r="O436" i="59" a="1"/>
  <c r="O436" i="59" s="1"/>
  <c r="M436" i="59" a="1"/>
  <c r="M436" i="59" s="1"/>
  <c r="Q436" i="59" a="1"/>
  <c r="Q436" i="59" s="1"/>
  <c r="L436" i="59" a="1"/>
  <c r="L436" i="59" s="1"/>
  <c r="P436" i="59" a="1"/>
  <c r="P436" i="59" s="1"/>
  <c r="N479" i="59" a="1"/>
  <c r="N479" i="59" s="1"/>
  <c r="L479" i="59" a="1"/>
  <c r="L479" i="59" s="1"/>
  <c r="P479" i="59" a="1"/>
  <c r="P479" i="59" s="1"/>
  <c r="Q479" i="59" a="1"/>
  <c r="Q479" i="59" s="1"/>
  <c r="M479" i="59" a="1"/>
  <c r="M479" i="59" s="1"/>
  <c r="O479" i="59" a="1"/>
  <c r="O479" i="59" s="1"/>
  <c r="M399" i="59" a="1"/>
  <c r="M399" i="59" s="1"/>
  <c r="P399" i="59" a="1"/>
  <c r="P399" i="59" s="1"/>
  <c r="Q399" i="59" a="1"/>
  <c r="Q399" i="59" s="1"/>
  <c r="N399" i="59" a="1"/>
  <c r="N399" i="59" s="1"/>
  <c r="L399" i="59" a="1"/>
  <c r="L399" i="59" s="1"/>
  <c r="O399" i="59" a="1"/>
  <c r="O399" i="59" s="1"/>
  <c r="M477" i="59" a="1"/>
  <c r="M477" i="59" s="1"/>
  <c r="Q477" i="59" a="1"/>
  <c r="Q477" i="59" s="1"/>
  <c r="N477" i="59" a="1"/>
  <c r="N477" i="59" s="1"/>
  <c r="O477" i="59" a="1"/>
  <c r="O477" i="59" s="1"/>
  <c r="P477" i="59" a="1"/>
  <c r="P477" i="59" s="1"/>
  <c r="L477" i="59" a="1"/>
  <c r="L477" i="59" s="1"/>
  <c r="P411" i="59" a="1"/>
  <c r="P411" i="59" s="1"/>
  <c r="L411" i="59" a="1"/>
  <c r="L411" i="59" s="1"/>
  <c r="O411" i="59" a="1"/>
  <c r="O411" i="59" s="1"/>
  <c r="Q411" i="59" a="1"/>
  <c r="Q411" i="59" s="1"/>
  <c r="N411" i="59" a="1"/>
  <c r="N411" i="59" s="1"/>
  <c r="M411" i="59" a="1"/>
  <c r="M411" i="59" s="1"/>
  <c r="L472" i="59" a="1"/>
  <c r="L472" i="59" s="1"/>
  <c r="Q472" i="59" a="1"/>
  <c r="Q472" i="59" s="1"/>
  <c r="N472" i="59" a="1"/>
  <c r="N472" i="59" s="1"/>
  <c r="P472" i="59" a="1"/>
  <c r="P472" i="59" s="1"/>
  <c r="M472" i="59" a="1"/>
  <c r="M472" i="59" s="1"/>
  <c r="O472" i="59" a="1"/>
  <c r="O472" i="59" s="1"/>
  <c r="L380" i="59" a="1"/>
  <c r="L380" i="59" s="1"/>
  <c r="P380" i="59" a="1"/>
  <c r="P380" i="59" s="1"/>
  <c r="N380" i="59" a="1"/>
  <c r="N380" i="59" s="1"/>
  <c r="M380" i="59" a="1"/>
  <c r="M380" i="59" s="1"/>
  <c r="Q380" i="59" a="1"/>
  <c r="Q380" i="59" s="1"/>
  <c r="O380" i="59" a="1"/>
  <c r="O380" i="59" s="1"/>
  <c r="O405" i="59" a="1"/>
  <c r="O405" i="59" s="1"/>
  <c r="N405" i="59" a="1"/>
  <c r="N405" i="59" s="1"/>
  <c r="L405" i="59" a="1"/>
  <c r="L405" i="59" s="1"/>
  <c r="P405" i="59" a="1"/>
  <c r="P405" i="59" s="1"/>
  <c r="Q405" i="59" a="1"/>
  <c r="Q405" i="59" s="1"/>
  <c r="M405" i="59" a="1"/>
  <c r="M405" i="59" s="1"/>
  <c r="M317" i="59" a="1"/>
  <c r="M317" i="59" s="1"/>
  <c r="N317" i="59" a="1"/>
  <c r="N317" i="59" s="1"/>
  <c r="Q317" i="59" a="1"/>
  <c r="Q317" i="59" s="1"/>
  <c r="O317" i="59" a="1"/>
  <c r="O317" i="59" s="1"/>
  <c r="P317" i="59" a="1"/>
  <c r="P317" i="59" s="1"/>
  <c r="L317" i="59" a="1"/>
  <c r="L317" i="59" s="1"/>
  <c r="P384" i="59" a="1"/>
  <c r="P384" i="59" s="1"/>
  <c r="L384" i="59" a="1"/>
  <c r="L384" i="59" s="1"/>
  <c r="M384" i="59" a="1"/>
  <c r="M384" i="59" s="1"/>
  <c r="N384" i="59" a="1"/>
  <c r="N384" i="59" s="1"/>
  <c r="Q384" i="59" a="1"/>
  <c r="Q384" i="59" s="1"/>
  <c r="O384" i="59" a="1"/>
  <c r="O384" i="59" s="1"/>
  <c r="M303" i="59" a="1"/>
  <c r="M303" i="59" s="1"/>
  <c r="L303" i="59" a="1"/>
  <c r="L303" i="59" s="1"/>
  <c r="Q303" i="59" a="1"/>
  <c r="Q303" i="59" s="1"/>
  <c r="P303" i="59" a="1"/>
  <c r="P303" i="59" s="1"/>
  <c r="N303" i="59" a="1"/>
  <c r="N303" i="59" s="1"/>
  <c r="O303" i="59" a="1"/>
  <c r="O303" i="59" s="1"/>
  <c r="O382" i="59" a="1"/>
  <c r="O382" i="59" s="1"/>
  <c r="M382" i="59" a="1"/>
  <c r="M382" i="59" s="1"/>
  <c r="Q382" i="59" a="1"/>
  <c r="Q382" i="59" s="1"/>
  <c r="N382" i="59" a="1"/>
  <c r="N382" i="59" s="1"/>
  <c r="P382" i="59" a="1"/>
  <c r="P382" i="59" s="1"/>
  <c r="L382" i="59" a="1"/>
  <c r="L382" i="59" s="1"/>
  <c r="M425" i="59" a="1"/>
  <c r="M425" i="59" s="1"/>
  <c r="P425" i="59" a="1"/>
  <c r="P425" i="59" s="1"/>
  <c r="Q425" i="59" a="1"/>
  <c r="Q425" i="59" s="1"/>
  <c r="L425" i="59" a="1"/>
  <c r="L425" i="59" s="1"/>
  <c r="N425" i="59" a="1"/>
  <c r="N425" i="59" s="1"/>
  <c r="O425" i="59" a="1"/>
  <c r="O425" i="59" s="1"/>
  <c r="M357" i="59" a="1"/>
  <c r="M357" i="59" s="1"/>
  <c r="N357" i="59" a="1"/>
  <c r="N357" i="59" s="1"/>
  <c r="Q357" i="59" a="1"/>
  <c r="Q357" i="59" s="1"/>
  <c r="L357" i="59" a="1"/>
  <c r="L357" i="59" s="1"/>
  <c r="P357" i="59" a="1"/>
  <c r="P357" i="59" s="1"/>
  <c r="O357" i="59" a="1"/>
  <c r="O357" i="59" s="1"/>
  <c r="N352" i="59" a="1"/>
  <c r="N352" i="59" s="1"/>
  <c r="M352" i="59" a="1"/>
  <c r="M352" i="59" s="1"/>
  <c r="P352" i="59" a="1"/>
  <c r="P352" i="59" s="1"/>
  <c r="O352" i="59" a="1"/>
  <c r="O352" i="59" s="1"/>
  <c r="L352" i="59" a="1"/>
  <c r="L352" i="59" s="1"/>
  <c r="Q352" i="59" a="1"/>
  <c r="Q352" i="59" s="1"/>
  <c r="N288" i="59" a="1"/>
  <c r="N288" i="59" s="1"/>
  <c r="O288" i="59" a="1"/>
  <c r="O288" i="59" s="1"/>
  <c r="M288" i="59" a="1"/>
  <c r="M288" i="59" s="1"/>
  <c r="Q288" i="59" a="1"/>
  <c r="Q288" i="59" s="1"/>
  <c r="P288" i="59" a="1"/>
  <c r="P288" i="59" s="1"/>
  <c r="L288" i="59" a="1"/>
  <c r="L288" i="59" s="1"/>
  <c r="N331" i="59" a="1"/>
  <c r="N331" i="59" s="1"/>
  <c r="O331" i="59" a="1"/>
  <c r="O331" i="59" s="1"/>
  <c r="P331" i="59" a="1"/>
  <c r="P331" i="59" s="1"/>
  <c r="M331" i="59" a="1"/>
  <c r="M331" i="59" s="1"/>
  <c r="Q331" i="59" a="1"/>
  <c r="Q331" i="59" s="1"/>
  <c r="L331" i="59" a="1"/>
  <c r="L331" i="59" s="1"/>
  <c r="O233" i="59" a="1"/>
  <c r="O233" i="59" s="1"/>
  <c r="N233" i="59" a="1"/>
  <c r="N233" i="59" s="1"/>
  <c r="L233" i="59" a="1"/>
  <c r="L233" i="59" s="1"/>
  <c r="M233" i="59" a="1"/>
  <c r="M233" i="59" s="1"/>
  <c r="P233" i="59" a="1"/>
  <c r="P233" i="59" s="1"/>
  <c r="Q233" i="59" a="1"/>
  <c r="Q233" i="59" s="1"/>
  <c r="L310" i="59" a="1"/>
  <c r="L310" i="59" s="1"/>
  <c r="P310" i="59" a="1"/>
  <c r="P310" i="59" s="1"/>
  <c r="O310" i="59" a="1"/>
  <c r="O310" i="59" s="1"/>
  <c r="N310" i="59" a="1"/>
  <c r="N310" i="59" s="1"/>
  <c r="M310" i="59" a="1"/>
  <c r="M310" i="59" s="1"/>
  <c r="Q310" i="59" a="1"/>
  <c r="Q310" i="59" s="1"/>
  <c r="L297" i="59" a="1"/>
  <c r="L297" i="59" s="1"/>
  <c r="O297" i="59" a="1"/>
  <c r="O297" i="59" s="1"/>
  <c r="P297" i="59" a="1"/>
  <c r="P297" i="59" s="1"/>
  <c r="M297" i="59" a="1"/>
  <c r="M297" i="59" s="1"/>
  <c r="Q297" i="59" a="1"/>
  <c r="Q297" i="59" s="1"/>
  <c r="N297" i="59" a="1"/>
  <c r="N297" i="59" s="1"/>
  <c r="M332" i="59" a="1"/>
  <c r="M332" i="59" s="1"/>
  <c r="Q332" i="59" a="1"/>
  <c r="Q332" i="59" s="1"/>
  <c r="P332" i="59" a="1"/>
  <c r="P332" i="59" s="1"/>
  <c r="L332" i="59" a="1"/>
  <c r="L332" i="59" s="1"/>
  <c r="N332" i="59" a="1"/>
  <c r="N332" i="59" s="1"/>
  <c r="O332" i="59" a="1"/>
  <c r="O332" i="59" s="1"/>
  <c r="M160" i="59" a="1"/>
  <c r="M160" i="59" s="1"/>
  <c r="P160" i="59" a="1"/>
  <c r="P160" i="59" s="1"/>
  <c r="N160" i="59" a="1"/>
  <c r="N160" i="59" s="1"/>
  <c r="L160" i="59" a="1"/>
  <c r="L160" i="59" s="1"/>
  <c r="Q160" i="59" a="1"/>
  <c r="Q160" i="59" s="1"/>
  <c r="O160" i="59" a="1"/>
  <c r="O160" i="59" s="1"/>
  <c r="M253" i="59" a="1"/>
  <c r="M253" i="59" s="1"/>
  <c r="Q253" i="59" a="1"/>
  <c r="Q253" i="59" s="1"/>
  <c r="N253" i="59" a="1"/>
  <c r="N253" i="59" s="1"/>
  <c r="L253" i="59" a="1"/>
  <c r="L253" i="59" s="1"/>
  <c r="O253" i="59" a="1"/>
  <c r="O253" i="59" s="1"/>
  <c r="P253" i="59" a="1"/>
  <c r="P253" i="59" s="1"/>
  <c r="P225" i="59" a="1"/>
  <c r="P225" i="59" s="1"/>
  <c r="Q225" i="59" a="1"/>
  <c r="Q225" i="59" s="1"/>
  <c r="N225" i="59" a="1"/>
  <c r="N225" i="59" s="1"/>
  <c r="O225" i="59" a="1"/>
  <c r="O225" i="59" s="1"/>
  <c r="L225" i="59" a="1"/>
  <c r="L225" i="59" s="1"/>
  <c r="M225" i="59" a="1"/>
  <c r="M225" i="59" s="1"/>
  <c r="Q215" i="59" a="1"/>
  <c r="Q215" i="59" s="1"/>
  <c r="N215" i="59" a="1"/>
  <c r="N215" i="59" s="1"/>
  <c r="O215" i="59" a="1"/>
  <c r="O215" i="59" s="1"/>
  <c r="L215" i="59" a="1"/>
  <c r="L215" i="59" s="1"/>
  <c r="P215" i="59" a="1"/>
  <c r="P215" i="59" s="1"/>
  <c r="M215" i="59" a="1"/>
  <c r="M215" i="59" s="1"/>
  <c r="O265" i="59" a="1"/>
  <c r="O265" i="59" s="1"/>
  <c r="L265" i="59" a="1"/>
  <c r="L265" i="59" s="1"/>
  <c r="P265" i="59" a="1"/>
  <c r="P265" i="59" s="1"/>
  <c r="M265" i="59" a="1"/>
  <c r="M265" i="59" s="1"/>
  <c r="Q265" i="59" a="1"/>
  <c r="Q265" i="59" s="1"/>
  <c r="N265" i="59" a="1"/>
  <c r="N265" i="59" s="1"/>
  <c r="L260" i="59" a="1"/>
  <c r="L260" i="59" s="1"/>
  <c r="P260" i="59" a="1"/>
  <c r="P260" i="59" s="1"/>
  <c r="M260" i="59" a="1"/>
  <c r="M260" i="59" s="1"/>
  <c r="Q260" i="59" a="1"/>
  <c r="Q260" i="59" s="1"/>
  <c r="N260" i="59" a="1"/>
  <c r="N260" i="59" s="1"/>
  <c r="O260" i="59" a="1"/>
  <c r="O260" i="59" s="1"/>
  <c r="P240" i="59" a="1"/>
  <c r="P240" i="59" s="1"/>
  <c r="Q240" i="59" a="1"/>
  <c r="Q240" i="59" s="1"/>
  <c r="M240" i="59" a="1"/>
  <c r="M240" i="59" s="1"/>
  <c r="O240" i="59" a="1"/>
  <c r="O240" i="59" s="1"/>
  <c r="N240" i="59" a="1"/>
  <c r="N240" i="59" s="1"/>
  <c r="L240" i="59" a="1"/>
  <c r="L240" i="59" s="1"/>
  <c r="P219" i="59" a="1"/>
  <c r="P219" i="59" s="1"/>
  <c r="O219" i="59" a="1"/>
  <c r="O219" i="59" s="1"/>
  <c r="L219" i="59" a="1"/>
  <c r="L219" i="59" s="1"/>
  <c r="M219" i="59" a="1"/>
  <c r="M219" i="59" s="1"/>
  <c r="Q219" i="59" a="1"/>
  <c r="Q219" i="59" s="1"/>
  <c r="N219" i="59" a="1"/>
  <c r="N219" i="59" s="1"/>
  <c r="N214" i="59" a="1"/>
  <c r="N214" i="59" s="1"/>
  <c r="P214" i="59" a="1"/>
  <c r="P214" i="59" s="1"/>
  <c r="Q214" i="59" a="1"/>
  <c r="Q214" i="59" s="1"/>
  <c r="L214" i="59" a="1"/>
  <c r="L214" i="59" s="1"/>
  <c r="O214" i="59" a="1"/>
  <c r="O214" i="59" s="1"/>
  <c r="M214" i="59" a="1"/>
  <c r="M214" i="59" s="1"/>
  <c r="P212" i="59" a="1"/>
  <c r="P212" i="59" s="1"/>
  <c r="Q212" i="59" a="1"/>
  <c r="Q212" i="59" s="1"/>
  <c r="L212" i="59" a="1"/>
  <c r="L212" i="59" s="1"/>
  <c r="N212" i="59" a="1"/>
  <c r="N212" i="59" s="1"/>
  <c r="O212" i="59" a="1"/>
  <c r="O212" i="59" s="1"/>
  <c r="M212" i="59" a="1"/>
  <c r="M212" i="59" s="1"/>
  <c r="M226" i="59" a="1"/>
  <c r="M226" i="59" s="1"/>
  <c r="N226" i="59" a="1"/>
  <c r="N226" i="59" s="1"/>
  <c r="L226" i="59" a="1"/>
  <c r="L226" i="59" s="1"/>
  <c r="P226" i="59" a="1"/>
  <c r="P226" i="59" s="1"/>
  <c r="O226" i="59" a="1"/>
  <c r="O226" i="59" s="1"/>
  <c r="Q226" i="59" a="1"/>
  <c r="Q226" i="59" s="1"/>
  <c r="O162" i="59" a="1"/>
  <c r="O162" i="59" s="1"/>
  <c r="Q162" i="59" a="1"/>
  <c r="Q162" i="59" s="1"/>
  <c r="M162" i="59" a="1"/>
  <c r="M162" i="59" s="1"/>
  <c r="N162" i="59" a="1"/>
  <c r="N162" i="59" s="1"/>
  <c r="L162" i="59" a="1"/>
  <c r="L162" i="59" s="1"/>
  <c r="P162" i="59" a="1"/>
  <c r="P162" i="59" s="1"/>
  <c r="M144" i="59" a="1"/>
  <c r="M144" i="59" s="1"/>
  <c r="O144" i="59" a="1"/>
  <c r="O144" i="59" s="1"/>
  <c r="N144" i="59" a="1"/>
  <c r="N144" i="59" s="1"/>
  <c r="Q144" i="59" a="1"/>
  <c r="Q144" i="59" s="1"/>
  <c r="L144" i="59" a="1"/>
  <c r="L144" i="59" s="1"/>
  <c r="P144" i="59" a="1"/>
  <c r="P144" i="59" s="1"/>
  <c r="O129" i="59" a="1"/>
  <c r="O129" i="59" s="1"/>
  <c r="L129" i="59" a="1"/>
  <c r="L129" i="59" s="1"/>
  <c r="M129" i="59" a="1"/>
  <c r="M129" i="59" s="1"/>
  <c r="P129" i="59" a="1"/>
  <c r="P129" i="59" s="1"/>
  <c r="N129" i="59" a="1"/>
  <c r="N129" i="59" s="1"/>
  <c r="Q129" i="59" a="1"/>
  <c r="Q129" i="59" s="1"/>
  <c r="Q189" i="59" a="1"/>
  <c r="Q189" i="59" s="1"/>
  <c r="M189" i="59" a="1"/>
  <c r="M189" i="59" s="1"/>
  <c r="O189" i="59" a="1"/>
  <c r="O189" i="59" s="1"/>
  <c r="L189" i="59" a="1"/>
  <c r="L189" i="59" s="1"/>
  <c r="P189" i="59" a="1"/>
  <c r="P189" i="59" s="1"/>
  <c r="N189" i="59" a="1"/>
  <c r="N189" i="59" s="1"/>
  <c r="O147" i="59" a="1"/>
  <c r="O147" i="59" s="1"/>
  <c r="N147" i="59" a="1"/>
  <c r="N147" i="59" s="1"/>
  <c r="Q147" i="59" a="1"/>
  <c r="Q147" i="59" s="1"/>
  <c r="M147" i="59" a="1"/>
  <c r="M147" i="59" s="1"/>
  <c r="P147" i="59" a="1"/>
  <c r="P147" i="59" s="1"/>
  <c r="L147" i="59" a="1"/>
  <c r="L147" i="59" s="1"/>
  <c r="N164" i="59" a="1"/>
  <c r="N164" i="59" s="1"/>
  <c r="O164" i="59" a="1"/>
  <c r="O164" i="59" s="1"/>
  <c r="Q164" i="59" a="1"/>
  <c r="Q164" i="59" s="1"/>
  <c r="M164" i="59" a="1"/>
  <c r="M164" i="59" s="1"/>
  <c r="P164" i="59" a="1"/>
  <c r="P164" i="59" s="1"/>
  <c r="L164" i="59" a="1"/>
  <c r="L164" i="59" s="1"/>
  <c r="L151" i="59" a="1"/>
  <c r="L151" i="59" s="1"/>
  <c r="M151" i="59" a="1"/>
  <c r="M151" i="59" s="1"/>
  <c r="O151" i="59" a="1"/>
  <c r="O151" i="59" s="1"/>
  <c r="Q151" i="59" a="1"/>
  <c r="Q151" i="59" s="1"/>
  <c r="N151" i="59" a="1"/>
  <c r="N151" i="59" s="1"/>
  <c r="P151" i="59" a="1"/>
  <c r="P151" i="59" s="1"/>
  <c r="M141" i="59" a="1"/>
  <c r="M141" i="59" s="1"/>
  <c r="N141" i="59" a="1"/>
  <c r="N141" i="59" s="1"/>
  <c r="P141" i="59" a="1"/>
  <c r="P141" i="59" s="1"/>
  <c r="Q141" i="59" a="1"/>
  <c r="Q141" i="59" s="1"/>
  <c r="O141" i="59" a="1"/>
  <c r="O141" i="59" s="1"/>
  <c r="L141" i="59" a="1"/>
  <c r="L141" i="59" s="1"/>
  <c r="M83" i="59" a="1"/>
  <c r="M83" i="59" s="1"/>
  <c r="L83" i="59" a="1"/>
  <c r="L83" i="59" s="1"/>
  <c r="P83" i="59" a="1"/>
  <c r="P83" i="59" s="1"/>
  <c r="Q83" i="59" a="1"/>
  <c r="Q83" i="59" s="1"/>
  <c r="N83" i="59" a="1"/>
  <c r="N83" i="59" s="1"/>
  <c r="O83" i="59" a="1"/>
  <c r="O83" i="59" s="1"/>
  <c r="L17" i="59" a="1"/>
  <c r="L17" i="59" s="1"/>
  <c r="O17" i="59" a="1"/>
  <c r="O17" i="59" s="1"/>
  <c r="M17" i="59" a="1"/>
  <c r="M17" i="59" s="1"/>
  <c r="Q17" i="59" a="1"/>
  <c r="Q17" i="59" s="1"/>
  <c r="N17" i="59" a="1"/>
  <c r="N17" i="59" s="1"/>
  <c r="P17" i="59" a="1"/>
  <c r="P17" i="59" s="1"/>
  <c r="L116" i="59" a="1"/>
  <c r="L116" i="59" s="1"/>
  <c r="N116" i="59" a="1"/>
  <c r="N116" i="59" s="1"/>
  <c r="O116" i="59" a="1"/>
  <c r="O116" i="59" s="1"/>
  <c r="Q116" i="59" a="1"/>
  <c r="Q116" i="59" s="1"/>
  <c r="P116" i="59" a="1"/>
  <c r="P116" i="59" s="1"/>
  <c r="M116" i="59" a="1"/>
  <c r="M116" i="59" s="1"/>
  <c r="M75" i="59" a="1"/>
  <c r="M75" i="59" s="1"/>
  <c r="L75" i="59" a="1"/>
  <c r="L75" i="59" s="1"/>
  <c r="O75" i="59" a="1"/>
  <c r="O75" i="59" s="1"/>
  <c r="P75" i="59" a="1"/>
  <c r="P75" i="59" s="1"/>
  <c r="N75" i="59" a="1"/>
  <c r="N75" i="59" s="1"/>
  <c r="Q75" i="59" a="1"/>
  <c r="Q75" i="59" s="1"/>
  <c r="P65" i="59" a="1"/>
  <c r="P65" i="59" s="1"/>
  <c r="L65" i="59" a="1"/>
  <c r="L65" i="59" s="1"/>
  <c r="Q65" i="59" a="1"/>
  <c r="Q65" i="59" s="1"/>
  <c r="N65" i="59" a="1"/>
  <c r="N65" i="59" s="1"/>
  <c r="O65" i="59" a="1"/>
  <c r="O65" i="59" s="1"/>
  <c r="M65" i="59" a="1"/>
  <c r="M65" i="59" s="1"/>
  <c r="M94" i="59" a="1"/>
  <c r="M94" i="59" s="1"/>
  <c r="N94" i="59" a="1"/>
  <c r="N94" i="59" s="1"/>
  <c r="O94" i="59" a="1"/>
  <c r="O94" i="59" s="1"/>
  <c r="L94" i="59" a="1"/>
  <c r="L94" i="59" s="1"/>
  <c r="P94" i="59" a="1"/>
  <c r="P94" i="59" s="1"/>
  <c r="Q94" i="59" a="1"/>
  <c r="Q94" i="59" s="1"/>
  <c r="O87" i="59" a="1"/>
  <c r="O87" i="59" s="1"/>
  <c r="L87" i="59" a="1"/>
  <c r="L87" i="59" s="1"/>
  <c r="P87" i="59" a="1"/>
  <c r="P87" i="59" s="1"/>
  <c r="Q87" i="59" a="1"/>
  <c r="Q87" i="59" s="1"/>
  <c r="M87" i="59" a="1"/>
  <c r="M87" i="59" s="1"/>
  <c r="N87" i="59" a="1"/>
  <c r="N87" i="59" s="1"/>
  <c r="O90" i="59" a="1"/>
  <c r="O90" i="59" s="1"/>
  <c r="N90" i="59" a="1"/>
  <c r="N90" i="59" s="1"/>
  <c r="P90" i="59" a="1"/>
  <c r="P90" i="59" s="1"/>
  <c r="M90" i="59" a="1"/>
  <c r="M90" i="59" s="1"/>
  <c r="Q90" i="59" a="1"/>
  <c r="Q90" i="59" s="1"/>
  <c r="L90" i="59" a="1"/>
  <c r="L90" i="59" s="1"/>
  <c r="P36" i="59" a="1"/>
  <c r="P36" i="59" s="1"/>
  <c r="O36" i="59" a="1"/>
  <c r="O36" i="59" s="1"/>
  <c r="N36" i="59" a="1"/>
  <c r="N36" i="59" s="1"/>
  <c r="L36" i="59" a="1"/>
  <c r="L36" i="59" s="1"/>
  <c r="Q36" i="59" a="1"/>
  <c r="Q36" i="59" s="1"/>
  <c r="M36" i="59" a="1"/>
  <c r="M36" i="59" s="1"/>
  <c r="N77" i="59" a="1"/>
  <c r="N77" i="59" s="1"/>
  <c r="L77" i="59" a="1"/>
  <c r="L77" i="59" s="1"/>
  <c r="Q77" i="59" a="1"/>
  <c r="Q77" i="59" s="1"/>
  <c r="O77" i="59" a="1"/>
  <c r="O77" i="59" s="1"/>
  <c r="M77" i="59" a="1"/>
  <c r="M77" i="59" s="1"/>
  <c r="P77" i="59" a="1"/>
  <c r="P77" i="59" s="1"/>
  <c r="O78" i="59" a="1"/>
  <c r="O78" i="59" s="1"/>
  <c r="Q78" i="59" a="1"/>
  <c r="Q78" i="59" s="1"/>
  <c r="M78" i="59" a="1"/>
  <c r="M78" i="59" s="1"/>
  <c r="N78" i="59" a="1"/>
  <c r="N78" i="59" s="1"/>
  <c r="L78" i="59" a="1"/>
  <c r="L78" i="59" s="1"/>
  <c r="P78" i="59" a="1"/>
  <c r="P78" i="59" s="1"/>
  <c r="Q29" i="59" a="1"/>
  <c r="Q29" i="59" s="1"/>
  <c r="N29" i="59" a="1"/>
  <c r="N29" i="59" s="1"/>
  <c r="O29" i="59" a="1"/>
  <c r="O29" i="59" s="1"/>
  <c r="L29" i="59" a="1"/>
  <c r="L29" i="59" s="1"/>
  <c r="M29" i="59" a="1"/>
  <c r="M29" i="59" s="1"/>
  <c r="P29" i="59" a="1"/>
  <c r="P29" i="59" s="1"/>
  <c r="N6" i="59" a="1"/>
  <c r="N6" i="59" s="1"/>
  <c r="O6" i="59" a="1"/>
  <c r="O6" i="59" s="1"/>
  <c r="L6" i="59" a="1"/>
  <c r="L6" i="59" s="1"/>
  <c r="Q6" i="59" a="1"/>
  <c r="Q6" i="59" s="1"/>
  <c r="P6" i="59" a="1"/>
  <c r="P6" i="59" s="1"/>
  <c r="M6" i="59" a="1"/>
  <c r="M6" i="59" s="1"/>
  <c r="Q55" i="59" a="1"/>
  <c r="Q55" i="59" s="1"/>
  <c r="O55" i="59" a="1"/>
  <c r="O55" i="59" s="1"/>
  <c r="N55" i="59" a="1"/>
  <c r="N55" i="59" s="1"/>
  <c r="M55" i="59" a="1"/>
  <c r="M55" i="59" s="1"/>
  <c r="L55" i="59" a="1"/>
  <c r="L55" i="59" s="1"/>
  <c r="P55" i="59" a="1"/>
  <c r="P55" i="59" s="1"/>
  <c r="P1474" i="59" a="1"/>
  <c r="P1474" i="59" s="1"/>
  <c r="O1474" i="59" a="1"/>
  <c r="O1474" i="59" s="1"/>
  <c r="M1474" i="59" a="1"/>
  <c r="M1474" i="59" s="1"/>
  <c r="Q1474" i="59" a="1"/>
  <c r="Q1474" i="59" s="1"/>
  <c r="N1474" i="59" a="1"/>
  <c r="N1474" i="59" s="1"/>
  <c r="L1474" i="59" a="1"/>
  <c r="L1474" i="59" s="1"/>
  <c r="M1316" i="59" a="1"/>
  <c r="M1316" i="59" s="1"/>
  <c r="Q1316" i="59" a="1"/>
  <c r="Q1316" i="59" s="1"/>
  <c r="N1316" i="59" a="1"/>
  <c r="N1316" i="59" s="1"/>
  <c r="O1316" i="59" a="1"/>
  <c r="O1316" i="59" s="1"/>
  <c r="P1316" i="59" a="1"/>
  <c r="P1316" i="59" s="1"/>
  <c r="L1316" i="59" a="1"/>
  <c r="L1316" i="59" s="1"/>
  <c r="M1486" i="59" a="1"/>
  <c r="M1486" i="59" s="1"/>
  <c r="N1486" i="59" a="1"/>
  <c r="N1486" i="59" s="1"/>
  <c r="O1486" i="59" a="1"/>
  <c r="O1486" i="59" s="1"/>
  <c r="P1486" i="59" a="1"/>
  <c r="P1486" i="59" s="1"/>
  <c r="Q1486" i="59" a="1"/>
  <c r="Q1486" i="59" s="1"/>
  <c r="L1486" i="59" a="1"/>
  <c r="L1486" i="59" s="1"/>
  <c r="L1344" i="59" a="1"/>
  <c r="L1344" i="59" s="1"/>
  <c r="Q1344" i="59" a="1"/>
  <c r="Q1344" i="59" s="1"/>
  <c r="P1344" i="59" a="1"/>
  <c r="P1344" i="59" s="1"/>
  <c r="M1344" i="59" a="1"/>
  <c r="M1344" i="59" s="1"/>
  <c r="O1344" i="59" a="1"/>
  <c r="O1344" i="59" s="1"/>
  <c r="N1344" i="59" a="1"/>
  <c r="N1344" i="59" s="1"/>
  <c r="L1416" i="59" a="1"/>
  <c r="L1416" i="59" s="1"/>
  <c r="Q1416" i="59" a="1"/>
  <c r="Q1416" i="59" s="1"/>
  <c r="P1416" i="59" a="1"/>
  <c r="P1416" i="59" s="1"/>
  <c r="N1416" i="59" a="1"/>
  <c r="N1416" i="59" s="1"/>
  <c r="M1416" i="59" a="1"/>
  <c r="M1416" i="59" s="1"/>
  <c r="O1416" i="59" a="1"/>
  <c r="O1416" i="59" s="1"/>
  <c r="L1492" i="59" a="1"/>
  <c r="L1492" i="59" s="1"/>
  <c r="P1492" i="59" a="1"/>
  <c r="P1492" i="59" s="1"/>
  <c r="O1492" i="59" a="1"/>
  <c r="O1492" i="59" s="1"/>
  <c r="Q1492" i="59" a="1"/>
  <c r="Q1492" i="59" s="1"/>
  <c r="N1492" i="59" a="1"/>
  <c r="N1492" i="59" s="1"/>
  <c r="M1492" i="59" a="1"/>
  <c r="M1492" i="59" s="1"/>
  <c r="Q1347" i="59" a="1"/>
  <c r="Q1347" i="59" s="1"/>
  <c r="M1347" i="59" a="1"/>
  <c r="M1347" i="59" s="1"/>
  <c r="N1347" i="59" a="1"/>
  <c r="N1347" i="59" s="1"/>
  <c r="O1347" i="59" a="1"/>
  <c r="O1347" i="59" s="1"/>
  <c r="L1347" i="59" a="1"/>
  <c r="L1347" i="59" s="1"/>
  <c r="P1347" i="59" a="1"/>
  <c r="P1347" i="59" s="1"/>
  <c r="O1487" i="59" a="1"/>
  <c r="O1487" i="59" s="1"/>
  <c r="Q1487" i="59" a="1"/>
  <c r="Q1487" i="59" s="1"/>
  <c r="N1487" i="59" a="1"/>
  <c r="N1487" i="59" s="1"/>
  <c r="M1487" i="59" a="1"/>
  <c r="M1487" i="59" s="1"/>
  <c r="L1487" i="59" a="1"/>
  <c r="L1487" i="59" s="1"/>
  <c r="P1487" i="59" a="1"/>
  <c r="P1487" i="59" s="1"/>
  <c r="M1355" i="59" a="1"/>
  <c r="M1355" i="59" s="1"/>
  <c r="Q1355" i="59" a="1"/>
  <c r="Q1355" i="59" s="1"/>
  <c r="N1355" i="59" a="1"/>
  <c r="N1355" i="59" s="1"/>
  <c r="O1355" i="59" a="1"/>
  <c r="O1355" i="59" s="1"/>
  <c r="P1355" i="59" a="1"/>
  <c r="P1355" i="59" s="1"/>
  <c r="L1355" i="59" a="1"/>
  <c r="L1355" i="59" s="1"/>
  <c r="M1471" i="59" a="1"/>
  <c r="M1471" i="59" s="1"/>
  <c r="N1471" i="59" a="1"/>
  <c r="N1471" i="59" s="1"/>
  <c r="P1471" i="59" a="1"/>
  <c r="P1471" i="59" s="1"/>
  <c r="Q1471" i="59" a="1"/>
  <c r="Q1471" i="59" s="1"/>
  <c r="O1471" i="59" a="1"/>
  <c r="O1471" i="59" s="1"/>
  <c r="L1471" i="59" a="1"/>
  <c r="L1471" i="59" s="1"/>
  <c r="M1311" i="59" a="1"/>
  <c r="M1311" i="59" s="1"/>
  <c r="O1311" i="59" a="1"/>
  <c r="O1311" i="59" s="1"/>
  <c r="N1311" i="59" a="1"/>
  <c r="N1311" i="59" s="1"/>
  <c r="L1311" i="59" a="1"/>
  <c r="L1311" i="59" s="1"/>
  <c r="Q1311" i="59" a="1"/>
  <c r="Q1311" i="59" s="1"/>
  <c r="P1311" i="59" a="1"/>
  <c r="P1311" i="59" s="1"/>
  <c r="O1053" i="59" a="1"/>
  <c r="O1053" i="59" s="1"/>
  <c r="L1053" i="59" a="1"/>
  <c r="L1053" i="59" s="1"/>
  <c r="M1053" i="59" a="1"/>
  <c r="M1053" i="59" s="1"/>
  <c r="N1053" i="59" a="1"/>
  <c r="N1053" i="59" s="1"/>
  <c r="P1053" i="59" a="1"/>
  <c r="P1053" i="59" s="1"/>
  <c r="Q1053" i="59" a="1"/>
  <c r="Q1053" i="59" s="1"/>
  <c r="N1417" i="59" a="1"/>
  <c r="N1417" i="59" s="1"/>
  <c r="O1417" i="59" a="1"/>
  <c r="O1417" i="59" s="1"/>
  <c r="P1417" i="59" a="1"/>
  <c r="P1417" i="59" s="1"/>
  <c r="Q1417" i="59" a="1"/>
  <c r="Q1417" i="59" s="1"/>
  <c r="M1417" i="59" a="1"/>
  <c r="M1417" i="59" s="1"/>
  <c r="L1417" i="59" a="1"/>
  <c r="L1417" i="59" s="1"/>
  <c r="N1353" i="59" a="1"/>
  <c r="N1353" i="59" s="1"/>
  <c r="O1353" i="59" a="1"/>
  <c r="O1353" i="59" s="1"/>
  <c r="M1353" i="59" a="1"/>
  <c r="M1353" i="59" s="1"/>
  <c r="P1353" i="59" a="1"/>
  <c r="P1353" i="59" s="1"/>
  <c r="L1353" i="59" a="1"/>
  <c r="L1353" i="59" s="1"/>
  <c r="Q1353" i="59" a="1"/>
  <c r="Q1353" i="59" s="1"/>
  <c r="N1225" i="59" a="1"/>
  <c r="N1225" i="59" s="1"/>
  <c r="M1225" i="59" a="1"/>
  <c r="M1225" i="59" s="1"/>
  <c r="O1225" i="59" a="1"/>
  <c r="O1225" i="59" s="1"/>
  <c r="Q1225" i="59" a="1"/>
  <c r="Q1225" i="59" s="1"/>
  <c r="L1225" i="59" a="1"/>
  <c r="L1225" i="59" s="1"/>
  <c r="P1225" i="59" a="1"/>
  <c r="P1225" i="59" s="1"/>
  <c r="N1412" i="59" a="1"/>
  <c r="N1412" i="59" s="1"/>
  <c r="L1412" i="59" a="1"/>
  <c r="L1412" i="59" s="1"/>
  <c r="Q1412" i="59" a="1"/>
  <c r="Q1412" i="59" s="1"/>
  <c r="P1412" i="59" a="1"/>
  <c r="P1412" i="59" s="1"/>
  <c r="M1412" i="59" a="1"/>
  <c r="M1412" i="59" s="1"/>
  <c r="O1412" i="59" a="1"/>
  <c r="O1412" i="59" s="1"/>
  <c r="N1348" i="59" a="1"/>
  <c r="N1348" i="59" s="1"/>
  <c r="L1348" i="59" a="1"/>
  <c r="L1348" i="59" s="1"/>
  <c r="P1348" i="59" a="1"/>
  <c r="P1348" i="59" s="1"/>
  <c r="O1348" i="59" a="1"/>
  <c r="O1348" i="59" s="1"/>
  <c r="M1348" i="59" a="1"/>
  <c r="M1348" i="59" s="1"/>
  <c r="Q1348" i="59" a="1"/>
  <c r="Q1348" i="59" s="1"/>
  <c r="Q1101" i="59" a="1"/>
  <c r="Q1101" i="59" s="1"/>
  <c r="O1101" i="59" a="1"/>
  <c r="O1101" i="59" s="1"/>
  <c r="M1101" i="59" a="1"/>
  <c r="M1101" i="59" s="1"/>
  <c r="N1101" i="59" a="1"/>
  <c r="N1101" i="59" s="1"/>
  <c r="L1101" i="59" a="1"/>
  <c r="L1101" i="59" s="1"/>
  <c r="P1101" i="59" a="1"/>
  <c r="P1101" i="59" s="1"/>
  <c r="O1407" i="59" a="1"/>
  <c r="O1407" i="59" s="1"/>
  <c r="L1407" i="59" a="1"/>
  <c r="L1407" i="59" s="1"/>
  <c r="P1407" i="59" a="1"/>
  <c r="P1407" i="59" s="1"/>
  <c r="M1407" i="59" a="1"/>
  <c r="M1407" i="59" s="1"/>
  <c r="N1407" i="59" a="1"/>
  <c r="N1407" i="59" s="1"/>
  <c r="Q1407" i="59" a="1"/>
  <c r="Q1407" i="59" s="1"/>
  <c r="O1343" i="59" a="1"/>
  <c r="O1343" i="59" s="1"/>
  <c r="L1343" i="59" a="1"/>
  <c r="L1343" i="59" s="1"/>
  <c r="M1343" i="59" a="1"/>
  <c r="M1343" i="59" s="1"/>
  <c r="P1343" i="59" a="1"/>
  <c r="P1343" i="59" s="1"/>
  <c r="N1343" i="59" a="1"/>
  <c r="N1343" i="59" s="1"/>
  <c r="Q1343" i="59" a="1"/>
  <c r="Q1343" i="59" s="1"/>
  <c r="O1450" i="59" a="1"/>
  <c r="O1450" i="59" s="1"/>
  <c r="P1450" i="59" a="1"/>
  <c r="P1450" i="59" s="1"/>
  <c r="M1450" i="59" a="1"/>
  <c r="M1450" i="59" s="1"/>
  <c r="Q1450" i="59" a="1"/>
  <c r="Q1450" i="59" s="1"/>
  <c r="L1450" i="59" a="1"/>
  <c r="L1450" i="59" s="1"/>
  <c r="N1450" i="59" a="1"/>
  <c r="N1450" i="59" s="1"/>
  <c r="O1386" i="59" a="1"/>
  <c r="O1386" i="59" s="1"/>
  <c r="P1386" i="59" a="1"/>
  <c r="P1386" i="59" s="1"/>
  <c r="L1386" i="59" a="1"/>
  <c r="L1386" i="59" s="1"/>
  <c r="N1386" i="59" a="1"/>
  <c r="N1386" i="59" s="1"/>
  <c r="M1386" i="59" a="1"/>
  <c r="M1386" i="59" s="1"/>
  <c r="Q1386" i="59" a="1"/>
  <c r="Q1386" i="59" s="1"/>
  <c r="L1278" i="59" a="1"/>
  <c r="L1278" i="59" s="1"/>
  <c r="M1278" i="59" a="1"/>
  <c r="M1278" i="59" s="1"/>
  <c r="P1278" i="59" a="1"/>
  <c r="P1278" i="59" s="1"/>
  <c r="Q1278" i="59" a="1"/>
  <c r="Q1278" i="59" s="1"/>
  <c r="N1278" i="59" a="1"/>
  <c r="N1278" i="59" s="1"/>
  <c r="O1278" i="59" a="1"/>
  <c r="O1278" i="59" s="1"/>
  <c r="N1453" i="59" a="1"/>
  <c r="N1453" i="59" s="1"/>
  <c r="L1453" i="59" a="1"/>
  <c r="L1453" i="59" s="1"/>
  <c r="M1453" i="59" a="1"/>
  <c r="M1453" i="59" s="1"/>
  <c r="P1453" i="59" a="1"/>
  <c r="P1453" i="59" s="1"/>
  <c r="Q1453" i="59" a="1"/>
  <c r="Q1453" i="59" s="1"/>
  <c r="O1453" i="59" a="1"/>
  <c r="O1453" i="59" s="1"/>
  <c r="P1389" i="59" a="1"/>
  <c r="P1389" i="59" s="1"/>
  <c r="L1389" i="59" a="1"/>
  <c r="L1389" i="59" s="1"/>
  <c r="N1389" i="59" a="1"/>
  <c r="N1389" i="59" s="1"/>
  <c r="O1389" i="59" a="1"/>
  <c r="O1389" i="59" s="1"/>
  <c r="M1389" i="59" a="1"/>
  <c r="M1389" i="59" s="1"/>
  <c r="Q1389" i="59" a="1"/>
  <c r="Q1389" i="59" s="1"/>
  <c r="L1326" i="59" a="1"/>
  <c r="L1326" i="59" s="1"/>
  <c r="M1326" i="59" a="1"/>
  <c r="M1326" i="59" s="1"/>
  <c r="P1326" i="59" a="1"/>
  <c r="P1326" i="59" s="1"/>
  <c r="Q1326" i="59" a="1"/>
  <c r="Q1326" i="59" s="1"/>
  <c r="N1326" i="59" a="1"/>
  <c r="N1326" i="59" s="1"/>
  <c r="O1326" i="59" a="1"/>
  <c r="O1326" i="59" s="1"/>
  <c r="M1300" i="59" a="1"/>
  <c r="M1300" i="59" s="1"/>
  <c r="Q1300" i="59" a="1"/>
  <c r="Q1300" i="59" s="1"/>
  <c r="N1300" i="59" a="1"/>
  <c r="N1300" i="59" s="1"/>
  <c r="P1300" i="59" a="1"/>
  <c r="P1300" i="59" s="1"/>
  <c r="O1300" i="59" a="1"/>
  <c r="O1300" i="59" s="1"/>
  <c r="L1300" i="59" a="1"/>
  <c r="L1300" i="59" s="1"/>
  <c r="Q1236" i="59" a="1"/>
  <c r="Q1236" i="59" s="1"/>
  <c r="L1236" i="59" a="1"/>
  <c r="L1236" i="59" s="1"/>
  <c r="N1236" i="59" a="1"/>
  <c r="N1236" i="59" s="1"/>
  <c r="M1236" i="59" a="1"/>
  <c r="M1236" i="59" s="1"/>
  <c r="O1236" i="59" a="1"/>
  <c r="O1236" i="59" s="1"/>
  <c r="P1236" i="59" a="1"/>
  <c r="P1236" i="59" s="1"/>
  <c r="Q1172" i="59" a="1"/>
  <c r="Q1172" i="59" s="1"/>
  <c r="M1172" i="59" a="1"/>
  <c r="M1172" i="59" s="1"/>
  <c r="N1172" i="59" a="1"/>
  <c r="N1172" i="59" s="1"/>
  <c r="L1172" i="59" a="1"/>
  <c r="L1172" i="59" s="1"/>
  <c r="O1172" i="59" a="1"/>
  <c r="O1172" i="59" s="1"/>
  <c r="P1172" i="59" a="1"/>
  <c r="P1172" i="59" s="1"/>
  <c r="O1255" i="59" a="1"/>
  <c r="O1255" i="59" s="1"/>
  <c r="L1255" i="59" a="1"/>
  <c r="L1255" i="59" s="1"/>
  <c r="N1255" i="59" a="1"/>
  <c r="N1255" i="59" s="1"/>
  <c r="P1255" i="59" a="1"/>
  <c r="P1255" i="59" s="1"/>
  <c r="Q1255" i="59" a="1"/>
  <c r="Q1255" i="59" s="1"/>
  <c r="M1255" i="59" a="1"/>
  <c r="M1255" i="59" s="1"/>
  <c r="O1191" i="59" a="1"/>
  <c r="O1191" i="59" s="1"/>
  <c r="L1191" i="59" a="1"/>
  <c r="L1191" i="59" s="1"/>
  <c r="N1191" i="59" a="1"/>
  <c r="N1191" i="59" s="1"/>
  <c r="P1191" i="59" a="1"/>
  <c r="P1191" i="59" s="1"/>
  <c r="M1191" i="59" a="1"/>
  <c r="M1191" i="59" s="1"/>
  <c r="Q1191" i="59" a="1"/>
  <c r="Q1191" i="59" s="1"/>
  <c r="M980" i="59" a="1"/>
  <c r="M980" i="59" s="1"/>
  <c r="Q980" i="59" a="1"/>
  <c r="Q980" i="59" s="1"/>
  <c r="N980" i="59" a="1"/>
  <c r="N980" i="59" s="1"/>
  <c r="O980" i="59" a="1"/>
  <c r="O980" i="59" s="1"/>
  <c r="L980" i="59" a="1"/>
  <c r="L980" i="59" s="1"/>
  <c r="P980" i="59" a="1"/>
  <c r="P980" i="59" s="1"/>
  <c r="L1274" i="59" a="1"/>
  <c r="L1274" i="59" s="1"/>
  <c r="P1274" i="59" a="1"/>
  <c r="P1274" i="59" s="1"/>
  <c r="N1274" i="59" a="1"/>
  <c r="N1274" i="59" s="1"/>
  <c r="O1274" i="59" a="1"/>
  <c r="O1274" i="59" s="1"/>
  <c r="M1274" i="59" a="1"/>
  <c r="M1274" i="59" s="1"/>
  <c r="Q1274" i="59" a="1"/>
  <c r="Q1274" i="59" s="1"/>
  <c r="L1210" i="59" a="1"/>
  <c r="L1210" i="59" s="1"/>
  <c r="P1210" i="59" a="1"/>
  <c r="P1210" i="59" s="1"/>
  <c r="O1210" i="59" a="1"/>
  <c r="O1210" i="59" s="1"/>
  <c r="N1210" i="59" a="1"/>
  <c r="N1210" i="59" s="1"/>
  <c r="M1210" i="59" a="1"/>
  <c r="M1210" i="59" s="1"/>
  <c r="Q1210" i="59" a="1"/>
  <c r="Q1210" i="59" s="1"/>
  <c r="N1077" i="59" a="1"/>
  <c r="N1077" i="59" s="1"/>
  <c r="O1077" i="59" a="1"/>
  <c r="O1077" i="59" s="1"/>
  <c r="L1077" i="59" a="1"/>
  <c r="L1077" i="59" s="1"/>
  <c r="P1077" i="59" a="1"/>
  <c r="P1077" i="59" s="1"/>
  <c r="M1077" i="59" a="1"/>
  <c r="M1077" i="59" s="1"/>
  <c r="Q1077" i="59" a="1"/>
  <c r="Q1077" i="59" s="1"/>
  <c r="L1309" i="59" a="1"/>
  <c r="L1309" i="59" s="1"/>
  <c r="P1309" i="59" a="1"/>
  <c r="P1309" i="59" s="1"/>
  <c r="M1309" i="59" a="1"/>
  <c r="M1309" i="59" s="1"/>
  <c r="O1309" i="59" a="1"/>
  <c r="O1309" i="59" s="1"/>
  <c r="N1309" i="59" a="1"/>
  <c r="N1309" i="59" s="1"/>
  <c r="Q1309" i="59" a="1"/>
  <c r="Q1309" i="59" s="1"/>
  <c r="L1245" i="59" a="1"/>
  <c r="L1245" i="59" s="1"/>
  <c r="P1245" i="59" a="1"/>
  <c r="P1245" i="59" s="1"/>
  <c r="M1245" i="59" a="1"/>
  <c r="M1245" i="59" s="1"/>
  <c r="Q1245" i="59" a="1"/>
  <c r="Q1245" i="59" s="1"/>
  <c r="O1245" i="59" a="1"/>
  <c r="O1245" i="59" s="1"/>
  <c r="N1245" i="59" a="1"/>
  <c r="N1245" i="59" s="1"/>
  <c r="L1181" i="59" a="1"/>
  <c r="L1181" i="59" s="1"/>
  <c r="P1181" i="59" a="1"/>
  <c r="P1181" i="59" s="1"/>
  <c r="M1181" i="59" a="1"/>
  <c r="M1181" i="59" s="1"/>
  <c r="Q1181" i="59" a="1"/>
  <c r="Q1181" i="59" s="1"/>
  <c r="O1181" i="59" a="1"/>
  <c r="O1181" i="59" s="1"/>
  <c r="N1181" i="59" a="1"/>
  <c r="N1181" i="59" s="1"/>
  <c r="N964" i="59" a="1"/>
  <c r="N964" i="59" s="1"/>
  <c r="M964" i="59" a="1"/>
  <c r="M964" i="59" s="1"/>
  <c r="Q964" i="59" a="1"/>
  <c r="Q964" i="59" s="1"/>
  <c r="P964" i="59" a="1"/>
  <c r="P964" i="59" s="1"/>
  <c r="L964" i="59" a="1"/>
  <c r="L964" i="59" s="1"/>
  <c r="O964" i="59" a="1"/>
  <c r="O964" i="59" s="1"/>
  <c r="M1272" i="59" a="1"/>
  <c r="M1272" i="59" s="1"/>
  <c r="Q1272" i="59" a="1"/>
  <c r="Q1272" i="59" s="1"/>
  <c r="O1272" i="59" a="1"/>
  <c r="O1272" i="59" s="1"/>
  <c r="L1272" i="59" a="1"/>
  <c r="L1272" i="59" s="1"/>
  <c r="P1272" i="59" a="1"/>
  <c r="P1272" i="59" s="1"/>
  <c r="N1272" i="59" a="1"/>
  <c r="N1272" i="59" s="1"/>
  <c r="O1208" i="59" a="1"/>
  <c r="O1208" i="59" s="1"/>
  <c r="M1208" i="59" a="1"/>
  <c r="M1208" i="59" s="1"/>
  <c r="Q1208" i="59" a="1"/>
  <c r="Q1208" i="59" s="1"/>
  <c r="L1208" i="59" a="1"/>
  <c r="L1208" i="59" s="1"/>
  <c r="P1208" i="59" a="1"/>
  <c r="P1208" i="59" s="1"/>
  <c r="N1208" i="59" a="1"/>
  <c r="N1208" i="59" s="1"/>
  <c r="L1132" i="59" a="1"/>
  <c r="L1132" i="59" s="1"/>
  <c r="P1132" i="59" a="1"/>
  <c r="P1132" i="59" s="1"/>
  <c r="M1132" i="59" a="1"/>
  <c r="M1132" i="59" s="1"/>
  <c r="Q1132" i="59" a="1"/>
  <c r="Q1132" i="59" s="1"/>
  <c r="O1132" i="59" a="1"/>
  <c r="O1132" i="59" s="1"/>
  <c r="N1132" i="59" a="1"/>
  <c r="N1132" i="59" s="1"/>
  <c r="M1267" i="59" a="1"/>
  <c r="M1267" i="59" s="1"/>
  <c r="Q1267" i="59" a="1"/>
  <c r="Q1267" i="59" s="1"/>
  <c r="N1267" i="59" a="1"/>
  <c r="N1267" i="59" s="1"/>
  <c r="L1267" i="59" a="1"/>
  <c r="L1267" i="59" s="1"/>
  <c r="P1267" i="59" a="1"/>
  <c r="P1267" i="59" s="1"/>
  <c r="O1267" i="59" a="1"/>
  <c r="O1267" i="59" s="1"/>
  <c r="M1203" i="59" a="1"/>
  <c r="M1203" i="59" s="1"/>
  <c r="Q1203" i="59" a="1"/>
  <c r="Q1203" i="59" s="1"/>
  <c r="N1203" i="59" a="1"/>
  <c r="N1203" i="59" s="1"/>
  <c r="L1203" i="59" a="1"/>
  <c r="L1203" i="59" s="1"/>
  <c r="P1203" i="59" a="1"/>
  <c r="P1203" i="59" s="1"/>
  <c r="O1203" i="59" a="1"/>
  <c r="O1203" i="59" s="1"/>
  <c r="P1140" i="59" a="1"/>
  <c r="P1140" i="59" s="1"/>
  <c r="M1140" i="59" a="1"/>
  <c r="M1140" i="59" s="1"/>
  <c r="Q1140" i="59" a="1"/>
  <c r="Q1140" i="59" s="1"/>
  <c r="N1140" i="59" a="1"/>
  <c r="N1140" i="59" s="1"/>
  <c r="O1140" i="59" a="1"/>
  <c r="O1140" i="59" s="1"/>
  <c r="L1140" i="59" a="1"/>
  <c r="L1140" i="59" s="1"/>
  <c r="N1129" i="59" a="1"/>
  <c r="N1129" i="59" s="1"/>
  <c r="Q1129" i="59" a="1"/>
  <c r="Q1129" i="59" s="1"/>
  <c r="O1129" i="59" a="1"/>
  <c r="O1129" i="59" s="1"/>
  <c r="L1129" i="59" a="1"/>
  <c r="L1129" i="59" s="1"/>
  <c r="M1129" i="59" a="1"/>
  <c r="M1129" i="59" s="1"/>
  <c r="P1129" i="59" a="1"/>
  <c r="P1129" i="59" s="1"/>
  <c r="L951" i="59" a="1"/>
  <c r="L951" i="59" s="1"/>
  <c r="M951" i="59" a="1"/>
  <c r="M951" i="59" s="1"/>
  <c r="Q951" i="59" a="1"/>
  <c r="Q951" i="59" s="1"/>
  <c r="N951" i="59" a="1"/>
  <c r="N951" i="59" s="1"/>
  <c r="O951" i="59" a="1"/>
  <c r="O951" i="59" s="1"/>
  <c r="P951" i="59" a="1"/>
  <c r="P951" i="59" s="1"/>
  <c r="L1092" i="59" a="1"/>
  <c r="L1092" i="59" s="1"/>
  <c r="O1092" i="59" a="1"/>
  <c r="O1092" i="59" s="1"/>
  <c r="P1092" i="59" a="1"/>
  <c r="P1092" i="59" s="1"/>
  <c r="M1092" i="59" a="1"/>
  <c r="M1092" i="59" s="1"/>
  <c r="Q1092" i="59" a="1"/>
  <c r="Q1092" i="59" s="1"/>
  <c r="N1092" i="59" a="1"/>
  <c r="N1092" i="59" s="1"/>
  <c r="Q1130" i="59" a="1"/>
  <c r="Q1130" i="59" s="1"/>
  <c r="N1130" i="59" a="1"/>
  <c r="N1130" i="59" s="1"/>
  <c r="P1130" i="59" a="1"/>
  <c r="P1130" i="59" s="1"/>
  <c r="L1130" i="59" a="1"/>
  <c r="L1130" i="59" s="1"/>
  <c r="M1130" i="59" a="1"/>
  <c r="M1130" i="59" s="1"/>
  <c r="O1130" i="59" a="1"/>
  <c r="O1130" i="59" s="1"/>
  <c r="N930" i="59" a="1"/>
  <c r="N930" i="59" s="1"/>
  <c r="O930" i="59" a="1"/>
  <c r="O930" i="59" s="1"/>
  <c r="M930" i="59" a="1"/>
  <c r="M930" i="59" s="1"/>
  <c r="P930" i="59" a="1"/>
  <c r="P930" i="59" s="1"/>
  <c r="Q930" i="59" a="1"/>
  <c r="Q930" i="59" s="1"/>
  <c r="L930" i="59" a="1"/>
  <c r="L930" i="59" s="1"/>
  <c r="N1103" i="59" a="1"/>
  <c r="N1103" i="59" s="1"/>
  <c r="M1103" i="59" a="1"/>
  <c r="M1103" i="59" s="1"/>
  <c r="Q1103" i="59" a="1"/>
  <c r="Q1103" i="59" s="1"/>
  <c r="O1103" i="59" a="1"/>
  <c r="O1103" i="59" s="1"/>
  <c r="P1103" i="59" a="1"/>
  <c r="P1103" i="59" s="1"/>
  <c r="L1103" i="59" a="1"/>
  <c r="L1103" i="59" s="1"/>
  <c r="N900" i="59" a="1"/>
  <c r="N900" i="59" s="1"/>
  <c r="M900" i="59" a="1"/>
  <c r="M900" i="59" s="1"/>
  <c r="Q900" i="59" a="1"/>
  <c r="Q900" i="59" s="1"/>
  <c r="P900" i="59" a="1"/>
  <c r="P900" i="59" s="1"/>
  <c r="L900" i="59" a="1"/>
  <c r="L900" i="59" s="1"/>
  <c r="O900" i="59" a="1"/>
  <c r="O900" i="59" s="1"/>
  <c r="P1093" i="59" a="1"/>
  <c r="P1093" i="59" s="1"/>
  <c r="N1093" i="59" a="1"/>
  <c r="N1093" i="59" s="1"/>
  <c r="O1093" i="59" a="1"/>
  <c r="O1093" i="59" s="1"/>
  <c r="L1093" i="59" a="1"/>
  <c r="L1093" i="59" s="1"/>
  <c r="M1093" i="59" a="1"/>
  <c r="M1093" i="59" s="1"/>
  <c r="Q1093" i="59" a="1"/>
  <c r="Q1093" i="59" s="1"/>
  <c r="L859" i="59" a="1"/>
  <c r="L859" i="59" s="1"/>
  <c r="Q859" i="59" a="1"/>
  <c r="Q859" i="59" s="1"/>
  <c r="P859" i="59" a="1"/>
  <c r="P859" i="59" s="1"/>
  <c r="O859" i="59" a="1"/>
  <c r="O859" i="59" s="1"/>
  <c r="M859" i="59" a="1"/>
  <c r="M859" i="59" s="1"/>
  <c r="N859" i="59" a="1"/>
  <c r="N859" i="59" s="1"/>
  <c r="M1098" i="59" a="1"/>
  <c r="M1098" i="59" s="1"/>
  <c r="P1098" i="59" a="1"/>
  <c r="P1098" i="59" s="1"/>
  <c r="N1098" i="59" a="1"/>
  <c r="N1098" i="59" s="1"/>
  <c r="L1098" i="59" a="1"/>
  <c r="L1098" i="59" s="1"/>
  <c r="O1098" i="59" a="1"/>
  <c r="O1098" i="59" s="1"/>
  <c r="Q1098" i="59" a="1"/>
  <c r="Q1098" i="59" s="1"/>
  <c r="M1034" i="59" a="1"/>
  <c r="M1034" i="59" s="1"/>
  <c r="L1034" i="59" a="1"/>
  <c r="L1034" i="59" s="1"/>
  <c r="O1034" i="59" a="1"/>
  <c r="O1034" i="59" s="1"/>
  <c r="N1034" i="59" a="1"/>
  <c r="N1034" i="59" s="1"/>
  <c r="Q1034" i="59" a="1"/>
  <c r="Q1034" i="59" s="1"/>
  <c r="P1034" i="59" a="1"/>
  <c r="P1034" i="59" s="1"/>
  <c r="L921" i="59" a="1"/>
  <c r="L921" i="59" s="1"/>
  <c r="P921" i="59" a="1"/>
  <c r="P921" i="59" s="1"/>
  <c r="M921" i="59" a="1"/>
  <c r="M921" i="59" s="1"/>
  <c r="Q921" i="59" a="1"/>
  <c r="Q921" i="59" s="1"/>
  <c r="O921" i="59" a="1"/>
  <c r="O921" i="59" s="1"/>
  <c r="N921" i="59" a="1"/>
  <c r="N921" i="59" s="1"/>
  <c r="Q783" i="59" a="1"/>
  <c r="Q783" i="59" s="1"/>
  <c r="N783" i="59" a="1"/>
  <c r="N783" i="59" s="1"/>
  <c r="M783" i="59" a="1"/>
  <c r="M783" i="59" s="1"/>
  <c r="O783" i="59" a="1"/>
  <c r="O783" i="59" s="1"/>
  <c r="P783" i="59" a="1"/>
  <c r="P783" i="59" s="1"/>
  <c r="L783" i="59" a="1"/>
  <c r="L783" i="59" s="1"/>
  <c r="N1064" i="59" a="1"/>
  <c r="N1064" i="59" s="1"/>
  <c r="O1064" i="59" a="1"/>
  <c r="O1064" i="59" s="1"/>
  <c r="L1064" i="59" a="1"/>
  <c r="L1064" i="59" s="1"/>
  <c r="P1064" i="59" a="1"/>
  <c r="P1064" i="59" s="1"/>
  <c r="Q1064" i="59" a="1"/>
  <c r="Q1064" i="59" s="1"/>
  <c r="M1064" i="59" a="1"/>
  <c r="M1064" i="59" s="1"/>
  <c r="M972" i="59" a="1"/>
  <c r="M972" i="59" s="1"/>
  <c r="P972" i="59" a="1"/>
  <c r="P972" i="59" s="1"/>
  <c r="Q972" i="59" a="1"/>
  <c r="Q972" i="59" s="1"/>
  <c r="N972" i="59" a="1"/>
  <c r="N972" i="59" s="1"/>
  <c r="L972" i="59" a="1"/>
  <c r="L972" i="59" s="1"/>
  <c r="O972" i="59" a="1"/>
  <c r="O972" i="59" s="1"/>
  <c r="Q831" i="59" a="1"/>
  <c r="Q831" i="59" s="1"/>
  <c r="N831" i="59" a="1"/>
  <c r="N831" i="59" s="1"/>
  <c r="O831" i="59" a="1"/>
  <c r="O831" i="59" s="1"/>
  <c r="M831" i="59" a="1"/>
  <c r="M831" i="59" s="1"/>
  <c r="L831" i="59" a="1"/>
  <c r="L831" i="59" s="1"/>
  <c r="P831" i="59" a="1"/>
  <c r="P831" i="59" s="1"/>
  <c r="O1083" i="59" a="1"/>
  <c r="O1083" i="59" s="1"/>
  <c r="Q1083" i="59" a="1"/>
  <c r="Q1083" i="59" s="1"/>
  <c r="L1083" i="59" a="1"/>
  <c r="L1083" i="59" s="1"/>
  <c r="P1083" i="59" a="1"/>
  <c r="P1083" i="59" s="1"/>
  <c r="M1083" i="59" a="1"/>
  <c r="M1083" i="59" s="1"/>
  <c r="N1083" i="59" a="1"/>
  <c r="N1083" i="59" s="1"/>
  <c r="Q1025" i="59" a="1"/>
  <c r="Q1025" i="59" s="1"/>
  <c r="L1025" i="59" a="1"/>
  <c r="L1025" i="59" s="1"/>
  <c r="P1025" i="59" a="1"/>
  <c r="P1025" i="59" s="1"/>
  <c r="M1025" i="59" a="1"/>
  <c r="M1025" i="59" s="1"/>
  <c r="O1025" i="59" a="1"/>
  <c r="O1025" i="59" s="1"/>
  <c r="N1025" i="59" a="1"/>
  <c r="N1025" i="59" s="1"/>
  <c r="Q890" i="59" a="1"/>
  <c r="Q890" i="59" s="1"/>
  <c r="O890" i="59" a="1"/>
  <c r="O890" i="59" s="1"/>
  <c r="N890" i="59" a="1"/>
  <c r="N890" i="59" s="1"/>
  <c r="L890" i="59" a="1"/>
  <c r="L890" i="59" s="1"/>
  <c r="M890" i="59" a="1"/>
  <c r="M890" i="59" s="1"/>
  <c r="P890" i="59" a="1"/>
  <c r="P890" i="59" s="1"/>
  <c r="L1110" i="59" a="1"/>
  <c r="L1110" i="59" s="1"/>
  <c r="O1110" i="59" a="1"/>
  <c r="O1110" i="59" s="1"/>
  <c r="P1110" i="59" a="1"/>
  <c r="P1110" i="59" s="1"/>
  <c r="N1110" i="59" a="1"/>
  <c r="N1110" i="59" s="1"/>
  <c r="Q1110" i="59" a="1"/>
  <c r="Q1110" i="59" s="1"/>
  <c r="M1110" i="59" a="1"/>
  <c r="M1110" i="59" s="1"/>
  <c r="L1046" i="59" a="1"/>
  <c r="L1046" i="59" s="1"/>
  <c r="M1046" i="59" a="1"/>
  <c r="M1046" i="59" s="1"/>
  <c r="O1046" i="59" a="1"/>
  <c r="O1046" i="59" s="1"/>
  <c r="P1046" i="59" a="1"/>
  <c r="P1046" i="59" s="1"/>
  <c r="N1046" i="59" a="1"/>
  <c r="N1046" i="59" s="1"/>
  <c r="Q1046" i="59" a="1"/>
  <c r="Q1046" i="59" s="1"/>
  <c r="P945" i="59" a="1"/>
  <c r="P945" i="59" s="1"/>
  <c r="Q945" i="59" a="1"/>
  <c r="Q945" i="59" s="1"/>
  <c r="N945" i="59" a="1"/>
  <c r="N945" i="59" s="1"/>
  <c r="L945" i="59" a="1"/>
  <c r="L945" i="59" s="1"/>
  <c r="M945" i="59" a="1"/>
  <c r="M945" i="59" s="1"/>
  <c r="O945" i="59" a="1"/>
  <c r="O945" i="59" s="1"/>
  <c r="L1113" i="59" a="1"/>
  <c r="L1113" i="59" s="1"/>
  <c r="M1113" i="59" a="1"/>
  <c r="M1113" i="59" s="1"/>
  <c r="P1113" i="59" a="1"/>
  <c r="P1113" i="59" s="1"/>
  <c r="Q1113" i="59" a="1"/>
  <c r="Q1113" i="59" s="1"/>
  <c r="N1113" i="59" a="1"/>
  <c r="N1113" i="59" s="1"/>
  <c r="O1113" i="59" a="1"/>
  <c r="O1113" i="59" s="1"/>
  <c r="L1049" i="59" a="1"/>
  <c r="L1049" i="59" s="1"/>
  <c r="P1049" i="59" a="1"/>
  <c r="P1049" i="59" s="1"/>
  <c r="M1049" i="59" a="1"/>
  <c r="M1049" i="59" s="1"/>
  <c r="Q1049" i="59" a="1"/>
  <c r="Q1049" i="59" s="1"/>
  <c r="N1049" i="59" a="1"/>
  <c r="N1049" i="59" s="1"/>
  <c r="O1049" i="59" a="1"/>
  <c r="O1049" i="59" s="1"/>
  <c r="L956" i="59" a="1"/>
  <c r="L956" i="59" s="1"/>
  <c r="M956" i="59" a="1"/>
  <c r="M956" i="59" s="1"/>
  <c r="N956" i="59" a="1"/>
  <c r="N956" i="59" s="1"/>
  <c r="Q956" i="59" a="1"/>
  <c r="Q956" i="59" s="1"/>
  <c r="O956" i="59" a="1"/>
  <c r="O956" i="59" s="1"/>
  <c r="P956" i="59" a="1"/>
  <c r="P956" i="59" s="1"/>
  <c r="Q751" i="59" a="1"/>
  <c r="Q751" i="59" s="1"/>
  <c r="N751" i="59" a="1"/>
  <c r="N751" i="59" s="1"/>
  <c r="M751" i="59" a="1"/>
  <c r="M751" i="59" s="1"/>
  <c r="L751" i="59" a="1"/>
  <c r="L751" i="59" s="1"/>
  <c r="O751" i="59" a="1"/>
  <c r="O751" i="59" s="1"/>
  <c r="P751" i="59" a="1"/>
  <c r="P751" i="59" s="1"/>
  <c r="M997" i="59" a="1"/>
  <c r="M997" i="59" s="1"/>
  <c r="N997" i="59" a="1"/>
  <c r="N997" i="59" s="1"/>
  <c r="Q997" i="59" a="1"/>
  <c r="Q997" i="59" s="1"/>
  <c r="O997" i="59" a="1"/>
  <c r="O997" i="59" s="1"/>
  <c r="P997" i="59" a="1"/>
  <c r="P997" i="59" s="1"/>
  <c r="L997" i="59" a="1"/>
  <c r="L997" i="59" s="1"/>
  <c r="N933" i="59" a="1"/>
  <c r="N933" i="59" s="1"/>
  <c r="Q933" i="59" a="1"/>
  <c r="Q933" i="59" s="1"/>
  <c r="O933" i="59" a="1"/>
  <c r="O933" i="59" s="1"/>
  <c r="L933" i="59" a="1"/>
  <c r="L933" i="59" s="1"/>
  <c r="P933" i="59" a="1"/>
  <c r="P933" i="59" s="1"/>
  <c r="M933" i="59" a="1"/>
  <c r="M933" i="59" s="1"/>
  <c r="M849" i="59" a="1"/>
  <c r="M849" i="59" s="1"/>
  <c r="N849" i="59" a="1"/>
  <c r="N849" i="59" s="1"/>
  <c r="Q849" i="59" a="1"/>
  <c r="Q849" i="59" s="1"/>
  <c r="L849" i="59" a="1"/>
  <c r="L849" i="59" s="1"/>
  <c r="P849" i="59" a="1"/>
  <c r="P849" i="59" s="1"/>
  <c r="O849" i="59" a="1"/>
  <c r="O849" i="59" s="1"/>
  <c r="L944" i="59" a="1"/>
  <c r="L944" i="59" s="1"/>
  <c r="O944" i="59" a="1"/>
  <c r="O944" i="59" s="1"/>
  <c r="M944" i="59" a="1"/>
  <c r="M944" i="59" s="1"/>
  <c r="N944" i="59" a="1"/>
  <c r="N944" i="59" s="1"/>
  <c r="P944" i="59" a="1"/>
  <c r="P944" i="59" s="1"/>
  <c r="Q944" i="59" a="1"/>
  <c r="Q944" i="59" s="1"/>
  <c r="Q876" i="59" a="1"/>
  <c r="Q876" i="59" s="1"/>
  <c r="P876" i="59" a="1"/>
  <c r="P876" i="59" s="1"/>
  <c r="N876" i="59" a="1"/>
  <c r="N876" i="59" s="1"/>
  <c r="O876" i="59" a="1"/>
  <c r="O876" i="59" s="1"/>
  <c r="M876" i="59" a="1"/>
  <c r="M876" i="59" s="1"/>
  <c r="L876" i="59" a="1"/>
  <c r="L876" i="59" s="1"/>
  <c r="L1019" i="59" a="1"/>
  <c r="L1019" i="59" s="1"/>
  <c r="M1019" i="59" a="1"/>
  <c r="M1019" i="59" s="1"/>
  <c r="O1019" i="59" a="1"/>
  <c r="O1019" i="59" s="1"/>
  <c r="P1019" i="59" a="1"/>
  <c r="P1019" i="59" s="1"/>
  <c r="Q1019" i="59" a="1"/>
  <c r="Q1019" i="59" s="1"/>
  <c r="N1019" i="59" a="1"/>
  <c r="N1019" i="59" s="1"/>
  <c r="N955" i="59" a="1"/>
  <c r="N955" i="59" s="1"/>
  <c r="Q955" i="59" a="1"/>
  <c r="Q955" i="59" s="1"/>
  <c r="L955" i="59" a="1"/>
  <c r="L955" i="59" s="1"/>
  <c r="P955" i="59" a="1"/>
  <c r="P955" i="59" s="1"/>
  <c r="M955" i="59" a="1"/>
  <c r="M955" i="59" s="1"/>
  <c r="O955" i="59" a="1"/>
  <c r="O955" i="59" s="1"/>
  <c r="O891" i="59" a="1"/>
  <c r="O891" i="59" s="1"/>
  <c r="M891" i="59" a="1"/>
  <c r="M891" i="59" s="1"/>
  <c r="L891" i="59" a="1"/>
  <c r="L891" i="59" s="1"/>
  <c r="P891" i="59" a="1"/>
  <c r="P891" i="59" s="1"/>
  <c r="Q891" i="59" a="1"/>
  <c r="Q891" i="59" s="1"/>
  <c r="N891" i="59" a="1"/>
  <c r="N891" i="59" s="1"/>
  <c r="L724" i="59" a="1"/>
  <c r="L724" i="59" s="1"/>
  <c r="O724" i="59" a="1"/>
  <c r="O724" i="59" s="1"/>
  <c r="N724" i="59" a="1"/>
  <c r="N724" i="59" s="1"/>
  <c r="M724" i="59" a="1"/>
  <c r="M724" i="59" s="1"/>
  <c r="P724" i="59" a="1"/>
  <c r="P724" i="59" s="1"/>
  <c r="Q724" i="59" a="1"/>
  <c r="Q724" i="59" s="1"/>
  <c r="L982" i="59" a="1"/>
  <c r="L982" i="59" s="1"/>
  <c r="P982" i="59" a="1"/>
  <c r="P982" i="59" s="1"/>
  <c r="M982" i="59" a="1"/>
  <c r="M982" i="59" s="1"/>
  <c r="Q982" i="59" a="1"/>
  <c r="Q982" i="59" s="1"/>
  <c r="O982" i="59" a="1"/>
  <c r="O982" i="59" s="1"/>
  <c r="N982" i="59" a="1"/>
  <c r="N982" i="59" s="1"/>
  <c r="L918" i="59" a="1"/>
  <c r="L918" i="59" s="1"/>
  <c r="P918" i="59" a="1"/>
  <c r="P918" i="59" s="1"/>
  <c r="M918" i="59" a="1"/>
  <c r="M918" i="59" s="1"/>
  <c r="O918" i="59" a="1"/>
  <c r="O918" i="59" s="1"/>
  <c r="Q918" i="59" a="1"/>
  <c r="Q918" i="59" s="1"/>
  <c r="N918" i="59" a="1"/>
  <c r="N918" i="59" s="1"/>
  <c r="M823" i="59" a="1"/>
  <c r="M823" i="59" s="1"/>
  <c r="Q823" i="59" a="1"/>
  <c r="Q823" i="59" s="1"/>
  <c r="N823" i="59" a="1"/>
  <c r="N823" i="59" s="1"/>
  <c r="L823" i="59" a="1"/>
  <c r="L823" i="59" s="1"/>
  <c r="O823" i="59" a="1"/>
  <c r="O823" i="59" s="1"/>
  <c r="P823" i="59" a="1"/>
  <c r="P823" i="59" s="1"/>
  <c r="O850" i="59" a="1"/>
  <c r="O850" i="59" s="1"/>
  <c r="M850" i="59" a="1"/>
  <c r="M850" i="59" s="1"/>
  <c r="L850" i="59" a="1"/>
  <c r="L850" i="59" s="1"/>
  <c r="N850" i="59" a="1"/>
  <c r="N850" i="59" s="1"/>
  <c r="P850" i="59" a="1"/>
  <c r="P850" i="59" s="1"/>
  <c r="Q850" i="59" a="1"/>
  <c r="Q850" i="59" s="1"/>
  <c r="M786" i="59" a="1"/>
  <c r="M786" i="59" s="1"/>
  <c r="Q786" i="59" a="1"/>
  <c r="Q786" i="59" s="1"/>
  <c r="N786" i="59" a="1"/>
  <c r="N786" i="59" s="1"/>
  <c r="O786" i="59" a="1"/>
  <c r="O786" i="59" s="1"/>
  <c r="L786" i="59" a="1"/>
  <c r="L786" i="59" s="1"/>
  <c r="P786" i="59" a="1"/>
  <c r="P786" i="59" s="1"/>
  <c r="L699" i="59" a="1"/>
  <c r="L699" i="59" s="1"/>
  <c r="P699" i="59" a="1"/>
  <c r="P699" i="59" s="1"/>
  <c r="Q699" i="59" a="1"/>
  <c r="Q699" i="59" s="1"/>
  <c r="O699" i="59" a="1"/>
  <c r="O699" i="59" s="1"/>
  <c r="M699" i="59" a="1"/>
  <c r="M699" i="59" s="1"/>
  <c r="N699" i="59" a="1"/>
  <c r="N699" i="59" s="1"/>
  <c r="O869" i="59" a="1"/>
  <c r="O869" i="59" s="1"/>
  <c r="P869" i="59" a="1"/>
  <c r="P869" i="59" s="1"/>
  <c r="L869" i="59" a="1"/>
  <c r="L869" i="59" s="1"/>
  <c r="N869" i="59" a="1"/>
  <c r="N869" i="59" s="1"/>
  <c r="Q869" i="59" a="1"/>
  <c r="Q869" i="59" s="1"/>
  <c r="M869" i="59" a="1"/>
  <c r="M869" i="59" s="1"/>
  <c r="O805" i="59" a="1"/>
  <c r="O805" i="59" s="1"/>
  <c r="P805" i="59" a="1"/>
  <c r="P805" i="59" s="1"/>
  <c r="Q805" i="59" a="1"/>
  <c r="Q805" i="59" s="1"/>
  <c r="M805" i="59" a="1"/>
  <c r="M805" i="59" s="1"/>
  <c r="N805" i="59" a="1"/>
  <c r="N805" i="59" s="1"/>
  <c r="L805" i="59" a="1"/>
  <c r="L805" i="59" s="1"/>
  <c r="N741" i="59" a="1"/>
  <c r="N741" i="59" s="1"/>
  <c r="O741" i="59" a="1"/>
  <c r="O741" i="59" s="1"/>
  <c r="P741" i="59" a="1"/>
  <c r="P741" i="59" s="1"/>
  <c r="L741" i="59" a="1"/>
  <c r="L741" i="59" s="1"/>
  <c r="Q741" i="59" a="1"/>
  <c r="Q741" i="59" s="1"/>
  <c r="M741" i="59" a="1"/>
  <c r="M741" i="59" s="1"/>
  <c r="P600" i="59" a="1"/>
  <c r="P600" i="59" s="1"/>
  <c r="O600" i="59" a="1"/>
  <c r="O600" i="59" s="1"/>
  <c r="Q600" i="59" a="1"/>
  <c r="Q600" i="59" s="1"/>
  <c r="L600" i="59" a="1"/>
  <c r="L600" i="59" s="1"/>
  <c r="M600" i="59" a="1"/>
  <c r="M600" i="59" s="1"/>
  <c r="N600" i="59" a="1"/>
  <c r="N600" i="59" s="1"/>
  <c r="N824" i="59" a="1"/>
  <c r="N824" i="59" s="1"/>
  <c r="P824" i="59" a="1"/>
  <c r="P824" i="59" s="1"/>
  <c r="O824" i="59" a="1"/>
  <c r="O824" i="59" s="1"/>
  <c r="L824" i="59" a="1"/>
  <c r="L824" i="59" s="1"/>
  <c r="Q824" i="59" a="1"/>
  <c r="Q824" i="59" s="1"/>
  <c r="M824" i="59" a="1"/>
  <c r="M824" i="59" s="1"/>
  <c r="N760" i="59" a="1"/>
  <c r="N760" i="59" s="1"/>
  <c r="O760" i="59" a="1"/>
  <c r="O760" i="59" s="1"/>
  <c r="Q760" i="59" a="1"/>
  <c r="Q760" i="59" s="1"/>
  <c r="L760" i="59" a="1"/>
  <c r="L760" i="59" s="1"/>
  <c r="P760" i="59" a="1"/>
  <c r="P760" i="59" s="1"/>
  <c r="M760" i="59" a="1"/>
  <c r="M760" i="59" s="1"/>
  <c r="P628" i="59" a="1"/>
  <c r="P628" i="59" s="1"/>
  <c r="N628" i="59" a="1"/>
  <c r="N628" i="59" s="1"/>
  <c r="M628" i="59" a="1"/>
  <c r="M628" i="59" s="1"/>
  <c r="Q628" i="59" a="1"/>
  <c r="Q628" i="59" s="1"/>
  <c r="L628" i="59" a="1"/>
  <c r="L628" i="59" s="1"/>
  <c r="O628" i="59" a="1"/>
  <c r="O628" i="59" s="1"/>
  <c r="O779" i="59" a="1"/>
  <c r="O779" i="59" s="1"/>
  <c r="P779" i="59" a="1"/>
  <c r="P779" i="59" s="1"/>
  <c r="Q779" i="59" a="1"/>
  <c r="Q779" i="59" s="1"/>
  <c r="N779" i="59" a="1"/>
  <c r="N779" i="59" s="1"/>
  <c r="L779" i="59" a="1"/>
  <c r="L779" i="59" s="1"/>
  <c r="M779" i="59" a="1"/>
  <c r="M779" i="59" s="1"/>
  <c r="N679" i="59" a="1"/>
  <c r="N679" i="59" s="1"/>
  <c r="O679" i="59" a="1"/>
  <c r="O679" i="59" s="1"/>
  <c r="M679" i="59" a="1"/>
  <c r="M679" i="59" s="1"/>
  <c r="Q679" i="59" a="1"/>
  <c r="Q679" i="59" s="1"/>
  <c r="L679" i="59" a="1"/>
  <c r="L679" i="59" s="1"/>
  <c r="P679" i="59" a="1"/>
  <c r="P679" i="59" s="1"/>
  <c r="P870" i="59" a="1"/>
  <c r="P870" i="59" s="1"/>
  <c r="M870" i="59" a="1"/>
  <c r="M870" i="59" s="1"/>
  <c r="Q870" i="59" a="1"/>
  <c r="Q870" i="59" s="1"/>
  <c r="N870" i="59" a="1"/>
  <c r="N870" i="59" s="1"/>
  <c r="O870" i="59" a="1"/>
  <c r="O870" i="59" s="1"/>
  <c r="L870" i="59" a="1"/>
  <c r="L870" i="59" s="1"/>
  <c r="O806" i="59" a="1"/>
  <c r="O806" i="59" s="1"/>
  <c r="L806" i="59" a="1"/>
  <c r="L806" i="59" s="1"/>
  <c r="P806" i="59" a="1"/>
  <c r="P806" i="59" s="1"/>
  <c r="Q806" i="59" a="1"/>
  <c r="Q806" i="59" s="1"/>
  <c r="M806" i="59" a="1"/>
  <c r="M806" i="59" s="1"/>
  <c r="N806" i="59" a="1"/>
  <c r="N806" i="59" s="1"/>
  <c r="O742" i="59" a="1"/>
  <c r="O742" i="59" s="1"/>
  <c r="L742" i="59" a="1"/>
  <c r="L742" i="59" s="1"/>
  <c r="P742" i="59" a="1"/>
  <c r="P742" i="59" s="1"/>
  <c r="Q742" i="59" a="1"/>
  <c r="Q742" i="59" s="1"/>
  <c r="M742" i="59" a="1"/>
  <c r="M742" i="59" s="1"/>
  <c r="N742" i="59" a="1"/>
  <c r="N742" i="59" s="1"/>
  <c r="P620" i="59" a="1"/>
  <c r="P620" i="59" s="1"/>
  <c r="L620" i="59" a="1"/>
  <c r="L620" i="59" s="1"/>
  <c r="M620" i="59" a="1"/>
  <c r="M620" i="59" s="1"/>
  <c r="Q620" i="59" a="1"/>
  <c r="Q620" i="59" s="1"/>
  <c r="N620" i="59" a="1"/>
  <c r="N620" i="59" s="1"/>
  <c r="O620" i="59" a="1"/>
  <c r="O620" i="59" s="1"/>
  <c r="P777" i="59" a="1"/>
  <c r="P777" i="59" s="1"/>
  <c r="M777" i="59" a="1"/>
  <c r="M777" i="59" s="1"/>
  <c r="Q777" i="59" a="1"/>
  <c r="Q777" i="59" s="1"/>
  <c r="L777" i="59" a="1"/>
  <c r="L777" i="59" s="1"/>
  <c r="N777" i="59" a="1"/>
  <c r="N777" i="59" s="1"/>
  <c r="O777" i="59" a="1"/>
  <c r="O777" i="59" s="1"/>
  <c r="L681" i="59" a="1"/>
  <c r="L681" i="59" s="1"/>
  <c r="M681" i="59" a="1"/>
  <c r="M681" i="59" s="1"/>
  <c r="N681" i="59" a="1"/>
  <c r="N681" i="59" s="1"/>
  <c r="Q681" i="59" a="1"/>
  <c r="Q681" i="59" s="1"/>
  <c r="P681" i="59" a="1"/>
  <c r="P681" i="59" s="1"/>
  <c r="O681" i="59" a="1"/>
  <c r="O681" i="59" s="1"/>
  <c r="O706" i="59" a="1"/>
  <c r="O706" i="59" s="1"/>
  <c r="Q706" i="59" a="1"/>
  <c r="Q706" i="59" s="1"/>
  <c r="M706" i="59" a="1"/>
  <c r="M706" i="59" s="1"/>
  <c r="L706" i="59" a="1"/>
  <c r="L706" i="59" s="1"/>
  <c r="P706" i="59" a="1"/>
  <c r="P706" i="59" s="1"/>
  <c r="N706" i="59" a="1"/>
  <c r="N706" i="59" s="1"/>
  <c r="Q642" i="59" a="1"/>
  <c r="Q642" i="59" s="1"/>
  <c r="M642" i="59" a="1"/>
  <c r="M642" i="59" s="1"/>
  <c r="N642" i="59" a="1"/>
  <c r="N642" i="59" s="1"/>
  <c r="O642" i="59" a="1"/>
  <c r="O642" i="59" s="1"/>
  <c r="L642" i="59" a="1"/>
  <c r="L642" i="59" s="1"/>
  <c r="P642" i="59" a="1"/>
  <c r="P642" i="59" s="1"/>
  <c r="Q558" i="59" a="1"/>
  <c r="Q558" i="59" s="1"/>
  <c r="L558" i="59" a="1"/>
  <c r="L558" i="59" s="1"/>
  <c r="P558" i="59" a="1"/>
  <c r="P558" i="59" s="1"/>
  <c r="N558" i="59" a="1"/>
  <c r="N558" i="59" s="1"/>
  <c r="M558" i="59" a="1"/>
  <c r="M558" i="59" s="1"/>
  <c r="O558" i="59" a="1"/>
  <c r="O558" i="59" s="1"/>
  <c r="O677" i="59" a="1"/>
  <c r="O677" i="59" s="1"/>
  <c r="P677" i="59" a="1"/>
  <c r="P677" i="59" s="1"/>
  <c r="N677" i="59" a="1"/>
  <c r="N677" i="59" s="1"/>
  <c r="Q677" i="59" a="1"/>
  <c r="Q677" i="59" s="1"/>
  <c r="L677" i="59" a="1"/>
  <c r="L677" i="59" s="1"/>
  <c r="M677" i="59" a="1"/>
  <c r="M677" i="59" s="1"/>
  <c r="O613" i="59" a="1"/>
  <c r="O613" i="59" s="1"/>
  <c r="P613" i="59" a="1"/>
  <c r="P613" i="59" s="1"/>
  <c r="N613" i="59" a="1"/>
  <c r="N613" i="59" s="1"/>
  <c r="L613" i="59" a="1"/>
  <c r="L613" i="59" s="1"/>
  <c r="M613" i="59" a="1"/>
  <c r="M613" i="59" s="1"/>
  <c r="Q613" i="59" a="1"/>
  <c r="Q613" i="59" s="1"/>
  <c r="L728" i="59" a="1"/>
  <c r="L728" i="59" s="1"/>
  <c r="P728" i="59" a="1"/>
  <c r="P728" i="59" s="1"/>
  <c r="N728" i="59" a="1"/>
  <c r="N728" i="59" s="1"/>
  <c r="M728" i="59" a="1"/>
  <c r="M728" i="59" s="1"/>
  <c r="Q728" i="59" a="1"/>
  <c r="Q728" i="59" s="1"/>
  <c r="O728" i="59" a="1"/>
  <c r="O728" i="59" s="1"/>
  <c r="N664" i="59" a="1"/>
  <c r="N664" i="59" s="1"/>
  <c r="L664" i="59" a="1"/>
  <c r="L664" i="59" s="1"/>
  <c r="M664" i="59" a="1"/>
  <c r="M664" i="59" s="1"/>
  <c r="P664" i="59" a="1"/>
  <c r="P664" i="59" s="1"/>
  <c r="O664" i="59" a="1"/>
  <c r="O664" i="59" s="1"/>
  <c r="Q664" i="59" a="1"/>
  <c r="Q664" i="59" s="1"/>
  <c r="M596" i="59" a="1"/>
  <c r="M596" i="59" s="1"/>
  <c r="P596" i="59" a="1"/>
  <c r="P596" i="59" s="1"/>
  <c r="Q596" i="59" a="1"/>
  <c r="Q596" i="59" s="1"/>
  <c r="N596" i="59" a="1"/>
  <c r="N596" i="59" s="1"/>
  <c r="L596" i="59" a="1"/>
  <c r="L596" i="59" s="1"/>
  <c r="O596" i="59" a="1"/>
  <c r="O596" i="59" s="1"/>
  <c r="O651" i="59" a="1"/>
  <c r="O651" i="59" s="1"/>
  <c r="L651" i="59" a="1"/>
  <c r="L651" i="59" s="1"/>
  <c r="P651" i="59" a="1"/>
  <c r="P651" i="59" s="1"/>
  <c r="M651" i="59" a="1"/>
  <c r="M651" i="59" s="1"/>
  <c r="Q651" i="59" a="1"/>
  <c r="Q651" i="59" s="1"/>
  <c r="N651" i="59" a="1"/>
  <c r="N651" i="59" s="1"/>
  <c r="Q560" i="59" a="1"/>
  <c r="Q560" i="59" s="1"/>
  <c r="L560" i="59" a="1"/>
  <c r="L560" i="59" s="1"/>
  <c r="P560" i="59" a="1"/>
  <c r="P560" i="59" s="1"/>
  <c r="O560" i="59" a="1"/>
  <c r="O560" i="59" s="1"/>
  <c r="N560" i="59" a="1"/>
  <c r="N560" i="59" s="1"/>
  <c r="M560" i="59" a="1"/>
  <c r="M560" i="59" s="1"/>
  <c r="M694" i="59" a="1"/>
  <c r="M694" i="59" s="1"/>
  <c r="Q694" i="59" a="1"/>
  <c r="Q694" i="59" s="1"/>
  <c r="O694" i="59" a="1"/>
  <c r="O694" i="59" s="1"/>
  <c r="P694" i="59" a="1"/>
  <c r="P694" i="59" s="1"/>
  <c r="L694" i="59" a="1"/>
  <c r="L694" i="59" s="1"/>
  <c r="N694" i="59" a="1"/>
  <c r="N694" i="59" s="1"/>
  <c r="O630" i="59" a="1"/>
  <c r="O630" i="59" s="1"/>
  <c r="L630" i="59" a="1"/>
  <c r="L630" i="59" s="1"/>
  <c r="M630" i="59" a="1"/>
  <c r="M630" i="59" s="1"/>
  <c r="P630" i="59" a="1"/>
  <c r="P630" i="59" s="1"/>
  <c r="Q630" i="59" a="1"/>
  <c r="Q630" i="59" s="1"/>
  <c r="N630" i="59" a="1"/>
  <c r="N630" i="59" s="1"/>
  <c r="P507" i="59" a="1"/>
  <c r="P507" i="59" s="1"/>
  <c r="M507" i="59" a="1"/>
  <c r="M507" i="59" s="1"/>
  <c r="Q507" i="59" a="1"/>
  <c r="Q507" i="59" s="1"/>
  <c r="O507" i="59" a="1"/>
  <c r="O507" i="59" s="1"/>
  <c r="N507" i="59" a="1"/>
  <c r="N507" i="59" s="1"/>
  <c r="L507" i="59" a="1"/>
  <c r="L507" i="59" s="1"/>
  <c r="L609" i="59" a="1"/>
  <c r="L609" i="59" s="1"/>
  <c r="P609" i="59" a="1"/>
  <c r="P609" i="59" s="1"/>
  <c r="M609" i="59" a="1"/>
  <c r="M609" i="59" s="1"/>
  <c r="Q609" i="59" a="1"/>
  <c r="Q609" i="59" s="1"/>
  <c r="N609" i="59" a="1"/>
  <c r="N609" i="59" s="1"/>
  <c r="O609" i="59" a="1"/>
  <c r="O609" i="59" s="1"/>
  <c r="O599" i="59" a="1"/>
  <c r="O599" i="59" s="1"/>
  <c r="P599" i="59" a="1"/>
  <c r="P599" i="59" s="1"/>
  <c r="Q599" i="59" a="1"/>
  <c r="Q599" i="59" s="1"/>
  <c r="M599" i="59" a="1"/>
  <c r="M599" i="59" s="1"/>
  <c r="N599" i="59" a="1"/>
  <c r="N599" i="59" s="1"/>
  <c r="L599" i="59" a="1"/>
  <c r="L599" i="59" s="1"/>
  <c r="O540" i="59" a="1"/>
  <c r="O540" i="59" s="1"/>
  <c r="Q540" i="59" a="1"/>
  <c r="Q540" i="59" s="1"/>
  <c r="M540" i="59" a="1"/>
  <c r="M540" i="59" s="1"/>
  <c r="N540" i="59" a="1"/>
  <c r="N540" i="59" s="1"/>
  <c r="P540" i="59" a="1"/>
  <c r="P540" i="59" s="1"/>
  <c r="L540" i="59" a="1"/>
  <c r="L540" i="59" s="1"/>
  <c r="N578" i="59" a="1"/>
  <c r="N578" i="59" s="1"/>
  <c r="P578" i="59" a="1"/>
  <c r="P578" i="59" s="1"/>
  <c r="O578" i="59" a="1"/>
  <c r="O578" i="59" s="1"/>
  <c r="M578" i="59" a="1"/>
  <c r="M578" i="59" s="1"/>
  <c r="L578" i="59" a="1"/>
  <c r="L578" i="59" s="1"/>
  <c r="Q578" i="59" a="1"/>
  <c r="Q578" i="59" s="1"/>
  <c r="L493" i="59" a="1"/>
  <c r="L493" i="59" s="1"/>
  <c r="P493" i="59" a="1"/>
  <c r="P493" i="59" s="1"/>
  <c r="N493" i="59" a="1"/>
  <c r="N493" i="59" s="1"/>
  <c r="O493" i="59" a="1"/>
  <c r="O493" i="59" s="1"/>
  <c r="Q493" i="59" a="1"/>
  <c r="Q493" i="59" s="1"/>
  <c r="M493" i="59" a="1"/>
  <c r="M493" i="59" s="1"/>
  <c r="L565" i="59" a="1"/>
  <c r="L565" i="59" s="1"/>
  <c r="P565" i="59" a="1"/>
  <c r="P565" i="59" s="1"/>
  <c r="N565" i="59" a="1"/>
  <c r="N565" i="59" s="1"/>
  <c r="M565" i="59" a="1"/>
  <c r="M565" i="59" s="1"/>
  <c r="O565" i="59" a="1"/>
  <c r="O565" i="59" s="1"/>
  <c r="Q565" i="59" a="1"/>
  <c r="Q565" i="59" s="1"/>
  <c r="M521" i="59" a="1"/>
  <c r="M521" i="59" s="1"/>
  <c r="N521" i="59" a="1"/>
  <c r="N521" i="59" s="1"/>
  <c r="P521" i="59" a="1"/>
  <c r="P521" i="59" s="1"/>
  <c r="Q521" i="59" a="1"/>
  <c r="Q521" i="59" s="1"/>
  <c r="L521" i="59" a="1"/>
  <c r="L521" i="59" s="1"/>
  <c r="O521" i="59" a="1"/>
  <c r="O521" i="59" s="1"/>
  <c r="M571" i="59" a="1"/>
  <c r="M571" i="59" s="1"/>
  <c r="Q571" i="59" a="1"/>
  <c r="Q571" i="59" s="1"/>
  <c r="L571" i="59" a="1"/>
  <c r="L571" i="59" s="1"/>
  <c r="O571" i="59" a="1"/>
  <c r="O571" i="59" s="1"/>
  <c r="N571" i="59" a="1"/>
  <c r="N571" i="59" s="1"/>
  <c r="P571" i="59" a="1"/>
  <c r="P571" i="59" s="1"/>
  <c r="L394" i="59" a="1"/>
  <c r="L394" i="59" s="1"/>
  <c r="M394" i="59" a="1"/>
  <c r="M394" i="59" s="1"/>
  <c r="Q394" i="59" a="1"/>
  <c r="Q394" i="59" s="1"/>
  <c r="O394" i="59" a="1"/>
  <c r="O394" i="59" s="1"/>
  <c r="N394" i="59" a="1"/>
  <c r="N394" i="59" s="1"/>
  <c r="P394" i="59" a="1"/>
  <c r="P394" i="59" s="1"/>
  <c r="N534" i="59" a="1"/>
  <c r="N534" i="59" s="1"/>
  <c r="Q534" i="59" a="1"/>
  <c r="Q534" i="59" s="1"/>
  <c r="P534" i="59" a="1"/>
  <c r="P534" i="59" s="1"/>
  <c r="L534" i="59" a="1"/>
  <c r="L534" i="59" s="1"/>
  <c r="O534" i="59" a="1"/>
  <c r="O534" i="59" s="1"/>
  <c r="M534" i="59" a="1"/>
  <c r="M534" i="59" s="1"/>
  <c r="O465" i="59" a="1"/>
  <c r="O465" i="59" s="1"/>
  <c r="M465" i="59" a="1"/>
  <c r="M465" i="59" s="1"/>
  <c r="Q465" i="59" a="1"/>
  <c r="Q465" i="59" s="1"/>
  <c r="N465" i="59" a="1"/>
  <c r="N465" i="59" s="1"/>
  <c r="L465" i="59" a="1"/>
  <c r="L465" i="59" s="1"/>
  <c r="P465" i="59" a="1"/>
  <c r="P465" i="59" s="1"/>
  <c r="Q511" i="59" a="1"/>
  <c r="Q511" i="59" s="1"/>
  <c r="N511" i="59" a="1"/>
  <c r="N511" i="59" s="1"/>
  <c r="O511" i="59" a="1"/>
  <c r="O511" i="59" s="1"/>
  <c r="M511" i="59" a="1"/>
  <c r="M511" i="59" s="1"/>
  <c r="L511" i="59" a="1"/>
  <c r="L511" i="59" s="1"/>
  <c r="P511" i="59" a="1"/>
  <c r="P511" i="59" s="1"/>
  <c r="Q418" i="59" a="1"/>
  <c r="Q418" i="59" s="1"/>
  <c r="O418" i="59" a="1"/>
  <c r="O418" i="59" s="1"/>
  <c r="M418" i="59" a="1"/>
  <c r="M418" i="59" s="1"/>
  <c r="N418" i="59" a="1"/>
  <c r="N418" i="59" s="1"/>
  <c r="L418" i="59" a="1"/>
  <c r="L418" i="59" s="1"/>
  <c r="P418" i="59" a="1"/>
  <c r="P418" i="59" s="1"/>
  <c r="P490" i="59" a="1"/>
  <c r="P490" i="59" s="1"/>
  <c r="N490" i="59" a="1"/>
  <c r="N490" i="59" s="1"/>
  <c r="O490" i="59" a="1"/>
  <c r="O490" i="59" s="1"/>
  <c r="M490" i="59" a="1"/>
  <c r="M490" i="59" s="1"/>
  <c r="L490" i="59" a="1"/>
  <c r="L490" i="59" s="1"/>
  <c r="Q490" i="59" a="1"/>
  <c r="Q490" i="59" s="1"/>
  <c r="M410" i="59" a="1"/>
  <c r="M410" i="59" s="1"/>
  <c r="Q410" i="59" a="1"/>
  <c r="Q410" i="59" s="1"/>
  <c r="O410" i="59" a="1"/>
  <c r="O410" i="59" s="1"/>
  <c r="L410" i="59" a="1"/>
  <c r="L410" i="59" s="1"/>
  <c r="N410" i="59" a="1"/>
  <c r="N410" i="59" s="1"/>
  <c r="P410" i="59" a="1"/>
  <c r="P410" i="59" s="1"/>
  <c r="O488" i="59" a="1"/>
  <c r="O488" i="59" s="1"/>
  <c r="P488" i="59" a="1"/>
  <c r="P488" i="59" s="1"/>
  <c r="M488" i="59" a="1"/>
  <c r="M488" i="59" s="1"/>
  <c r="Q488" i="59" a="1"/>
  <c r="Q488" i="59" s="1"/>
  <c r="N488" i="59" a="1"/>
  <c r="N488" i="59" s="1"/>
  <c r="L488" i="59" a="1"/>
  <c r="L488" i="59" s="1"/>
  <c r="M402" i="59" a="1"/>
  <c r="M402" i="59" s="1"/>
  <c r="Q402" i="59" a="1"/>
  <c r="Q402" i="59" s="1"/>
  <c r="N402" i="59" a="1"/>
  <c r="N402" i="59" s="1"/>
  <c r="O402" i="59" a="1"/>
  <c r="O402" i="59" s="1"/>
  <c r="P402" i="59" a="1"/>
  <c r="P402" i="59" s="1"/>
  <c r="L402" i="59" a="1"/>
  <c r="L402" i="59" s="1"/>
  <c r="M428" i="59" a="1"/>
  <c r="M428" i="59" s="1"/>
  <c r="P428" i="59" a="1"/>
  <c r="P428" i="59" s="1"/>
  <c r="N428" i="59" a="1"/>
  <c r="N428" i="59" s="1"/>
  <c r="L428" i="59" a="1"/>
  <c r="L428" i="59" s="1"/>
  <c r="O428" i="59" a="1"/>
  <c r="O428" i="59" s="1"/>
  <c r="Q428" i="59" a="1"/>
  <c r="Q428" i="59" s="1"/>
  <c r="L471" i="59" a="1"/>
  <c r="L471" i="59" s="1"/>
  <c r="N471" i="59" a="1"/>
  <c r="N471" i="59" s="1"/>
  <c r="M471" i="59" a="1"/>
  <c r="M471" i="59" s="1"/>
  <c r="O471" i="59" a="1"/>
  <c r="O471" i="59" s="1"/>
  <c r="Q471" i="59" a="1"/>
  <c r="Q471" i="59" s="1"/>
  <c r="P471" i="59" a="1"/>
  <c r="P471" i="59" s="1"/>
  <c r="Q383" i="59" a="1"/>
  <c r="Q383" i="59" s="1"/>
  <c r="N383" i="59" a="1"/>
  <c r="N383" i="59" s="1"/>
  <c r="M383" i="59" a="1"/>
  <c r="M383" i="59" s="1"/>
  <c r="P383" i="59" a="1"/>
  <c r="P383" i="59" s="1"/>
  <c r="L383" i="59" a="1"/>
  <c r="L383" i="59" s="1"/>
  <c r="O383" i="59" a="1"/>
  <c r="O383" i="59" s="1"/>
  <c r="N469" i="59" a="1"/>
  <c r="N469" i="59" s="1"/>
  <c r="P469" i="59" a="1"/>
  <c r="P469" i="59" s="1"/>
  <c r="M469" i="59" a="1"/>
  <c r="M469" i="59" s="1"/>
  <c r="Q469" i="59" a="1"/>
  <c r="Q469" i="59" s="1"/>
  <c r="O469" i="59" a="1"/>
  <c r="O469" i="59" s="1"/>
  <c r="L469" i="59" a="1"/>
  <c r="L469" i="59" s="1"/>
  <c r="L395" i="59" a="1"/>
  <c r="L395" i="59" s="1"/>
  <c r="P395" i="59" a="1"/>
  <c r="P395" i="59" s="1"/>
  <c r="O395" i="59" a="1"/>
  <c r="O395" i="59" s="1"/>
  <c r="N395" i="59" a="1"/>
  <c r="N395" i="59" s="1"/>
  <c r="Q395" i="59" a="1"/>
  <c r="Q395" i="59" s="1"/>
  <c r="M395" i="59" a="1"/>
  <c r="M395" i="59" s="1"/>
  <c r="Q464" i="59" a="1"/>
  <c r="Q464" i="59" s="1"/>
  <c r="L464" i="59" a="1"/>
  <c r="L464" i="59" s="1"/>
  <c r="P464" i="59" a="1"/>
  <c r="P464" i="59" s="1"/>
  <c r="M464" i="59" a="1"/>
  <c r="M464" i="59" s="1"/>
  <c r="N464" i="59" a="1"/>
  <c r="N464" i="59" s="1"/>
  <c r="O464" i="59" a="1"/>
  <c r="O464" i="59" s="1"/>
  <c r="L337" i="59" a="1"/>
  <c r="L337" i="59" s="1"/>
  <c r="O337" i="59" a="1"/>
  <c r="O337" i="59" s="1"/>
  <c r="P337" i="59" a="1"/>
  <c r="P337" i="59" s="1"/>
  <c r="M337" i="59" a="1"/>
  <c r="M337" i="59" s="1"/>
  <c r="Q337" i="59" a="1"/>
  <c r="Q337" i="59" s="1"/>
  <c r="N337" i="59" a="1"/>
  <c r="N337" i="59" s="1"/>
  <c r="N397" i="59" a="1"/>
  <c r="N397" i="59" s="1"/>
  <c r="Q397" i="59" a="1"/>
  <c r="Q397" i="59" s="1"/>
  <c r="L397" i="59" a="1"/>
  <c r="L397" i="59" s="1"/>
  <c r="O397" i="59" a="1"/>
  <c r="O397" i="59" s="1"/>
  <c r="M397" i="59" a="1"/>
  <c r="M397" i="59" s="1"/>
  <c r="P397" i="59" a="1"/>
  <c r="P397" i="59" s="1"/>
  <c r="Q301" i="59" a="1"/>
  <c r="Q301" i="59" s="1"/>
  <c r="M301" i="59" a="1"/>
  <c r="M301" i="59" s="1"/>
  <c r="N301" i="59" a="1"/>
  <c r="N301" i="59" s="1"/>
  <c r="P301" i="59" a="1"/>
  <c r="P301" i="59" s="1"/>
  <c r="O301" i="59" a="1"/>
  <c r="O301" i="59" s="1"/>
  <c r="L301" i="59" a="1"/>
  <c r="L301" i="59" s="1"/>
  <c r="N376" i="59" a="1"/>
  <c r="N376" i="59" s="1"/>
  <c r="L376" i="59" a="1"/>
  <c r="L376" i="59" s="1"/>
  <c r="O376" i="59" a="1"/>
  <c r="O376" i="59" s="1"/>
  <c r="P376" i="59" a="1"/>
  <c r="P376" i="59" s="1"/>
  <c r="M376" i="59" a="1"/>
  <c r="M376" i="59" s="1"/>
  <c r="Q376" i="59" a="1"/>
  <c r="Q376" i="59" s="1"/>
  <c r="L282" i="59" a="1"/>
  <c r="L282" i="59" s="1"/>
  <c r="P282" i="59" a="1"/>
  <c r="P282" i="59" s="1"/>
  <c r="M282" i="59" a="1"/>
  <c r="M282" i="59" s="1"/>
  <c r="N282" i="59" a="1"/>
  <c r="N282" i="59" s="1"/>
  <c r="O282" i="59" a="1"/>
  <c r="O282" i="59" s="1"/>
  <c r="Q282" i="59" a="1"/>
  <c r="Q282" i="59" s="1"/>
  <c r="Q374" i="59" a="1"/>
  <c r="Q374" i="59" s="1"/>
  <c r="O374" i="59" a="1"/>
  <c r="O374" i="59" s="1"/>
  <c r="N374" i="59" a="1"/>
  <c r="N374" i="59" s="1"/>
  <c r="M374" i="59" a="1"/>
  <c r="M374" i="59" s="1"/>
  <c r="L374" i="59" a="1"/>
  <c r="L374" i="59" s="1"/>
  <c r="P374" i="59" a="1"/>
  <c r="P374" i="59" s="1"/>
  <c r="M417" i="59" a="1"/>
  <c r="M417" i="59" s="1"/>
  <c r="O417" i="59" a="1"/>
  <c r="O417" i="59" s="1"/>
  <c r="Q417" i="59" a="1"/>
  <c r="Q417" i="59" s="1"/>
  <c r="L417" i="59" a="1"/>
  <c r="L417" i="59" s="1"/>
  <c r="P417" i="59" a="1"/>
  <c r="P417" i="59" s="1"/>
  <c r="N417" i="59" a="1"/>
  <c r="N417" i="59" s="1"/>
  <c r="M341" i="59" a="1"/>
  <c r="M341" i="59" s="1"/>
  <c r="N341" i="59" a="1"/>
  <c r="N341" i="59" s="1"/>
  <c r="Q341" i="59" a="1"/>
  <c r="Q341" i="59" s="1"/>
  <c r="O341" i="59" a="1"/>
  <c r="O341" i="59" s="1"/>
  <c r="L341" i="59" a="1"/>
  <c r="L341" i="59" s="1"/>
  <c r="P341" i="59" a="1"/>
  <c r="P341" i="59" s="1"/>
  <c r="P344" i="59" a="1"/>
  <c r="P344" i="59" s="1"/>
  <c r="L344" i="59" a="1"/>
  <c r="L344" i="59" s="1"/>
  <c r="O344" i="59" a="1"/>
  <c r="O344" i="59" s="1"/>
  <c r="M344" i="59" a="1"/>
  <c r="M344" i="59" s="1"/>
  <c r="Q344" i="59" a="1"/>
  <c r="Q344" i="59" s="1"/>
  <c r="N344" i="59" a="1"/>
  <c r="N344" i="59" s="1"/>
  <c r="Q280" i="59" a="1"/>
  <c r="Q280" i="59" s="1"/>
  <c r="N280" i="59" a="1"/>
  <c r="N280" i="59" s="1"/>
  <c r="O280" i="59" a="1"/>
  <c r="O280" i="59" s="1"/>
  <c r="P280" i="59" a="1"/>
  <c r="P280" i="59" s="1"/>
  <c r="M280" i="59" a="1"/>
  <c r="M280" i="59" s="1"/>
  <c r="L280" i="59" a="1"/>
  <c r="L280" i="59" s="1"/>
  <c r="N323" i="59" a="1"/>
  <c r="N323" i="59" s="1"/>
  <c r="O323" i="59" a="1"/>
  <c r="O323" i="59" s="1"/>
  <c r="Q323" i="59" a="1"/>
  <c r="Q323" i="59" s="1"/>
  <c r="L323" i="59" a="1"/>
  <c r="L323" i="59" s="1"/>
  <c r="P323" i="59" a="1"/>
  <c r="P323" i="59" s="1"/>
  <c r="M323" i="59" a="1"/>
  <c r="M323" i="59" s="1"/>
  <c r="O366" i="59" a="1"/>
  <c r="O366" i="59" s="1"/>
  <c r="M366" i="59" a="1"/>
  <c r="M366" i="59" s="1"/>
  <c r="N366" i="59" a="1"/>
  <c r="N366" i="59" s="1"/>
  <c r="L366" i="59" a="1"/>
  <c r="L366" i="59" s="1"/>
  <c r="P366" i="59" a="1"/>
  <c r="P366" i="59" s="1"/>
  <c r="Q366" i="59" a="1"/>
  <c r="Q366" i="59" s="1"/>
  <c r="L302" i="59" a="1"/>
  <c r="L302" i="59" s="1"/>
  <c r="P302" i="59" a="1"/>
  <c r="P302" i="59" s="1"/>
  <c r="Q302" i="59" a="1"/>
  <c r="Q302" i="59" s="1"/>
  <c r="M302" i="59" a="1"/>
  <c r="M302" i="59" s="1"/>
  <c r="O302" i="59" a="1"/>
  <c r="O302" i="59" s="1"/>
  <c r="N302" i="59" a="1"/>
  <c r="N302" i="59" s="1"/>
  <c r="L289" i="59" a="1"/>
  <c r="L289" i="59" s="1"/>
  <c r="O289" i="59" a="1"/>
  <c r="O289" i="59" s="1"/>
  <c r="P289" i="59" a="1"/>
  <c r="P289" i="59" s="1"/>
  <c r="N289" i="59" a="1"/>
  <c r="N289" i="59" s="1"/>
  <c r="Q289" i="59" a="1"/>
  <c r="Q289" i="59" s="1"/>
  <c r="M289" i="59" a="1"/>
  <c r="M289" i="59" s="1"/>
  <c r="M324" i="59" a="1"/>
  <c r="M324" i="59" s="1"/>
  <c r="Q324" i="59" a="1"/>
  <c r="Q324" i="59" s="1"/>
  <c r="N324" i="59" a="1"/>
  <c r="N324" i="59" s="1"/>
  <c r="L324" i="59" a="1"/>
  <c r="L324" i="59" s="1"/>
  <c r="P324" i="59" a="1"/>
  <c r="P324" i="59" s="1"/>
  <c r="O324" i="59" a="1"/>
  <c r="O324" i="59" s="1"/>
  <c r="M295" i="59" a="1"/>
  <c r="M295" i="59" s="1"/>
  <c r="L295" i="59" a="1"/>
  <c r="L295" i="59" s="1"/>
  <c r="Q295" i="59" a="1"/>
  <c r="Q295" i="59" s="1"/>
  <c r="P295" i="59" a="1"/>
  <c r="P295" i="59" s="1"/>
  <c r="N295" i="59" a="1"/>
  <c r="N295" i="59" s="1"/>
  <c r="O295" i="59" a="1"/>
  <c r="O295" i="59" s="1"/>
  <c r="L239" i="59" a="1"/>
  <c r="L239" i="59" s="1"/>
  <c r="Q239" i="59" a="1"/>
  <c r="Q239" i="59" s="1"/>
  <c r="N239" i="59" a="1"/>
  <c r="N239" i="59" s="1"/>
  <c r="O239" i="59" a="1"/>
  <c r="O239" i="59" s="1"/>
  <c r="P239" i="59" a="1"/>
  <c r="P239" i="59" s="1"/>
  <c r="M239" i="59" a="1"/>
  <c r="M239" i="59" s="1"/>
  <c r="L207" i="59" a="1"/>
  <c r="L207" i="59" s="1"/>
  <c r="Q207" i="59" a="1"/>
  <c r="Q207" i="59" s="1"/>
  <c r="N207" i="59" a="1"/>
  <c r="N207" i="59" s="1"/>
  <c r="P207" i="59" a="1"/>
  <c r="P207" i="59" s="1"/>
  <c r="M207" i="59" a="1"/>
  <c r="M207" i="59" s="1"/>
  <c r="O207" i="59" a="1"/>
  <c r="O207" i="59" s="1"/>
  <c r="O270" i="59" a="1"/>
  <c r="O270" i="59" s="1"/>
  <c r="L270" i="59" a="1"/>
  <c r="L270" i="59" s="1"/>
  <c r="M270" i="59" a="1"/>
  <c r="M270" i="59" s="1"/>
  <c r="P270" i="59" a="1"/>
  <c r="P270" i="59" s="1"/>
  <c r="Q270" i="59" a="1"/>
  <c r="Q270" i="59" s="1"/>
  <c r="N270" i="59" a="1"/>
  <c r="N270" i="59" s="1"/>
  <c r="O257" i="59" a="1"/>
  <c r="O257" i="59" s="1"/>
  <c r="P257" i="59" a="1"/>
  <c r="P257" i="59" s="1"/>
  <c r="M257" i="59" a="1"/>
  <c r="M257" i="59" s="1"/>
  <c r="Q257" i="59" a="1"/>
  <c r="Q257" i="59" s="1"/>
  <c r="N257" i="59" a="1"/>
  <c r="N257" i="59" s="1"/>
  <c r="L257" i="59" a="1"/>
  <c r="L257" i="59" s="1"/>
  <c r="L252" i="59" a="1"/>
  <c r="L252" i="59" s="1"/>
  <c r="O252" i="59" a="1"/>
  <c r="O252" i="59" s="1"/>
  <c r="P252" i="59" a="1"/>
  <c r="P252" i="59" s="1"/>
  <c r="M252" i="59" a="1"/>
  <c r="M252" i="59" s="1"/>
  <c r="Q252" i="59" a="1"/>
  <c r="Q252" i="59" s="1"/>
  <c r="N252" i="59" a="1"/>
  <c r="N252" i="59" s="1"/>
  <c r="M232" i="59" a="1"/>
  <c r="M232" i="59" s="1"/>
  <c r="L232" i="59" a="1"/>
  <c r="L232" i="59" s="1"/>
  <c r="N232" i="59" a="1"/>
  <c r="N232" i="59" s="1"/>
  <c r="P232" i="59" a="1"/>
  <c r="P232" i="59" s="1"/>
  <c r="O232" i="59" a="1"/>
  <c r="O232" i="59" s="1"/>
  <c r="Q232" i="59" a="1"/>
  <c r="Q232" i="59" s="1"/>
  <c r="Q211" i="59" a="1"/>
  <c r="Q211" i="59" s="1"/>
  <c r="N211" i="59" a="1"/>
  <c r="N211" i="59" s="1"/>
  <c r="M211" i="59" a="1"/>
  <c r="M211" i="59" s="1"/>
  <c r="O211" i="59" a="1"/>
  <c r="O211" i="59" s="1"/>
  <c r="L211" i="59" a="1"/>
  <c r="L211" i="59" s="1"/>
  <c r="P211" i="59" a="1"/>
  <c r="P211" i="59" s="1"/>
  <c r="N206" i="59" a="1"/>
  <c r="N206" i="59" s="1"/>
  <c r="P206" i="59" a="1"/>
  <c r="P206" i="59" s="1"/>
  <c r="M206" i="59" a="1"/>
  <c r="M206" i="59" s="1"/>
  <c r="O206" i="59" a="1"/>
  <c r="O206" i="59" s="1"/>
  <c r="Q206" i="59" a="1"/>
  <c r="Q206" i="59" s="1"/>
  <c r="L206" i="59" a="1"/>
  <c r="L206" i="59" s="1"/>
  <c r="Q204" i="59" a="1"/>
  <c r="Q204" i="59" s="1"/>
  <c r="P204" i="59" a="1"/>
  <c r="P204" i="59" s="1"/>
  <c r="L204" i="59" a="1"/>
  <c r="L204" i="59" s="1"/>
  <c r="M204" i="59" a="1"/>
  <c r="M204" i="59" s="1"/>
  <c r="N204" i="59" a="1"/>
  <c r="N204" i="59" s="1"/>
  <c r="O204" i="59" a="1"/>
  <c r="O204" i="59" s="1"/>
  <c r="N218" i="59" a="1"/>
  <c r="N218" i="59" s="1"/>
  <c r="L218" i="59" a="1"/>
  <c r="L218" i="59" s="1"/>
  <c r="M218" i="59" a="1"/>
  <c r="M218" i="59" s="1"/>
  <c r="P218" i="59" a="1"/>
  <c r="P218" i="59" s="1"/>
  <c r="Q218" i="59" a="1"/>
  <c r="Q218" i="59" s="1"/>
  <c r="O218" i="59" a="1"/>
  <c r="O218" i="59" s="1"/>
  <c r="L146" i="59" a="1"/>
  <c r="L146" i="59" s="1"/>
  <c r="P146" i="59" a="1"/>
  <c r="P146" i="59" s="1"/>
  <c r="M146" i="59" a="1"/>
  <c r="M146" i="59" s="1"/>
  <c r="O146" i="59" a="1"/>
  <c r="O146" i="59" s="1"/>
  <c r="N146" i="59" a="1"/>
  <c r="N146" i="59" s="1"/>
  <c r="Q146" i="59" a="1"/>
  <c r="Q146" i="59" s="1"/>
  <c r="O196" i="59" a="1"/>
  <c r="O196" i="59" s="1"/>
  <c r="P196" i="59" a="1"/>
  <c r="P196" i="59" s="1"/>
  <c r="L196" i="59" a="1"/>
  <c r="L196" i="59" s="1"/>
  <c r="Q196" i="59" a="1"/>
  <c r="Q196" i="59" s="1"/>
  <c r="M196" i="59" a="1"/>
  <c r="M196" i="59" s="1"/>
  <c r="N196" i="59" a="1"/>
  <c r="N196" i="59" s="1"/>
  <c r="N72" i="59" a="1"/>
  <c r="N72" i="59" s="1"/>
  <c r="Q72" i="59" a="1"/>
  <c r="Q72" i="59" s="1"/>
  <c r="L72" i="59" a="1"/>
  <c r="L72" i="59" s="1"/>
  <c r="P72" i="59" a="1"/>
  <c r="P72" i="59" s="1"/>
  <c r="O72" i="59" a="1"/>
  <c r="O72" i="59" s="1"/>
  <c r="M72" i="59" a="1"/>
  <c r="M72" i="59" s="1"/>
  <c r="L181" i="59" a="1"/>
  <c r="L181" i="59" s="1"/>
  <c r="Q181" i="59" a="1"/>
  <c r="Q181" i="59" s="1"/>
  <c r="M181" i="59" a="1"/>
  <c r="M181" i="59" s="1"/>
  <c r="P181" i="59" a="1"/>
  <c r="P181" i="59" s="1"/>
  <c r="N181" i="59" a="1"/>
  <c r="N181" i="59" s="1"/>
  <c r="O181" i="59" a="1"/>
  <c r="O181" i="59" s="1"/>
  <c r="N139" i="59" a="1"/>
  <c r="N139" i="59" s="1"/>
  <c r="Q139" i="59" a="1"/>
  <c r="Q139" i="59" s="1"/>
  <c r="O139" i="59" a="1"/>
  <c r="O139" i="59" s="1"/>
  <c r="L139" i="59" a="1"/>
  <c r="L139" i="59" s="1"/>
  <c r="P139" i="59" a="1"/>
  <c r="P139" i="59" s="1"/>
  <c r="M139" i="59" a="1"/>
  <c r="M139" i="59" s="1"/>
  <c r="O156" i="59" a="1"/>
  <c r="O156" i="59" s="1"/>
  <c r="N156" i="59" a="1"/>
  <c r="N156" i="59" s="1"/>
  <c r="Q156" i="59" a="1"/>
  <c r="Q156" i="59" s="1"/>
  <c r="P156" i="59" a="1"/>
  <c r="P156" i="59" s="1"/>
  <c r="L156" i="59" a="1"/>
  <c r="L156" i="59" s="1"/>
  <c r="M156" i="59" a="1"/>
  <c r="M156" i="59" s="1"/>
  <c r="Q143" i="59" a="1"/>
  <c r="Q143" i="59" s="1"/>
  <c r="M143" i="59" a="1"/>
  <c r="M143" i="59" s="1"/>
  <c r="N143" i="59" a="1"/>
  <c r="N143" i="59" s="1"/>
  <c r="L143" i="59" a="1"/>
  <c r="L143" i="59" s="1"/>
  <c r="O143" i="59" a="1"/>
  <c r="O143" i="59" s="1"/>
  <c r="P143" i="59" a="1"/>
  <c r="P143" i="59" s="1"/>
  <c r="M133" i="59" a="1"/>
  <c r="M133" i="59" s="1"/>
  <c r="Q133" i="59" a="1"/>
  <c r="Q133" i="59" s="1"/>
  <c r="P133" i="59" a="1"/>
  <c r="P133" i="59" s="1"/>
  <c r="O133" i="59" a="1"/>
  <c r="O133" i="59" s="1"/>
  <c r="L133" i="59" a="1"/>
  <c r="L133" i="59" s="1"/>
  <c r="N133" i="59" a="1"/>
  <c r="N133" i="59" s="1"/>
  <c r="Q26" i="59" a="1"/>
  <c r="Q26" i="59" s="1"/>
  <c r="L26" i="59" a="1"/>
  <c r="L26" i="59" s="1"/>
  <c r="P26" i="59" a="1"/>
  <c r="P26" i="59" s="1"/>
  <c r="M26" i="59" a="1"/>
  <c r="M26" i="59" s="1"/>
  <c r="O26" i="59" a="1"/>
  <c r="O26" i="59" s="1"/>
  <c r="N26" i="59" a="1"/>
  <c r="N26" i="59" s="1"/>
  <c r="N121" i="59" a="1"/>
  <c r="N121" i="59" s="1"/>
  <c r="O121" i="59" a="1"/>
  <c r="O121" i="59" s="1"/>
  <c r="P121" i="59" a="1"/>
  <c r="P121" i="59" s="1"/>
  <c r="M121" i="59" a="1"/>
  <c r="M121" i="59" s="1"/>
  <c r="Q121" i="59" a="1"/>
  <c r="Q121" i="59" s="1"/>
  <c r="L121" i="59" a="1"/>
  <c r="L121" i="59" s="1"/>
  <c r="O108" i="59" a="1"/>
  <c r="O108" i="59" s="1"/>
  <c r="N108" i="59" a="1"/>
  <c r="N108" i="59" s="1"/>
  <c r="L108" i="59" a="1"/>
  <c r="L108" i="59" s="1"/>
  <c r="P108" i="59" a="1"/>
  <c r="P108" i="59" s="1"/>
  <c r="M108" i="59" a="1"/>
  <c r="M108" i="59" s="1"/>
  <c r="Q108" i="59" a="1"/>
  <c r="Q108" i="59" s="1"/>
  <c r="Q73" i="59" a="1"/>
  <c r="Q73" i="59" s="1"/>
  <c r="P73" i="59" a="1"/>
  <c r="P73" i="59" s="1"/>
  <c r="L73" i="59" a="1"/>
  <c r="L73" i="59" s="1"/>
  <c r="N73" i="59" a="1"/>
  <c r="N73" i="59" s="1"/>
  <c r="M73" i="59" a="1"/>
  <c r="M73" i="59" s="1"/>
  <c r="O73" i="59" a="1"/>
  <c r="O73" i="59" s="1"/>
  <c r="O63" i="59" a="1"/>
  <c r="O63" i="59" s="1"/>
  <c r="Q63" i="59" a="1"/>
  <c r="Q63" i="59" s="1"/>
  <c r="M63" i="59" a="1"/>
  <c r="M63" i="59" s="1"/>
  <c r="L63" i="59" a="1"/>
  <c r="L63" i="59" s="1"/>
  <c r="P63" i="59" a="1"/>
  <c r="P63" i="59" s="1"/>
  <c r="N63" i="59" a="1"/>
  <c r="N63" i="59" s="1"/>
  <c r="M86" i="59" a="1"/>
  <c r="M86" i="59" s="1"/>
  <c r="N86" i="59" a="1"/>
  <c r="N86" i="59" s="1"/>
  <c r="P86" i="59" a="1"/>
  <c r="P86" i="59" s="1"/>
  <c r="L86" i="59" a="1"/>
  <c r="L86" i="59" s="1"/>
  <c r="Q86" i="59" a="1"/>
  <c r="Q86" i="59" s="1"/>
  <c r="O86" i="59" a="1"/>
  <c r="O86" i="59" s="1"/>
  <c r="M59" i="59" a="1"/>
  <c r="M59" i="59" s="1"/>
  <c r="N59" i="59" a="1"/>
  <c r="N59" i="59" s="1"/>
  <c r="Q59" i="59" a="1"/>
  <c r="Q59" i="59" s="1"/>
  <c r="L59" i="59" a="1"/>
  <c r="L59" i="59" s="1"/>
  <c r="O59" i="59" a="1"/>
  <c r="O59" i="59" s="1"/>
  <c r="P59" i="59" a="1"/>
  <c r="P59" i="59" s="1"/>
  <c r="M82" i="59" a="1"/>
  <c r="M82" i="59" s="1"/>
  <c r="P82" i="59" a="1"/>
  <c r="P82" i="59" s="1"/>
  <c r="O82" i="59" a="1"/>
  <c r="O82" i="59" s="1"/>
  <c r="N82" i="59" a="1"/>
  <c r="N82" i="59" s="1"/>
  <c r="Q82" i="59" a="1"/>
  <c r="Q82" i="59" s="1"/>
  <c r="L82" i="59" a="1"/>
  <c r="L82" i="59" s="1"/>
  <c r="N11" i="59" a="1"/>
  <c r="N11" i="59" s="1"/>
  <c r="M11" i="59" a="1"/>
  <c r="M11" i="59" s="1"/>
  <c r="P11" i="59" a="1"/>
  <c r="P11" i="59" s="1"/>
  <c r="Q11" i="59" a="1"/>
  <c r="Q11" i="59" s="1"/>
  <c r="O11" i="59" a="1"/>
  <c r="O11" i="59" s="1"/>
  <c r="L11" i="59" a="1"/>
  <c r="L11" i="59" s="1"/>
  <c r="P69" i="59" a="1"/>
  <c r="P69" i="59" s="1"/>
  <c r="O69" i="59" a="1"/>
  <c r="O69" i="59" s="1"/>
  <c r="Q69" i="59" a="1"/>
  <c r="Q69" i="59" s="1"/>
  <c r="L69" i="59" a="1"/>
  <c r="L69" i="59" s="1"/>
  <c r="M69" i="59" a="1"/>
  <c r="M69" i="59" s="1"/>
  <c r="N69" i="59" a="1"/>
  <c r="N69" i="59" s="1"/>
  <c r="Q70" i="59" a="1"/>
  <c r="Q70" i="59" s="1"/>
  <c r="O70" i="59" a="1"/>
  <c r="O70" i="59" s="1"/>
  <c r="N70" i="59" a="1"/>
  <c r="N70" i="59" s="1"/>
  <c r="M70" i="59" a="1"/>
  <c r="M70" i="59" s="1"/>
  <c r="P70" i="59" a="1"/>
  <c r="P70" i="59" s="1"/>
  <c r="L70" i="59" a="1"/>
  <c r="L70" i="59" s="1"/>
  <c r="M23" i="59" a="1"/>
  <c r="M23" i="59" s="1"/>
  <c r="Q23" i="59" a="1"/>
  <c r="Q23" i="59" s="1"/>
  <c r="N23" i="59" a="1"/>
  <c r="N23" i="59" s="1"/>
  <c r="L23" i="59" a="1"/>
  <c r="L23" i="59" s="1"/>
  <c r="P23" i="59" a="1"/>
  <c r="P23" i="59" s="1"/>
  <c r="O23" i="59" a="1"/>
  <c r="O23" i="59" s="1"/>
  <c r="O49" i="59" a="1"/>
  <c r="O49" i="59" s="1"/>
  <c r="Q49" i="59" a="1"/>
  <c r="Q49" i="59" s="1"/>
  <c r="L49" i="59" a="1"/>
  <c r="L49" i="59" s="1"/>
  <c r="P49" i="59" a="1"/>
  <c r="P49" i="59" s="1"/>
  <c r="M49" i="59" a="1"/>
  <c r="M49" i="59" s="1"/>
  <c r="N49" i="59" a="1"/>
  <c r="N49" i="59" s="1"/>
  <c r="Q47" i="59" a="1"/>
  <c r="Q47" i="59" s="1"/>
  <c r="N47" i="59" a="1"/>
  <c r="N47" i="59" s="1"/>
  <c r="L47" i="59" a="1"/>
  <c r="L47" i="59" s="1"/>
  <c r="M47" i="59" a="1"/>
  <c r="M47" i="59" s="1"/>
  <c r="P47" i="59" a="1"/>
  <c r="P47" i="59" s="1"/>
  <c r="O47" i="59" a="1"/>
  <c r="O47" i="59" s="1"/>
  <c r="M1475" i="59" a="1"/>
  <c r="M1475" i="59" s="1"/>
  <c r="L1475" i="59" a="1"/>
  <c r="L1475" i="59" s="1"/>
  <c r="Q1475" i="59" a="1"/>
  <c r="Q1475" i="59" s="1"/>
  <c r="O1475" i="59" a="1"/>
  <c r="O1475" i="59" s="1"/>
  <c r="P1475" i="59" a="1"/>
  <c r="P1475" i="59" s="1"/>
  <c r="N1475" i="59" a="1"/>
  <c r="N1475" i="59" s="1"/>
  <c r="Q1305" i="59" a="1"/>
  <c r="Q1305" i="59" s="1"/>
  <c r="N1305" i="59" a="1"/>
  <c r="N1305" i="59" s="1"/>
  <c r="M1305" i="59" a="1"/>
  <c r="M1305" i="59" s="1"/>
  <c r="O1305" i="59" a="1"/>
  <c r="O1305" i="59" s="1"/>
  <c r="P1305" i="59" a="1"/>
  <c r="P1305" i="59" s="1"/>
  <c r="L1305" i="59" a="1"/>
  <c r="L1305" i="59" s="1"/>
  <c r="M1478" i="59" a="1"/>
  <c r="M1478" i="59" s="1"/>
  <c r="N1478" i="59" a="1"/>
  <c r="N1478" i="59" s="1"/>
  <c r="Q1478" i="59" a="1"/>
  <c r="Q1478" i="59" s="1"/>
  <c r="O1478" i="59" a="1"/>
  <c r="O1478" i="59" s="1"/>
  <c r="L1478" i="59" a="1"/>
  <c r="L1478" i="59" s="1"/>
  <c r="P1478" i="59" a="1"/>
  <c r="P1478" i="59" s="1"/>
  <c r="M1403" i="59" a="1"/>
  <c r="M1403" i="59" s="1"/>
  <c r="N1403" i="59" a="1"/>
  <c r="N1403" i="59" s="1"/>
  <c r="O1403" i="59" a="1"/>
  <c r="O1403" i="59" s="1"/>
  <c r="P1403" i="59" a="1"/>
  <c r="P1403" i="59" s="1"/>
  <c r="Q1403" i="59" a="1"/>
  <c r="Q1403" i="59" s="1"/>
  <c r="L1403" i="59" a="1"/>
  <c r="L1403" i="59" s="1"/>
  <c r="M1484" i="59" a="1"/>
  <c r="M1484" i="59" s="1"/>
  <c r="N1484" i="59" a="1"/>
  <c r="N1484" i="59" s="1"/>
  <c r="Q1484" i="59" a="1"/>
  <c r="Q1484" i="59" s="1"/>
  <c r="L1484" i="59" a="1"/>
  <c r="L1484" i="59" s="1"/>
  <c r="O1484" i="59" a="1"/>
  <c r="O1484" i="59" s="1"/>
  <c r="P1484" i="59" a="1"/>
  <c r="P1484" i="59" s="1"/>
  <c r="M1334" i="59" a="1"/>
  <c r="M1334" i="59" s="1"/>
  <c r="N1334" i="59" a="1"/>
  <c r="N1334" i="59" s="1"/>
  <c r="Q1334" i="59" a="1"/>
  <c r="Q1334" i="59" s="1"/>
  <c r="P1334" i="59" a="1"/>
  <c r="P1334" i="59" s="1"/>
  <c r="O1334" i="59" a="1"/>
  <c r="O1334" i="59" s="1"/>
  <c r="L1334" i="59" a="1"/>
  <c r="L1334" i="59" s="1"/>
  <c r="N1476" i="59" a="1"/>
  <c r="N1476" i="59" s="1"/>
  <c r="L1476" i="59" a="1"/>
  <c r="L1476" i="59" s="1"/>
  <c r="P1476" i="59" a="1"/>
  <c r="P1476" i="59" s="1"/>
  <c r="O1476" i="59" a="1"/>
  <c r="O1476" i="59" s="1"/>
  <c r="Q1476" i="59" a="1"/>
  <c r="Q1476" i="59" s="1"/>
  <c r="M1476" i="59" a="1"/>
  <c r="M1476" i="59" s="1"/>
  <c r="M1342" i="59" a="1"/>
  <c r="M1342" i="59" s="1"/>
  <c r="N1342" i="59" a="1"/>
  <c r="N1342" i="59" s="1"/>
  <c r="Q1342" i="59" a="1"/>
  <c r="Q1342" i="59" s="1"/>
  <c r="P1342" i="59" a="1"/>
  <c r="P1342" i="59" s="1"/>
  <c r="O1342" i="59" a="1"/>
  <c r="O1342" i="59" s="1"/>
  <c r="L1342" i="59" a="1"/>
  <c r="L1342" i="59" s="1"/>
  <c r="M1462" i="59" a="1"/>
  <c r="M1462" i="59" s="1"/>
  <c r="L1462" i="59" a="1"/>
  <c r="L1462" i="59" s="1"/>
  <c r="Q1462" i="59" a="1"/>
  <c r="Q1462" i="59" s="1"/>
  <c r="O1462" i="59" a="1"/>
  <c r="O1462" i="59" s="1"/>
  <c r="N1462" i="59" a="1"/>
  <c r="N1462" i="59" s="1"/>
  <c r="P1462" i="59" a="1"/>
  <c r="P1462" i="59" s="1"/>
  <c r="M1169" i="59" a="1"/>
  <c r="M1169" i="59" s="1"/>
  <c r="O1169" i="59" a="1"/>
  <c r="O1169" i="59" s="1"/>
  <c r="Q1169" i="59" a="1"/>
  <c r="Q1169" i="59" s="1"/>
  <c r="P1169" i="59" a="1"/>
  <c r="P1169" i="59" s="1"/>
  <c r="N1169" i="59" a="1"/>
  <c r="N1169" i="59" s="1"/>
  <c r="L1169" i="59" a="1"/>
  <c r="L1169" i="59" s="1"/>
  <c r="M1473" i="59" a="1"/>
  <c r="M1473" i="59" s="1"/>
  <c r="Q1473" i="59" a="1"/>
  <c r="Q1473" i="59" s="1"/>
  <c r="P1473" i="59" a="1"/>
  <c r="P1473" i="59" s="1"/>
  <c r="O1473" i="59" a="1"/>
  <c r="O1473" i="59" s="1"/>
  <c r="L1473" i="59" a="1"/>
  <c r="L1473" i="59" s="1"/>
  <c r="N1473" i="59" a="1"/>
  <c r="N1473" i="59" s="1"/>
  <c r="N1409" i="59" a="1"/>
  <c r="N1409" i="59" s="1"/>
  <c r="L1409" i="59" a="1"/>
  <c r="L1409" i="59" s="1"/>
  <c r="O1409" i="59" a="1"/>
  <c r="O1409" i="59" s="1"/>
  <c r="Q1409" i="59" a="1"/>
  <c r="Q1409" i="59" s="1"/>
  <c r="P1409" i="59" a="1"/>
  <c r="P1409" i="59" s="1"/>
  <c r="M1409" i="59" a="1"/>
  <c r="M1409" i="59" s="1"/>
  <c r="N1345" i="59" a="1"/>
  <c r="N1345" i="59" s="1"/>
  <c r="M1345" i="59" a="1"/>
  <c r="M1345" i="59" s="1"/>
  <c r="P1345" i="59" a="1"/>
  <c r="P1345" i="59" s="1"/>
  <c r="Q1345" i="59" a="1"/>
  <c r="Q1345" i="59" s="1"/>
  <c r="O1345" i="59" a="1"/>
  <c r="O1345" i="59" s="1"/>
  <c r="L1345" i="59" a="1"/>
  <c r="L1345" i="59" s="1"/>
  <c r="N1193" i="59" a="1"/>
  <c r="N1193" i="59" s="1"/>
  <c r="M1193" i="59" a="1"/>
  <c r="M1193" i="59" s="1"/>
  <c r="O1193" i="59" a="1"/>
  <c r="O1193" i="59" s="1"/>
  <c r="Q1193" i="59" a="1"/>
  <c r="Q1193" i="59" s="1"/>
  <c r="L1193" i="59" a="1"/>
  <c r="L1193" i="59" s="1"/>
  <c r="P1193" i="59" a="1"/>
  <c r="P1193" i="59" s="1"/>
  <c r="N1404" i="59" a="1"/>
  <c r="N1404" i="59" s="1"/>
  <c r="M1404" i="59" a="1"/>
  <c r="M1404" i="59" s="1"/>
  <c r="L1404" i="59" a="1"/>
  <c r="L1404" i="59" s="1"/>
  <c r="P1404" i="59" a="1"/>
  <c r="P1404" i="59" s="1"/>
  <c r="O1404" i="59" a="1"/>
  <c r="O1404" i="59" s="1"/>
  <c r="Q1404" i="59" a="1"/>
  <c r="Q1404" i="59" s="1"/>
  <c r="N1340" i="59" a="1"/>
  <c r="N1340" i="59" s="1"/>
  <c r="O1340" i="59" a="1"/>
  <c r="O1340" i="59" s="1"/>
  <c r="L1340" i="59" a="1"/>
  <c r="L1340" i="59" s="1"/>
  <c r="P1340" i="59" a="1"/>
  <c r="P1340" i="59" s="1"/>
  <c r="Q1340" i="59" a="1"/>
  <c r="Q1340" i="59" s="1"/>
  <c r="M1340" i="59" a="1"/>
  <c r="M1340" i="59" s="1"/>
  <c r="M1031" i="59" a="1"/>
  <c r="M1031" i="59" s="1"/>
  <c r="Q1031" i="59" a="1"/>
  <c r="Q1031" i="59" s="1"/>
  <c r="O1031" i="59" a="1"/>
  <c r="O1031" i="59" s="1"/>
  <c r="P1031" i="59" a="1"/>
  <c r="P1031" i="59" s="1"/>
  <c r="N1031" i="59" a="1"/>
  <c r="N1031" i="59" s="1"/>
  <c r="L1031" i="59" a="1"/>
  <c r="L1031" i="59" s="1"/>
  <c r="Q1399" i="59" a="1"/>
  <c r="Q1399" i="59" s="1"/>
  <c r="O1399" i="59" a="1"/>
  <c r="O1399" i="59" s="1"/>
  <c r="L1399" i="59" a="1"/>
  <c r="L1399" i="59" s="1"/>
  <c r="M1399" i="59" a="1"/>
  <c r="M1399" i="59" s="1"/>
  <c r="P1399" i="59" a="1"/>
  <c r="P1399" i="59" s="1"/>
  <c r="N1399" i="59" a="1"/>
  <c r="N1399" i="59" s="1"/>
  <c r="M1335" i="59" a="1"/>
  <c r="M1335" i="59" s="1"/>
  <c r="O1335" i="59" a="1"/>
  <c r="O1335" i="59" s="1"/>
  <c r="L1335" i="59" a="1"/>
  <c r="L1335" i="59" s="1"/>
  <c r="P1335" i="59" a="1"/>
  <c r="P1335" i="59" s="1"/>
  <c r="Q1335" i="59" a="1"/>
  <c r="Q1335" i="59" s="1"/>
  <c r="N1335" i="59" a="1"/>
  <c r="N1335" i="59" s="1"/>
  <c r="L1442" i="59" a="1"/>
  <c r="L1442" i="59" s="1"/>
  <c r="P1442" i="59" a="1"/>
  <c r="P1442" i="59" s="1"/>
  <c r="O1442" i="59" a="1"/>
  <c r="O1442" i="59" s="1"/>
  <c r="M1442" i="59" a="1"/>
  <c r="M1442" i="59" s="1"/>
  <c r="Q1442" i="59" a="1"/>
  <c r="Q1442" i="59" s="1"/>
  <c r="N1442" i="59" a="1"/>
  <c r="N1442" i="59" s="1"/>
  <c r="O1378" i="59" a="1"/>
  <c r="O1378" i="59" s="1"/>
  <c r="L1378" i="59" a="1"/>
  <c r="L1378" i="59" s="1"/>
  <c r="M1378" i="59" a="1"/>
  <c r="M1378" i="59" s="1"/>
  <c r="P1378" i="59" a="1"/>
  <c r="P1378" i="59" s="1"/>
  <c r="Q1378" i="59" a="1"/>
  <c r="Q1378" i="59" s="1"/>
  <c r="N1378" i="59" a="1"/>
  <c r="N1378" i="59" s="1"/>
  <c r="P1246" i="59" a="1"/>
  <c r="P1246" i="59" s="1"/>
  <c r="M1246" i="59" a="1"/>
  <c r="M1246" i="59" s="1"/>
  <c r="Q1246" i="59" a="1"/>
  <c r="Q1246" i="59" s="1"/>
  <c r="L1246" i="59" a="1"/>
  <c r="L1246" i="59" s="1"/>
  <c r="N1246" i="59" a="1"/>
  <c r="N1246" i="59" s="1"/>
  <c r="O1246" i="59" a="1"/>
  <c r="O1246" i="59" s="1"/>
  <c r="Q1445" i="59" a="1"/>
  <c r="Q1445" i="59" s="1"/>
  <c r="L1445" i="59" a="1"/>
  <c r="L1445" i="59" s="1"/>
  <c r="P1445" i="59" a="1"/>
  <c r="P1445" i="59" s="1"/>
  <c r="N1445" i="59" a="1"/>
  <c r="N1445" i="59" s="1"/>
  <c r="M1445" i="59" a="1"/>
  <c r="M1445" i="59" s="1"/>
  <c r="O1445" i="59" a="1"/>
  <c r="O1445" i="59" s="1"/>
  <c r="L1381" i="59" a="1"/>
  <c r="L1381" i="59" s="1"/>
  <c r="Q1381" i="59" a="1"/>
  <c r="Q1381" i="59" s="1"/>
  <c r="N1381" i="59" a="1"/>
  <c r="N1381" i="59" s="1"/>
  <c r="P1381" i="59" a="1"/>
  <c r="P1381" i="59" s="1"/>
  <c r="M1381" i="59" a="1"/>
  <c r="M1381" i="59" s="1"/>
  <c r="O1381" i="59" a="1"/>
  <c r="O1381" i="59" s="1"/>
  <c r="L1310" i="59" a="1"/>
  <c r="L1310" i="59" s="1"/>
  <c r="M1310" i="59" a="1"/>
  <c r="M1310" i="59" s="1"/>
  <c r="N1310" i="59" a="1"/>
  <c r="N1310" i="59" s="1"/>
  <c r="P1310" i="59" a="1"/>
  <c r="P1310" i="59" s="1"/>
  <c r="Q1310" i="59" a="1"/>
  <c r="Q1310" i="59" s="1"/>
  <c r="O1310" i="59" a="1"/>
  <c r="O1310" i="59" s="1"/>
  <c r="O1292" i="59" a="1"/>
  <c r="O1292" i="59" s="1"/>
  <c r="M1292" i="59" a="1"/>
  <c r="M1292" i="59" s="1"/>
  <c r="Q1292" i="59" a="1"/>
  <c r="Q1292" i="59" s="1"/>
  <c r="N1292" i="59" a="1"/>
  <c r="N1292" i="59" s="1"/>
  <c r="P1292" i="59" a="1"/>
  <c r="P1292" i="59" s="1"/>
  <c r="L1292" i="59" a="1"/>
  <c r="L1292" i="59" s="1"/>
  <c r="M1228" i="59" a="1"/>
  <c r="M1228" i="59" s="1"/>
  <c r="O1228" i="59" a="1"/>
  <c r="O1228" i="59" s="1"/>
  <c r="Q1228" i="59" a="1"/>
  <c r="Q1228" i="59" s="1"/>
  <c r="N1228" i="59" a="1"/>
  <c r="N1228" i="59" s="1"/>
  <c r="P1228" i="59" a="1"/>
  <c r="P1228" i="59" s="1"/>
  <c r="L1228" i="59" a="1"/>
  <c r="L1228" i="59" s="1"/>
  <c r="M1164" i="59" a="1"/>
  <c r="M1164" i="59" s="1"/>
  <c r="Q1164" i="59" a="1"/>
  <c r="Q1164" i="59" s="1"/>
  <c r="O1164" i="59" a="1"/>
  <c r="O1164" i="59" s="1"/>
  <c r="N1164" i="59" a="1"/>
  <c r="N1164" i="59" s="1"/>
  <c r="P1164" i="59" a="1"/>
  <c r="P1164" i="59" s="1"/>
  <c r="L1164" i="59" a="1"/>
  <c r="L1164" i="59" s="1"/>
  <c r="O1247" i="59" a="1"/>
  <c r="O1247" i="59" s="1"/>
  <c r="L1247" i="59" a="1"/>
  <c r="L1247" i="59" s="1"/>
  <c r="N1247" i="59" a="1"/>
  <c r="N1247" i="59" s="1"/>
  <c r="P1247" i="59" a="1"/>
  <c r="P1247" i="59" s="1"/>
  <c r="M1247" i="59" a="1"/>
  <c r="M1247" i="59" s="1"/>
  <c r="Q1247" i="59" a="1"/>
  <c r="Q1247" i="59" s="1"/>
  <c r="O1183" i="59" a="1"/>
  <c r="O1183" i="59" s="1"/>
  <c r="L1183" i="59" a="1"/>
  <c r="L1183" i="59" s="1"/>
  <c r="N1183" i="59" a="1"/>
  <c r="N1183" i="59" s="1"/>
  <c r="P1183" i="59" a="1"/>
  <c r="P1183" i="59" s="1"/>
  <c r="M1183" i="59" a="1"/>
  <c r="M1183" i="59" s="1"/>
  <c r="Q1183" i="59" a="1"/>
  <c r="Q1183" i="59" s="1"/>
  <c r="O1330" i="59" a="1"/>
  <c r="O1330" i="59" s="1"/>
  <c r="P1330" i="59" a="1"/>
  <c r="P1330" i="59" s="1"/>
  <c r="N1330" i="59" a="1"/>
  <c r="N1330" i="59" s="1"/>
  <c r="L1330" i="59" a="1"/>
  <c r="L1330" i="59" s="1"/>
  <c r="Q1330" i="59" a="1"/>
  <c r="Q1330" i="59" s="1"/>
  <c r="M1330" i="59" a="1"/>
  <c r="M1330" i="59" s="1"/>
  <c r="O1266" i="59" a="1"/>
  <c r="O1266" i="59" s="1"/>
  <c r="L1266" i="59" a="1"/>
  <c r="L1266" i="59" s="1"/>
  <c r="P1266" i="59" a="1"/>
  <c r="P1266" i="59" s="1"/>
  <c r="N1266" i="59" a="1"/>
  <c r="N1266" i="59" s="1"/>
  <c r="Q1266" i="59" a="1"/>
  <c r="Q1266" i="59" s="1"/>
  <c r="M1266" i="59" a="1"/>
  <c r="M1266" i="59" s="1"/>
  <c r="N1202" i="59" a="1"/>
  <c r="N1202" i="59" s="1"/>
  <c r="O1202" i="59" a="1"/>
  <c r="O1202" i="59" s="1"/>
  <c r="M1202" i="59" a="1"/>
  <c r="M1202" i="59" s="1"/>
  <c r="L1202" i="59" a="1"/>
  <c r="L1202" i="59" s="1"/>
  <c r="P1202" i="59" a="1"/>
  <c r="P1202" i="59" s="1"/>
  <c r="Q1202" i="59" a="1"/>
  <c r="Q1202" i="59" s="1"/>
  <c r="P1068" i="59" a="1"/>
  <c r="P1068" i="59" s="1"/>
  <c r="N1068" i="59" a="1"/>
  <c r="N1068" i="59" s="1"/>
  <c r="O1068" i="59" a="1"/>
  <c r="O1068" i="59" s="1"/>
  <c r="M1068" i="59" a="1"/>
  <c r="M1068" i="59" s="1"/>
  <c r="L1068" i="59" a="1"/>
  <c r="L1068" i="59" s="1"/>
  <c r="Q1068" i="59" a="1"/>
  <c r="Q1068" i="59" s="1"/>
  <c r="L1301" i="59" a="1"/>
  <c r="L1301" i="59" s="1"/>
  <c r="P1301" i="59" a="1"/>
  <c r="P1301" i="59" s="1"/>
  <c r="M1301" i="59" a="1"/>
  <c r="M1301" i="59" s="1"/>
  <c r="Q1301" i="59" a="1"/>
  <c r="Q1301" i="59" s="1"/>
  <c r="O1301" i="59" a="1"/>
  <c r="O1301" i="59" s="1"/>
  <c r="N1301" i="59" a="1"/>
  <c r="N1301" i="59" s="1"/>
  <c r="L1237" i="59" a="1"/>
  <c r="L1237" i="59" s="1"/>
  <c r="P1237" i="59" a="1"/>
  <c r="P1237" i="59" s="1"/>
  <c r="M1237" i="59" a="1"/>
  <c r="M1237" i="59" s="1"/>
  <c r="Q1237" i="59" a="1"/>
  <c r="Q1237" i="59" s="1"/>
  <c r="O1237" i="59" a="1"/>
  <c r="O1237" i="59" s="1"/>
  <c r="N1237" i="59" a="1"/>
  <c r="N1237" i="59" s="1"/>
  <c r="L1173" i="59" a="1"/>
  <c r="L1173" i="59" s="1"/>
  <c r="P1173" i="59" a="1"/>
  <c r="P1173" i="59" s="1"/>
  <c r="M1173" i="59" a="1"/>
  <c r="M1173" i="59" s="1"/>
  <c r="Q1173" i="59" a="1"/>
  <c r="Q1173" i="59" s="1"/>
  <c r="O1173" i="59" a="1"/>
  <c r="O1173" i="59" s="1"/>
  <c r="N1173" i="59" a="1"/>
  <c r="N1173" i="59" s="1"/>
  <c r="O1328" i="59" a="1"/>
  <c r="O1328" i="59" s="1"/>
  <c r="L1328" i="59" a="1"/>
  <c r="L1328" i="59" s="1"/>
  <c r="P1328" i="59" a="1"/>
  <c r="P1328" i="59" s="1"/>
  <c r="Q1328" i="59" a="1"/>
  <c r="Q1328" i="59" s="1"/>
  <c r="M1328" i="59" a="1"/>
  <c r="M1328" i="59" s="1"/>
  <c r="N1328" i="59" a="1"/>
  <c r="N1328" i="59" s="1"/>
  <c r="O1264" i="59" a="1"/>
  <c r="O1264" i="59" s="1"/>
  <c r="M1264" i="59" a="1"/>
  <c r="M1264" i="59" s="1"/>
  <c r="Q1264" i="59" a="1"/>
  <c r="Q1264" i="59" s="1"/>
  <c r="L1264" i="59" a="1"/>
  <c r="L1264" i="59" s="1"/>
  <c r="P1264" i="59" a="1"/>
  <c r="P1264" i="59" s="1"/>
  <c r="N1264" i="59" a="1"/>
  <c r="N1264" i="59" s="1"/>
  <c r="O1200" i="59" a="1"/>
  <c r="O1200" i="59" s="1"/>
  <c r="M1200" i="59" a="1"/>
  <c r="M1200" i="59" s="1"/>
  <c r="Q1200" i="59" a="1"/>
  <c r="Q1200" i="59" s="1"/>
  <c r="L1200" i="59" a="1"/>
  <c r="L1200" i="59" s="1"/>
  <c r="P1200" i="59" a="1"/>
  <c r="P1200" i="59" s="1"/>
  <c r="N1200" i="59" a="1"/>
  <c r="N1200" i="59" s="1"/>
  <c r="M1323" i="59" a="1"/>
  <c r="M1323" i="59" s="1"/>
  <c r="Q1323" i="59" a="1"/>
  <c r="Q1323" i="59" s="1"/>
  <c r="L1323" i="59" a="1"/>
  <c r="L1323" i="59" s="1"/>
  <c r="O1323" i="59" a="1"/>
  <c r="O1323" i="59" s="1"/>
  <c r="P1323" i="59" a="1"/>
  <c r="P1323" i="59" s="1"/>
  <c r="N1323" i="59" a="1"/>
  <c r="N1323" i="59" s="1"/>
  <c r="M1259" i="59" a="1"/>
  <c r="M1259" i="59" s="1"/>
  <c r="Q1259" i="59" a="1"/>
  <c r="Q1259" i="59" s="1"/>
  <c r="N1259" i="59" a="1"/>
  <c r="N1259" i="59" s="1"/>
  <c r="L1259" i="59" a="1"/>
  <c r="L1259" i="59" s="1"/>
  <c r="P1259" i="59" a="1"/>
  <c r="P1259" i="59" s="1"/>
  <c r="O1259" i="59" a="1"/>
  <c r="O1259" i="59" s="1"/>
  <c r="M1195" i="59" a="1"/>
  <c r="M1195" i="59" s="1"/>
  <c r="Q1195" i="59" a="1"/>
  <c r="Q1195" i="59" s="1"/>
  <c r="N1195" i="59" a="1"/>
  <c r="N1195" i="59" s="1"/>
  <c r="L1195" i="59" a="1"/>
  <c r="L1195" i="59" s="1"/>
  <c r="P1195" i="59" a="1"/>
  <c r="P1195" i="59" s="1"/>
  <c r="O1195" i="59" a="1"/>
  <c r="O1195" i="59" s="1"/>
  <c r="Q1119" i="59" a="1"/>
  <c r="Q1119" i="59" s="1"/>
  <c r="N1119" i="59" a="1"/>
  <c r="N1119" i="59" s="1"/>
  <c r="P1119" i="59" a="1"/>
  <c r="P1119" i="59" s="1"/>
  <c r="O1119" i="59" a="1"/>
  <c r="O1119" i="59" s="1"/>
  <c r="M1119" i="59" a="1"/>
  <c r="M1119" i="59" s="1"/>
  <c r="L1119" i="59" a="1"/>
  <c r="L1119" i="59" s="1"/>
  <c r="N1109" i="59" a="1"/>
  <c r="N1109" i="59" s="1"/>
  <c r="O1109" i="59" a="1"/>
  <c r="O1109" i="59" s="1"/>
  <c r="L1109" i="59" a="1"/>
  <c r="L1109" i="59" s="1"/>
  <c r="P1109" i="59" a="1"/>
  <c r="P1109" i="59" s="1"/>
  <c r="M1109" i="59" a="1"/>
  <c r="M1109" i="59" s="1"/>
  <c r="Q1109" i="59" a="1"/>
  <c r="Q1109" i="59" s="1"/>
  <c r="M948" i="59" a="1"/>
  <c r="M948" i="59" s="1"/>
  <c r="Q948" i="59" a="1"/>
  <c r="Q948" i="59" s="1"/>
  <c r="N948" i="59" a="1"/>
  <c r="N948" i="59" s="1"/>
  <c r="O948" i="59" a="1"/>
  <c r="O948" i="59" s="1"/>
  <c r="P948" i="59" a="1"/>
  <c r="P948" i="59" s="1"/>
  <c r="L948" i="59" a="1"/>
  <c r="L948" i="59" s="1"/>
  <c r="M1079" i="59" a="1"/>
  <c r="M1079" i="59" s="1"/>
  <c r="Q1079" i="59" a="1"/>
  <c r="Q1079" i="59" s="1"/>
  <c r="N1079" i="59" a="1"/>
  <c r="N1079" i="59" s="1"/>
  <c r="O1079" i="59" a="1"/>
  <c r="O1079" i="59" s="1"/>
  <c r="P1079" i="59" a="1"/>
  <c r="P1079" i="59" s="1"/>
  <c r="L1079" i="59" a="1"/>
  <c r="L1079" i="59" s="1"/>
  <c r="P1100" i="59" a="1"/>
  <c r="P1100" i="59" s="1"/>
  <c r="L1100" i="59" a="1"/>
  <c r="L1100" i="59" s="1"/>
  <c r="N1100" i="59" a="1"/>
  <c r="N1100" i="59" s="1"/>
  <c r="M1100" i="59" a="1"/>
  <c r="M1100" i="59" s="1"/>
  <c r="Q1100" i="59" a="1"/>
  <c r="Q1100" i="59" s="1"/>
  <c r="O1100" i="59" a="1"/>
  <c r="O1100" i="59" s="1"/>
  <c r="N847" i="59" a="1"/>
  <c r="N847" i="59" s="1"/>
  <c r="M847" i="59" a="1"/>
  <c r="M847" i="59" s="1"/>
  <c r="L847" i="59" a="1"/>
  <c r="L847" i="59" s="1"/>
  <c r="Q847" i="59" a="1"/>
  <c r="Q847" i="59" s="1"/>
  <c r="O847" i="59" a="1"/>
  <c r="O847" i="59" s="1"/>
  <c r="P847" i="59" a="1"/>
  <c r="P847" i="59" s="1"/>
  <c r="O1085" i="59" a="1"/>
  <c r="O1085" i="59" s="1"/>
  <c r="L1085" i="59" a="1"/>
  <c r="L1085" i="59" s="1"/>
  <c r="P1085" i="59" a="1"/>
  <c r="P1085" i="59" s="1"/>
  <c r="Q1085" i="59" a="1"/>
  <c r="Q1085" i="59" s="1"/>
  <c r="N1085" i="59" a="1"/>
  <c r="N1085" i="59" s="1"/>
  <c r="M1085" i="59" a="1"/>
  <c r="M1085" i="59" s="1"/>
  <c r="N879" i="59" a="1"/>
  <c r="N879" i="59" s="1"/>
  <c r="M879" i="59" a="1"/>
  <c r="M879" i="59" s="1"/>
  <c r="Q879" i="59" a="1"/>
  <c r="Q879" i="59" s="1"/>
  <c r="P879" i="59" a="1"/>
  <c r="P879" i="59" s="1"/>
  <c r="L879" i="59" a="1"/>
  <c r="L879" i="59" s="1"/>
  <c r="O879" i="59" a="1"/>
  <c r="O879" i="59" s="1"/>
  <c r="L1060" i="59" a="1"/>
  <c r="L1060" i="59" s="1"/>
  <c r="P1060" i="59" a="1"/>
  <c r="P1060" i="59" s="1"/>
  <c r="M1060" i="59" a="1"/>
  <c r="M1060" i="59" s="1"/>
  <c r="Q1060" i="59" a="1"/>
  <c r="Q1060" i="59" s="1"/>
  <c r="N1060" i="59" a="1"/>
  <c r="N1060" i="59" s="1"/>
  <c r="O1060" i="59" a="1"/>
  <c r="O1060" i="59" s="1"/>
  <c r="L692" i="59" a="1"/>
  <c r="L692" i="59" s="1"/>
  <c r="N692" i="59" a="1"/>
  <c r="N692" i="59" s="1"/>
  <c r="M692" i="59" a="1"/>
  <c r="M692" i="59" s="1"/>
  <c r="O692" i="59" a="1"/>
  <c r="O692" i="59" s="1"/>
  <c r="P692" i="59" a="1"/>
  <c r="P692" i="59" s="1"/>
  <c r="Q692" i="59" a="1"/>
  <c r="Q692" i="59" s="1"/>
  <c r="Q1090" i="59" a="1"/>
  <c r="Q1090" i="59" s="1"/>
  <c r="M1090" i="59" a="1"/>
  <c r="M1090" i="59" s="1"/>
  <c r="N1090" i="59" a="1"/>
  <c r="N1090" i="59" s="1"/>
  <c r="P1090" i="59" a="1"/>
  <c r="P1090" i="59" s="1"/>
  <c r="L1090" i="59" a="1"/>
  <c r="L1090" i="59" s="1"/>
  <c r="O1090" i="59" a="1"/>
  <c r="O1090" i="59" s="1"/>
  <c r="N994" i="59" a="1"/>
  <c r="N994" i="59" s="1"/>
  <c r="O994" i="59" a="1"/>
  <c r="O994" i="59" s="1"/>
  <c r="Q994" i="59" a="1"/>
  <c r="Q994" i="59" s="1"/>
  <c r="L994" i="59" a="1"/>
  <c r="L994" i="59" s="1"/>
  <c r="P994" i="59" a="1"/>
  <c r="P994" i="59" s="1"/>
  <c r="M994" i="59" a="1"/>
  <c r="M994" i="59" s="1"/>
  <c r="L905" i="59" a="1"/>
  <c r="L905" i="59" s="1"/>
  <c r="P905" i="59" a="1"/>
  <c r="P905" i="59" s="1"/>
  <c r="M905" i="59" a="1"/>
  <c r="M905" i="59" s="1"/>
  <c r="Q905" i="59" a="1"/>
  <c r="Q905" i="59" s="1"/>
  <c r="N905" i="59" a="1"/>
  <c r="N905" i="59" s="1"/>
  <c r="O905" i="59" a="1"/>
  <c r="O905" i="59" s="1"/>
  <c r="Q1120" i="59" a="1"/>
  <c r="Q1120" i="59" s="1"/>
  <c r="O1120" i="59" a="1"/>
  <c r="O1120" i="59" s="1"/>
  <c r="N1120" i="59" a="1"/>
  <c r="N1120" i="59" s="1"/>
  <c r="L1120" i="59" a="1"/>
  <c r="L1120" i="59" s="1"/>
  <c r="P1120" i="59" a="1"/>
  <c r="P1120" i="59" s="1"/>
  <c r="M1120" i="59" a="1"/>
  <c r="M1120" i="59" s="1"/>
  <c r="O1056" i="59" a="1"/>
  <c r="O1056" i="59" s="1"/>
  <c r="Q1056" i="59" a="1"/>
  <c r="Q1056" i="59" s="1"/>
  <c r="L1056" i="59" a="1"/>
  <c r="L1056" i="59" s="1"/>
  <c r="N1056" i="59" a="1"/>
  <c r="N1056" i="59" s="1"/>
  <c r="M1056" i="59" a="1"/>
  <c r="M1056" i="59" s="1"/>
  <c r="P1056" i="59" a="1"/>
  <c r="P1056" i="59" s="1"/>
  <c r="L969" i="59" a="1"/>
  <c r="L969" i="59" s="1"/>
  <c r="P969" i="59" a="1"/>
  <c r="P969" i="59" s="1"/>
  <c r="Q969" i="59" a="1"/>
  <c r="Q969" i="59" s="1"/>
  <c r="M969" i="59" a="1"/>
  <c r="M969" i="59" s="1"/>
  <c r="N969" i="59" a="1"/>
  <c r="N969" i="59" s="1"/>
  <c r="O969" i="59" a="1"/>
  <c r="O969" i="59" s="1"/>
  <c r="L812" i="59" a="1"/>
  <c r="L812" i="59" s="1"/>
  <c r="P812" i="59" a="1"/>
  <c r="P812" i="59" s="1"/>
  <c r="M812" i="59" a="1"/>
  <c r="M812" i="59" s="1"/>
  <c r="N812" i="59" a="1"/>
  <c r="N812" i="59" s="1"/>
  <c r="Q812" i="59" a="1"/>
  <c r="Q812" i="59" s="1"/>
  <c r="O812" i="59" a="1"/>
  <c r="O812" i="59" s="1"/>
  <c r="L1075" i="59" a="1"/>
  <c r="L1075" i="59" s="1"/>
  <c r="P1075" i="59" a="1"/>
  <c r="P1075" i="59" s="1"/>
  <c r="M1075" i="59" a="1"/>
  <c r="M1075" i="59" s="1"/>
  <c r="Q1075" i="59" a="1"/>
  <c r="Q1075" i="59" s="1"/>
  <c r="N1075" i="59" a="1"/>
  <c r="N1075" i="59" s="1"/>
  <c r="O1075" i="59" a="1"/>
  <c r="O1075" i="59" s="1"/>
  <c r="N970" i="59" a="1"/>
  <c r="N970" i="59" s="1"/>
  <c r="O970" i="59" a="1"/>
  <c r="O970" i="59" s="1"/>
  <c r="Q970" i="59" a="1"/>
  <c r="Q970" i="59" s="1"/>
  <c r="L970" i="59" a="1"/>
  <c r="L970" i="59" s="1"/>
  <c r="M970" i="59" a="1"/>
  <c r="M970" i="59" s="1"/>
  <c r="P970" i="59" a="1"/>
  <c r="P970" i="59" s="1"/>
  <c r="O875" i="59" a="1"/>
  <c r="O875" i="59" s="1"/>
  <c r="Q875" i="59" a="1"/>
  <c r="Q875" i="59" s="1"/>
  <c r="M875" i="59" a="1"/>
  <c r="M875" i="59" s="1"/>
  <c r="L875" i="59" a="1"/>
  <c r="L875" i="59" s="1"/>
  <c r="P875" i="59" a="1"/>
  <c r="P875" i="59" s="1"/>
  <c r="N875" i="59" a="1"/>
  <c r="N875" i="59" s="1"/>
  <c r="O1102" i="59" a="1"/>
  <c r="O1102" i="59" s="1"/>
  <c r="Q1102" i="59" a="1"/>
  <c r="Q1102" i="59" s="1"/>
  <c r="L1102" i="59" a="1"/>
  <c r="L1102" i="59" s="1"/>
  <c r="P1102" i="59" a="1"/>
  <c r="P1102" i="59" s="1"/>
  <c r="N1102" i="59" a="1"/>
  <c r="N1102" i="59" s="1"/>
  <c r="M1102" i="59" a="1"/>
  <c r="M1102" i="59" s="1"/>
  <c r="O1038" i="59" a="1"/>
  <c r="O1038" i="59" s="1"/>
  <c r="Q1038" i="59" a="1"/>
  <c r="Q1038" i="59" s="1"/>
  <c r="N1038" i="59" a="1"/>
  <c r="N1038" i="59" s="1"/>
  <c r="L1038" i="59" a="1"/>
  <c r="L1038" i="59" s="1"/>
  <c r="P1038" i="59" a="1"/>
  <c r="P1038" i="59" s="1"/>
  <c r="M1038" i="59" a="1"/>
  <c r="M1038" i="59" s="1"/>
  <c r="P929" i="59" a="1"/>
  <c r="P929" i="59" s="1"/>
  <c r="L929" i="59" a="1"/>
  <c r="L929" i="59" s="1"/>
  <c r="M929" i="59" a="1"/>
  <c r="M929" i="59" s="1"/>
  <c r="Q929" i="59" a="1"/>
  <c r="Q929" i="59" s="1"/>
  <c r="N929" i="59" a="1"/>
  <c r="N929" i="59" s="1"/>
  <c r="O929" i="59" a="1"/>
  <c r="O929" i="59" s="1"/>
  <c r="L1105" i="59" a="1"/>
  <c r="L1105" i="59" s="1"/>
  <c r="P1105" i="59" a="1"/>
  <c r="P1105" i="59" s="1"/>
  <c r="N1105" i="59" a="1"/>
  <c r="N1105" i="59" s="1"/>
  <c r="M1105" i="59" a="1"/>
  <c r="M1105" i="59" s="1"/>
  <c r="Q1105" i="59" a="1"/>
  <c r="Q1105" i="59" s="1"/>
  <c r="O1105" i="59" a="1"/>
  <c r="O1105" i="59" s="1"/>
  <c r="L1041" i="59" a="1"/>
  <c r="L1041" i="59" s="1"/>
  <c r="N1041" i="59" a="1"/>
  <c r="N1041" i="59" s="1"/>
  <c r="P1041" i="59" a="1"/>
  <c r="P1041" i="59" s="1"/>
  <c r="M1041" i="59" a="1"/>
  <c r="M1041" i="59" s="1"/>
  <c r="O1041" i="59" a="1"/>
  <c r="O1041" i="59" s="1"/>
  <c r="Q1041" i="59" a="1"/>
  <c r="Q1041" i="59" s="1"/>
  <c r="M940" i="59" a="1"/>
  <c r="M940" i="59" s="1"/>
  <c r="Q940" i="59" a="1"/>
  <c r="Q940" i="59" s="1"/>
  <c r="O940" i="59" a="1"/>
  <c r="O940" i="59" s="1"/>
  <c r="P940" i="59" a="1"/>
  <c r="P940" i="59" s="1"/>
  <c r="L940" i="59" a="1"/>
  <c r="L940" i="59" s="1"/>
  <c r="N940" i="59" a="1"/>
  <c r="N940" i="59" s="1"/>
  <c r="M703" i="59" a="1"/>
  <c r="M703" i="59" s="1"/>
  <c r="Q703" i="59" a="1"/>
  <c r="Q703" i="59" s="1"/>
  <c r="O703" i="59" a="1"/>
  <c r="O703" i="59" s="1"/>
  <c r="N703" i="59" a="1"/>
  <c r="N703" i="59" s="1"/>
  <c r="P703" i="59" a="1"/>
  <c r="P703" i="59" s="1"/>
  <c r="L703" i="59" a="1"/>
  <c r="L703" i="59" s="1"/>
  <c r="N989" i="59" a="1"/>
  <c r="N989" i="59" s="1"/>
  <c r="O989" i="59" a="1"/>
  <c r="O989" i="59" s="1"/>
  <c r="P989" i="59" a="1"/>
  <c r="P989" i="59" s="1"/>
  <c r="Q989" i="59" a="1"/>
  <c r="Q989" i="59" s="1"/>
  <c r="L989" i="59" a="1"/>
  <c r="L989" i="59" s="1"/>
  <c r="M989" i="59" a="1"/>
  <c r="M989" i="59" s="1"/>
  <c r="N925" i="59" a="1"/>
  <c r="N925" i="59" s="1"/>
  <c r="O925" i="59" a="1"/>
  <c r="O925" i="59" s="1"/>
  <c r="P925" i="59" a="1"/>
  <c r="P925" i="59" s="1"/>
  <c r="Q925" i="59" a="1"/>
  <c r="Q925" i="59" s="1"/>
  <c r="M925" i="59" a="1"/>
  <c r="M925" i="59" s="1"/>
  <c r="L925" i="59" a="1"/>
  <c r="L925" i="59" s="1"/>
  <c r="L833" i="59" a="1"/>
  <c r="L833" i="59" s="1"/>
  <c r="P833" i="59" a="1"/>
  <c r="P833" i="59" s="1"/>
  <c r="N833" i="59" a="1"/>
  <c r="N833" i="59" s="1"/>
  <c r="M833" i="59" a="1"/>
  <c r="M833" i="59" s="1"/>
  <c r="Q833" i="59" a="1"/>
  <c r="Q833" i="59" s="1"/>
  <c r="O833" i="59" a="1"/>
  <c r="O833" i="59" s="1"/>
  <c r="O936" i="59" a="1"/>
  <c r="O936" i="59" s="1"/>
  <c r="N936" i="59" a="1"/>
  <c r="N936" i="59" s="1"/>
  <c r="P936" i="59" a="1"/>
  <c r="P936" i="59" s="1"/>
  <c r="L936" i="59" a="1"/>
  <c r="L936" i="59" s="1"/>
  <c r="Q936" i="59" a="1"/>
  <c r="Q936" i="59" s="1"/>
  <c r="M936" i="59" a="1"/>
  <c r="M936" i="59" s="1"/>
  <c r="N860" i="59" a="1"/>
  <c r="N860" i="59" s="1"/>
  <c r="Q860" i="59" a="1"/>
  <c r="Q860" i="59" s="1"/>
  <c r="L860" i="59" a="1"/>
  <c r="L860" i="59" s="1"/>
  <c r="P860" i="59" a="1"/>
  <c r="P860" i="59" s="1"/>
  <c r="M860" i="59" a="1"/>
  <c r="M860" i="59" s="1"/>
  <c r="O860" i="59" a="1"/>
  <c r="O860" i="59" s="1"/>
  <c r="O1011" i="59" a="1"/>
  <c r="O1011" i="59" s="1"/>
  <c r="M1011" i="59" a="1"/>
  <c r="M1011" i="59" s="1"/>
  <c r="P1011" i="59" a="1"/>
  <c r="P1011" i="59" s="1"/>
  <c r="L1011" i="59" a="1"/>
  <c r="L1011" i="59" s="1"/>
  <c r="N1011" i="59" a="1"/>
  <c r="N1011" i="59" s="1"/>
  <c r="Q1011" i="59" a="1"/>
  <c r="Q1011" i="59" s="1"/>
  <c r="O947" i="59" a="1"/>
  <c r="O947" i="59" s="1"/>
  <c r="L947" i="59" a="1"/>
  <c r="L947" i="59" s="1"/>
  <c r="P947" i="59" a="1"/>
  <c r="P947" i="59" s="1"/>
  <c r="Q947" i="59" a="1"/>
  <c r="Q947" i="59" s="1"/>
  <c r="M947" i="59" a="1"/>
  <c r="M947" i="59" s="1"/>
  <c r="N947" i="59" a="1"/>
  <c r="N947" i="59" s="1"/>
  <c r="M887" i="59" a="1"/>
  <c r="M887" i="59" s="1"/>
  <c r="N887" i="59" a="1"/>
  <c r="N887" i="59" s="1"/>
  <c r="Q887" i="59" a="1"/>
  <c r="Q887" i="59" s="1"/>
  <c r="O887" i="59" a="1"/>
  <c r="O887" i="59" s="1"/>
  <c r="L887" i="59" a="1"/>
  <c r="L887" i="59" s="1"/>
  <c r="P887" i="59" a="1"/>
  <c r="P887" i="59" s="1"/>
  <c r="M612" i="59" a="1"/>
  <c r="M612" i="59" s="1"/>
  <c r="Q612" i="59" a="1"/>
  <c r="Q612" i="59" s="1"/>
  <c r="N612" i="59" a="1"/>
  <c r="N612" i="59" s="1"/>
  <c r="O612" i="59" a="1"/>
  <c r="O612" i="59" s="1"/>
  <c r="L612" i="59" a="1"/>
  <c r="L612" i="59" s="1"/>
  <c r="P612" i="59" a="1"/>
  <c r="P612" i="59" s="1"/>
  <c r="Q974" i="59" a="1"/>
  <c r="Q974" i="59" s="1"/>
  <c r="O974" i="59" a="1"/>
  <c r="O974" i="59" s="1"/>
  <c r="L974" i="59" a="1"/>
  <c r="L974" i="59" s="1"/>
  <c r="P974" i="59" a="1"/>
  <c r="P974" i="59" s="1"/>
  <c r="M974" i="59" a="1"/>
  <c r="M974" i="59" s="1"/>
  <c r="N974" i="59" a="1"/>
  <c r="N974" i="59" s="1"/>
  <c r="Q910" i="59" a="1"/>
  <c r="Q910" i="59" s="1"/>
  <c r="O910" i="59" a="1"/>
  <c r="O910" i="59" s="1"/>
  <c r="L910" i="59" a="1"/>
  <c r="L910" i="59" s="1"/>
  <c r="P910" i="59" a="1"/>
  <c r="P910" i="59" s="1"/>
  <c r="M910" i="59" a="1"/>
  <c r="M910" i="59" s="1"/>
  <c r="N910" i="59" a="1"/>
  <c r="N910" i="59" s="1"/>
  <c r="M791" i="59" a="1"/>
  <c r="M791" i="59" s="1"/>
  <c r="Q791" i="59" a="1"/>
  <c r="Q791" i="59" s="1"/>
  <c r="N791" i="59" a="1"/>
  <c r="N791" i="59" s="1"/>
  <c r="O791" i="59" a="1"/>
  <c r="O791" i="59" s="1"/>
  <c r="P791" i="59" a="1"/>
  <c r="P791" i="59" s="1"/>
  <c r="L791" i="59" a="1"/>
  <c r="L791" i="59" s="1"/>
  <c r="N842" i="59" a="1"/>
  <c r="N842" i="59" s="1"/>
  <c r="O842" i="59" a="1"/>
  <c r="O842" i="59" s="1"/>
  <c r="P842" i="59" a="1"/>
  <c r="P842" i="59" s="1"/>
  <c r="M842" i="59" a="1"/>
  <c r="M842" i="59" s="1"/>
  <c r="L842" i="59" a="1"/>
  <c r="L842" i="59" s="1"/>
  <c r="Q842" i="59" a="1"/>
  <c r="Q842" i="59" s="1"/>
  <c r="M778" i="59" a="1"/>
  <c r="M778" i="59" s="1"/>
  <c r="Q778" i="59" a="1"/>
  <c r="Q778" i="59" s="1"/>
  <c r="O778" i="59" a="1"/>
  <c r="O778" i="59" s="1"/>
  <c r="N778" i="59" a="1"/>
  <c r="N778" i="59" s="1"/>
  <c r="L778" i="59" a="1"/>
  <c r="L778" i="59" s="1"/>
  <c r="P778" i="59" a="1"/>
  <c r="P778" i="59" s="1"/>
  <c r="O683" i="59" a="1"/>
  <c r="O683" i="59" s="1"/>
  <c r="M683" i="59" a="1"/>
  <c r="M683" i="59" s="1"/>
  <c r="L683" i="59" a="1"/>
  <c r="L683" i="59" s="1"/>
  <c r="Q683" i="59" a="1"/>
  <c r="Q683" i="59" s="1"/>
  <c r="P683" i="59" a="1"/>
  <c r="P683" i="59" s="1"/>
  <c r="N683" i="59" a="1"/>
  <c r="N683" i="59" s="1"/>
  <c r="N861" i="59" a="1"/>
  <c r="N861" i="59" s="1"/>
  <c r="O861" i="59" a="1"/>
  <c r="O861" i="59" s="1"/>
  <c r="M861" i="59" a="1"/>
  <c r="M861" i="59" s="1"/>
  <c r="L861" i="59" a="1"/>
  <c r="L861" i="59" s="1"/>
  <c r="P861" i="59" a="1"/>
  <c r="P861" i="59" s="1"/>
  <c r="Q861" i="59" a="1"/>
  <c r="Q861" i="59" s="1"/>
  <c r="L797" i="59" a="1"/>
  <c r="L797" i="59" s="1"/>
  <c r="P797" i="59" a="1"/>
  <c r="P797" i="59" s="1"/>
  <c r="N797" i="59" a="1"/>
  <c r="N797" i="59" s="1"/>
  <c r="O797" i="59" a="1"/>
  <c r="O797" i="59" s="1"/>
  <c r="Q797" i="59" a="1"/>
  <c r="Q797" i="59" s="1"/>
  <c r="M797" i="59" a="1"/>
  <c r="M797" i="59" s="1"/>
  <c r="L737" i="59" a="1"/>
  <c r="L737" i="59" s="1"/>
  <c r="P737" i="59" a="1"/>
  <c r="P737" i="59" s="1"/>
  <c r="M737" i="59" a="1"/>
  <c r="M737" i="59" s="1"/>
  <c r="Q737" i="59" a="1"/>
  <c r="Q737" i="59" s="1"/>
  <c r="N737" i="59" a="1"/>
  <c r="N737" i="59" s="1"/>
  <c r="O737" i="59" a="1"/>
  <c r="O737" i="59" s="1"/>
  <c r="L880" i="59" a="1"/>
  <c r="L880" i="59" s="1"/>
  <c r="P880" i="59" a="1"/>
  <c r="P880" i="59" s="1"/>
  <c r="Q880" i="59" a="1"/>
  <c r="Q880" i="59" s="1"/>
  <c r="O880" i="59" a="1"/>
  <c r="O880" i="59" s="1"/>
  <c r="M880" i="59" a="1"/>
  <c r="M880" i="59" s="1"/>
  <c r="N880" i="59" a="1"/>
  <c r="N880" i="59" s="1"/>
  <c r="O816" i="59" a="1"/>
  <c r="O816" i="59" s="1"/>
  <c r="N816" i="59" a="1"/>
  <c r="N816" i="59" s="1"/>
  <c r="M816" i="59" a="1"/>
  <c r="M816" i="59" s="1"/>
  <c r="L816" i="59" a="1"/>
  <c r="L816" i="59" s="1"/>
  <c r="P816" i="59" a="1"/>
  <c r="P816" i="59" s="1"/>
  <c r="Q816" i="59" a="1"/>
  <c r="Q816" i="59" s="1"/>
  <c r="O752" i="59" a="1"/>
  <c r="O752" i="59" s="1"/>
  <c r="N752" i="59" a="1"/>
  <c r="N752" i="59" s="1"/>
  <c r="L752" i="59" a="1"/>
  <c r="L752" i="59" s="1"/>
  <c r="P752" i="59" a="1"/>
  <c r="P752" i="59" s="1"/>
  <c r="Q752" i="59" a="1"/>
  <c r="Q752" i="59" s="1"/>
  <c r="M752" i="59" a="1"/>
  <c r="M752" i="59" s="1"/>
  <c r="N604" i="59" a="1"/>
  <c r="N604" i="59" s="1"/>
  <c r="M604" i="59" a="1"/>
  <c r="M604" i="59" s="1"/>
  <c r="Q604" i="59" a="1"/>
  <c r="Q604" i="59" s="1"/>
  <c r="P604" i="59" a="1"/>
  <c r="P604" i="59" s="1"/>
  <c r="L604" i="59" a="1"/>
  <c r="L604" i="59" s="1"/>
  <c r="O604" i="59" a="1"/>
  <c r="O604" i="59" s="1"/>
  <c r="P771" i="59" a="1"/>
  <c r="P771" i="59" s="1"/>
  <c r="O771" i="59" a="1"/>
  <c r="O771" i="59" s="1"/>
  <c r="M771" i="59" a="1"/>
  <c r="M771" i="59" s="1"/>
  <c r="L771" i="59" a="1"/>
  <c r="L771" i="59" s="1"/>
  <c r="Q771" i="59" a="1"/>
  <c r="Q771" i="59" s="1"/>
  <c r="N771" i="59" a="1"/>
  <c r="N771" i="59" s="1"/>
  <c r="M655" i="59" a="1"/>
  <c r="M655" i="59" s="1"/>
  <c r="Q655" i="59" a="1"/>
  <c r="Q655" i="59" s="1"/>
  <c r="N655" i="59" a="1"/>
  <c r="N655" i="59" s="1"/>
  <c r="O655" i="59" a="1"/>
  <c r="O655" i="59" s="1"/>
  <c r="L655" i="59" a="1"/>
  <c r="L655" i="59" s="1"/>
  <c r="P655" i="59" a="1"/>
  <c r="P655" i="59" s="1"/>
  <c r="Q862" i="59" a="1"/>
  <c r="Q862" i="59" s="1"/>
  <c r="N862" i="59" a="1"/>
  <c r="N862" i="59" s="1"/>
  <c r="M862" i="59" a="1"/>
  <c r="M862" i="59" s="1"/>
  <c r="L862" i="59" a="1"/>
  <c r="L862" i="59" s="1"/>
  <c r="O862" i="59" a="1"/>
  <c r="O862" i="59" s="1"/>
  <c r="P862" i="59" a="1"/>
  <c r="P862" i="59" s="1"/>
  <c r="Q798" i="59" a="1"/>
  <c r="Q798" i="59" s="1"/>
  <c r="O798" i="59" a="1"/>
  <c r="O798" i="59" s="1"/>
  <c r="N798" i="59" a="1"/>
  <c r="N798" i="59" s="1"/>
  <c r="L798" i="59" a="1"/>
  <c r="L798" i="59" s="1"/>
  <c r="P798" i="59" a="1"/>
  <c r="P798" i="59" s="1"/>
  <c r="M798" i="59" a="1"/>
  <c r="M798" i="59" s="1"/>
  <c r="N740" i="59" a="1"/>
  <c r="N740" i="59" s="1"/>
  <c r="M740" i="59" a="1"/>
  <c r="M740" i="59" s="1"/>
  <c r="P740" i="59" a="1"/>
  <c r="P740" i="59" s="1"/>
  <c r="L740" i="59" a="1"/>
  <c r="L740" i="59" s="1"/>
  <c r="Q740" i="59" a="1"/>
  <c r="Q740" i="59" s="1"/>
  <c r="O740" i="59" a="1"/>
  <c r="O740" i="59" s="1"/>
  <c r="M588" i="59" a="1"/>
  <c r="M588" i="59" s="1"/>
  <c r="Q588" i="59" a="1"/>
  <c r="Q588" i="59" s="1"/>
  <c r="N588" i="59" a="1"/>
  <c r="N588" i="59" s="1"/>
  <c r="P588" i="59" a="1"/>
  <c r="P588" i="59" s="1"/>
  <c r="O588" i="59" a="1"/>
  <c r="O588" i="59" s="1"/>
  <c r="L588" i="59" a="1"/>
  <c r="L588" i="59" s="1"/>
  <c r="L769" i="59" a="1"/>
  <c r="L769" i="59" s="1"/>
  <c r="P769" i="59" a="1"/>
  <c r="P769" i="59" s="1"/>
  <c r="N769" i="59" a="1"/>
  <c r="N769" i="59" s="1"/>
  <c r="M769" i="59" a="1"/>
  <c r="M769" i="59" s="1"/>
  <c r="Q769" i="59" a="1"/>
  <c r="Q769" i="59" s="1"/>
  <c r="O769" i="59" a="1"/>
  <c r="O769" i="59" s="1"/>
  <c r="N647" i="59" a="1"/>
  <c r="N647" i="59" s="1"/>
  <c r="M647" i="59" a="1"/>
  <c r="M647" i="59" s="1"/>
  <c r="Q647" i="59" a="1"/>
  <c r="Q647" i="59" s="1"/>
  <c r="O647" i="59" a="1"/>
  <c r="O647" i="59" s="1"/>
  <c r="P647" i="59" a="1"/>
  <c r="P647" i="59" s="1"/>
  <c r="L647" i="59" a="1"/>
  <c r="L647" i="59" s="1"/>
  <c r="N698" i="59" a="1"/>
  <c r="N698" i="59" s="1"/>
  <c r="O698" i="59" a="1"/>
  <c r="O698" i="59" s="1"/>
  <c r="M698" i="59" a="1"/>
  <c r="M698" i="59" s="1"/>
  <c r="P698" i="59" a="1"/>
  <c r="P698" i="59" s="1"/>
  <c r="Q698" i="59" a="1"/>
  <c r="Q698" i="59" s="1"/>
  <c r="L698" i="59" a="1"/>
  <c r="L698" i="59" s="1"/>
  <c r="M634" i="59" a="1"/>
  <c r="M634" i="59" s="1"/>
  <c r="Q634" i="59" a="1"/>
  <c r="Q634" i="59" s="1"/>
  <c r="N634" i="59" a="1"/>
  <c r="N634" i="59" s="1"/>
  <c r="P634" i="59" a="1"/>
  <c r="P634" i="59" s="1"/>
  <c r="O634" i="59" a="1"/>
  <c r="O634" i="59" s="1"/>
  <c r="L634" i="59" a="1"/>
  <c r="L634" i="59" s="1"/>
  <c r="O733" i="59" a="1"/>
  <c r="O733" i="59" s="1"/>
  <c r="N733" i="59" a="1"/>
  <c r="N733" i="59" s="1"/>
  <c r="L733" i="59" a="1"/>
  <c r="L733" i="59" s="1"/>
  <c r="P733" i="59" a="1"/>
  <c r="P733" i="59" s="1"/>
  <c r="M733" i="59" a="1"/>
  <c r="M733" i="59" s="1"/>
  <c r="Q733" i="59" a="1"/>
  <c r="Q733" i="59" s="1"/>
  <c r="N669" i="59" a="1"/>
  <c r="N669" i="59" s="1"/>
  <c r="L669" i="59" a="1"/>
  <c r="L669" i="59" s="1"/>
  <c r="P669" i="59" a="1"/>
  <c r="P669" i="59" s="1"/>
  <c r="O669" i="59" a="1"/>
  <c r="O669" i="59" s="1"/>
  <c r="M669" i="59" a="1"/>
  <c r="M669" i="59" s="1"/>
  <c r="Q669" i="59" a="1"/>
  <c r="Q669" i="59" s="1"/>
  <c r="P601" i="59" a="1"/>
  <c r="P601" i="59" s="1"/>
  <c r="Q601" i="59" a="1"/>
  <c r="Q601" i="59" s="1"/>
  <c r="N601" i="59" a="1"/>
  <c r="N601" i="59" s="1"/>
  <c r="L601" i="59" a="1"/>
  <c r="L601" i="59" s="1"/>
  <c r="M601" i="59" a="1"/>
  <c r="M601" i="59" s="1"/>
  <c r="O601" i="59" a="1"/>
  <c r="O601" i="59" s="1"/>
  <c r="L720" i="59" a="1"/>
  <c r="L720" i="59" s="1"/>
  <c r="P720" i="59" a="1"/>
  <c r="P720" i="59" s="1"/>
  <c r="N720" i="59" a="1"/>
  <c r="N720" i="59" s="1"/>
  <c r="O720" i="59" a="1"/>
  <c r="O720" i="59" s="1"/>
  <c r="Q720" i="59" a="1"/>
  <c r="Q720" i="59" s="1"/>
  <c r="M720" i="59" a="1"/>
  <c r="M720" i="59" s="1"/>
  <c r="O656" i="59" a="1"/>
  <c r="O656" i="59" s="1"/>
  <c r="Q656" i="59" a="1"/>
  <c r="Q656" i="59" s="1"/>
  <c r="N656" i="59" a="1"/>
  <c r="N656" i="59" s="1"/>
  <c r="L656" i="59" a="1"/>
  <c r="L656" i="59" s="1"/>
  <c r="P656" i="59" a="1"/>
  <c r="P656" i="59" s="1"/>
  <c r="M656" i="59" a="1"/>
  <c r="M656" i="59" s="1"/>
  <c r="N580" i="59" a="1"/>
  <c r="N580" i="59" s="1"/>
  <c r="M580" i="59" a="1"/>
  <c r="M580" i="59" s="1"/>
  <c r="Q580" i="59" a="1"/>
  <c r="Q580" i="59" s="1"/>
  <c r="L580" i="59" a="1"/>
  <c r="L580" i="59" s="1"/>
  <c r="O580" i="59" a="1"/>
  <c r="O580" i="59" s="1"/>
  <c r="P580" i="59" a="1"/>
  <c r="P580" i="59" s="1"/>
  <c r="O643" i="59" a="1"/>
  <c r="O643" i="59" s="1"/>
  <c r="M643" i="59" a="1"/>
  <c r="M643" i="59" s="1"/>
  <c r="L643" i="59" a="1"/>
  <c r="L643" i="59" s="1"/>
  <c r="Q643" i="59" a="1"/>
  <c r="Q643" i="59" s="1"/>
  <c r="P643" i="59" a="1"/>
  <c r="P643" i="59" s="1"/>
  <c r="N643" i="59" a="1"/>
  <c r="N643" i="59" s="1"/>
  <c r="O544" i="59" a="1"/>
  <c r="O544" i="59" s="1"/>
  <c r="Q544" i="59" a="1"/>
  <c r="Q544" i="59" s="1"/>
  <c r="L544" i="59" a="1"/>
  <c r="L544" i="59" s="1"/>
  <c r="P544" i="59" a="1"/>
  <c r="P544" i="59" s="1"/>
  <c r="M544" i="59" a="1"/>
  <c r="M544" i="59" s="1"/>
  <c r="N544" i="59" a="1"/>
  <c r="N544" i="59" s="1"/>
  <c r="M686" i="59" a="1"/>
  <c r="M686" i="59" s="1"/>
  <c r="Q686" i="59" a="1"/>
  <c r="Q686" i="59" s="1"/>
  <c r="L686" i="59" a="1"/>
  <c r="L686" i="59" s="1"/>
  <c r="N686" i="59" a="1"/>
  <c r="N686" i="59" s="1"/>
  <c r="O686" i="59" a="1"/>
  <c r="O686" i="59" s="1"/>
  <c r="P686" i="59" a="1"/>
  <c r="P686" i="59" s="1"/>
  <c r="N622" i="59" a="1"/>
  <c r="N622" i="59" s="1"/>
  <c r="L622" i="59" a="1"/>
  <c r="L622" i="59" s="1"/>
  <c r="M622" i="59" a="1"/>
  <c r="M622" i="59" s="1"/>
  <c r="O622" i="59" a="1"/>
  <c r="O622" i="59" s="1"/>
  <c r="P622" i="59" a="1"/>
  <c r="P622" i="59" s="1"/>
  <c r="Q622" i="59" a="1"/>
  <c r="Q622" i="59" s="1"/>
  <c r="L665" i="59" a="1"/>
  <c r="L665" i="59" s="1"/>
  <c r="M665" i="59" a="1"/>
  <c r="M665" i="59" s="1"/>
  <c r="Q665" i="59" a="1"/>
  <c r="Q665" i="59" s="1"/>
  <c r="N665" i="59" a="1"/>
  <c r="N665" i="59" s="1"/>
  <c r="P665" i="59" a="1"/>
  <c r="P665" i="59" s="1"/>
  <c r="O665" i="59" a="1"/>
  <c r="O665" i="59" s="1"/>
  <c r="M593" i="59" a="1"/>
  <c r="M593" i="59" s="1"/>
  <c r="N593" i="59" a="1"/>
  <c r="N593" i="59" s="1"/>
  <c r="O593" i="59" a="1"/>
  <c r="O593" i="59" s="1"/>
  <c r="P593" i="59" a="1"/>
  <c r="P593" i="59" s="1"/>
  <c r="L593" i="59" a="1"/>
  <c r="L593" i="59" s="1"/>
  <c r="Q593" i="59" a="1"/>
  <c r="Q593" i="59" s="1"/>
  <c r="O591" i="59" a="1"/>
  <c r="O591" i="59" s="1"/>
  <c r="Q591" i="59" a="1"/>
  <c r="Q591" i="59" s="1"/>
  <c r="L591" i="59" a="1"/>
  <c r="L591" i="59" s="1"/>
  <c r="M591" i="59" a="1"/>
  <c r="M591" i="59" s="1"/>
  <c r="P591" i="59" a="1"/>
  <c r="P591" i="59" s="1"/>
  <c r="N591" i="59" a="1"/>
  <c r="N591" i="59" s="1"/>
  <c r="O524" i="59" a="1"/>
  <c r="O524" i="59" s="1"/>
  <c r="N524" i="59" a="1"/>
  <c r="N524" i="59" s="1"/>
  <c r="Q524" i="59" a="1"/>
  <c r="Q524" i="59" s="1"/>
  <c r="P524" i="59" a="1"/>
  <c r="P524" i="59" s="1"/>
  <c r="M524" i="59" a="1"/>
  <c r="M524" i="59" s="1"/>
  <c r="L524" i="59" a="1"/>
  <c r="L524" i="59" s="1"/>
  <c r="P570" i="59" a="1"/>
  <c r="P570" i="59" s="1"/>
  <c r="O570" i="59" a="1"/>
  <c r="O570" i="59" s="1"/>
  <c r="N570" i="59" a="1"/>
  <c r="N570" i="59" s="1"/>
  <c r="Q570" i="59" a="1"/>
  <c r="Q570" i="59" s="1"/>
  <c r="L570" i="59" a="1"/>
  <c r="L570" i="59" s="1"/>
  <c r="M570" i="59" a="1"/>
  <c r="M570" i="59" s="1"/>
  <c r="P467" i="59" a="1"/>
  <c r="P467" i="59" s="1"/>
  <c r="O467" i="59" a="1"/>
  <c r="O467" i="59" s="1"/>
  <c r="N467" i="59" a="1"/>
  <c r="N467" i="59" s="1"/>
  <c r="L467" i="59" a="1"/>
  <c r="L467" i="59" s="1"/>
  <c r="Q467" i="59" a="1"/>
  <c r="Q467" i="59" s="1"/>
  <c r="M467" i="59" a="1"/>
  <c r="M467" i="59" s="1"/>
  <c r="L557" i="59" a="1"/>
  <c r="L557" i="59" s="1"/>
  <c r="O557" i="59" a="1"/>
  <c r="O557" i="59" s="1"/>
  <c r="Q557" i="59" a="1"/>
  <c r="Q557" i="59" s="1"/>
  <c r="P557" i="59" a="1"/>
  <c r="P557" i="59" s="1"/>
  <c r="N557" i="59" a="1"/>
  <c r="N557" i="59" s="1"/>
  <c r="M557" i="59" a="1"/>
  <c r="M557" i="59" s="1"/>
  <c r="L505" i="59" a="1"/>
  <c r="L505" i="59" s="1"/>
  <c r="P505" i="59" a="1"/>
  <c r="P505" i="59" s="1"/>
  <c r="O505" i="59" a="1"/>
  <c r="O505" i="59" s="1"/>
  <c r="M505" i="59" a="1"/>
  <c r="M505" i="59" s="1"/>
  <c r="Q505" i="59" a="1"/>
  <c r="Q505" i="59" s="1"/>
  <c r="N505" i="59" a="1"/>
  <c r="N505" i="59" s="1"/>
  <c r="O563" i="59" a="1"/>
  <c r="O563" i="59" s="1"/>
  <c r="M563" i="59" a="1"/>
  <c r="M563" i="59" s="1"/>
  <c r="P563" i="59" a="1"/>
  <c r="P563" i="59" s="1"/>
  <c r="Q563" i="59" a="1"/>
  <c r="Q563" i="59" s="1"/>
  <c r="L563" i="59" a="1"/>
  <c r="L563" i="59" s="1"/>
  <c r="N563" i="59" a="1"/>
  <c r="N563" i="59" s="1"/>
  <c r="L371" i="59" a="1"/>
  <c r="L371" i="59" s="1"/>
  <c r="O371" i="59" a="1"/>
  <c r="O371" i="59" s="1"/>
  <c r="N371" i="59" a="1"/>
  <c r="N371" i="59" s="1"/>
  <c r="P371" i="59" a="1"/>
  <c r="P371" i="59" s="1"/>
  <c r="Q371" i="59" a="1"/>
  <c r="Q371" i="59" s="1"/>
  <c r="M371" i="59" a="1"/>
  <c r="M371" i="59" s="1"/>
  <c r="N526" i="59" a="1"/>
  <c r="N526" i="59" s="1"/>
  <c r="Q526" i="59" a="1"/>
  <c r="Q526" i="59" s="1"/>
  <c r="M526" i="59" a="1"/>
  <c r="M526" i="59" s="1"/>
  <c r="L526" i="59" a="1"/>
  <c r="L526" i="59" s="1"/>
  <c r="O526" i="59" a="1"/>
  <c r="O526" i="59" s="1"/>
  <c r="P526" i="59" a="1"/>
  <c r="P526" i="59" s="1"/>
  <c r="O449" i="59" a="1"/>
  <c r="O449" i="59" s="1"/>
  <c r="Q449" i="59" a="1"/>
  <c r="Q449" i="59" s="1"/>
  <c r="L449" i="59" a="1"/>
  <c r="L449" i="59" s="1"/>
  <c r="N449" i="59" a="1"/>
  <c r="N449" i="59" s="1"/>
  <c r="P449" i="59" a="1"/>
  <c r="P449" i="59" s="1"/>
  <c r="M449" i="59" a="1"/>
  <c r="M449" i="59" s="1"/>
  <c r="M503" i="59" a="1"/>
  <c r="M503" i="59" s="1"/>
  <c r="P503" i="59" a="1"/>
  <c r="P503" i="59" s="1"/>
  <c r="N503" i="59" a="1"/>
  <c r="N503" i="59" s="1"/>
  <c r="O503" i="59" a="1"/>
  <c r="O503" i="59" s="1"/>
  <c r="Q503" i="59" a="1"/>
  <c r="Q503" i="59" s="1"/>
  <c r="L503" i="59" a="1"/>
  <c r="L503" i="59" s="1"/>
  <c r="Q386" i="59" a="1"/>
  <c r="Q386" i="59" s="1"/>
  <c r="O386" i="59" a="1"/>
  <c r="O386" i="59" s="1"/>
  <c r="M386" i="59" a="1"/>
  <c r="M386" i="59" s="1"/>
  <c r="L386" i="59" a="1"/>
  <c r="L386" i="59" s="1"/>
  <c r="N386" i="59" a="1"/>
  <c r="N386" i="59" s="1"/>
  <c r="P386" i="59" a="1"/>
  <c r="P386" i="59" s="1"/>
  <c r="Q473" i="59" a="1"/>
  <c r="Q473" i="59" s="1"/>
  <c r="O473" i="59" a="1"/>
  <c r="O473" i="59" s="1"/>
  <c r="M473" i="59" a="1"/>
  <c r="M473" i="59" s="1"/>
  <c r="P473" i="59" a="1"/>
  <c r="P473" i="59" s="1"/>
  <c r="L473" i="59" a="1"/>
  <c r="L473" i="59" s="1"/>
  <c r="N473" i="59" a="1"/>
  <c r="N473" i="59" s="1"/>
  <c r="M351" i="59" a="1"/>
  <c r="M351" i="59" s="1"/>
  <c r="L351" i="59" a="1"/>
  <c r="L351" i="59" s="1"/>
  <c r="Q351" i="59" a="1"/>
  <c r="Q351" i="59" s="1"/>
  <c r="P351" i="59" a="1"/>
  <c r="P351" i="59" s="1"/>
  <c r="N351" i="59" a="1"/>
  <c r="N351" i="59" s="1"/>
  <c r="O351" i="59" a="1"/>
  <c r="O351" i="59" s="1"/>
  <c r="N475" i="59" a="1"/>
  <c r="N475" i="59" s="1"/>
  <c r="L475" i="59" a="1"/>
  <c r="L475" i="59" s="1"/>
  <c r="P475" i="59" a="1"/>
  <c r="P475" i="59" s="1"/>
  <c r="M475" i="59" a="1"/>
  <c r="M475" i="59" s="1"/>
  <c r="O475" i="59" a="1"/>
  <c r="O475" i="59" s="1"/>
  <c r="Q475" i="59" a="1"/>
  <c r="Q475" i="59" s="1"/>
  <c r="O484" i="59" a="1"/>
  <c r="O484" i="59" s="1"/>
  <c r="M484" i="59" a="1"/>
  <c r="M484" i="59" s="1"/>
  <c r="N484" i="59" a="1"/>
  <c r="N484" i="59" s="1"/>
  <c r="Q484" i="59" a="1"/>
  <c r="Q484" i="59" s="1"/>
  <c r="L484" i="59" a="1"/>
  <c r="L484" i="59" s="1"/>
  <c r="P484" i="59" a="1"/>
  <c r="P484" i="59" s="1"/>
  <c r="L420" i="59" a="1"/>
  <c r="L420" i="59" s="1"/>
  <c r="Q420" i="59" a="1"/>
  <c r="Q420" i="59" s="1"/>
  <c r="P420" i="59" a="1"/>
  <c r="P420" i="59" s="1"/>
  <c r="M420" i="59" a="1"/>
  <c r="M420" i="59" s="1"/>
  <c r="N420" i="59" a="1"/>
  <c r="N420" i="59" s="1"/>
  <c r="O420" i="59" a="1"/>
  <c r="O420" i="59" s="1"/>
  <c r="N463" i="59" a="1"/>
  <c r="N463" i="59" s="1"/>
  <c r="L463" i="59" a="1"/>
  <c r="L463" i="59" s="1"/>
  <c r="P463" i="59" a="1"/>
  <c r="P463" i="59" s="1"/>
  <c r="M463" i="59" a="1"/>
  <c r="M463" i="59" s="1"/>
  <c r="Q463" i="59" a="1"/>
  <c r="Q463" i="59" s="1"/>
  <c r="O463" i="59" a="1"/>
  <c r="O463" i="59" s="1"/>
  <c r="M367" i="59" a="1"/>
  <c r="M367" i="59" s="1"/>
  <c r="Q367" i="59" a="1"/>
  <c r="Q367" i="59" s="1"/>
  <c r="N367" i="59" a="1"/>
  <c r="N367" i="59" s="1"/>
  <c r="O367" i="59" a="1"/>
  <c r="O367" i="59" s="1"/>
  <c r="L367" i="59" a="1"/>
  <c r="L367" i="59" s="1"/>
  <c r="P367" i="59" a="1"/>
  <c r="P367" i="59" s="1"/>
  <c r="M461" i="59" a="1"/>
  <c r="M461" i="59" s="1"/>
  <c r="O461" i="59" a="1"/>
  <c r="O461" i="59" s="1"/>
  <c r="P461" i="59" a="1"/>
  <c r="P461" i="59" s="1"/>
  <c r="Q461" i="59" a="1"/>
  <c r="Q461" i="59" s="1"/>
  <c r="N461" i="59" a="1"/>
  <c r="N461" i="59" s="1"/>
  <c r="L461" i="59" a="1"/>
  <c r="L461" i="59" s="1"/>
  <c r="P379" i="59" a="1"/>
  <c r="P379" i="59" s="1"/>
  <c r="L379" i="59" a="1"/>
  <c r="L379" i="59" s="1"/>
  <c r="O379" i="59" a="1"/>
  <c r="O379" i="59" s="1"/>
  <c r="N379" i="59" a="1"/>
  <c r="N379" i="59" s="1"/>
  <c r="Q379" i="59" a="1"/>
  <c r="Q379" i="59" s="1"/>
  <c r="M379" i="59" a="1"/>
  <c r="M379" i="59" s="1"/>
  <c r="L456" i="59" a="1"/>
  <c r="L456" i="59" s="1"/>
  <c r="N456" i="59" a="1"/>
  <c r="N456" i="59" s="1"/>
  <c r="P456" i="59" a="1"/>
  <c r="P456" i="59" s="1"/>
  <c r="M456" i="59" a="1"/>
  <c r="M456" i="59" s="1"/>
  <c r="Q456" i="59" a="1"/>
  <c r="Q456" i="59" s="1"/>
  <c r="O456" i="59" a="1"/>
  <c r="O456" i="59" s="1"/>
  <c r="N322" i="59" a="1"/>
  <c r="N322" i="59" s="1"/>
  <c r="O322" i="59" a="1"/>
  <c r="O322" i="59" s="1"/>
  <c r="Q322" i="59" a="1"/>
  <c r="Q322" i="59" s="1"/>
  <c r="M322" i="59" a="1"/>
  <c r="M322" i="59" s="1"/>
  <c r="L322" i="59" a="1"/>
  <c r="L322" i="59" s="1"/>
  <c r="P322" i="59" a="1"/>
  <c r="P322" i="59" s="1"/>
  <c r="N389" i="59" a="1"/>
  <c r="N389" i="59" s="1"/>
  <c r="O389" i="59" a="1"/>
  <c r="O389" i="59" s="1"/>
  <c r="P389" i="59" a="1"/>
  <c r="P389" i="59" s="1"/>
  <c r="Q389" i="59" a="1"/>
  <c r="Q389" i="59" s="1"/>
  <c r="L389" i="59" a="1"/>
  <c r="L389" i="59" s="1"/>
  <c r="M389" i="59" a="1"/>
  <c r="M389" i="59" s="1"/>
  <c r="P290" i="59" a="1"/>
  <c r="P290" i="59" s="1"/>
  <c r="M290" i="59" a="1"/>
  <c r="M290" i="59" s="1"/>
  <c r="N290" i="59" a="1"/>
  <c r="N290" i="59" s="1"/>
  <c r="Q290" i="59" a="1"/>
  <c r="Q290" i="59" s="1"/>
  <c r="L290" i="59" a="1"/>
  <c r="L290" i="59" s="1"/>
  <c r="O290" i="59" a="1"/>
  <c r="O290" i="59" s="1"/>
  <c r="N368" i="59" a="1"/>
  <c r="N368" i="59" s="1"/>
  <c r="L368" i="59" a="1"/>
  <c r="L368" i="59" s="1"/>
  <c r="M368" i="59" a="1"/>
  <c r="M368" i="59" s="1"/>
  <c r="P368" i="59" a="1"/>
  <c r="P368" i="59" s="1"/>
  <c r="Q368" i="59" a="1"/>
  <c r="Q368" i="59" s="1"/>
  <c r="O368" i="59" a="1"/>
  <c r="O368" i="59" s="1"/>
  <c r="L271" i="59" a="1"/>
  <c r="L271" i="59" s="1"/>
  <c r="M271" i="59" a="1"/>
  <c r="M271" i="59" s="1"/>
  <c r="Q271" i="59" a="1"/>
  <c r="Q271" i="59" s="1"/>
  <c r="O271" i="59" a="1"/>
  <c r="O271" i="59" s="1"/>
  <c r="N271" i="59" a="1"/>
  <c r="N271" i="59" s="1"/>
  <c r="P271" i="59" a="1"/>
  <c r="P271" i="59" s="1"/>
  <c r="O362" i="59" a="1"/>
  <c r="O362" i="59" s="1"/>
  <c r="M362" i="59" a="1"/>
  <c r="M362" i="59" s="1"/>
  <c r="Q362" i="59" a="1"/>
  <c r="Q362" i="59" s="1"/>
  <c r="N362" i="59" a="1"/>
  <c r="N362" i="59" s="1"/>
  <c r="L362" i="59" a="1"/>
  <c r="L362" i="59" s="1"/>
  <c r="P362" i="59" a="1"/>
  <c r="P362" i="59" s="1"/>
  <c r="L409" i="59" a="1"/>
  <c r="L409" i="59" s="1"/>
  <c r="P409" i="59" a="1"/>
  <c r="P409" i="59" s="1"/>
  <c r="M409" i="59" a="1"/>
  <c r="M409" i="59" s="1"/>
  <c r="Q409" i="59" a="1"/>
  <c r="Q409" i="59" s="1"/>
  <c r="N409" i="59" a="1"/>
  <c r="N409" i="59" s="1"/>
  <c r="O409" i="59" a="1"/>
  <c r="O409" i="59" s="1"/>
  <c r="M325" i="59" a="1"/>
  <c r="M325" i="59" s="1"/>
  <c r="N325" i="59" a="1"/>
  <c r="N325" i="59" s="1"/>
  <c r="Q325" i="59" a="1"/>
  <c r="Q325" i="59" s="1"/>
  <c r="L325" i="59" a="1"/>
  <c r="L325" i="59" s="1"/>
  <c r="O325" i="59" a="1"/>
  <c r="O325" i="59" s="1"/>
  <c r="P325" i="59" a="1"/>
  <c r="P325" i="59" s="1"/>
  <c r="O336" i="59" a="1"/>
  <c r="O336" i="59" s="1"/>
  <c r="L336" i="59" a="1"/>
  <c r="L336" i="59" s="1"/>
  <c r="N336" i="59" a="1"/>
  <c r="N336" i="59" s="1"/>
  <c r="P336" i="59" a="1"/>
  <c r="P336" i="59" s="1"/>
  <c r="Q336" i="59" a="1"/>
  <c r="Q336" i="59" s="1"/>
  <c r="M336" i="59" a="1"/>
  <c r="M336" i="59" s="1"/>
  <c r="L263" i="59" a="1"/>
  <c r="L263" i="59" s="1"/>
  <c r="P263" i="59" a="1"/>
  <c r="P263" i="59" s="1"/>
  <c r="M263" i="59" a="1"/>
  <c r="M263" i="59" s="1"/>
  <c r="Q263" i="59" a="1"/>
  <c r="Q263" i="59" s="1"/>
  <c r="N263" i="59" a="1"/>
  <c r="N263" i="59" s="1"/>
  <c r="O263" i="59" a="1"/>
  <c r="O263" i="59" s="1"/>
  <c r="N315" i="59" a="1"/>
  <c r="N315" i="59" s="1"/>
  <c r="O315" i="59" a="1"/>
  <c r="O315" i="59" s="1"/>
  <c r="P315" i="59" a="1"/>
  <c r="P315" i="59" s="1"/>
  <c r="Q315" i="59" a="1"/>
  <c r="Q315" i="59" s="1"/>
  <c r="L315" i="59" a="1"/>
  <c r="L315" i="59" s="1"/>
  <c r="M315" i="59" a="1"/>
  <c r="M315" i="59" s="1"/>
  <c r="L358" i="59" a="1"/>
  <c r="L358" i="59" s="1"/>
  <c r="M358" i="59" a="1"/>
  <c r="M358" i="59" s="1"/>
  <c r="O358" i="59" a="1"/>
  <c r="O358" i="59" s="1"/>
  <c r="Q358" i="59" a="1"/>
  <c r="Q358" i="59" s="1"/>
  <c r="P358" i="59" a="1"/>
  <c r="P358" i="59" s="1"/>
  <c r="N358" i="59" a="1"/>
  <c r="N358" i="59" s="1"/>
  <c r="O294" i="59" a="1"/>
  <c r="O294" i="59" s="1"/>
  <c r="P294" i="59" a="1"/>
  <c r="P294" i="59" s="1"/>
  <c r="N294" i="59" a="1"/>
  <c r="N294" i="59" s="1"/>
  <c r="L294" i="59" a="1"/>
  <c r="L294" i="59" s="1"/>
  <c r="M294" i="59" a="1"/>
  <c r="M294" i="59" s="1"/>
  <c r="Q294" i="59" a="1"/>
  <c r="Q294" i="59" s="1"/>
  <c r="L281" i="59" a="1"/>
  <c r="L281" i="59" s="1"/>
  <c r="O281" i="59" a="1"/>
  <c r="O281" i="59" s="1"/>
  <c r="P281" i="59" a="1"/>
  <c r="P281" i="59" s="1"/>
  <c r="M281" i="59" a="1"/>
  <c r="M281" i="59" s="1"/>
  <c r="Q281" i="59" a="1"/>
  <c r="Q281" i="59" s="1"/>
  <c r="N281" i="59" a="1"/>
  <c r="N281" i="59" s="1"/>
  <c r="Q316" i="59" a="1"/>
  <c r="Q316" i="59" s="1"/>
  <c r="M316" i="59" a="1"/>
  <c r="M316" i="59" s="1"/>
  <c r="O316" i="59" a="1"/>
  <c r="O316" i="59" s="1"/>
  <c r="N316" i="59" a="1"/>
  <c r="N316" i="59" s="1"/>
  <c r="P316" i="59" a="1"/>
  <c r="P316" i="59" s="1"/>
  <c r="L316" i="59" a="1"/>
  <c r="L316" i="59" s="1"/>
  <c r="M287" i="59" a="1"/>
  <c r="M287" i="59" s="1"/>
  <c r="L287" i="59" a="1"/>
  <c r="L287" i="59" s="1"/>
  <c r="Q287" i="59" a="1"/>
  <c r="Q287" i="59" s="1"/>
  <c r="P287" i="59" a="1"/>
  <c r="P287" i="59" s="1"/>
  <c r="N287" i="59" a="1"/>
  <c r="N287" i="59" s="1"/>
  <c r="O287" i="59" a="1"/>
  <c r="O287" i="59" s="1"/>
  <c r="N217" i="59" a="1"/>
  <c r="N217" i="59" s="1"/>
  <c r="O217" i="59" a="1"/>
  <c r="O217" i="59" s="1"/>
  <c r="P217" i="59" a="1"/>
  <c r="P217" i="59" s="1"/>
  <c r="Q217" i="59" a="1"/>
  <c r="Q217" i="59" s="1"/>
  <c r="L217" i="59" a="1"/>
  <c r="L217" i="59" s="1"/>
  <c r="M217" i="59" a="1"/>
  <c r="M217" i="59" s="1"/>
  <c r="N200" i="59" a="1"/>
  <c r="N200" i="59" s="1"/>
  <c r="M200" i="59" a="1"/>
  <c r="M200" i="59" s="1"/>
  <c r="L200" i="59" a="1"/>
  <c r="L200" i="59" s="1"/>
  <c r="P200" i="59" a="1"/>
  <c r="P200" i="59" s="1"/>
  <c r="O200" i="59" a="1"/>
  <c r="O200" i="59" s="1"/>
  <c r="Q200" i="59" a="1"/>
  <c r="Q200" i="59" s="1"/>
  <c r="O262" i="59" a="1"/>
  <c r="O262" i="59" s="1"/>
  <c r="N262" i="59" a="1"/>
  <c r="N262" i="59" s="1"/>
  <c r="L262" i="59" a="1"/>
  <c r="L262" i="59" s="1"/>
  <c r="M262" i="59" a="1"/>
  <c r="M262" i="59" s="1"/>
  <c r="P262" i="59" a="1"/>
  <c r="P262" i="59" s="1"/>
  <c r="Q262" i="59" a="1"/>
  <c r="Q262" i="59" s="1"/>
  <c r="O249" i="59" a="1"/>
  <c r="O249" i="59" s="1"/>
  <c r="L249" i="59" a="1"/>
  <c r="L249" i="59" s="1"/>
  <c r="P249" i="59" a="1"/>
  <c r="P249" i="59" s="1"/>
  <c r="M249" i="59" a="1"/>
  <c r="M249" i="59" s="1"/>
  <c r="Q249" i="59" a="1"/>
  <c r="Q249" i="59" s="1"/>
  <c r="N249" i="59" a="1"/>
  <c r="N249" i="59" s="1"/>
  <c r="P237" i="59" a="1"/>
  <c r="P237" i="59" s="1"/>
  <c r="N237" i="59" a="1"/>
  <c r="N237" i="59" s="1"/>
  <c r="L237" i="59" a="1"/>
  <c r="L237" i="59" s="1"/>
  <c r="M237" i="59" a="1"/>
  <c r="M237" i="59" s="1"/>
  <c r="Q237" i="59" a="1"/>
  <c r="Q237" i="59" s="1"/>
  <c r="O237" i="59" a="1"/>
  <c r="O237" i="59" s="1"/>
  <c r="P224" i="59" a="1"/>
  <c r="P224" i="59" s="1"/>
  <c r="M224" i="59" a="1"/>
  <c r="M224" i="59" s="1"/>
  <c r="Q224" i="59" a="1"/>
  <c r="Q224" i="59" s="1"/>
  <c r="O224" i="59" a="1"/>
  <c r="O224" i="59" s="1"/>
  <c r="N224" i="59" a="1"/>
  <c r="N224" i="59" s="1"/>
  <c r="L224" i="59" a="1"/>
  <c r="L224" i="59" s="1"/>
  <c r="P203" i="59" a="1"/>
  <c r="P203" i="59" s="1"/>
  <c r="Q203" i="59" a="1"/>
  <c r="Q203" i="59" s="1"/>
  <c r="O203" i="59" a="1"/>
  <c r="O203" i="59" s="1"/>
  <c r="L203" i="59" a="1"/>
  <c r="L203" i="59" s="1"/>
  <c r="M203" i="59" a="1"/>
  <c r="M203" i="59" s="1"/>
  <c r="N203" i="59" a="1"/>
  <c r="N203" i="59" s="1"/>
  <c r="L184" i="59" a="1"/>
  <c r="L184" i="59" s="1"/>
  <c r="M184" i="59" a="1"/>
  <c r="M184" i="59" s="1"/>
  <c r="N184" i="59" a="1"/>
  <c r="N184" i="59" s="1"/>
  <c r="O184" i="59" a="1"/>
  <c r="O184" i="59" s="1"/>
  <c r="Q184" i="59" a="1"/>
  <c r="Q184" i="59" s="1"/>
  <c r="P184" i="59" a="1"/>
  <c r="P184" i="59" s="1"/>
  <c r="P190" i="59" a="1"/>
  <c r="P190" i="59" s="1"/>
  <c r="M190" i="59" a="1"/>
  <c r="M190" i="59" s="1"/>
  <c r="Q190" i="59" a="1"/>
  <c r="Q190" i="59" s="1"/>
  <c r="O190" i="59" a="1"/>
  <c r="O190" i="59" s="1"/>
  <c r="L190" i="59" a="1"/>
  <c r="L190" i="59" s="1"/>
  <c r="N190" i="59" a="1"/>
  <c r="N190" i="59" s="1"/>
  <c r="N210" i="59" a="1"/>
  <c r="N210" i="59" s="1"/>
  <c r="P210" i="59" a="1"/>
  <c r="P210" i="59" s="1"/>
  <c r="M210" i="59" a="1"/>
  <c r="M210" i="59" s="1"/>
  <c r="Q210" i="59" a="1"/>
  <c r="Q210" i="59" s="1"/>
  <c r="L210" i="59" a="1"/>
  <c r="L210" i="59" s="1"/>
  <c r="O210" i="59" a="1"/>
  <c r="O210" i="59" s="1"/>
  <c r="O201" i="59" a="1"/>
  <c r="O201" i="59" s="1"/>
  <c r="N201" i="59" a="1"/>
  <c r="N201" i="59" s="1"/>
  <c r="P201" i="59" a="1"/>
  <c r="P201" i="59" s="1"/>
  <c r="Q201" i="59" a="1"/>
  <c r="Q201" i="59" s="1"/>
  <c r="L201" i="59" a="1"/>
  <c r="L201" i="59" s="1"/>
  <c r="M201" i="59" a="1"/>
  <c r="M201" i="59" s="1"/>
  <c r="O188" i="59" a="1"/>
  <c r="O188" i="59" s="1"/>
  <c r="P188" i="59" a="1"/>
  <c r="P188" i="59" s="1"/>
  <c r="M188" i="59" a="1"/>
  <c r="M188" i="59" s="1"/>
  <c r="Q188" i="59" a="1"/>
  <c r="Q188" i="59" s="1"/>
  <c r="N188" i="59" a="1"/>
  <c r="N188" i="59" s="1"/>
  <c r="L188" i="59" a="1"/>
  <c r="L188" i="59" s="1"/>
  <c r="M191" i="59" a="1"/>
  <c r="M191" i="59" s="1"/>
  <c r="O191" i="59" a="1"/>
  <c r="O191" i="59" s="1"/>
  <c r="Q191" i="59" a="1"/>
  <c r="Q191" i="59" s="1"/>
  <c r="N191" i="59" a="1"/>
  <c r="N191" i="59" s="1"/>
  <c r="L191" i="59" a="1"/>
  <c r="L191" i="59" s="1"/>
  <c r="P191" i="59" a="1"/>
  <c r="P191" i="59" s="1"/>
  <c r="O173" i="59" a="1"/>
  <c r="O173" i="59" s="1"/>
  <c r="Q173" i="59" a="1"/>
  <c r="Q173" i="59" s="1"/>
  <c r="M173" i="59" a="1"/>
  <c r="M173" i="59" s="1"/>
  <c r="L173" i="59" a="1"/>
  <c r="L173" i="59" s="1"/>
  <c r="N173" i="59" a="1"/>
  <c r="N173" i="59" s="1"/>
  <c r="P173" i="59" a="1"/>
  <c r="P173" i="59" s="1"/>
  <c r="M131" i="59" a="1"/>
  <c r="M131" i="59" s="1"/>
  <c r="N131" i="59" a="1"/>
  <c r="N131" i="59" s="1"/>
  <c r="Q131" i="59" a="1"/>
  <c r="Q131" i="59" s="1"/>
  <c r="L131" i="59" a="1"/>
  <c r="L131" i="59" s="1"/>
  <c r="P131" i="59" a="1"/>
  <c r="P131" i="59" s="1"/>
  <c r="O131" i="59" a="1"/>
  <c r="O131" i="59" s="1"/>
  <c r="O148" i="59" a="1"/>
  <c r="O148" i="59" s="1"/>
  <c r="N148" i="59" a="1"/>
  <c r="N148" i="59" s="1"/>
  <c r="M148" i="59" a="1"/>
  <c r="M148" i="59" s="1"/>
  <c r="Q148" i="59" a="1"/>
  <c r="Q148" i="59" s="1"/>
  <c r="L148" i="59" a="1"/>
  <c r="L148" i="59" s="1"/>
  <c r="P148" i="59" a="1"/>
  <c r="P148" i="59" s="1"/>
  <c r="L135" i="59" a="1"/>
  <c r="L135" i="59" s="1"/>
  <c r="P135" i="59" a="1"/>
  <c r="P135" i="59" s="1"/>
  <c r="N135" i="59" a="1"/>
  <c r="N135" i="59" s="1"/>
  <c r="O135" i="59" a="1"/>
  <c r="O135" i="59" s="1"/>
  <c r="M135" i="59" a="1"/>
  <c r="M135" i="59" s="1"/>
  <c r="Q135" i="59" a="1"/>
  <c r="Q135" i="59" s="1"/>
  <c r="P89" i="59" a="1"/>
  <c r="P89" i="59" s="1"/>
  <c r="L89" i="59" a="1"/>
  <c r="L89" i="59" s="1"/>
  <c r="M89" i="59" a="1"/>
  <c r="M89" i="59" s="1"/>
  <c r="Q89" i="59" a="1"/>
  <c r="Q89" i="59" s="1"/>
  <c r="O89" i="59" a="1"/>
  <c r="O89" i="59" s="1"/>
  <c r="N89" i="59" a="1"/>
  <c r="N89" i="59" s="1"/>
  <c r="M118" i="59" a="1"/>
  <c r="M118" i="59" s="1"/>
  <c r="Q118" i="59" a="1"/>
  <c r="Q118" i="59" s="1"/>
  <c r="L118" i="59" a="1"/>
  <c r="L118" i="59" s="1"/>
  <c r="P118" i="59" a="1"/>
  <c r="P118" i="59" s="1"/>
  <c r="N118" i="59" a="1"/>
  <c r="N118" i="59" s="1"/>
  <c r="O118" i="59" a="1"/>
  <c r="O118" i="59" s="1"/>
  <c r="O113" i="59" a="1"/>
  <c r="O113" i="59" s="1"/>
  <c r="Q113" i="59" a="1"/>
  <c r="Q113" i="59" s="1"/>
  <c r="L113" i="59" a="1"/>
  <c r="L113" i="59" s="1"/>
  <c r="P113" i="59" a="1"/>
  <c r="P113" i="59" s="1"/>
  <c r="M113" i="59" a="1"/>
  <c r="M113" i="59" s="1"/>
  <c r="N113" i="59" a="1"/>
  <c r="N113" i="59" s="1"/>
  <c r="L91" i="59" a="1"/>
  <c r="L91" i="59" s="1"/>
  <c r="P91" i="59" a="1"/>
  <c r="P91" i="59" s="1"/>
  <c r="N91" i="59" a="1"/>
  <c r="N91" i="59" s="1"/>
  <c r="M91" i="59" a="1"/>
  <c r="M91" i="59" s="1"/>
  <c r="Q91" i="59" a="1"/>
  <c r="Q91" i="59" s="1"/>
  <c r="O91" i="59" a="1"/>
  <c r="O91" i="59" s="1"/>
  <c r="P71" i="59" a="1"/>
  <c r="P71" i="59" s="1"/>
  <c r="Q71" i="59" a="1"/>
  <c r="Q71" i="59" s="1"/>
  <c r="L71" i="59" a="1"/>
  <c r="L71" i="59" s="1"/>
  <c r="N71" i="59" a="1"/>
  <c r="N71" i="59" s="1"/>
  <c r="O71" i="59" a="1"/>
  <c r="O71" i="59" s="1"/>
  <c r="M71" i="59" a="1"/>
  <c r="M71" i="59" s="1"/>
  <c r="P43" i="59" a="1"/>
  <c r="P43" i="59" s="1"/>
  <c r="N43" i="59" a="1"/>
  <c r="N43" i="59" s="1"/>
  <c r="M43" i="59" a="1"/>
  <c r="M43" i="59" s="1"/>
  <c r="O43" i="59" a="1"/>
  <c r="O43" i="59" s="1"/>
  <c r="L43" i="59" a="1"/>
  <c r="L43" i="59" s="1"/>
  <c r="Q43" i="59" a="1"/>
  <c r="Q43" i="59" s="1"/>
  <c r="M81" i="59" a="1"/>
  <c r="M81" i="59" s="1"/>
  <c r="Q81" i="59" a="1"/>
  <c r="Q81" i="59" s="1"/>
  <c r="L81" i="59" a="1"/>
  <c r="L81" i="59" s="1"/>
  <c r="P81" i="59" a="1"/>
  <c r="P81" i="59" s="1"/>
  <c r="O81" i="59" a="1"/>
  <c r="O81" i="59" s="1"/>
  <c r="N81" i="59" a="1"/>
  <c r="N81" i="59" s="1"/>
  <c r="P58" i="59" a="1"/>
  <c r="P58" i="59" s="1"/>
  <c r="Q58" i="59" a="1"/>
  <c r="Q58" i="59" s="1"/>
  <c r="O58" i="59" a="1"/>
  <c r="O58" i="59" s="1"/>
  <c r="N58" i="59" a="1"/>
  <c r="N58" i="59" s="1"/>
  <c r="L58" i="59" a="1"/>
  <c r="L58" i="59" s="1"/>
  <c r="M58" i="59" a="1"/>
  <c r="M58" i="59" s="1"/>
  <c r="M19" i="59" a="1"/>
  <c r="M19" i="59" s="1"/>
  <c r="L19" i="59" a="1"/>
  <c r="L19" i="59" s="1"/>
  <c r="P19" i="59" a="1"/>
  <c r="P19" i="59" s="1"/>
  <c r="O19" i="59" a="1"/>
  <c r="O19" i="59" s="1"/>
  <c r="N19" i="59" a="1"/>
  <c r="N19" i="59" s="1"/>
  <c r="Q19" i="59" a="1"/>
  <c r="Q19" i="59" s="1"/>
  <c r="P76" i="59" a="1"/>
  <c r="P76" i="59" s="1"/>
  <c r="N76" i="59" a="1"/>
  <c r="N76" i="59" s="1"/>
  <c r="M76" i="59" a="1"/>
  <c r="M76" i="59" s="1"/>
  <c r="O76" i="59" a="1"/>
  <c r="O76" i="59" s="1"/>
  <c r="L76" i="59" a="1"/>
  <c r="L76" i="59" s="1"/>
  <c r="Q76" i="59" a="1"/>
  <c r="Q76" i="59" s="1"/>
  <c r="Q61" i="59" a="1"/>
  <c r="Q61" i="59" s="1"/>
  <c r="N61" i="59" a="1"/>
  <c r="N61" i="59" s="1"/>
  <c r="L61" i="59" a="1"/>
  <c r="L61" i="59" s="1"/>
  <c r="M61" i="59" a="1"/>
  <c r="M61" i="59" s="1"/>
  <c r="O61" i="59" a="1"/>
  <c r="O61" i="59" s="1"/>
  <c r="P61" i="59" a="1"/>
  <c r="P61" i="59" s="1"/>
  <c r="P62" i="59" a="1"/>
  <c r="P62" i="59" s="1"/>
  <c r="L62" i="59" a="1"/>
  <c r="L62" i="59" s="1"/>
  <c r="N62" i="59" a="1"/>
  <c r="N62" i="59" s="1"/>
  <c r="Q62" i="59" a="1"/>
  <c r="Q62" i="59" s="1"/>
  <c r="O62" i="59" a="1"/>
  <c r="O62" i="59" s="1"/>
  <c r="M62" i="59" a="1"/>
  <c r="M62" i="59" s="1"/>
  <c r="N5" i="59" a="1"/>
  <c r="N5" i="59" s="1"/>
  <c r="L5" i="59" a="1"/>
  <c r="L5" i="59" s="1"/>
  <c r="M5" i="59" a="1"/>
  <c r="M5" i="59" s="1"/>
  <c r="O5" i="59" a="1"/>
  <c r="O5" i="59" s="1"/>
  <c r="P5" i="59" a="1"/>
  <c r="P5" i="59" s="1"/>
  <c r="Q5" i="59" a="1"/>
  <c r="Q5" i="59" s="1"/>
  <c r="Q41" i="59" a="1"/>
  <c r="Q41" i="59" s="1"/>
  <c r="P41" i="59" a="1"/>
  <c r="P41" i="59" s="1"/>
  <c r="O41" i="59" a="1"/>
  <c r="O41" i="59" s="1"/>
  <c r="N41" i="59" a="1"/>
  <c r="N41" i="59" s="1"/>
  <c r="L41" i="59" a="1"/>
  <c r="L41" i="59" s="1"/>
  <c r="M41" i="59" a="1"/>
  <c r="M41" i="59" s="1"/>
  <c r="L39" i="59" a="1"/>
  <c r="L39" i="59" s="1"/>
  <c r="N39" i="59" a="1"/>
  <c r="N39" i="59" s="1"/>
  <c r="O39" i="59" a="1"/>
  <c r="O39" i="59" s="1"/>
  <c r="P39" i="59" a="1"/>
  <c r="P39" i="59" s="1"/>
  <c r="M39" i="59" a="1"/>
  <c r="M39" i="59" s="1"/>
  <c r="Q39" i="59" a="1"/>
  <c r="Q39" i="59" s="1"/>
  <c r="Q1485" i="59" a="1"/>
  <c r="Q1485" i="59" s="1"/>
  <c r="L1485" i="59" a="1"/>
  <c r="L1485" i="59" s="1"/>
  <c r="O1485" i="59" a="1"/>
  <c r="O1485" i="59" s="1"/>
  <c r="P1485" i="59" a="1"/>
  <c r="P1485" i="59" s="1"/>
  <c r="M1485" i="59" a="1"/>
  <c r="M1485" i="59" s="1"/>
  <c r="N1485" i="59" a="1"/>
  <c r="N1485" i="59" s="1"/>
  <c r="N1327" i="59" a="1"/>
  <c r="N1327" i="59" s="1"/>
  <c r="O1327" i="59" a="1"/>
  <c r="O1327" i="59" s="1"/>
  <c r="M1327" i="59" a="1"/>
  <c r="M1327" i="59" s="1"/>
  <c r="Q1327" i="59" a="1"/>
  <c r="Q1327" i="59" s="1"/>
  <c r="L1327" i="59" a="1"/>
  <c r="L1327" i="59" s="1"/>
  <c r="P1327" i="59" a="1"/>
  <c r="P1327" i="59" s="1"/>
  <c r="O1466" i="59" a="1"/>
  <c r="O1466" i="59" s="1"/>
  <c r="M1466" i="59" a="1"/>
  <c r="M1466" i="59" s="1"/>
  <c r="Q1466" i="59" a="1"/>
  <c r="Q1466" i="59" s="1"/>
  <c r="L1466" i="59" a="1"/>
  <c r="L1466" i="59" s="1"/>
  <c r="P1466" i="59" a="1"/>
  <c r="P1466" i="59" s="1"/>
  <c r="N1466" i="59" a="1"/>
  <c r="N1466" i="59" s="1"/>
  <c r="M1451" i="59" a="1"/>
  <c r="M1451" i="59" s="1"/>
  <c r="Q1451" i="59" a="1"/>
  <c r="Q1451" i="59" s="1"/>
  <c r="N1451" i="59" a="1"/>
  <c r="N1451" i="59" s="1"/>
  <c r="L1451" i="59" a="1"/>
  <c r="L1451" i="59" s="1"/>
  <c r="O1451" i="59" a="1"/>
  <c r="O1451" i="59" s="1"/>
  <c r="P1451" i="59" a="1"/>
  <c r="P1451" i="59" s="1"/>
  <c r="P1464" i="59" a="1"/>
  <c r="P1464" i="59" s="1"/>
  <c r="L1464" i="59" a="1"/>
  <c r="L1464" i="59" s="1"/>
  <c r="N1464" i="59" a="1"/>
  <c r="N1464" i="59" s="1"/>
  <c r="O1464" i="59" a="1"/>
  <c r="O1464" i="59" s="1"/>
  <c r="Q1464" i="59" a="1"/>
  <c r="Q1464" i="59" s="1"/>
  <c r="M1464" i="59" a="1"/>
  <c r="M1464" i="59" s="1"/>
  <c r="Q1390" i="59" a="1"/>
  <c r="Q1390" i="59" s="1"/>
  <c r="O1390" i="59" a="1"/>
  <c r="O1390" i="59" s="1"/>
  <c r="P1390" i="59" a="1"/>
  <c r="P1390" i="59" s="1"/>
  <c r="L1390" i="59" a="1"/>
  <c r="L1390" i="59" s="1"/>
  <c r="M1390" i="59" a="1"/>
  <c r="M1390" i="59" s="1"/>
  <c r="N1390" i="59" a="1"/>
  <c r="N1390" i="59" s="1"/>
  <c r="N1321" i="59" a="1"/>
  <c r="N1321" i="59" s="1"/>
  <c r="M1321" i="59" a="1"/>
  <c r="M1321" i="59" s="1"/>
  <c r="Q1321" i="59" a="1"/>
  <c r="Q1321" i="59" s="1"/>
  <c r="L1321" i="59" a="1"/>
  <c r="L1321" i="59" s="1"/>
  <c r="O1321" i="59" a="1"/>
  <c r="O1321" i="59" s="1"/>
  <c r="P1321" i="59" a="1"/>
  <c r="P1321" i="59" s="1"/>
  <c r="P1467" i="59" a="1"/>
  <c r="P1467" i="59" s="1"/>
  <c r="Q1467" i="59" a="1"/>
  <c r="Q1467" i="59" s="1"/>
  <c r="N1467" i="59" a="1"/>
  <c r="N1467" i="59" s="1"/>
  <c r="M1467" i="59" a="1"/>
  <c r="M1467" i="59" s="1"/>
  <c r="L1467" i="59" a="1"/>
  <c r="L1467" i="59" s="1"/>
  <c r="O1467" i="59" a="1"/>
  <c r="O1467" i="59" s="1"/>
  <c r="L1440" i="59" a="1"/>
  <c r="L1440" i="59" s="1"/>
  <c r="Q1440" i="59" a="1"/>
  <c r="Q1440" i="59" s="1"/>
  <c r="M1440" i="59" a="1"/>
  <c r="M1440" i="59" s="1"/>
  <c r="P1440" i="59" a="1"/>
  <c r="P1440" i="59" s="1"/>
  <c r="N1440" i="59" a="1"/>
  <c r="N1440" i="59" s="1"/>
  <c r="O1440" i="59" a="1"/>
  <c r="O1440" i="59" s="1"/>
  <c r="N1294" i="59" a="1"/>
  <c r="N1294" i="59" s="1"/>
  <c r="L1294" i="59" a="1"/>
  <c r="L1294" i="59" s="1"/>
  <c r="M1294" i="59" a="1"/>
  <c r="M1294" i="59" s="1"/>
  <c r="P1294" i="59" a="1"/>
  <c r="P1294" i="59" s="1"/>
  <c r="Q1294" i="59" a="1"/>
  <c r="Q1294" i="59" s="1"/>
  <c r="O1294" i="59" a="1"/>
  <c r="O1294" i="59" s="1"/>
  <c r="M1465" i="59" a="1"/>
  <c r="M1465" i="59" s="1"/>
  <c r="O1465" i="59" a="1"/>
  <c r="O1465" i="59" s="1"/>
  <c r="L1465" i="59" a="1"/>
  <c r="L1465" i="59" s="1"/>
  <c r="N1465" i="59" a="1"/>
  <c r="N1465" i="59" s="1"/>
  <c r="P1465" i="59" a="1"/>
  <c r="P1465" i="59" s="1"/>
  <c r="Q1465" i="59" a="1"/>
  <c r="Q1465" i="59" s="1"/>
  <c r="N1401" i="59" a="1"/>
  <c r="N1401" i="59" s="1"/>
  <c r="O1401" i="59" a="1"/>
  <c r="O1401" i="59" s="1"/>
  <c r="L1401" i="59" a="1"/>
  <c r="L1401" i="59" s="1"/>
  <c r="Q1401" i="59" a="1"/>
  <c r="Q1401" i="59" s="1"/>
  <c r="M1401" i="59" a="1"/>
  <c r="M1401" i="59" s="1"/>
  <c r="P1401" i="59" a="1"/>
  <c r="P1401" i="59" s="1"/>
  <c r="N1337" i="59" a="1"/>
  <c r="N1337" i="59" s="1"/>
  <c r="M1337" i="59" a="1"/>
  <c r="M1337" i="59" s="1"/>
  <c r="P1337" i="59" a="1"/>
  <c r="P1337" i="59" s="1"/>
  <c r="L1337" i="59" a="1"/>
  <c r="L1337" i="59" s="1"/>
  <c r="O1337" i="59" a="1"/>
  <c r="O1337" i="59" s="1"/>
  <c r="Q1337" i="59" a="1"/>
  <c r="Q1337" i="59" s="1"/>
  <c r="N1161" i="59" a="1"/>
  <c r="N1161" i="59" s="1"/>
  <c r="M1161" i="59" a="1"/>
  <c r="M1161" i="59" s="1"/>
  <c r="O1161" i="59" a="1"/>
  <c r="O1161" i="59" s="1"/>
  <c r="Q1161" i="59" a="1"/>
  <c r="Q1161" i="59" s="1"/>
  <c r="L1161" i="59" a="1"/>
  <c r="L1161" i="59" s="1"/>
  <c r="P1161" i="59" a="1"/>
  <c r="P1161" i="59" s="1"/>
  <c r="N1396" i="59" a="1"/>
  <c r="N1396" i="59" s="1"/>
  <c r="O1396" i="59" a="1"/>
  <c r="O1396" i="59" s="1"/>
  <c r="Q1396" i="59" a="1"/>
  <c r="Q1396" i="59" s="1"/>
  <c r="L1396" i="59" a="1"/>
  <c r="L1396" i="59" s="1"/>
  <c r="P1396" i="59" a="1"/>
  <c r="P1396" i="59" s="1"/>
  <c r="M1396" i="59" a="1"/>
  <c r="M1396" i="59" s="1"/>
  <c r="N1332" i="59" a="1"/>
  <c r="N1332" i="59" s="1"/>
  <c r="L1332" i="59" a="1"/>
  <c r="L1332" i="59" s="1"/>
  <c r="M1332" i="59" a="1"/>
  <c r="M1332" i="59" s="1"/>
  <c r="O1332" i="59" a="1"/>
  <c r="O1332" i="59" s="1"/>
  <c r="P1332" i="59" a="1"/>
  <c r="P1332" i="59" s="1"/>
  <c r="Q1332" i="59" a="1"/>
  <c r="Q1332" i="59" s="1"/>
  <c r="N1455" i="59" a="1"/>
  <c r="N1455" i="59" s="1"/>
  <c r="M1455" i="59" a="1"/>
  <c r="M1455" i="59" s="1"/>
  <c r="O1455" i="59" a="1"/>
  <c r="O1455" i="59" s="1"/>
  <c r="L1455" i="59" a="1"/>
  <c r="L1455" i="59" s="1"/>
  <c r="Q1455" i="59" a="1"/>
  <c r="Q1455" i="59" s="1"/>
  <c r="P1455" i="59" a="1"/>
  <c r="P1455" i="59" s="1"/>
  <c r="O1391" i="59" a="1"/>
  <c r="O1391" i="59" s="1"/>
  <c r="P1391" i="59" a="1"/>
  <c r="P1391" i="59" s="1"/>
  <c r="Q1391" i="59" a="1"/>
  <c r="Q1391" i="59" s="1"/>
  <c r="M1391" i="59" a="1"/>
  <c r="M1391" i="59" s="1"/>
  <c r="L1391" i="59" a="1"/>
  <c r="L1391" i="59" s="1"/>
  <c r="N1391" i="59" a="1"/>
  <c r="N1391" i="59" s="1"/>
  <c r="M1324" i="59" a="1"/>
  <c r="M1324" i="59" s="1"/>
  <c r="Q1324" i="59" a="1"/>
  <c r="Q1324" i="59" s="1"/>
  <c r="N1324" i="59" a="1"/>
  <c r="N1324" i="59" s="1"/>
  <c r="L1324" i="59" a="1"/>
  <c r="L1324" i="59" s="1"/>
  <c r="O1324" i="59" a="1"/>
  <c r="O1324" i="59" s="1"/>
  <c r="P1324" i="59" a="1"/>
  <c r="P1324" i="59" s="1"/>
  <c r="O1434" i="59" a="1"/>
  <c r="O1434" i="59" s="1"/>
  <c r="M1434" i="59" a="1"/>
  <c r="M1434" i="59" s="1"/>
  <c r="N1434" i="59" a="1"/>
  <c r="N1434" i="59" s="1"/>
  <c r="Q1434" i="59" a="1"/>
  <c r="Q1434" i="59" s="1"/>
  <c r="L1434" i="59" a="1"/>
  <c r="L1434" i="59" s="1"/>
  <c r="P1434" i="59" a="1"/>
  <c r="P1434" i="59" s="1"/>
  <c r="O1370" i="59" a="1"/>
  <c r="O1370" i="59" s="1"/>
  <c r="M1370" i="59" a="1"/>
  <c r="M1370" i="59" s="1"/>
  <c r="Q1370" i="59" a="1"/>
  <c r="Q1370" i="59" s="1"/>
  <c r="L1370" i="59" a="1"/>
  <c r="L1370" i="59" s="1"/>
  <c r="P1370" i="59" a="1"/>
  <c r="P1370" i="59" s="1"/>
  <c r="N1370" i="59" a="1"/>
  <c r="N1370" i="59" s="1"/>
  <c r="P1214" i="59" a="1"/>
  <c r="P1214" i="59" s="1"/>
  <c r="L1214" i="59" a="1"/>
  <c r="L1214" i="59" s="1"/>
  <c r="M1214" i="59" a="1"/>
  <c r="M1214" i="59" s="1"/>
  <c r="Q1214" i="59" a="1"/>
  <c r="Q1214" i="59" s="1"/>
  <c r="N1214" i="59" a="1"/>
  <c r="N1214" i="59" s="1"/>
  <c r="O1214" i="59" a="1"/>
  <c r="O1214" i="59" s="1"/>
  <c r="L1437" i="59" a="1"/>
  <c r="L1437" i="59" s="1"/>
  <c r="M1437" i="59" a="1"/>
  <c r="M1437" i="59" s="1"/>
  <c r="Q1437" i="59" a="1"/>
  <c r="Q1437" i="59" s="1"/>
  <c r="P1437" i="59" a="1"/>
  <c r="P1437" i="59" s="1"/>
  <c r="N1437" i="59" a="1"/>
  <c r="N1437" i="59" s="1"/>
  <c r="O1437" i="59" a="1"/>
  <c r="O1437" i="59" s="1"/>
  <c r="L1373" i="59" a="1"/>
  <c r="L1373" i="59" s="1"/>
  <c r="M1373" i="59" a="1"/>
  <c r="M1373" i="59" s="1"/>
  <c r="Q1373" i="59" a="1"/>
  <c r="Q1373" i="59" s="1"/>
  <c r="P1373" i="59" a="1"/>
  <c r="P1373" i="59" s="1"/>
  <c r="N1373" i="59" a="1"/>
  <c r="N1373" i="59" s="1"/>
  <c r="O1373" i="59" a="1"/>
  <c r="O1373" i="59" s="1"/>
  <c r="L1302" i="59" a="1"/>
  <c r="L1302" i="59" s="1"/>
  <c r="M1302" i="59" a="1"/>
  <c r="M1302" i="59" s="1"/>
  <c r="P1302" i="59" a="1"/>
  <c r="P1302" i="59" s="1"/>
  <c r="Q1302" i="59" a="1"/>
  <c r="Q1302" i="59" s="1"/>
  <c r="N1302" i="59" a="1"/>
  <c r="N1302" i="59" s="1"/>
  <c r="O1302" i="59" a="1"/>
  <c r="O1302" i="59" s="1"/>
  <c r="O1284" i="59" a="1"/>
  <c r="O1284" i="59" s="1"/>
  <c r="M1284" i="59" a="1"/>
  <c r="M1284" i="59" s="1"/>
  <c r="Q1284" i="59" a="1"/>
  <c r="Q1284" i="59" s="1"/>
  <c r="N1284" i="59" a="1"/>
  <c r="N1284" i="59" s="1"/>
  <c r="L1284" i="59" a="1"/>
  <c r="L1284" i="59" s="1"/>
  <c r="P1284" i="59" a="1"/>
  <c r="P1284" i="59" s="1"/>
  <c r="M1220" i="59" a="1"/>
  <c r="M1220" i="59" s="1"/>
  <c r="Q1220" i="59" a="1"/>
  <c r="Q1220" i="59" s="1"/>
  <c r="O1220" i="59" a="1"/>
  <c r="O1220" i="59" s="1"/>
  <c r="N1220" i="59" a="1"/>
  <c r="N1220" i="59" s="1"/>
  <c r="L1220" i="59" a="1"/>
  <c r="L1220" i="59" s="1"/>
  <c r="P1220" i="59" a="1"/>
  <c r="P1220" i="59" s="1"/>
  <c r="P1141" i="59" a="1"/>
  <c r="P1141" i="59" s="1"/>
  <c r="O1141" i="59" a="1"/>
  <c r="O1141" i="59" s="1"/>
  <c r="M1141" i="59" a="1"/>
  <c r="M1141" i="59" s="1"/>
  <c r="N1141" i="59" a="1"/>
  <c r="N1141" i="59" s="1"/>
  <c r="L1141" i="59" a="1"/>
  <c r="L1141" i="59" s="1"/>
  <c r="Q1141" i="59" a="1"/>
  <c r="Q1141" i="59" s="1"/>
  <c r="O1239" i="59" a="1"/>
  <c r="O1239" i="59" s="1"/>
  <c r="L1239" i="59" a="1"/>
  <c r="L1239" i="59" s="1"/>
  <c r="N1239" i="59" a="1"/>
  <c r="N1239" i="59" s="1"/>
  <c r="P1239" i="59" a="1"/>
  <c r="P1239" i="59" s="1"/>
  <c r="Q1239" i="59" a="1"/>
  <c r="Q1239" i="59" s="1"/>
  <c r="M1239" i="59" a="1"/>
  <c r="M1239" i="59" s="1"/>
  <c r="O1175" i="59" a="1"/>
  <c r="O1175" i="59" s="1"/>
  <c r="L1175" i="59" a="1"/>
  <c r="L1175" i="59" s="1"/>
  <c r="N1175" i="59" a="1"/>
  <c r="N1175" i="59" s="1"/>
  <c r="P1175" i="59" a="1"/>
  <c r="P1175" i="59" s="1"/>
  <c r="Q1175" i="59" a="1"/>
  <c r="Q1175" i="59" s="1"/>
  <c r="M1175" i="59" a="1"/>
  <c r="M1175" i="59" s="1"/>
  <c r="N1322" i="59" a="1"/>
  <c r="N1322" i="59" s="1"/>
  <c r="O1322" i="59" a="1"/>
  <c r="O1322" i="59" s="1"/>
  <c r="P1322" i="59" a="1"/>
  <c r="P1322" i="59" s="1"/>
  <c r="Q1322" i="59" a="1"/>
  <c r="Q1322" i="59" s="1"/>
  <c r="L1322" i="59" a="1"/>
  <c r="L1322" i="59" s="1"/>
  <c r="M1322" i="59" a="1"/>
  <c r="M1322" i="59" s="1"/>
  <c r="N1258" i="59" a="1"/>
  <c r="N1258" i="59" s="1"/>
  <c r="O1258" i="59" a="1"/>
  <c r="O1258" i="59" s="1"/>
  <c r="M1258" i="59" a="1"/>
  <c r="M1258" i="59" s="1"/>
  <c r="L1258" i="59" a="1"/>
  <c r="L1258" i="59" s="1"/>
  <c r="P1258" i="59" a="1"/>
  <c r="P1258" i="59" s="1"/>
  <c r="Q1258" i="59" a="1"/>
  <c r="Q1258" i="59" s="1"/>
  <c r="N1194" i="59" a="1"/>
  <c r="N1194" i="59" s="1"/>
  <c r="M1194" i="59" a="1"/>
  <c r="M1194" i="59" s="1"/>
  <c r="O1194" i="59" a="1"/>
  <c r="O1194" i="59" s="1"/>
  <c r="L1194" i="59" a="1"/>
  <c r="L1194" i="59" s="1"/>
  <c r="P1194" i="59" a="1"/>
  <c r="P1194" i="59" s="1"/>
  <c r="Q1194" i="59" a="1"/>
  <c r="Q1194" i="59" s="1"/>
  <c r="N1055" i="59" a="1"/>
  <c r="N1055" i="59" s="1"/>
  <c r="M1055" i="59" a="1"/>
  <c r="M1055" i="59" s="1"/>
  <c r="O1055" i="59" a="1"/>
  <c r="O1055" i="59" s="1"/>
  <c r="Q1055" i="59" a="1"/>
  <c r="Q1055" i="59" s="1"/>
  <c r="L1055" i="59" a="1"/>
  <c r="L1055" i="59" s="1"/>
  <c r="P1055" i="59" a="1"/>
  <c r="P1055" i="59" s="1"/>
  <c r="L1293" i="59" a="1"/>
  <c r="L1293" i="59" s="1"/>
  <c r="P1293" i="59" a="1"/>
  <c r="P1293" i="59" s="1"/>
  <c r="M1293" i="59" a="1"/>
  <c r="M1293" i="59" s="1"/>
  <c r="Q1293" i="59" a="1"/>
  <c r="Q1293" i="59" s="1"/>
  <c r="O1293" i="59" a="1"/>
  <c r="O1293" i="59" s="1"/>
  <c r="N1293" i="59" a="1"/>
  <c r="N1293" i="59" s="1"/>
  <c r="L1229" i="59" a="1"/>
  <c r="L1229" i="59" s="1"/>
  <c r="P1229" i="59" a="1"/>
  <c r="P1229" i="59" s="1"/>
  <c r="M1229" i="59" a="1"/>
  <c r="M1229" i="59" s="1"/>
  <c r="Q1229" i="59" a="1"/>
  <c r="Q1229" i="59" s="1"/>
  <c r="O1229" i="59" a="1"/>
  <c r="O1229" i="59" s="1"/>
  <c r="N1229" i="59" a="1"/>
  <c r="N1229" i="59" s="1"/>
  <c r="L1165" i="59" a="1"/>
  <c r="L1165" i="59" s="1"/>
  <c r="P1165" i="59" a="1"/>
  <c r="P1165" i="59" s="1"/>
  <c r="M1165" i="59" a="1"/>
  <c r="M1165" i="59" s="1"/>
  <c r="Q1165" i="59" a="1"/>
  <c r="Q1165" i="59" s="1"/>
  <c r="O1165" i="59" a="1"/>
  <c r="O1165" i="59" s="1"/>
  <c r="N1165" i="59" a="1"/>
  <c r="N1165" i="59" s="1"/>
  <c r="O1320" i="59" a="1"/>
  <c r="O1320" i="59" s="1"/>
  <c r="L1320" i="59" a="1"/>
  <c r="L1320" i="59" s="1"/>
  <c r="P1320" i="59" a="1"/>
  <c r="P1320" i="59" s="1"/>
  <c r="Q1320" i="59" a="1"/>
  <c r="Q1320" i="59" s="1"/>
  <c r="M1320" i="59" a="1"/>
  <c r="M1320" i="59" s="1"/>
  <c r="N1320" i="59" a="1"/>
  <c r="N1320" i="59" s="1"/>
  <c r="L1256" i="59" a="1"/>
  <c r="L1256" i="59" s="1"/>
  <c r="P1256" i="59" a="1"/>
  <c r="P1256" i="59" s="1"/>
  <c r="O1256" i="59" a="1"/>
  <c r="O1256" i="59" s="1"/>
  <c r="M1256" i="59" a="1"/>
  <c r="M1256" i="59" s="1"/>
  <c r="Q1256" i="59" a="1"/>
  <c r="Q1256" i="59" s="1"/>
  <c r="N1256" i="59" a="1"/>
  <c r="N1256" i="59" s="1"/>
  <c r="L1192" i="59" a="1"/>
  <c r="L1192" i="59" s="1"/>
  <c r="N1192" i="59" a="1"/>
  <c r="N1192" i="59" s="1"/>
  <c r="P1192" i="59" a="1"/>
  <c r="P1192" i="59" s="1"/>
  <c r="O1192" i="59" a="1"/>
  <c r="O1192" i="59" s="1"/>
  <c r="M1192" i="59" a="1"/>
  <c r="M1192" i="59" s="1"/>
  <c r="Q1192" i="59" a="1"/>
  <c r="Q1192" i="59" s="1"/>
  <c r="P1315" i="59" a="1"/>
  <c r="P1315" i="59" s="1"/>
  <c r="N1315" i="59" a="1"/>
  <c r="N1315" i="59" s="1"/>
  <c r="M1315" i="59" a="1"/>
  <c r="M1315" i="59" s="1"/>
  <c r="Q1315" i="59" a="1"/>
  <c r="Q1315" i="59" s="1"/>
  <c r="L1315" i="59" a="1"/>
  <c r="L1315" i="59" s="1"/>
  <c r="O1315" i="59" a="1"/>
  <c r="O1315" i="59" s="1"/>
  <c r="P1251" i="59" a="1"/>
  <c r="P1251" i="59" s="1"/>
  <c r="M1251" i="59" a="1"/>
  <c r="M1251" i="59" s="1"/>
  <c r="Q1251" i="59" a="1"/>
  <c r="Q1251" i="59" s="1"/>
  <c r="N1251" i="59" a="1"/>
  <c r="N1251" i="59" s="1"/>
  <c r="L1251" i="59" a="1"/>
  <c r="L1251" i="59" s="1"/>
  <c r="O1251" i="59" a="1"/>
  <c r="O1251" i="59" s="1"/>
  <c r="P1187" i="59" a="1"/>
  <c r="P1187" i="59" s="1"/>
  <c r="M1187" i="59" a="1"/>
  <c r="M1187" i="59" s="1"/>
  <c r="Q1187" i="59" a="1"/>
  <c r="Q1187" i="59" s="1"/>
  <c r="N1187" i="59" a="1"/>
  <c r="N1187" i="59" s="1"/>
  <c r="L1187" i="59" a="1"/>
  <c r="L1187" i="59" s="1"/>
  <c r="O1187" i="59" a="1"/>
  <c r="O1187" i="59" s="1"/>
  <c r="P1084" i="59" a="1"/>
  <c r="P1084" i="59" s="1"/>
  <c r="Q1084" i="59" a="1"/>
  <c r="Q1084" i="59" s="1"/>
  <c r="N1084" i="59" a="1"/>
  <c r="N1084" i="59" s="1"/>
  <c r="L1084" i="59" a="1"/>
  <c r="L1084" i="59" s="1"/>
  <c r="M1084" i="59" a="1"/>
  <c r="M1084" i="59" s="1"/>
  <c r="O1084" i="59" a="1"/>
  <c r="O1084" i="59" s="1"/>
  <c r="L1076" i="59" a="1"/>
  <c r="L1076" i="59" s="1"/>
  <c r="M1076" i="59" a="1"/>
  <c r="M1076" i="59" s="1"/>
  <c r="Q1076" i="59" a="1"/>
  <c r="Q1076" i="59" s="1"/>
  <c r="O1076" i="59" a="1"/>
  <c r="O1076" i="59" s="1"/>
  <c r="P1076" i="59" a="1"/>
  <c r="P1076" i="59" s="1"/>
  <c r="N1076" i="59" a="1"/>
  <c r="N1076" i="59" s="1"/>
  <c r="N1159" i="59" a="1"/>
  <c r="N1159" i="59" s="1"/>
  <c r="M1159" i="59" a="1"/>
  <c r="M1159" i="59" s="1"/>
  <c r="O1159" i="59" a="1"/>
  <c r="O1159" i="59" s="1"/>
  <c r="P1159" i="59" a="1"/>
  <c r="P1159" i="59" s="1"/>
  <c r="Q1159" i="59" a="1"/>
  <c r="Q1159" i="59" s="1"/>
  <c r="L1159" i="59" a="1"/>
  <c r="L1159" i="59" s="1"/>
  <c r="P1061" i="59" a="1"/>
  <c r="P1061" i="59" s="1"/>
  <c r="Q1061" i="59" a="1"/>
  <c r="Q1061" i="59" s="1"/>
  <c r="M1061" i="59" a="1"/>
  <c r="M1061" i="59" s="1"/>
  <c r="O1061" i="59" a="1"/>
  <c r="O1061" i="59" s="1"/>
  <c r="N1061" i="59" a="1"/>
  <c r="N1061" i="59" s="1"/>
  <c r="L1061" i="59" a="1"/>
  <c r="L1061" i="59" s="1"/>
  <c r="N1087" i="59" a="1"/>
  <c r="N1087" i="59" s="1"/>
  <c r="O1087" i="59" a="1"/>
  <c r="O1087" i="59" s="1"/>
  <c r="M1087" i="59" a="1"/>
  <c r="M1087" i="59" s="1"/>
  <c r="Q1087" i="59" a="1"/>
  <c r="Q1087" i="59" s="1"/>
  <c r="L1087" i="59" a="1"/>
  <c r="L1087" i="59" s="1"/>
  <c r="P1087" i="59" a="1"/>
  <c r="P1087" i="59" s="1"/>
  <c r="L780" i="59" a="1"/>
  <c r="L780" i="59" s="1"/>
  <c r="P780" i="59" a="1"/>
  <c r="P780" i="59" s="1"/>
  <c r="N780" i="59" a="1"/>
  <c r="N780" i="59" s="1"/>
  <c r="M780" i="59" a="1"/>
  <c r="M780" i="59" s="1"/>
  <c r="Q780" i="59" a="1"/>
  <c r="Q780" i="59" s="1"/>
  <c r="O780" i="59" a="1"/>
  <c r="O780" i="59" s="1"/>
  <c r="P1052" i="59" a="1"/>
  <c r="P1052" i="59" s="1"/>
  <c r="Q1052" i="59" a="1"/>
  <c r="Q1052" i="59" s="1"/>
  <c r="L1052" i="59" a="1"/>
  <c r="L1052" i="59" s="1"/>
  <c r="M1052" i="59" a="1"/>
  <c r="M1052" i="59" s="1"/>
  <c r="O1052" i="59" a="1"/>
  <c r="O1052" i="59" s="1"/>
  <c r="N1052" i="59" a="1"/>
  <c r="N1052" i="59" s="1"/>
  <c r="L1155" i="59" a="1"/>
  <c r="L1155" i="59" s="1"/>
  <c r="P1155" i="59" a="1"/>
  <c r="P1155" i="59" s="1"/>
  <c r="O1155" i="59" a="1"/>
  <c r="O1155" i="59" s="1"/>
  <c r="M1155" i="59" a="1"/>
  <c r="M1155" i="59" s="1"/>
  <c r="N1155" i="59" a="1"/>
  <c r="N1155" i="59" s="1"/>
  <c r="Q1155" i="59" a="1"/>
  <c r="Q1155" i="59" s="1"/>
  <c r="M1047" i="59" a="1"/>
  <c r="M1047" i="59" s="1"/>
  <c r="N1047" i="59" a="1"/>
  <c r="N1047" i="59" s="1"/>
  <c r="L1047" i="59" a="1"/>
  <c r="L1047" i="59" s="1"/>
  <c r="P1047" i="59" a="1"/>
  <c r="P1047" i="59" s="1"/>
  <c r="O1047" i="59" a="1"/>
  <c r="O1047" i="59" s="1"/>
  <c r="Q1047" i="59" a="1"/>
  <c r="Q1047" i="59" s="1"/>
  <c r="Q935" i="59" a="1"/>
  <c r="Q935" i="59" s="1"/>
  <c r="M935" i="59" a="1"/>
  <c r="M935" i="59" s="1"/>
  <c r="L935" i="59" a="1"/>
  <c r="L935" i="59" s="1"/>
  <c r="N935" i="59" a="1"/>
  <c r="N935" i="59" s="1"/>
  <c r="O935" i="59" a="1"/>
  <c r="O935" i="59" s="1"/>
  <c r="P935" i="59" a="1"/>
  <c r="P935" i="59" s="1"/>
  <c r="M1082" i="59" a="1"/>
  <c r="M1082" i="59" s="1"/>
  <c r="Q1082" i="59" a="1"/>
  <c r="Q1082" i="59" s="1"/>
  <c r="N1082" i="59" a="1"/>
  <c r="N1082" i="59" s="1"/>
  <c r="L1082" i="59" a="1"/>
  <c r="L1082" i="59" s="1"/>
  <c r="P1082" i="59" a="1"/>
  <c r="P1082" i="59" s="1"/>
  <c r="O1082" i="59" a="1"/>
  <c r="O1082" i="59" s="1"/>
  <c r="O992" i="59" a="1"/>
  <c r="O992" i="59" s="1"/>
  <c r="L992" i="59" a="1"/>
  <c r="L992" i="59" s="1"/>
  <c r="N992" i="59" a="1"/>
  <c r="N992" i="59" s="1"/>
  <c r="P992" i="59" a="1"/>
  <c r="P992" i="59" s="1"/>
  <c r="M992" i="59" a="1"/>
  <c r="M992" i="59" s="1"/>
  <c r="Q992" i="59" a="1"/>
  <c r="Q992" i="59" s="1"/>
  <c r="P889" i="59" a="1"/>
  <c r="P889" i="59" s="1"/>
  <c r="O889" i="59" a="1"/>
  <c r="O889" i="59" s="1"/>
  <c r="M889" i="59" a="1"/>
  <c r="M889" i="59" s="1"/>
  <c r="Q889" i="59" a="1"/>
  <c r="Q889" i="59" s="1"/>
  <c r="L889" i="59" a="1"/>
  <c r="L889" i="59" s="1"/>
  <c r="N889" i="59" a="1"/>
  <c r="N889" i="59" s="1"/>
  <c r="N1112" i="59" a="1"/>
  <c r="N1112" i="59" s="1"/>
  <c r="M1112" i="59" a="1"/>
  <c r="M1112" i="59" s="1"/>
  <c r="O1112" i="59" a="1"/>
  <c r="O1112" i="59" s="1"/>
  <c r="P1112" i="59" a="1"/>
  <c r="P1112" i="59" s="1"/>
  <c r="Q1112" i="59" a="1"/>
  <c r="Q1112" i="59" s="1"/>
  <c r="L1112" i="59" a="1"/>
  <c r="L1112" i="59" s="1"/>
  <c r="N1048" i="59" a="1"/>
  <c r="N1048" i="59" s="1"/>
  <c r="P1048" i="59" a="1"/>
  <c r="P1048" i="59" s="1"/>
  <c r="O1048" i="59" a="1"/>
  <c r="O1048" i="59" s="1"/>
  <c r="M1048" i="59" a="1"/>
  <c r="M1048" i="59" s="1"/>
  <c r="Q1048" i="59" a="1"/>
  <c r="Q1048" i="59" s="1"/>
  <c r="L1048" i="59" a="1"/>
  <c r="L1048" i="59" s="1"/>
  <c r="M959" i="59" a="1"/>
  <c r="M959" i="59" s="1"/>
  <c r="Q959" i="59" a="1"/>
  <c r="Q959" i="59" s="1"/>
  <c r="N959" i="59" a="1"/>
  <c r="N959" i="59" s="1"/>
  <c r="L959" i="59" a="1"/>
  <c r="L959" i="59" s="1"/>
  <c r="P959" i="59" a="1"/>
  <c r="P959" i="59" s="1"/>
  <c r="O959" i="59" a="1"/>
  <c r="O959" i="59" s="1"/>
  <c r="L748" i="59" a="1"/>
  <c r="L748" i="59" s="1"/>
  <c r="P748" i="59" a="1"/>
  <c r="P748" i="59" s="1"/>
  <c r="M748" i="59" a="1"/>
  <c r="M748" i="59" s="1"/>
  <c r="Q748" i="59" a="1"/>
  <c r="Q748" i="59" s="1"/>
  <c r="N748" i="59" a="1"/>
  <c r="N748" i="59" s="1"/>
  <c r="O748" i="59" a="1"/>
  <c r="O748" i="59" s="1"/>
  <c r="O1067" i="59" a="1"/>
  <c r="O1067" i="59" s="1"/>
  <c r="N1067" i="59" a="1"/>
  <c r="N1067" i="59" s="1"/>
  <c r="L1067" i="59" a="1"/>
  <c r="L1067" i="59" s="1"/>
  <c r="P1067" i="59" a="1"/>
  <c r="P1067" i="59" s="1"/>
  <c r="M1067" i="59" a="1"/>
  <c r="M1067" i="59" s="1"/>
  <c r="Q1067" i="59" a="1"/>
  <c r="Q1067" i="59" s="1"/>
  <c r="O968" i="59" a="1"/>
  <c r="O968" i="59" s="1"/>
  <c r="P968" i="59" a="1"/>
  <c r="P968" i="59" s="1"/>
  <c r="L968" i="59" a="1"/>
  <c r="L968" i="59" s="1"/>
  <c r="Q968" i="59" a="1"/>
  <c r="Q968" i="59" s="1"/>
  <c r="N968" i="59" a="1"/>
  <c r="N968" i="59" s="1"/>
  <c r="M968" i="59" a="1"/>
  <c r="M968" i="59" s="1"/>
  <c r="O843" i="59" a="1"/>
  <c r="O843" i="59" s="1"/>
  <c r="P843" i="59" a="1"/>
  <c r="P843" i="59" s="1"/>
  <c r="Q843" i="59" a="1"/>
  <c r="Q843" i="59" s="1"/>
  <c r="L843" i="59" a="1"/>
  <c r="L843" i="59" s="1"/>
  <c r="M843" i="59" a="1"/>
  <c r="M843" i="59" s="1"/>
  <c r="N843" i="59" a="1"/>
  <c r="N843" i="59" s="1"/>
  <c r="P1094" i="59" a="1"/>
  <c r="P1094" i="59" s="1"/>
  <c r="Q1094" i="59" a="1"/>
  <c r="Q1094" i="59" s="1"/>
  <c r="M1094" i="59" a="1"/>
  <c r="M1094" i="59" s="1"/>
  <c r="O1094" i="59" a="1"/>
  <c r="O1094" i="59" s="1"/>
  <c r="L1094" i="59" a="1"/>
  <c r="L1094" i="59" s="1"/>
  <c r="N1094" i="59" a="1"/>
  <c r="N1094" i="59" s="1"/>
  <c r="N1026" i="59" a="1"/>
  <c r="N1026" i="59" s="1"/>
  <c r="O1026" i="59" a="1"/>
  <c r="O1026" i="59" s="1"/>
  <c r="L1026" i="59" a="1"/>
  <c r="L1026" i="59" s="1"/>
  <c r="Q1026" i="59" a="1"/>
  <c r="Q1026" i="59" s="1"/>
  <c r="P1026" i="59" a="1"/>
  <c r="P1026" i="59" s="1"/>
  <c r="M1026" i="59" a="1"/>
  <c r="M1026" i="59" s="1"/>
  <c r="P913" i="59" a="1"/>
  <c r="P913" i="59" s="1"/>
  <c r="L913" i="59" a="1"/>
  <c r="L913" i="59" s="1"/>
  <c r="O913" i="59" a="1"/>
  <c r="O913" i="59" s="1"/>
  <c r="M913" i="59" a="1"/>
  <c r="M913" i="59" s="1"/>
  <c r="Q913" i="59" a="1"/>
  <c r="Q913" i="59" s="1"/>
  <c r="N913" i="59" a="1"/>
  <c r="N913" i="59" s="1"/>
  <c r="M1097" i="59" a="1"/>
  <c r="M1097" i="59" s="1"/>
  <c r="Q1097" i="59" a="1"/>
  <c r="Q1097" i="59" s="1"/>
  <c r="N1097" i="59" a="1"/>
  <c r="N1097" i="59" s="1"/>
  <c r="L1097" i="59" a="1"/>
  <c r="L1097" i="59" s="1"/>
  <c r="P1097" i="59" a="1"/>
  <c r="P1097" i="59" s="1"/>
  <c r="O1097" i="59" a="1"/>
  <c r="O1097" i="59" s="1"/>
  <c r="P1033" i="59" a="1"/>
  <c r="P1033" i="59" s="1"/>
  <c r="M1033" i="59" a="1"/>
  <c r="M1033" i="59" s="1"/>
  <c r="Q1033" i="59" a="1"/>
  <c r="Q1033" i="59" s="1"/>
  <c r="N1033" i="59" a="1"/>
  <c r="N1033" i="59" s="1"/>
  <c r="L1033" i="59" a="1"/>
  <c r="L1033" i="59" s="1"/>
  <c r="O1033" i="59" a="1"/>
  <c r="O1033" i="59" s="1"/>
  <c r="M924" i="59" a="1"/>
  <c r="M924" i="59" s="1"/>
  <c r="L924" i="59" a="1"/>
  <c r="L924" i="59" s="1"/>
  <c r="O924" i="59" a="1"/>
  <c r="O924" i="59" s="1"/>
  <c r="P924" i="59" a="1"/>
  <c r="P924" i="59" s="1"/>
  <c r="N924" i="59" a="1"/>
  <c r="N924" i="59" s="1"/>
  <c r="Q924" i="59" a="1"/>
  <c r="Q924" i="59" s="1"/>
  <c r="M639" i="59" a="1"/>
  <c r="M639" i="59" s="1"/>
  <c r="P639" i="59" a="1"/>
  <c r="P639" i="59" s="1"/>
  <c r="N639" i="59" a="1"/>
  <c r="N639" i="59" s="1"/>
  <c r="O639" i="59" a="1"/>
  <c r="O639" i="59" s="1"/>
  <c r="Q639" i="59" a="1"/>
  <c r="Q639" i="59" s="1"/>
  <c r="L639" i="59" a="1"/>
  <c r="L639" i="59" s="1"/>
  <c r="N981" i="59" a="1"/>
  <c r="N981" i="59" s="1"/>
  <c r="O981" i="59" a="1"/>
  <c r="O981" i="59" s="1"/>
  <c r="P981" i="59" a="1"/>
  <c r="P981" i="59" s="1"/>
  <c r="Q981" i="59" a="1"/>
  <c r="Q981" i="59" s="1"/>
  <c r="L981" i="59" a="1"/>
  <c r="L981" i="59" s="1"/>
  <c r="M981" i="59" a="1"/>
  <c r="M981" i="59" s="1"/>
  <c r="M917" i="59" a="1"/>
  <c r="M917" i="59" s="1"/>
  <c r="N917" i="59" a="1"/>
  <c r="N917" i="59" s="1"/>
  <c r="O917" i="59" a="1"/>
  <c r="O917" i="59" s="1"/>
  <c r="Q917" i="59" a="1"/>
  <c r="Q917" i="59" s="1"/>
  <c r="L917" i="59" a="1"/>
  <c r="L917" i="59" s="1"/>
  <c r="P917" i="59" a="1"/>
  <c r="P917" i="59" s="1"/>
  <c r="L804" i="59" a="1"/>
  <c r="L804" i="59" s="1"/>
  <c r="P804" i="59" a="1"/>
  <c r="P804" i="59" s="1"/>
  <c r="M804" i="59" a="1"/>
  <c r="M804" i="59" s="1"/>
  <c r="Q804" i="59" a="1"/>
  <c r="Q804" i="59" s="1"/>
  <c r="N804" i="59" a="1"/>
  <c r="N804" i="59" s="1"/>
  <c r="O804" i="59" a="1"/>
  <c r="O804" i="59" s="1"/>
  <c r="O928" i="59" a="1"/>
  <c r="O928" i="59" s="1"/>
  <c r="L928" i="59" a="1"/>
  <c r="L928" i="59" s="1"/>
  <c r="M928" i="59" a="1"/>
  <c r="M928" i="59" s="1"/>
  <c r="N928" i="59" a="1"/>
  <c r="N928" i="59" s="1"/>
  <c r="Q928" i="59" a="1"/>
  <c r="Q928" i="59" s="1"/>
  <c r="P928" i="59" a="1"/>
  <c r="P928" i="59" s="1"/>
  <c r="Q844" i="59" a="1"/>
  <c r="Q844" i="59" s="1"/>
  <c r="N844" i="59" a="1"/>
  <c r="N844" i="59" s="1"/>
  <c r="L844" i="59" a="1"/>
  <c r="L844" i="59" s="1"/>
  <c r="P844" i="59" a="1"/>
  <c r="P844" i="59" s="1"/>
  <c r="O844" i="59" a="1"/>
  <c r="O844" i="59" s="1"/>
  <c r="M844" i="59" a="1"/>
  <c r="M844" i="59" s="1"/>
  <c r="O1003" i="59" a="1"/>
  <c r="O1003" i="59" s="1"/>
  <c r="M1003" i="59" a="1"/>
  <c r="M1003" i="59" s="1"/>
  <c r="N1003" i="59" a="1"/>
  <c r="N1003" i="59" s="1"/>
  <c r="L1003" i="59" a="1"/>
  <c r="L1003" i="59" s="1"/>
  <c r="Q1003" i="59" a="1"/>
  <c r="Q1003" i="59" s="1"/>
  <c r="P1003" i="59" a="1"/>
  <c r="P1003" i="59" s="1"/>
  <c r="O939" i="59" a="1"/>
  <c r="O939" i="59" s="1"/>
  <c r="L939" i="59" a="1"/>
  <c r="L939" i="59" s="1"/>
  <c r="P939" i="59" a="1"/>
  <c r="P939" i="59" s="1"/>
  <c r="M939" i="59" a="1"/>
  <c r="M939" i="59" s="1"/>
  <c r="N939" i="59" a="1"/>
  <c r="N939" i="59" s="1"/>
  <c r="Q939" i="59" a="1"/>
  <c r="Q939" i="59" s="1"/>
  <c r="M871" i="59" a="1"/>
  <c r="M871" i="59" s="1"/>
  <c r="O871" i="59" a="1"/>
  <c r="O871" i="59" s="1"/>
  <c r="N871" i="59" a="1"/>
  <c r="N871" i="59" s="1"/>
  <c r="Q871" i="59" a="1"/>
  <c r="Q871" i="59" s="1"/>
  <c r="L871" i="59" a="1"/>
  <c r="L871" i="59" s="1"/>
  <c r="P871" i="59" a="1"/>
  <c r="P871" i="59" s="1"/>
  <c r="M1030" i="59" a="1"/>
  <c r="M1030" i="59" s="1"/>
  <c r="P1030" i="59" a="1"/>
  <c r="P1030" i="59" s="1"/>
  <c r="L1030" i="59" a="1"/>
  <c r="L1030" i="59" s="1"/>
  <c r="O1030" i="59" a="1"/>
  <c r="O1030" i="59" s="1"/>
  <c r="N1030" i="59" a="1"/>
  <c r="N1030" i="59" s="1"/>
  <c r="Q1030" i="59" a="1"/>
  <c r="Q1030" i="59" s="1"/>
  <c r="M966" i="59" a="1"/>
  <c r="M966" i="59" s="1"/>
  <c r="L966" i="59" a="1"/>
  <c r="L966" i="59" s="1"/>
  <c r="P966" i="59" a="1"/>
  <c r="P966" i="59" s="1"/>
  <c r="N966" i="59" a="1"/>
  <c r="N966" i="59" s="1"/>
  <c r="Q966" i="59" a="1"/>
  <c r="Q966" i="59" s="1"/>
  <c r="O966" i="59" a="1"/>
  <c r="O966" i="59" s="1"/>
  <c r="M902" i="59" a="1"/>
  <c r="M902" i="59" s="1"/>
  <c r="L902" i="59" a="1"/>
  <c r="L902" i="59" s="1"/>
  <c r="N902" i="59" a="1"/>
  <c r="N902" i="59" s="1"/>
  <c r="O902" i="59" a="1"/>
  <c r="O902" i="59" s="1"/>
  <c r="P902" i="59" a="1"/>
  <c r="P902" i="59" s="1"/>
  <c r="Q902" i="59" a="1"/>
  <c r="Q902" i="59" s="1"/>
  <c r="M759" i="59" a="1"/>
  <c r="M759" i="59" s="1"/>
  <c r="Q759" i="59" a="1"/>
  <c r="Q759" i="59" s="1"/>
  <c r="N759" i="59" a="1"/>
  <c r="N759" i="59" s="1"/>
  <c r="L759" i="59" a="1"/>
  <c r="L759" i="59" s="1"/>
  <c r="O759" i="59" a="1"/>
  <c r="O759" i="59" s="1"/>
  <c r="P759" i="59" a="1"/>
  <c r="P759" i="59" s="1"/>
  <c r="L834" i="59" a="1"/>
  <c r="L834" i="59" s="1"/>
  <c r="Q834" i="59" a="1"/>
  <c r="Q834" i="59" s="1"/>
  <c r="N834" i="59" a="1"/>
  <c r="N834" i="59" s="1"/>
  <c r="P834" i="59" a="1"/>
  <c r="P834" i="59" s="1"/>
  <c r="O834" i="59" a="1"/>
  <c r="O834" i="59" s="1"/>
  <c r="M834" i="59" a="1"/>
  <c r="M834" i="59" s="1"/>
  <c r="M770" i="59" a="1"/>
  <c r="M770" i="59" s="1"/>
  <c r="Q770" i="59" a="1"/>
  <c r="Q770" i="59" s="1"/>
  <c r="N770" i="59" a="1"/>
  <c r="N770" i="59" s="1"/>
  <c r="O770" i="59" a="1"/>
  <c r="O770" i="59" s="1"/>
  <c r="P770" i="59" a="1"/>
  <c r="P770" i="59" s="1"/>
  <c r="L770" i="59" a="1"/>
  <c r="L770" i="59" s="1"/>
  <c r="M668" i="59" a="1"/>
  <c r="M668" i="59" s="1"/>
  <c r="L668" i="59" a="1"/>
  <c r="L668" i="59" s="1"/>
  <c r="P668" i="59" a="1"/>
  <c r="P668" i="59" s="1"/>
  <c r="N668" i="59" a="1"/>
  <c r="N668" i="59" s="1"/>
  <c r="Q668" i="59" a="1"/>
  <c r="Q668" i="59" s="1"/>
  <c r="O668" i="59" a="1"/>
  <c r="O668" i="59" s="1"/>
  <c r="N853" i="59" a="1"/>
  <c r="N853" i="59" s="1"/>
  <c r="P853" i="59" a="1"/>
  <c r="P853" i="59" s="1"/>
  <c r="L853" i="59" a="1"/>
  <c r="L853" i="59" s="1"/>
  <c r="O853" i="59" a="1"/>
  <c r="O853" i="59" s="1"/>
  <c r="Q853" i="59" a="1"/>
  <c r="Q853" i="59" s="1"/>
  <c r="M853" i="59" a="1"/>
  <c r="M853" i="59" s="1"/>
  <c r="N789" i="59" a="1"/>
  <c r="N789" i="59" s="1"/>
  <c r="P789" i="59" a="1"/>
  <c r="P789" i="59" s="1"/>
  <c r="O789" i="59" a="1"/>
  <c r="O789" i="59" s="1"/>
  <c r="L789" i="59" a="1"/>
  <c r="L789" i="59" s="1"/>
  <c r="M789" i="59" a="1"/>
  <c r="M789" i="59" s="1"/>
  <c r="Q789" i="59" a="1"/>
  <c r="Q789" i="59" s="1"/>
  <c r="M721" i="59" a="1"/>
  <c r="M721" i="59" s="1"/>
  <c r="Q721" i="59" a="1"/>
  <c r="Q721" i="59" s="1"/>
  <c r="N721" i="59" a="1"/>
  <c r="N721" i="59" s="1"/>
  <c r="L721" i="59" a="1"/>
  <c r="L721" i="59" s="1"/>
  <c r="P721" i="59" a="1"/>
  <c r="P721" i="59" s="1"/>
  <c r="O721" i="59" a="1"/>
  <c r="O721" i="59" s="1"/>
  <c r="P872" i="59" a="1"/>
  <c r="P872" i="59" s="1"/>
  <c r="N872" i="59" a="1"/>
  <c r="N872" i="59" s="1"/>
  <c r="L872" i="59" a="1"/>
  <c r="L872" i="59" s="1"/>
  <c r="O872" i="59" a="1"/>
  <c r="O872" i="59" s="1"/>
  <c r="M872" i="59" a="1"/>
  <c r="M872" i="59" s="1"/>
  <c r="Q872" i="59" a="1"/>
  <c r="Q872" i="59" s="1"/>
  <c r="N808" i="59" a="1"/>
  <c r="N808" i="59" s="1"/>
  <c r="P808" i="59" a="1"/>
  <c r="P808" i="59" s="1"/>
  <c r="O808" i="59" a="1"/>
  <c r="O808" i="59" s="1"/>
  <c r="L808" i="59" a="1"/>
  <c r="L808" i="59" s="1"/>
  <c r="Q808" i="59" a="1"/>
  <c r="Q808" i="59" s="1"/>
  <c r="M808" i="59" a="1"/>
  <c r="M808" i="59" s="1"/>
  <c r="N744" i="59" a="1"/>
  <c r="N744" i="59" s="1"/>
  <c r="P744" i="59" a="1"/>
  <c r="P744" i="59" s="1"/>
  <c r="M744" i="59" a="1"/>
  <c r="M744" i="59" s="1"/>
  <c r="Q744" i="59" a="1"/>
  <c r="Q744" i="59" s="1"/>
  <c r="O744" i="59" a="1"/>
  <c r="O744" i="59" s="1"/>
  <c r="L744" i="59" a="1"/>
  <c r="L744" i="59" s="1"/>
  <c r="L827" i="59" a="1"/>
  <c r="L827" i="59" s="1"/>
  <c r="Q827" i="59" a="1"/>
  <c r="Q827" i="59" s="1"/>
  <c r="O827" i="59" a="1"/>
  <c r="O827" i="59" s="1"/>
  <c r="P827" i="59" a="1"/>
  <c r="P827" i="59" s="1"/>
  <c r="M827" i="59" a="1"/>
  <c r="M827" i="59" s="1"/>
  <c r="N827" i="59" a="1"/>
  <c r="N827" i="59" s="1"/>
  <c r="L763" i="59" a="1"/>
  <c r="L763" i="59" s="1"/>
  <c r="Q763" i="59" a="1"/>
  <c r="Q763" i="59" s="1"/>
  <c r="O763" i="59" a="1"/>
  <c r="O763" i="59" s="1"/>
  <c r="M763" i="59" a="1"/>
  <c r="M763" i="59" s="1"/>
  <c r="P763" i="59" a="1"/>
  <c r="P763" i="59" s="1"/>
  <c r="N763" i="59" a="1"/>
  <c r="N763" i="59" s="1"/>
  <c r="M623" i="59" a="1"/>
  <c r="M623" i="59" s="1"/>
  <c r="N623" i="59" a="1"/>
  <c r="N623" i="59" s="1"/>
  <c r="Q623" i="59" a="1"/>
  <c r="Q623" i="59" s="1"/>
  <c r="O623" i="59" a="1"/>
  <c r="O623" i="59" s="1"/>
  <c r="P623" i="59" a="1"/>
  <c r="P623" i="59" s="1"/>
  <c r="L623" i="59" a="1"/>
  <c r="L623" i="59" s="1"/>
  <c r="M854" i="59" a="1"/>
  <c r="M854" i="59" s="1"/>
  <c r="O854" i="59" a="1"/>
  <c r="O854" i="59" s="1"/>
  <c r="Q854" i="59" a="1"/>
  <c r="Q854" i="59" s="1"/>
  <c r="P854" i="59" a="1"/>
  <c r="P854" i="59" s="1"/>
  <c r="L854" i="59" a="1"/>
  <c r="L854" i="59" s="1"/>
  <c r="N854" i="59" a="1"/>
  <c r="N854" i="59" s="1"/>
  <c r="O790" i="59" a="1"/>
  <c r="O790" i="59" s="1"/>
  <c r="M790" i="59" a="1"/>
  <c r="M790" i="59" s="1"/>
  <c r="L790" i="59" a="1"/>
  <c r="L790" i="59" s="1"/>
  <c r="Q790" i="59" a="1"/>
  <c r="Q790" i="59" s="1"/>
  <c r="P790" i="59" a="1"/>
  <c r="P790" i="59" s="1"/>
  <c r="N790" i="59" a="1"/>
  <c r="N790" i="59" s="1"/>
  <c r="O739" i="59" a="1"/>
  <c r="O739" i="59" s="1"/>
  <c r="L739" i="59" a="1"/>
  <c r="L739" i="59" s="1"/>
  <c r="M739" i="59" a="1"/>
  <c r="M739" i="59" s="1"/>
  <c r="N739" i="59" a="1"/>
  <c r="N739" i="59" s="1"/>
  <c r="P739" i="59" a="1"/>
  <c r="P739" i="59" s="1"/>
  <c r="Q739" i="59" a="1"/>
  <c r="Q739" i="59" s="1"/>
  <c r="Q825" i="59" a="1"/>
  <c r="Q825" i="59" s="1"/>
  <c r="M825" i="59" a="1"/>
  <c r="M825" i="59" s="1"/>
  <c r="N825" i="59" a="1"/>
  <c r="N825" i="59" s="1"/>
  <c r="L825" i="59" a="1"/>
  <c r="L825" i="59" s="1"/>
  <c r="P825" i="59" a="1"/>
  <c r="P825" i="59" s="1"/>
  <c r="O825" i="59" a="1"/>
  <c r="O825" i="59" s="1"/>
  <c r="P761" i="59" a="1"/>
  <c r="P761" i="59" s="1"/>
  <c r="Q761" i="59" a="1"/>
  <c r="Q761" i="59" s="1"/>
  <c r="L761" i="59" a="1"/>
  <c r="L761" i="59" s="1"/>
  <c r="O761" i="59" a="1"/>
  <c r="O761" i="59" s="1"/>
  <c r="N761" i="59" a="1"/>
  <c r="N761" i="59" s="1"/>
  <c r="M761" i="59" a="1"/>
  <c r="M761" i="59" s="1"/>
  <c r="N615" i="59" a="1"/>
  <c r="N615" i="59" s="1"/>
  <c r="O615" i="59" a="1"/>
  <c r="O615" i="59" s="1"/>
  <c r="M615" i="59" a="1"/>
  <c r="M615" i="59" s="1"/>
  <c r="Q615" i="59" a="1"/>
  <c r="Q615" i="59" s="1"/>
  <c r="P615" i="59" a="1"/>
  <c r="P615" i="59" s="1"/>
  <c r="L615" i="59" a="1"/>
  <c r="L615" i="59" s="1"/>
  <c r="Q690" i="59" a="1"/>
  <c r="Q690" i="59" s="1"/>
  <c r="O690" i="59" a="1"/>
  <c r="O690" i="59" s="1"/>
  <c r="M690" i="59" a="1"/>
  <c r="M690" i="59" s="1"/>
  <c r="N690" i="59" a="1"/>
  <c r="N690" i="59" s="1"/>
  <c r="L690" i="59" a="1"/>
  <c r="L690" i="59" s="1"/>
  <c r="P690" i="59" a="1"/>
  <c r="P690" i="59" s="1"/>
  <c r="Q626" i="59" a="1"/>
  <c r="Q626" i="59" s="1"/>
  <c r="O626" i="59" a="1"/>
  <c r="O626" i="59" s="1"/>
  <c r="N626" i="59" a="1"/>
  <c r="N626" i="59" s="1"/>
  <c r="M626" i="59" a="1"/>
  <c r="M626" i="59" s="1"/>
  <c r="L626" i="59" a="1"/>
  <c r="L626" i="59" s="1"/>
  <c r="P626" i="59" a="1"/>
  <c r="P626" i="59" s="1"/>
  <c r="L725" i="59" a="1"/>
  <c r="L725" i="59" s="1"/>
  <c r="O725" i="59" a="1"/>
  <c r="O725" i="59" s="1"/>
  <c r="P725" i="59" a="1"/>
  <c r="P725" i="59" s="1"/>
  <c r="N725" i="59" a="1"/>
  <c r="N725" i="59" s="1"/>
  <c r="Q725" i="59" a="1"/>
  <c r="Q725" i="59" s="1"/>
  <c r="M725" i="59" a="1"/>
  <c r="M725" i="59" s="1"/>
  <c r="O661" i="59" a="1"/>
  <c r="O661" i="59" s="1"/>
  <c r="L661" i="59" a="1"/>
  <c r="L661" i="59" s="1"/>
  <c r="P661" i="59" a="1"/>
  <c r="P661" i="59" s="1"/>
  <c r="Q661" i="59" a="1"/>
  <c r="Q661" i="59" s="1"/>
  <c r="N661" i="59" a="1"/>
  <c r="N661" i="59" s="1"/>
  <c r="M661" i="59" a="1"/>
  <c r="M661" i="59" s="1"/>
  <c r="P585" i="59" a="1"/>
  <c r="P585" i="59" s="1"/>
  <c r="N585" i="59" a="1"/>
  <c r="N585" i="59" s="1"/>
  <c r="L585" i="59" a="1"/>
  <c r="L585" i="59" s="1"/>
  <c r="Q585" i="59" a="1"/>
  <c r="Q585" i="59" s="1"/>
  <c r="O585" i="59" a="1"/>
  <c r="O585" i="59" s="1"/>
  <c r="M585" i="59" a="1"/>
  <c r="M585" i="59" s="1"/>
  <c r="L712" i="59" a="1"/>
  <c r="L712" i="59" s="1"/>
  <c r="P712" i="59" a="1"/>
  <c r="P712" i="59" s="1"/>
  <c r="O712" i="59" a="1"/>
  <c r="O712" i="59" s="1"/>
  <c r="Q712" i="59" a="1"/>
  <c r="Q712" i="59" s="1"/>
  <c r="M712" i="59" a="1"/>
  <c r="M712" i="59" s="1"/>
  <c r="N712" i="59" a="1"/>
  <c r="N712" i="59" s="1"/>
  <c r="N648" i="59" a="1"/>
  <c r="N648" i="59" s="1"/>
  <c r="O648" i="59" a="1"/>
  <c r="O648" i="59" s="1"/>
  <c r="L648" i="59" a="1"/>
  <c r="L648" i="59" s="1"/>
  <c r="P648" i="59" a="1"/>
  <c r="P648" i="59" s="1"/>
  <c r="M648" i="59" a="1"/>
  <c r="M648" i="59" s="1"/>
  <c r="Q648" i="59" a="1"/>
  <c r="Q648" i="59" s="1"/>
  <c r="M564" i="59" a="1"/>
  <c r="M564" i="59" s="1"/>
  <c r="Q564" i="59" a="1"/>
  <c r="Q564" i="59" s="1"/>
  <c r="N564" i="59" a="1"/>
  <c r="N564" i="59" s="1"/>
  <c r="P564" i="59" a="1"/>
  <c r="P564" i="59" s="1"/>
  <c r="O564" i="59" a="1"/>
  <c r="O564" i="59" s="1"/>
  <c r="L564" i="59" a="1"/>
  <c r="L564" i="59" s="1"/>
  <c r="L635" i="59" a="1"/>
  <c r="L635" i="59" s="1"/>
  <c r="P635" i="59" a="1"/>
  <c r="P635" i="59" s="1"/>
  <c r="Q635" i="59" a="1"/>
  <c r="Q635" i="59" s="1"/>
  <c r="O635" i="59" a="1"/>
  <c r="O635" i="59" s="1"/>
  <c r="M635" i="59" a="1"/>
  <c r="M635" i="59" s="1"/>
  <c r="N635" i="59" a="1"/>
  <c r="N635" i="59" s="1"/>
  <c r="L513" i="59" a="1"/>
  <c r="L513" i="59" s="1"/>
  <c r="M513" i="59" a="1"/>
  <c r="M513" i="59" s="1"/>
  <c r="Q513" i="59" a="1"/>
  <c r="Q513" i="59" s="1"/>
  <c r="N513" i="59" a="1"/>
  <c r="N513" i="59" s="1"/>
  <c r="P513" i="59" a="1"/>
  <c r="P513" i="59" s="1"/>
  <c r="O513" i="59" a="1"/>
  <c r="O513" i="59" s="1"/>
  <c r="O678" i="59" a="1"/>
  <c r="O678" i="59" s="1"/>
  <c r="M678" i="59" a="1"/>
  <c r="M678" i="59" s="1"/>
  <c r="Q678" i="59" a="1"/>
  <c r="Q678" i="59" s="1"/>
  <c r="L678" i="59" a="1"/>
  <c r="L678" i="59" s="1"/>
  <c r="P678" i="59" a="1"/>
  <c r="P678" i="59" s="1"/>
  <c r="N678" i="59" a="1"/>
  <c r="N678" i="59" s="1"/>
  <c r="L614" i="59" a="1"/>
  <c r="L614" i="59" s="1"/>
  <c r="P614" i="59" a="1"/>
  <c r="P614" i="59" s="1"/>
  <c r="M614" i="59" a="1"/>
  <c r="M614" i="59" s="1"/>
  <c r="Q614" i="59" a="1"/>
  <c r="Q614" i="59" s="1"/>
  <c r="O614" i="59" a="1"/>
  <c r="O614" i="59" s="1"/>
  <c r="N614" i="59" a="1"/>
  <c r="N614" i="59" s="1"/>
  <c r="M657" i="59" a="1"/>
  <c r="M657" i="59" s="1"/>
  <c r="Q657" i="59" a="1"/>
  <c r="Q657" i="59" s="1"/>
  <c r="N657" i="59" a="1"/>
  <c r="N657" i="59" s="1"/>
  <c r="L657" i="59" a="1"/>
  <c r="L657" i="59" s="1"/>
  <c r="P657" i="59" a="1"/>
  <c r="P657" i="59" s="1"/>
  <c r="O657" i="59" a="1"/>
  <c r="O657" i="59" s="1"/>
  <c r="O577" i="59" a="1"/>
  <c r="O577" i="59" s="1"/>
  <c r="P577" i="59" a="1"/>
  <c r="P577" i="59" s="1"/>
  <c r="Q577" i="59" a="1"/>
  <c r="Q577" i="59" s="1"/>
  <c r="L577" i="59" a="1"/>
  <c r="L577" i="59" s="1"/>
  <c r="M577" i="59" a="1"/>
  <c r="M577" i="59" s="1"/>
  <c r="N577" i="59" a="1"/>
  <c r="N577" i="59" s="1"/>
  <c r="N583" i="59" a="1"/>
  <c r="N583" i="59" s="1"/>
  <c r="O583" i="59" a="1"/>
  <c r="O583" i="59" s="1"/>
  <c r="P583" i="59" a="1"/>
  <c r="P583" i="59" s="1"/>
  <c r="Q583" i="59" a="1"/>
  <c r="Q583" i="59" s="1"/>
  <c r="M583" i="59" a="1"/>
  <c r="M583" i="59" s="1"/>
  <c r="L583" i="59" a="1"/>
  <c r="L583" i="59" s="1"/>
  <c r="N508" i="59" a="1"/>
  <c r="N508" i="59" s="1"/>
  <c r="P508" i="59" a="1"/>
  <c r="P508" i="59" s="1"/>
  <c r="O508" i="59" a="1"/>
  <c r="O508" i="59" s="1"/>
  <c r="Q508" i="59" a="1"/>
  <c r="Q508" i="59" s="1"/>
  <c r="M508" i="59" a="1"/>
  <c r="M508" i="59" s="1"/>
  <c r="L508" i="59" a="1"/>
  <c r="L508" i="59" s="1"/>
  <c r="O562" i="59" a="1"/>
  <c r="O562" i="59" s="1"/>
  <c r="N562" i="59" a="1"/>
  <c r="N562" i="59" s="1"/>
  <c r="Q562" i="59" a="1"/>
  <c r="Q562" i="59" s="1"/>
  <c r="P562" i="59" a="1"/>
  <c r="P562" i="59" s="1"/>
  <c r="M562" i="59" a="1"/>
  <c r="M562" i="59" s="1"/>
  <c r="L562" i="59" a="1"/>
  <c r="L562" i="59" s="1"/>
  <c r="Q354" i="59" a="1"/>
  <c r="Q354" i="59" s="1"/>
  <c r="L354" i="59" a="1"/>
  <c r="L354" i="59" s="1"/>
  <c r="M354" i="59" a="1"/>
  <c r="M354" i="59" s="1"/>
  <c r="O354" i="59" a="1"/>
  <c r="O354" i="59" s="1"/>
  <c r="N354" i="59" a="1"/>
  <c r="N354" i="59" s="1"/>
  <c r="P354" i="59" a="1"/>
  <c r="P354" i="59" s="1"/>
  <c r="L549" i="59" a="1"/>
  <c r="L549" i="59" s="1"/>
  <c r="M549" i="59" a="1"/>
  <c r="M549" i="59" s="1"/>
  <c r="P549" i="59" a="1"/>
  <c r="P549" i="59" s="1"/>
  <c r="N549" i="59" a="1"/>
  <c r="N549" i="59" s="1"/>
  <c r="O549" i="59" a="1"/>
  <c r="O549" i="59" s="1"/>
  <c r="Q549" i="59" a="1"/>
  <c r="Q549" i="59" s="1"/>
  <c r="M489" i="59" a="1"/>
  <c r="M489" i="59" s="1"/>
  <c r="N489" i="59" a="1"/>
  <c r="N489" i="59" s="1"/>
  <c r="P489" i="59" a="1"/>
  <c r="P489" i="59" s="1"/>
  <c r="Q489" i="59" a="1"/>
  <c r="Q489" i="59" s="1"/>
  <c r="L489" i="59" a="1"/>
  <c r="L489" i="59" s="1"/>
  <c r="O489" i="59" a="1"/>
  <c r="O489" i="59" s="1"/>
  <c r="M555" i="59" a="1"/>
  <c r="M555" i="59" s="1"/>
  <c r="O555" i="59" a="1"/>
  <c r="O555" i="59" s="1"/>
  <c r="N555" i="59" a="1"/>
  <c r="N555" i="59" s="1"/>
  <c r="Q555" i="59" a="1"/>
  <c r="Q555" i="59" s="1"/>
  <c r="L555" i="59" a="1"/>
  <c r="L555" i="59" s="1"/>
  <c r="P555" i="59" a="1"/>
  <c r="P555" i="59" s="1"/>
  <c r="M517" i="59" a="1"/>
  <c r="M517" i="59" s="1"/>
  <c r="Q517" i="59" a="1"/>
  <c r="Q517" i="59" s="1"/>
  <c r="O517" i="59" a="1"/>
  <c r="O517" i="59" s="1"/>
  <c r="L517" i="59" a="1"/>
  <c r="L517" i="59" s="1"/>
  <c r="P517" i="59" a="1"/>
  <c r="P517" i="59" s="1"/>
  <c r="N517" i="59" a="1"/>
  <c r="N517" i="59" s="1"/>
  <c r="N518" i="59" a="1"/>
  <c r="N518" i="59" s="1"/>
  <c r="M518" i="59" a="1"/>
  <c r="M518" i="59" s="1"/>
  <c r="P518" i="59" a="1"/>
  <c r="P518" i="59" s="1"/>
  <c r="O518" i="59" a="1"/>
  <c r="O518" i="59" s="1"/>
  <c r="L518" i="59" a="1"/>
  <c r="L518" i="59" s="1"/>
  <c r="Q518" i="59" a="1"/>
  <c r="Q518" i="59" s="1"/>
  <c r="O433" i="59" a="1"/>
  <c r="O433" i="59" s="1"/>
  <c r="M433" i="59" a="1"/>
  <c r="M433" i="59" s="1"/>
  <c r="Q433" i="59" a="1"/>
  <c r="Q433" i="59" s="1"/>
  <c r="L433" i="59" a="1"/>
  <c r="L433" i="59" s="1"/>
  <c r="N433" i="59" a="1"/>
  <c r="N433" i="59" s="1"/>
  <c r="P433" i="59" a="1"/>
  <c r="P433" i="59" s="1"/>
  <c r="N495" i="59" a="1"/>
  <c r="N495" i="59" s="1"/>
  <c r="L495" i="59" a="1"/>
  <c r="L495" i="59" s="1"/>
  <c r="P495" i="59" a="1"/>
  <c r="P495" i="59" s="1"/>
  <c r="O495" i="59" a="1"/>
  <c r="O495" i="59" s="1"/>
  <c r="M495" i="59" a="1"/>
  <c r="M495" i="59" s="1"/>
  <c r="Q495" i="59" a="1"/>
  <c r="Q495" i="59" s="1"/>
  <c r="L538" i="59" a="1"/>
  <c r="L538" i="59" s="1"/>
  <c r="P538" i="59" a="1"/>
  <c r="P538" i="59" s="1"/>
  <c r="N538" i="59" a="1"/>
  <c r="N538" i="59" s="1"/>
  <c r="M538" i="59" a="1"/>
  <c r="M538" i="59" s="1"/>
  <c r="O538" i="59" a="1"/>
  <c r="O538" i="59" s="1"/>
  <c r="Q538" i="59" a="1"/>
  <c r="Q538" i="59" s="1"/>
  <c r="Q457" i="59" a="1"/>
  <c r="Q457" i="59" s="1"/>
  <c r="O457" i="59" a="1"/>
  <c r="O457" i="59" s="1"/>
  <c r="M457" i="59" a="1"/>
  <c r="M457" i="59" s="1"/>
  <c r="P457" i="59" a="1"/>
  <c r="P457" i="59" s="1"/>
  <c r="L457" i="59" a="1"/>
  <c r="L457" i="59" s="1"/>
  <c r="N457" i="59" a="1"/>
  <c r="N457" i="59" s="1"/>
  <c r="M536" i="59" a="1"/>
  <c r="M536" i="59" s="1"/>
  <c r="Q536" i="59" a="1"/>
  <c r="Q536" i="59" s="1"/>
  <c r="N536" i="59" a="1"/>
  <c r="N536" i="59" s="1"/>
  <c r="O536" i="59" a="1"/>
  <c r="O536" i="59" s="1"/>
  <c r="P536" i="59" a="1"/>
  <c r="P536" i="59" s="1"/>
  <c r="L536" i="59" a="1"/>
  <c r="L536" i="59" s="1"/>
  <c r="P459" i="59" a="1"/>
  <c r="P459" i="59" s="1"/>
  <c r="M459" i="59" a="1"/>
  <c r="M459" i="59" s="1"/>
  <c r="O459" i="59" a="1"/>
  <c r="O459" i="59" s="1"/>
  <c r="N459" i="59" a="1"/>
  <c r="N459" i="59" s="1"/>
  <c r="L459" i="59" a="1"/>
  <c r="L459" i="59" s="1"/>
  <c r="Q459" i="59" a="1"/>
  <c r="Q459" i="59" s="1"/>
  <c r="N476" i="59" a="1"/>
  <c r="N476" i="59" s="1"/>
  <c r="P476" i="59" a="1"/>
  <c r="P476" i="59" s="1"/>
  <c r="L476" i="59" a="1"/>
  <c r="L476" i="59" s="1"/>
  <c r="O476" i="59" a="1"/>
  <c r="O476" i="59" s="1"/>
  <c r="M476" i="59" a="1"/>
  <c r="M476" i="59" s="1"/>
  <c r="Q476" i="59" a="1"/>
  <c r="Q476" i="59" s="1"/>
  <c r="L404" i="59" a="1"/>
  <c r="L404" i="59" s="1"/>
  <c r="P404" i="59" a="1"/>
  <c r="P404" i="59" s="1"/>
  <c r="Q404" i="59" a="1"/>
  <c r="Q404" i="59" s="1"/>
  <c r="M404" i="59" a="1"/>
  <c r="M404" i="59" s="1"/>
  <c r="N404" i="59" a="1"/>
  <c r="N404" i="59" s="1"/>
  <c r="O404" i="59" a="1"/>
  <c r="O404" i="59" s="1"/>
  <c r="L455" i="59" a="1"/>
  <c r="L455" i="59" s="1"/>
  <c r="P455" i="59" a="1"/>
  <c r="P455" i="59" s="1"/>
  <c r="N455" i="59" a="1"/>
  <c r="N455" i="59" s="1"/>
  <c r="M455" i="59" a="1"/>
  <c r="M455" i="59" s="1"/>
  <c r="O455" i="59" a="1"/>
  <c r="O455" i="59" s="1"/>
  <c r="Q455" i="59" a="1"/>
  <c r="Q455" i="59" s="1"/>
  <c r="P343" i="59" a="1"/>
  <c r="P343" i="59" s="1"/>
  <c r="M343" i="59" a="1"/>
  <c r="M343" i="59" s="1"/>
  <c r="L343" i="59" a="1"/>
  <c r="L343" i="59" s="1"/>
  <c r="Q343" i="59" a="1"/>
  <c r="Q343" i="59" s="1"/>
  <c r="O343" i="59" a="1"/>
  <c r="O343" i="59" s="1"/>
  <c r="N343" i="59" a="1"/>
  <c r="N343" i="59" s="1"/>
  <c r="M453" i="59" a="1"/>
  <c r="M453" i="59" s="1"/>
  <c r="Q453" i="59" a="1"/>
  <c r="Q453" i="59" s="1"/>
  <c r="O453" i="59" a="1"/>
  <c r="O453" i="59" s="1"/>
  <c r="L453" i="59" a="1"/>
  <c r="L453" i="59" s="1"/>
  <c r="N453" i="59" a="1"/>
  <c r="N453" i="59" s="1"/>
  <c r="P453" i="59" a="1"/>
  <c r="P453" i="59" s="1"/>
  <c r="M335" i="59" a="1"/>
  <c r="M335" i="59" s="1"/>
  <c r="L335" i="59" a="1"/>
  <c r="L335" i="59" s="1"/>
  <c r="Q335" i="59" a="1"/>
  <c r="Q335" i="59" s="1"/>
  <c r="P335" i="59" a="1"/>
  <c r="P335" i="59" s="1"/>
  <c r="O335" i="59" a="1"/>
  <c r="O335" i="59" s="1"/>
  <c r="N335" i="59" a="1"/>
  <c r="N335" i="59" s="1"/>
  <c r="Q448" i="59" a="1"/>
  <c r="Q448" i="59" s="1"/>
  <c r="N448" i="59" a="1"/>
  <c r="N448" i="59" s="1"/>
  <c r="O448" i="59" a="1"/>
  <c r="O448" i="59" s="1"/>
  <c r="L448" i="59" a="1"/>
  <c r="L448" i="59" s="1"/>
  <c r="P448" i="59" a="1"/>
  <c r="P448" i="59" s="1"/>
  <c r="M448" i="59" a="1"/>
  <c r="M448" i="59" s="1"/>
  <c r="L375" i="59" a="1"/>
  <c r="L375" i="59" s="1"/>
  <c r="P375" i="59" a="1"/>
  <c r="P375" i="59" s="1"/>
  <c r="N375" i="59" a="1"/>
  <c r="N375" i="59" s="1"/>
  <c r="M375" i="59" a="1"/>
  <c r="M375" i="59" s="1"/>
  <c r="Q375" i="59" a="1"/>
  <c r="Q375" i="59" s="1"/>
  <c r="O375" i="59" a="1"/>
  <c r="O375" i="59" s="1"/>
  <c r="O381" i="59" a="1"/>
  <c r="O381" i="59" s="1"/>
  <c r="M381" i="59" a="1"/>
  <c r="M381" i="59" s="1"/>
  <c r="N381" i="59" a="1"/>
  <c r="N381" i="59" s="1"/>
  <c r="Q381" i="59" a="1"/>
  <c r="Q381" i="59" s="1"/>
  <c r="L381" i="59" a="1"/>
  <c r="L381" i="59" s="1"/>
  <c r="P381" i="59" a="1"/>
  <c r="P381" i="59" s="1"/>
  <c r="N424" i="59" a="1"/>
  <c r="N424" i="59" s="1"/>
  <c r="L424" i="59" a="1"/>
  <c r="L424" i="59" s="1"/>
  <c r="P424" i="59" a="1"/>
  <c r="P424" i="59" s="1"/>
  <c r="M424" i="59" a="1"/>
  <c r="M424" i="59" s="1"/>
  <c r="O424" i="59" a="1"/>
  <c r="O424" i="59" s="1"/>
  <c r="Q424" i="59" a="1"/>
  <c r="Q424" i="59" s="1"/>
  <c r="L361" i="59" a="1"/>
  <c r="L361" i="59" s="1"/>
  <c r="O361" i="59" a="1"/>
  <c r="O361" i="59" s="1"/>
  <c r="P361" i="59" a="1"/>
  <c r="P361" i="59" s="1"/>
  <c r="M361" i="59" a="1"/>
  <c r="M361" i="59" s="1"/>
  <c r="Q361" i="59" a="1"/>
  <c r="Q361" i="59" s="1"/>
  <c r="N361" i="59" a="1"/>
  <c r="N361" i="59" s="1"/>
  <c r="O422" i="59" a="1"/>
  <c r="O422" i="59" s="1"/>
  <c r="M422" i="59" a="1"/>
  <c r="M422" i="59" s="1"/>
  <c r="Q422" i="59" a="1"/>
  <c r="Q422" i="59" s="1"/>
  <c r="P422" i="59" a="1"/>
  <c r="P422" i="59" s="1"/>
  <c r="L422" i="59" a="1"/>
  <c r="L422" i="59" s="1"/>
  <c r="N422" i="59" a="1"/>
  <c r="N422" i="59" s="1"/>
  <c r="N346" i="59" a="1"/>
  <c r="N346" i="59" s="1"/>
  <c r="P346" i="59" a="1"/>
  <c r="P346" i="59" s="1"/>
  <c r="Q346" i="59" a="1"/>
  <c r="Q346" i="59" s="1"/>
  <c r="M346" i="59" a="1"/>
  <c r="M346" i="59" s="1"/>
  <c r="O346" i="59" a="1"/>
  <c r="O346" i="59" s="1"/>
  <c r="L346" i="59" a="1"/>
  <c r="L346" i="59" s="1"/>
  <c r="Q401" i="59" a="1"/>
  <c r="Q401" i="59" s="1"/>
  <c r="M401" i="59" a="1"/>
  <c r="M401" i="59" s="1"/>
  <c r="L401" i="59" a="1"/>
  <c r="L401" i="59" s="1"/>
  <c r="P401" i="59" a="1"/>
  <c r="P401" i="59" s="1"/>
  <c r="O401" i="59" a="1"/>
  <c r="O401" i="59" s="1"/>
  <c r="N401" i="59" a="1"/>
  <c r="N401" i="59" s="1"/>
  <c r="M309" i="59" a="1"/>
  <c r="M309" i="59" s="1"/>
  <c r="N309" i="59" a="1"/>
  <c r="N309" i="59" s="1"/>
  <c r="Q309" i="59" a="1"/>
  <c r="Q309" i="59" s="1"/>
  <c r="O309" i="59" a="1"/>
  <c r="O309" i="59" s="1"/>
  <c r="L309" i="59" a="1"/>
  <c r="L309" i="59" s="1"/>
  <c r="P309" i="59" a="1"/>
  <c r="P309" i="59" s="1"/>
  <c r="O328" i="59" a="1"/>
  <c r="O328" i="59" s="1"/>
  <c r="P328" i="59" a="1"/>
  <c r="P328" i="59" s="1"/>
  <c r="Q328" i="59" a="1"/>
  <c r="Q328" i="59" s="1"/>
  <c r="L328" i="59" a="1"/>
  <c r="L328" i="59" s="1"/>
  <c r="M328" i="59" a="1"/>
  <c r="M328" i="59" s="1"/>
  <c r="N328" i="59" a="1"/>
  <c r="N328" i="59" s="1"/>
  <c r="Q243" i="59" a="1"/>
  <c r="Q243" i="59" s="1"/>
  <c r="N243" i="59" a="1"/>
  <c r="N243" i="59" s="1"/>
  <c r="P243" i="59" a="1"/>
  <c r="P243" i="59" s="1"/>
  <c r="M243" i="59" a="1"/>
  <c r="M243" i="59" s="1"/>
  <c r="O243" i="59" a="1"/>
  <c r="O243" i="59" s="1"/>
  <c r="L243" i="59" a="1"/>
  <c r="L243" i="59" s="1"/>
  <c r="N307" i="59" a="1"/>
  <c r="N307" i="59" s="1"/>
  <c r="O307" i="59" a="1"/>
  <c r="O307" i="59" s="1"/>
  <c r="L307" i="59" a="1"/>
  <c r="L307" i="59" s="1"/>
  <c r="P307" i="59" a="1"/>
  <c r="P307" i="59" s="1"/>
  <c r="Q307" i="59" a="1"/>
  <c r="Q307" i="59" s="1"/>
  <c r="M307" i="59" a="1"/>
  <c r="M307" i="59" s="1"/>
  <c r="L350" i="59" a="1"/>
  <c r="L350" i="59" s="1"/>
  <c r="M350" i="59" a="1"/>
  <c r="M350" i="59" s="1"/>
  <c r="P350" i="59" a="1"/>
  <c r="P350" i="59" s="1"/>
  <c r="Q350" i="59" a="1"/>
  <c r="Q350" i="59" s="1"/>
  <c r="N350" i="59" a="1"/>
  <c r="N350" i="59" s="1"/>
  <c r="O350" i="59" a="1"/>
  <c r="O350" i="59" s="1"/>
  <c r="L286" i="59" a="1"/>
  <c r="L286" i="59" s="1"/>
  <c r="O286" i="59" a="1"/>
  <c r="O286" i="59" s="1"/>
  <c r="P286" i="59" a="1"/>
  <c r="P286" i="59" s="1"/>
  <c r="N286" i="59" a="1"/>
  <c r="N286" i="59" s="1"/>
  <c r="Q286" i="59" a="1"/>
  <c r="Q286" i="59" s="1"/>
  <c r="M286" i="59" a="1"/>
  <c r="M286" i="59" s="1"/>
  <c r="M250" i="59" a="1"/>
  <c r="M250" i="59" s="1"/>
  <c r="Q250" i="59" a="1"/>
  <c r="Q250" i="59" s="1"/>
  <c r="N250" i="59" a="1"/>
  <c r="N250" i="59" s="1"/>
  <c r="O250" i="59" a="1"/>
  <c r="O250" i="59" s="1"/>
  <c r="L250" i="59" a="1"/>
  <c r="L250" i="59" s="1"/>
  <c r="P250" i="59" a="1"/>
  <c r="P250" i="59" s="1"/>
  <c r="M308" i="59" a="1"/>
  <c r="M308" i="59" s="1"/>
  <c r="Q308" i="59" a="1"/>
  <c r="Q308" i="59" s="1"/>
  <c r="L308" i="59" a="1"/>
  <c r="L308" i="59" s="1"/>
  <c r="P308" i="59" a="1"/>
  <c r="P308" i="59" s="1"/>
  <c r="N308" i="59" a="1"/>
  <c r="N308" i="59" s="1"/>
  <c r="O308" i="59" a="1"/>
  <c r="O308" i="59" s="1"/>
  <c r="P279" i="59" a="1"/>
  <c r="P279" i="59" s="1"/>
  <c r="M279" i="59" a="1"/>
  <c r="M279" i="59" s="1"/>
  <c r="O279" i="59" a="1"/>
  <c r="O279" i="59" s="1"/>
  <c r="L279" i="59" a="1"/>
  <c r="L279" i="59" s="1"/>
  <c r="Q279" i="59" a="1"/>
  <c r="Q279" i="59" s="1"/>
  <c r="N279" i="59" a="1"/>
  <c r="N279" i="59" s="1"/>
  <c r="N195" i="59" a="1"/>
  <c r="N195" i="59" s="1"/>
  <c r="O195" i="59" a="1"/>
  <c r="O195" i="59" s="1"/>
  <c r="M195" i="59" a="1"/>
  <c r="M195" i="59" s="1"/>
  <c r="P195" i="59" a="1"/>
  <c r="P195" i="59" s="1"/>
  <c r="Q195" i="59" a="1"/>
  <c r="Q195" i="59" s="1"/>
  <c r="L195" i="59" a="1"/>
  <c r="L195" i="59" s="1"/>
  <c r="M275" i="59" a="1"/>
  <c r="M275" i="59" s="1"/>
  <c r="L275" i="59" a="1"/>
  <c r="L275" i="59" s="1"/>
  <c r="O275" i="59" a="1"/>
  <c r="O275" i="59" s="1"/>
  <c r="P275" i="59" a="1"/>
  <c r="P275" i="59" s="1"/>
  <c r="N275" i="59" a="1"/>
  <c r="N275" i="59" s="1"/>
  <c r="Q275" i="59" a="1"/>
  <c r="Q275" i="59" s="1"/>
  <c r="N254" i="59" a="1"/>
  <c r="N254" i="59" s="1"/>
  <c r="O254" i="59" a="1"/>
  <c r="O254" i="59" s="1"/>
  <c r="L254" i="59" a="1"/>
  <c r="L254" i="59" s="1"/>
  <c r="M254" i="59" a="1"/>
  <c r="M254" i="59" s="1"/>
  <c r="P254" i="59" a="1"/>
  <c r="P254" i="59" s="1"/>
  <c r="Q254" i="59" a="1"/>
  <c r="Q254" i="59" s="1"/>
  <c r="Q247" i="59" a="1"/>
  <c r="Q247" i="59" s="1"/>
  <c r="N247" i="59" a="1"/>
  <c r="N247" i="59" s="1"/>
  <c r="O247" i="59" a="1"/>
  <c r="O247" i="59" s="1"/>
  <c r="L247" i="59" a="1"/>
  <c r="L247" i="59" s="1"/>
  <c r="P247" i="59" a="1"/>
  <c r="P247" i="59" s="1"/>
  <c r="M247" i="59" a="1"/>
  <c r="M247" i="59" s="1"/>
  <c r="N221" i="59" a="1"/>
  <c r="N221" i="59" s="1"/>
  <c r="P221" i="59" a="1"/>
  <c r="P221" i="59" s="1"/>
  <c r="M221" i="59" a="1"/>
  <c r="M221" i="59" s="1"/>
  <c r="Q221" i="59" a="1"/>
  <c r="Q221" i="59" s="1"/>
  <c r="L221" i="59" a="1"/>
  <c r="L221" i="59" s="1"/>
  <c r="O221" i="59" a="1"/>
  <c r="O221" i="59" s="1"/>
  <c r="P216" i="59" a="1"/>
  <c r="P216" i="59" s="1"/>
  <c r="O216" i="59" a="1"/>
  <c r="O216" i="59" s="1"/>
  <c r="N216" i="59" a="1"/>
  <c r="N216" i="59" s="1"/>
  <c r="M216" i="59" a="1"/>
  <c r="M216" i="59" s="1"/>
  <c r="Q216" i="59" a="1"/>
  <c r="Q216" i="59" s="1"/>
  <c r="L216" i="59" a="1"/>
  <c r="L216" i="59" s="1"/>
  <c r="M194" i="59" a="1"/>
  <c r="M194" i="59" s="1"/>
  <c r="O194" i="59" a="1"/>
  <c r="O194" i="59" s="1"/>
  <c r="L194" i="59" a="1"/>
  <c r="L194" i="59" s="1"/>
  <c r="Q194" i="59" a="1"/>
  <c r="Q194" i="59" s="1"/>
  <c r="P194" i="59" a="1"/>
  <c r="P194" i="59" s="1"/>
  <c r="N194" i="59" a="1"/>
  <c r="N194" i="59" s="1"/>
  <c r="O176" i="59" a="1"/>
  <c r="O176" i="59" s="1"/>
  <c r="M176" i="59" a="1"/>
  <c r="M176" i="59" s="1"/>
  <c r="L176" i="59" a="1"/>
  <c r="L176" i="59" s="1"/>
  <c r="P176" i="59" a="1"/>
  <c r="P176" i="59" s="1"/>
  <c r="Q176" i="59" a="1"/>
  <c r="Q176" i="59" s="1"/>
  <c r="N176" i="59" a="1"/>
  <c r="N176" i="59" s="1"/>
  <c r="M174" i="59" a="1"/>
  <c r="M174" i="59" s="1"/>
  <c r="L174" i="59" a="1"/>
  <c r="L174" i="59" s="1"/>
  <c r="P174" i="59" a="1"/>
  <c r="P174" i="59" s="1"/>
  <c r="N174" i="59" a="1"/>
  <c r="N174" i="59" s="1"/>
  <c r="Q174" i="59" a="1"/>
  <c r="Q174" i="59" s="1"/>
  <c r="O174" i="59" a="1"/>
  <c r="O174" i="59" s="1"/>
  <c r="Q202" i="59" a="1"/>
  <c r="Q202" i="59" s="1"/>
  <c r="L202" i="59" a="1"/>
  <c r="L202" i="59" s="1"/>
  <c r="N202" i="59" a="1"/>
  <c r="N202" i="59" s="1"/>
  <c r="M202" i="59" a="1"/>
  <c r="M202" i="59" s="1"/>
  <c r="P202" i="59" a="1"/>
  <c r="P202" i="59" s="1"/>
  <c r="O202" i="59" a="1"/>
  <c r="O202" i="59" s="1"/>
  <c r="M193" i="59" a="1"/>
  <c r="M193" i="59" s="1"/>
  <c r="Q193" i="59" a="1"/>
  <c r="Q193" i="59" s="1"/>
  <c r="N193" i="59" a="1"/>
  <c r="N193" i="59" s="1"/>
  <c r="O193" i="59" a="1"/>
  <c r="O193" i="59" s="1"/>
  <c r="P193" i="59" a="1"/>
  <c r="P193" i="59" s="1"/>
  <c r="L193" i="59" a="1"/>
  <c r="L193" i="59" s="1"/>
  <c r="O180" i="59" a="1"/>
  <c r="O180" i="59" s="1"/>
  <c r="P180" i="59" a="1"/>
  <c r="P180" i="59" s="1"/>
  <c r="N180" i="59" a="1"/>
  <c r="N180" i="59" s="1"/>
  <c r="M180" i="59" a="1"/>
  <c r="M180" i="59" s="1"/>
  <c r="Q180" i="59" a="1"/>
  <c r="Q180" i="59" s="1"/>
  <c r="L180" i="59" a="1"/>
  <c r="L180" i="59" s="1"/>
  <c r="N183" i="59" a="1"/>
  <c r="N183" i="59" s="1"/>
  <c r="P183" i="59" a="1"/>
  <c r="P183" i="59" s="1"/>
  <c r="M183" i="59" a="1"/>
  <c r="M183" i="59" s="1"/>
  <c r="O183" i="59" a="1"/>
  <c r="O183" i="59" s="1"/>
  <c r="L183" i="59" a="1"/>
  <c r="L183" i="59" s="1"/>
  <c r="Q183" i="59" a="1"/>
  <c r="Q183" i="59" s="1"/>
  <c r="N166" i="59" a="1"/>
  <c r="N166" i="59" s="1"/>
  <c r="P166" i="59" a="1"/>
  <c r="P166" i="59" s="1"/>
  <c r="M166" i="59" a="1"/>
  <c r="M166" i="59" s="1"/>
  <c r="Q166" i="59" a="1"/>
  <c r="Q166" i="59" s="1"/>
  <c r="O166" i="59" a="1"/>
  <c r="O166" i="59" s="1"/>
  <c r="L166" i="59" a="1"/>
  <c r="L166" i="59" s="1"/>
  <c r="Q127" i="59" a="1"/>
  <c r="Q127" i="59" s="1"/>
  <c r="N127" i="59" a="1"/>
  <c r="N127" i="59" s="1"/>
  <c r="P127" i="59" a="1"/>
  <c r="P127" i="59" s="1"/>
  <c r="M127" i="59" a="1"/>
  <c r="M127" i="59" s="1"/>
  <c r="L127" i="59" a="1"/>
  <c r="L127" i="59" s="1"/>
  <c r="O127" i="59" a="1"/>
  <c r="O127" i="59" s="1"/>
  <c r="M140" i="59" a="1"/>
  <c r="M140" i="59" s="1"/>
  <c r="P140" i="59" a="1"/>
  <c r="P140" i="59" s="1"/>
  <c r="N140" i="59" a="1"/>
  <c r="N140" i="59" s="1"/>
  <c r="O140" i="59" a="1"/>
  <c r="O140" i="59" s="1"/>
  <c r="L140" i="59" a="1"/>
  <c r="L140" i="59" s="1"/>
  <c r="Q140" i="59" a="1"/>
  <c r="Q140" i="59" s="1"/>
  <c r="L128" i="59" a="1"/>
  <c r="L128" i="59" s="1"/>
  <c r="P128" i="59" a="1"/>
  <c r="P128" i="59" s="1"/>
  <c r="Q128" i="59" a="1"/>
  <c r="Q128" i="59" s="1"/>
  <c r="N128" i="59" a="1"/>
  <c r="N128" i="59" s="1"/>
  <c r="O128" i="59" a="1"/>
  <c r="O128" i="59" s="1"/>
  <c r="M128" i="59" a="1"/>
  <c r="M128" i="59" s="1"/>
  <c r="Q115" i="59" a="1"/>
  <c r="Q115" i="59" s="1"/>
  <c r="O115" i="59" a="1"/>
  <c r="O115" i="59" s="1"/>
  <c r="N115" i="59" a="1"/>
  <c r="N115" i="59" s="1"/>
  <c r="P115" i="59" a="1"/>
  <c r="P115" i="59" s="1"/>
  <c r="L115" i="59" a="1"/>
  <c r="L115" i="59" s="1"/>
  <c r="M115" i="59" a="1"/>
  <c r="M115" i="59" s="1"/>
  <c r="M110" i="59" a="1"/>
  <c r="M110" i="59" s="1"/>
  <c r="O110" i="59" a="1"/>
  <c r="O110" i="59" s="1"/>
  <c r="N110" i="59" a="1"/>
  <c r="N110" i="59" s="1"/>
  <c r="L110" i="59" a="1"/>
  <c r="L110" i="59" s="1"/>
  <c r="P110" i="59" a="1"/>
  <c r="P110" i="59" s="1"/>
  <c r="Q110" i="59" a="1"/>
  <c r="Q110" i="59" s="1"/>
  <c r="O105" i="59" a="1"/>
  <c r="O105" i="59" s="1"/>
  <c r="N105" i="59" a="1"/>
  <c r="N105" i="59" s="1"/>
  <c r="L105" i="59" a="1"/>
  <c r="L105" i="59" s="1"/>
  <c r="Q105" i="59" a="1"/>
  <c r="Q105" i="59" s="1"/>
  <c r="P105" i="59" a="1"/>
  <c r="P105" i="59" s="1"/>
  <c r="M105" i="59" a="1"/>
  <c r="M105" i="59" s="1"/>
  <c r="N28" i="59" a="1"/>
  <c r="N28" i="59" s="1"/>
  <c r="P28" i="59" a="1"/>
  <c r="P28" i="59" s="1"/>
  <c r="O28" i="59" a="1"/>
  <c r="O28" i="59" s="1"/>
  <c r="Q28" i="59" a="1"/>
  <c r="Q28" i="59" s="1"/>
  <c r="M28" i="59" a="1"/>
  <c r="M28" i="59" s="1"/>
  <c r="L28" i="59" a="1"/>
  <c r="L28" i="59" s="1"/>
  <c r="M122" i="59" a="1"/>
  <c r="M122" i="59" s="1"/>
  <c r="L122" i="59" a="1"/>
  <c r="L122" i="59" s="1"/>
  <c r="P122" i="59" a="1"/>
  <c r="P122" i="59" s="1"/>
  <c r="Q122" i="59" a="1"/>
  <c r="Q122" i="59" s="1"/>
  <c r="N122" i="59" a="1"/>
  <c r="N122" i="59" s="1"/>
  <c r="O122" i="59" a="1"/>
  <c r="O122" i="59" s="1"/>
  <c r="N125" i="59" a="1"/>
  <c r="N125" i="59" s="1"/>
  <c r="P125" i="59" a="1"/>
  <c r="P125" i="59" s="1"/>
  <c r="M125" i="59" a="1"/>
  <c r="M125" i="59" s="1"/>
  <c r="L125" i="59" a="1"/>
  <c r="L125" i="59" s="1"/>
  <c r="O125" i="59" a="1"/>
  <c r="O125" i="59" s="1"/>
  <c r="Q125" i="59" a="1"/>
  <c r="Q125" i="59" s="1"/>
  <c r="P80" i="59" a="1"/>
  <c r="P80" i="59" s="1"/>
  <c r="L80" i="59" a="1"/>
  <c r="L80" i="59" s="1"/>
  <c r="Q80" i="59" a="1"/>
  <c r="Q80" i="59" s="1"/>
  <c r="M80" i="59" a="1"/>
  <c r="M80" i="59" s="1"/>
  <c r="N80" i="59" a="1"/>
  <c r="N80" i="59" s="1"/>
  <c r="O80" i="59" a="1"/>
  <c r="O80" i="59" s="1"/>
  <c r="N57" i="59" a="1"/>
  <c r="N57" i="59" s="1"/>
  <c r="P57" i="59" a="1"/>
  <c r="P57" i="59" s="1"/>
  <c r="O57" i="59" a="1"/>
  <c r="O57" i="59" s="1"/>
  <c r="Q57" i="59" a="1"/>
  <c r="Q57" i="59" s="1"/>
  <c r="L57" i="59" a="1"/>
  <c r="L57" i="59" s="1"/>
  <c r="M57" i="59" a="1"/>
  <c r="M57" i="59" s="1"/>
  <c r="L96" i="59" a="1"/>
  <c r="L96" i="59" s="1"/>
  <c r="Q96" i="59" a="1"/>
  <c r="Q96" i="59" s="1"/>
  <c r="M96" i="59" a="1"/>
  <c r="M96" i="59" s="1"/>
  <c r="O96" i="59" a="1"/>
  <c r="O96" i="59" s="1"/>
  <c r="P96" i="59" a="1"/>
  <c r="P96" i="59" s="1"/>
  <c r="N96" i="59" a="1"/>
  <c r="N96" i="59" s="1"/>
  <c r="M68" i="59" a="1"/>
  <c r="M68" i="59" s="1"/>
  <c r="N68" i="59" a="1"/>
  <c r="N68" i="59" s="1"/>
  <c r="O68" i="59" a="1"/>
  <c r="O68" i="59" s="1"/>
  <c r="Q68" i="59" a="1"/>
  <c r="Q68" i="59" s="1"/>
  <c r="L68" i="59" a="1"/>
  <c r="L68" i="59" s="1"/>
  <c r="P68" i="59" a="1"/>
  <c r="P68" i="59" s="1"/>
  <c r="N48" i="59" a="1"/>
  <c r="N48" i="59" s="1"/>
  <c r="P48" i="59" a="1"/>
  <c r="P48" i="59" s="1"/>
  <c r="M48" i="59" a="1"/>
  <c r="M48" i="59" s="1"/>
  <c r="Q48" i="59" a="1"/>
  <c r="Q48" i="59" s="1"/>
  <c r="L48" i="59" a="1"/>
  <c r="L48" i="59" s="1"/>
  <c r="O48" i="59" a="1"/>
  <c r="O48" i="59" s="1"/>
  <c r="Q50" i="59" a="1"/>
  <c r="Q50" i="59" s="1"/>
  <c r="L50" i="59" a="1"/>
  <c r="L50" i="59" s="1"/>
  <c r="P50" i="59" a="1"/>
  <c r="P50" i="59" s="1"/>
  <c r="M50" i="59" a="1"/>
  <c r="M50" i="59" s="1"/>
  <c r="O50" i="59" a="1"/>
  <c r="O50" i="59" s="1"/>
  <c r="N50" i="59" a="1"/>
  <c r="N50" i="59" s="1"/>
  <c r="Q54" i="59" a="1"/>
  <c r="Q54" i="59" s="1"/>
  <c r="P54" i="59" a="1"/>
  <c r="P54" i="59" s="1"/>
  <c r="O54" i="59" a="1"/>
  <c r="O54" i="59" s="1"/>
  <c r="N54" i="59" a="1"/>
  <c r="N54" i="59" s="1"/>
  <c r="M54" i="59" a="1"/>
  <c r="M54" i="59" s="1"/>
  <c r="L54" i="59" a="1"/>
  <c r="L54" i="59" s="1"/>
  <c r="L33" i="59" a="1"/>
  <c r="L33" i="59" s="1"/>
  <c r="P33" i="59" a="1"/>
  <c r="P33" i="59" s="1"/>
  <c r="M33" i="59" a="1"/>
  <c r="M33" i="59" s="1"/>
  <c r="O33" i="59" a="1"/>
  <c r="O33" i="59" s="1"/>
  <c r="N33" i="59" a="1"/>
  <c r="N33" i="59" s="1"/>
  <c r="Q33" i="59" a="1"/>
  <c r="Q33" i="59" s="1"/>
  <c r="M31" i="59" a="1"/>
  <c r="M31" i="59" s="1"/>
  <c r="Q31" i="59" a="1"/>
  <c r="Q31" i="59" s="1"/>
  <c r="O31" i="59" a="1"/>
  <c r="O31" i="59" s="1"/>
  <c r="N31" i="59" a="1"/>
  <c r="N31" i="59" s="1"/>
  <c r="P31" i="59" a="1"/>
  <c r="P31" i="59" s="1"/>
  <c r="L31" i="59" a="1"/>
  <c r="L31" i="59" s="1"/>
  <c r="M1358" i="59" a="1"/>
  <c r="M1358" i="59" s="1"/>
  <c r="Q1358" i="59" a="1"/>
  <c r="Q1358" i="59" s="1"/>
  <c r="O1358" i="59" a="1"/>
  <c r="O1358" i="59" s="1"/>
  <c r="P1358" i="59" a="1"/>
  <c r="P1358" i="59" s="1"/>
  <c r="L1358" i="59" a="1"/>
  <c r="L1358" i="59" s="1"/>
  <c r="N1358" i="59" a="1"/>
  <c r="N1358" i="59" s="1"/>
  <c r="N1460" i="59" a="1"/>
  <c r="N1460" i="59" s="1"/>
  <c r="L1460" i="59" a="1"/>
  <c r="L1460" i="59" s="1"/>
  <c r="P1460" i="59" a="1"/>
  <c r="P1460" i="59" s="1"/>
  <c r="M1460" i="59" a="1"/>
  <c r="M1460" i="59" s="1"/>
  <c r="O1460" i="59" a="1"/>
  <c r="O1460" i="59" s="1"/>
  <c r="Q1460" i="59" a="1"/>
  <c r="Q1460" i="59" s="1"/>
  <c r="M1331" i="59" a="1"/>
  <c r="M1331" i="59" s="1"/>
  <c r="N1331" i="59" a="1"/>
  <c r="N1331" i="59" s="1"/>
  <c r="P1331" i="59" a="1"/>
  <c r="P1331" i="59" s="1"/>
  <c r="Q1331" i="59" a="1"/>
  <c r="Q1331" i="59" s="1"/>
  <c r="O1331" i="59" a="1"/>
  <c r="O1331" i="59" s="1"/>
  <c r="L1331" i="59" a="1"/>
  <c r="L1331" i="59" s="1"/>
  <c r="L1206" i="59" a="1"/>
  <c r="L1206" i="59" s="1"/>
  <c r="P1206" i="59" a="1"/>
  <c r="P1206" i="59" s="1"/>
  <c r="M1206" i="59" a="1"/>
  <c r="M1206" i="59" s="1"/>
  <c r="Q1206" i="59" a="1"/>
  <c r="Q1206" i="59" s="1"/>
  <c r="O1206" i="59" a="1"/>
  <c r="O1206" i="59" s="1"/>
  <c r="N1206" i="59" a="1"/>
  <c r="N1206" i="59" s="1"/>
  <c r="L1174" i="59" a="1"/>
  <c r="L1174" i="59" s="1"/>
  <c r="P1174" i="59" a="1"/>
  <c r="P1174" i="59" s="1"/>
  <c r="M1174" i="59" a="1"/>
  <c r="M1174" i="59" s="1"/>
  <c r="Q1174" i="59" a="1"/>
  <c r="Q1174" i="59" s="1"/>
  <c r="O1174" i="59" a="1"/>
  <c r="O1174" i="59" s="1"/>
  <c r="N1174" i="59" a="1"/>
  <c r="N1174" i="59" s="1"/>
  <c r="M1233" i="59" a="1"/>
  <c r="M1233" i="59" s="1"/>
  <c r="O1233" i="59" a="1"/>
  <c r="O1233" i="59" s="1"/>
  <c r="Q1233" i="59" a="1"/>
  <c r="Q1233" i="59" s="1"/>
  <c r="N1233" i="59" a="1"/>
  <c r="N1233" i="59" s="1"/>
  <c r="L1233" i="59" a="1"/>
  <c r="L1233" i="59" s="1"/>
  <c r="P1233" i="59" a="1"/>
  <c r="P1233" i="59" s="1"/>
  <c r="L1472" i="59" a="1"/>
  <c r="L1472" i="59" s="1"/>
  <c r="P1472" i="59" a="1"/>
  <c r="P1472" i="59" s="1"/>
  <c r="N1472" i="59" a="1"/>
  <c r="N1472" i="59" s="1"/>
  <c r="M1472" i="59" a="1"/>
  <c r="M1472" i="59" s="1"/>
  <c r="O1472" i="59" a="1"/>
  <c r="O1472" i="59" s="1"/>
  <c r="Q1472" i="59" a="1"/>
  <c r="Q1472" i="59" s="1"/>
  <c r="M1297" i="59" a="1"/>
  <c r="M1297" i="59" s="1"/>
  <c r="O1297" i="59" a="1"/>
  <c r="O1297" i="59" s="1"/>
  <c r="Q1297" i="59" a="1"/>
  <c r="Q1297" i="59" s="1"/>
  <c r="L1297" i="59" a="1"/>
  <c r="L1297" i="59" s="1"/>
  <c r="N1297" i="59" a="1"/>
  <c r="N1297" i="59" s="1"/>
  <c r="P1297" i="59" a="1"/>
  <c r="P1297" i="59" s="1"/>
  <c r="M1488" i="59" a="1"/>
  <c r="M1488" i="59" s="1"/>
  <c r="N1488" i="59" a="1"/>
  <c r="N1488" i="59" s="1"/>
  <c r="O1488" i="59" a="1"/>
  <c r="O1488" i="59" s="1"/>
  <c r="P1488" i="59" a="1"/>
  <c r="P1488" i="59" s="1"/>
  <c r="L1488" i="59" a="1"/>
  <c r="L1488" i="59" s="1"/>
  <c r="Q1488" i="59" a="1"/>
  <c r="Q1488" i="59" s="1"/>
  <c r="L1448" i="59" a="1"/>
  <c r="L1448" i="59" s="1"/>
  <c r="Q1448" i="59" a="1"/>
  <c r="Q1448" i="59" s="1"/>
  <c r="N1448" i="59" a="1"/>
  <c r="N1448" i="59" s="1"/>
  <c r="O1448" i="59" a="1"/>
  <c r="O1448" i="59" s="1"/>
  <c r="M1448" i="59" a="1"/>
  <c r="M1448" i="59" s="1"/>
  <c r="P1448" i="59" a="1"/>
  <c r="P1448" i="59" s="1"/>
  <c r="Q1443" i="59" a="1"/>
  <c r="Q1443" i="59" s="1"/>
  <c r="O1443" i="59" a="1"/>
  <c r="O1443" i="59" s="1"/>
  <c r="P1443" i="59" a="1"/>
  <c r="P1443" i="59" s="1"/>
  <c r="N1443" i="59" a="1"/>
  <c r="N1443" i="59" s="1"/>
  <c r="M1443" i="59" a="1"/>
  <c r="M1443" i="59" s="1"/>
  <c r="L1443" i="59" a="1"/>
  <c r="L1443" i="59" s="1"/>
  <c r="M1438" i="59" a="1"/>
  <c r="M1438" i="59" s="1"/>
  <c r="N1438" i="59" a="1"/>
  <c r="N1438" i="59" s="1"/>
  <c r="Q1438" i="59" a="1"/>
  <c r="Q1438" i="59" s="1"/>
  <c r="O1438" i="59" a="1"/>
  <c r="O1438" i="59" s="1"/>
  <c r="L1438" i="59" a="1"/>
  <c r="L1438" i="59" s="1"/>
  <c r="P1438" i="59" a="1"/>
  <c r="P1438" i="59" s="1"/>
  <c r="P1479" i="59" a="1"/>
  <c r="P1479" i="59" s="1"/>
  <c r="L1479" i="59" a="1"/>
  <c r="L1479" i="59" s="1"/>
  <c r="M1479" i="59" a="1"/>
  <c r="M1479" i="59" s="1"/>
  <c r="N1479" i="59" a="1"/>
  <c r="N1479" i="59" s="1"/>
  <c r="Q1479" i="59" a="1"/>
  <c r="Q1479" i="59" s="1"/>
  <c r="O1479" i="59" a="1"/>
  <c r="O1479" i="59" s="1"/>
  <c r="N1459" i="59" a="1"/>
  <c r="N1459" i="59" s="1"/>
  <c r="M1459" i="59" a="1"/>
  <c r="M1459" i="59" s="1"/>
  <c r="O1459" i="59" a="1"/>
  <c r="O1459" i="59" s="1"/>
  <c r="L1459" i="59" a="1"/>
  <c r="L1459" i="59" s="1"/>
  <c r="Q1459" i="59" a="1"/>
  <c r="Q1459" i="59" s="1"/>
  <c r="P1459" i="59" a="1"/>
  <c r="P1459" i="59" s="1"/>
  <c r="Q1497" i="59" a="1"/>
  <c r="Q1497" i="59" s="1"/>
  <c r="N1497" i="59" a="1"/>
  <c r="N1497" i="59" s="1"/>
  <c r="M1497" i="59" a="1"/>
  <c r="M1497" i="59" s="1"/>
  <c r="P1497" i="59" a="1"/>
  <c r="P1497" i="59" s="1"/>
  <c r="L1497" i="59" a="1"/>
  <c r="L1497" i="59" s="1"/>
  <c r="O1497" i="59" a="1"/>
  <c r="O1497" i="59" s="1"/>
  <c r="L1352" i="59" a="1"/>
  <c r="L1352" i="59" s="1"/>
  <c r="Q1352" i="59" a="1"/>
  <c r="Q1352" i="59" s="1"/>
  <c r="P1352" i="59" a="1"/>
  <c r="P1352" i="59" s="1"/>
  <c r="M1352" i="59" a="1"/>
  <c r="M1352" i="59" s="1"/>
  <c r="N1352" i="59" a="1"/>
  <c r="N1352" i="59" s="1"/>
  <c r="O1352" i="59" a="1"/>
  <c r="O1352" i="59" s="1"/>
  <c r="Q1463" i="59" a="1"/>
  <c r="Q1463" i="59" s="1"/>
  <c r="L1463" i="59" a="1"/>
  <c r="L1463" i="59" s="1"/>
  <c r="N1463" i="59" a="1"/>
  <c r="N1463" i="59" s="1"/>
  <c r="P1463" i="59" a="1"/>
  <c r="P1463" i="59" s="1"/>
  <c r="M1463" i="59" a="1"/>
  <c r="M1463" i="59" s="1"/>
  <c r="O1463" i="59" a="1"/>
  <c r="O1463" i="59" s="1"/>
  <c r="M1201" i="59" a="1"/>
  <c r="M1201" i="59" s="1"/>
  <c r="O1201" i="59" a="1"/>
  <c r="O1201" i="59" s="1"/>
  <c r="Q1201" i="59" a="1"/>
  <c r="Q1201" i="59" s="1"/>
  <c r="N1201" i="59" a="1"/>
  <c r="N1201" i="59" s="1"/>
  <c r="P1201" i="59" a="1"/>
  <c r="P1201" i="59" s="1"/>
  <c r="L1201" i="59" a="1"/>
  <c r="L1201" i="59" s="1"/>
  <c r="L1456" i="59" a="1"/>
  <c r="L1456" i="59" s="1"/>
  <c r="N1456" i="59" a="1"/>
  <c r="N1456" i="59" s="1"/>
  <c r="P1456" i="59" a="1"/>
  <c r="P1456" i="59" s="1"/>
  <c r="M1456" i="59" a="1"/>
  <c r="M1456" i="59" s="1"/>
  <c r="Q1456" i="59" a="1"/>
  <c r="Q1456" i="59" s="1"/>
  <c r="O1456" i="59" a="1"/>
  <c r="O1456" i="59" s="1"/>
  <c r="P1238" i="59" a="1"/>
  <c r="P1238" i="59" s="1"/>
  <c r="O1238" i="59" a="1"/>
  <c r="O1238" i="59" s="1"/>
  <c r="M1238" i="59" a="1"/>
  <c r="M1238" i="59" s="1"/>
  <c r="Q1238" i="59" a="1"/>
  <c r="Q1238" i="59" s="1"/>
  <c r="L1238" i="59" a="1"/>
  <c r="L1238" i="59" s="1"/>
  <c r="N1238" i="59" a="1"/>
  <c r="N1238" i="59" s="1"/>
  <c r="M1427" i="59" a="1"/>
  <c r="M1427" i="59" s="1"/>
  <c r="N1427" i="59" a="1"/>
  <c r="N1427" i="59" s="1"/>
  <c r="Q1427" i="59" a="1"/>
  <c r="Q1427" i="59" s="1"/>
  <c r="L1427" i="59" a="1"/>
  <c r="L1427" i="59" s="1"/>
  <c r="O1427" i="59" a="1"/>
  <c r="O1427" i="59" s="1"/>
  <c r="P1427" i="59" a="1"/>
  <c r="P1427" i="59" s="1"/>
  <c r="N1262" i="59" a="1"/>
  <c r="N1262" i="59" s="1"/>
  <c r="M1262" i="59" a="1"/>
  <c r="M1262" i="59" s="1"/>
  <c r="L1262" i="59" a="1"/>
  <c r="L1262" i="59" s="1"/>
  <c r="Q1262" i="59" a="1"/>
  <c r="Q1262" i="59" s="1"/>
  <c r="P1262" i="59" a="1"/>
  <c r="P1262" i="59" s="1"/>
  <c r="O1262" i="59" a="1"/>
  <c r="O1262" i="59" s="1"/>
  <c r="N1457" i="59" a="1"/>
  <c r="N1457" i="59" s="1"/>
  <c r="L1457" i="59" a="1"/>
  <c r="L1457" i="59" s="1"/>
  <c r="Q1457" i="59" a="1"/>
  <c r="Q1457" i="59" s="1"/>
  <c r="O1457" i="59" a="1"/>
  <c r="O1457" i="59" s="1"/>
  <c r="P1457" i="59" a="1"/>
  <c r="P1457" i="59" s="1"/>
  <c r="M1457" i="59" a="1"/>
  <c r="M1457" i="59" s="1"/>
  <c r="O1393" i="59" a="1"/>
  <c r="O1393" i="59" s="1"/>
  <c r="N1393" i="59" a="1"/>
  <c r="N1393" i="59" s="1"/>
  <c r="L1393" i="59" a="1"/>
  <c r="L1393" i="59" s="1"/>
  <c r="M1393" i="59" a="1"/>
  <c r="M1393" i="59" s="1"/>
  <c r="P1393" i="59" a="1"/>
  <c r="P1393" i="59" s="1"/>
  <c r="Q1393" i="59" a="1"/>
  <c r="Q1393" i="59" s="1"/>
  <c r="M1329" i="59" a="1"/>
  <c r="M1329" i="59" s="1"/>
  <c r="Q1329" i="59" a="1"/>
  <c r="Q1329" i="59" s="1"/>
  <c r="N1329" i="59" a="1"/>
  <c r="N1329" i="59" s="1"/>
  <c r="O1329" i="59" a="1"/>
  <c r="O1329" i="59" s="1"/>
  <c r="P1329" i="59" a="1"/>
  <c r="P1329" i="59" s="1"/>
  <c r="L1329" i="59" a="1"/>
  <c r="L1329" i="59" s="1"/>
  <c r="N1452" i="59" a="1"/>
  <c r="N1452" i="59" s="1"/>
  <c r="O1452" i="59" a="1"/>
  <c r="O1452" i="59" s="1"/>
  <c r="Q1452" i="59" a="1"/>
  <c r="Q1452" i="59" s="1"/>
  <c r="M1452" i="59" a="1"/>
  <c r="M1452" i="59" s="1"/>
  <c r="L1452" i="59" a="1"/>
  <c r="L1452" i="59" s="1"/>
  <c r="P1452" i="59" a="1"/>
  <c r="P1452" i="59" s="1"/>
  <c r="N1388" i="59" a="1"/>
  <c r="N1388" i="59" s="1"/>
  <c r="O1388" i="59" a="1"/>
  <c r="O1388" i="59" s="1"/>
  <c r="L1388" i="59" a="1"/>
  <c r="L1388" i="59" s="1"/>
  <c r="Q1388" i="59" a="1"/>
  <c r="Q1388" i="59" s="1"/>
  <c r="P1388" i="59" a="1"/>
  <c r="P1388" i="59" s="1"/>
  <c r="M1388" i="59" a="1"/>
  <c r="M1388" i="59" s="1"/>
  <c r="P1313" i="59" a="1"/>
  <c r="P1313" i="59" s="1"/>
  <c r="N1313" i="59" a="1"/>
  <c r="N1313" i="59" s="1"/>
  <c r="M1313" i="59" a="1"/>
  <c r="M1313" i="59" s="1"/>
  <c r="Q1313" i="59" a="1"/>
  <c r="Q1313" i="59" s="1"/>
  <c r="L1313" i="59" a="1"/>
  <c r="L1313" i="59" s="1"/>
  <c r="O1313" i="59" a="1"/>
  <c r="O1313" i="59" s="1"/>
  <c r="O1447" i="59" a="1"/>
  <c r="O1447" i="59" s="1"/>
  <c r="L1447" i="59" a="1"/>
  <c r="L1447" i="59" s="1"/>
  <c r="P1447" i="59" a="1"/>
  <c r="P1447" i="59" s="1"/>
  <c r="N1447" i="59" a="1"/>
  <c r="N1447" i="59" s="1"/>
  <c r="M1447" i="59" a="1"/>
  <c r="M1447" i="59" s="1"/>
  <c r="Q1447" i="59" a="1"/>
  <c r="Q1447" i="59" s="1"/>
  <c r="O1383" i="59" a="1"/>
  <c r="O1383" i="59" s="1"/>
  <c r="L1383" i="59" a="1"/>
  <c r="L1383" i="59" s="1"/>
  <c r="P1383" i="59" a="1"/>
  <c r="P1383" i="59" s="1"/>
  <c r="Q1383" i="59" a="1"/>
  <c r="Q1383" i="59" s="1"/>
  <c r="M1383" i="59" a="1"/>
  <c r="M1383" i="59" s="1"/>
  <c r="N1383" i="59" a="1"/>
  <c r="N1383" i="59" s="1"/>
  <c r="N1281" i="59" a="1"/>
  <c r="N1281" i="59" s="1"/>
  <c r="M1281" i="59" a="1"/>
  <c r="M1281" i="59" s="1"/>
  <c r="O1281" i="59" a="1"/>
  <c r="O1281" i="59" s="1"/>
  <c r="Q1281" i="59" a="1"/>
  <c r="Q1281" i="59" s="1"/>
  <c r="P1281" i="59" a="1"/>
  <c r="P1281" i="59" s="1"/>
  <c r="L1281" i="59" a="1"/>
  <c r="L1281" i="59" s="1"/>
  <c r="O1426" i="59" a="1"/>
  <c r="O1426" i="59" s="1"/>
  <c r="P1426" i="59" a="1"/>
  <c r="P1426" i="59" s="1"/>
  <c r="L1426" i="59" a="1"/>
  <c r="L1426" i="59" s="1"/>
  <c r="M1426" i="59" a="1"/>
  <c r="M1426" i="59" s="1"/>
  <c r="Q1426" i="59" a="1"/>
  <c r="Q1426" i="59" s="1"/>
  <c r="N1426" i="59" a="1"/>
  <c r="N1426" i="59" s="1"/>
  <c r="O1362" i="59" a="1"/>
  <c r="O1362" i="59" s="1"/>
  <c r="P1362" i="59" a="1"/>
  <c r="P1362" i="59" s="1"/>
  <c r="M1362" i="59" a="1"/>
  <c r="M1362" i="59" s="1"/>
  <c r="Q1362" i="59" a="1"/>
  <c r="Q1362" i="59" s="1"/>
  <c r="L1362" i="59" a="1"/>
  <c r="L1362" i="59" s="1"/>
  <c r="N1362" i="59" a="1"/>
  <c r="N1362" i="59" s="1"/>
  <c r="P1182" i="59" a="1"/>
  <c r="P1182" i="59" s="1"/>
  <c r="M1182" i="59" a="1"/>
  <c r="M1182" i="59" s="1"/>
  <c r="Q1182" i="59" a="1"/>
  <c r="Q1182" i="59" s="1"/>
  <c r="L1182" i="59" a="1"/>
  <c r="L1182" i="59" s="1"/>
  <c r="N1182" i="59" a="1"/>
  <c r="N1182" i="59" s="1"/>
  <c r="O1182" i="59" a="1"/>
  <c r="O1182" i="59" s="1"/>
  <c r="L1429" i="59" a="1"/>
  <c r="L1429" i="59" s="1"/>
  <c r="P1429" i="59" a="1"/>
  <c r="P1429" i="59" s="1"/>
  <c r="M1429" i="59" a="1"/>
  <c r="M1429" i="59" s="1"/>
  <c r="N1429" i="59" a="1"/>
  <c r="N1429" i="59" s="1"/>
  <c r="Q1429" i="59" a="1"/>
  <c r="Q1429" i="59" s="1"/>
  <c r="O1429" i="59" a="1"/>
  <c r="O1429" i="59" s="1"/>
  <c r="L1365" i="59" a="1"/>
  <c r="L1365" i="59" s="1"/>
  <c r="P1365" i="59" a="1"/>
  <c r="P1365" i="59" s="1"/>
  <c r="M1365" i="59" a="1"/>
  <c r="M1365" i="59" s="1"/>
  <c r="Q1365" i="59" a="1"/>
  <c r="Q1365" i="59" s="1"/>
  <c r="O1365" i="59" a="1"/>
  <c r="O1365" i="59" s="1"/>
  <c r="N1365" i="59" a="1"/>
  <c r="N1365" i="59" s="1"/>
  <c r="Q1273" i="59" a="1"/>
  <c r="Q1273" i="59" s="1"/>
  <c r="L1273" i="59" a="1"/>
  <c r="L1273" i="59" s="1"/>
  <c r="N1273" i="59" a="1"/>
  <c r="N1273" i="59" s="1"/>
  <c r="M1273" i="59" a="1"/>
  <c r="M1273" i="59" s="1"/>
  <c r="O1273" i="59" a="1"/>
  <c r="O1273" i="59" s="1"/>
  <c r="P1273" i="59" a="1"/>
  <c r="P1273" i="59" s="1"/>
  <c r="L1276" i="59" a="1"/>
  <c r="L1276" i="59" s="1"/>
  <c r="O1276" i="59" a="1"/>
  <c r="O1276" i="59" s="1"/>
  <c r="M1276" i="59" a="1"/>
  <c r="M1276" i="59" s="1"/>
  <c r="Q1276" i="59" a="1"/>
  <c r="Q1276" i="59" s="1"/>
  <c r="N1276" i="59" a="1"/>
  <c r="N1276" i="59" s="1"/>
  <c r="P1276" i="59" a="1"/>
  <c r="P1276" i="59" s="1"/>
  <c r="M1212" i="59" a="1"/>
  <c r="M1212" i="59" s="1"/>
  <c r="Q1212" i="59" a="1"/>
  <c r="Q1212" i="59" s="1"/>
  <c r="O1212" i="59" a="1"/>
  <c r="O1212" i="59" s="1"/>
  <c r="N1212" i="59" a="1"/>
  <c r="N1212" i="59" s="1"/>
  <c r="L1212" i="59" a="1"/>
  <c r="L1212" i="59" s="1"/>
  <c r="P1212" i="59" a="1"/>
  <c r="P1212" i="59" s="1"/>
  <c r="N1295" i="59" a="1"/>
  <c r="N1295" i="59" s="1"/>
  <c r="P1295" i="59" a="1"/>
  <c r="P1295" i="59" s="1"/>
  <c r="O1295" i="59" a="1"/>
  <c r="O1295" i="59" s="1"/>
  <c r="L1295" i="59" a="1"/>
  <c r="L1295" i="59" s="1"/>
  <c r="M1295" i="59" a="1"/>
  <c r="M1295" i="59" s="1"/>
  <c r="Q1295" i="59" a="1"/>
  <c r="Q1295" i="59" s="1"/>
  <c r="N1231" i="59" a="1"/>
  <c r="N1231" i="59" s="1"/>
  <c r="P1231" i="59" a="1"/>
  <c r="P1231" i="59" s="1"/>
  <c r="M1231" i="59" a="1"/>
  <c r="M1231" i="59" s="1"/>
  <c r="O1231" i="59" a="1"/>
  <c r="O1231" i="59" s="1"/>
  <c r="L1231" i="59" a="1"/>
  <c r="L1231" i="59" s="1"/>
  <c r="Q1231" i="59" a="1"/>
  <c r="Q1231" i="59" s="1"/>
  <c r="N1167" i="59" a="1"/>
  <c r="N1167" i="59" s="1"/>
  <c r="P1167" i="59" a="1"/>
  <c r="P1167" i="59" s="1"/>
  <c r="O1167" i="59" a="1"/>
  <c r="O1167" i="59" s="1"/>
  <c r="L1167" i="59" a="1"/>
  <c r="L1167" i="59" s="1"/>
  <c r="M1167" i="59" a="1"/>
  <c r="M1167" i="59" s="1"/>
  <c r="Q1167" i="59" a="1"/>
  <c r="Q1167" i="59" s="1"/>
  <c r="L1314" i="59" a="1"/>
  <c r="L1314" i="59" s="1"/>
  <c r="N1314" i="59" a="1"/>
  <c r="N1314" i="59" s="1"/>
  <c r="O1314" i="59" a="1"/>
  <c r="O1314" i="59" s="1"/>
  <c r="P1314" i="59" a="1"/>
  <c r="P1314" i="59" s="1"/>
  <c r="M1314" i="59" a="1"/>
  <c r="M1314" i="59" s="1"/>
  <c r="Q1314" i="59" a="1"/>
  <c r="Q1314" i="59" s="1"/>
  <c r="L1250" i="59" a="1"/>
  <c r="L1250" i="59" s="1"/>
  <c r="P1250" i="59" a="1"/>
  <c r="P1250" i="59" s="1"/>
  <c r="Q1250" i="59" a="1"/>
  <c r="Q1250" i="59" s="1"/>
  <c r="O1250" i="59" a="1"/>
  <c r="O1250" i="59" s="1"/>
  <c r="N1250" i="59" a="1"/>
  <c r="N1250" i="59" s="1"/>
  <c r="M1250" i="59" a="1"/>
  <c r="M1250" i="59" s="1"/>
  <c r="N1186" i="59" a="1"/>
  <c r="N1186" i="59" s="1"/>
  <c r="L1186" i="59" a="1"/>
  <c r="L1186" i="59" s="1"/>
  <c r="P1186" i="59" a="1"/>
  <c r="P1186" i="59" s="1"/>
  <c r="O1186" i="59" a="1"/>
  <c r="O1186" i="59" s="1"/>
  <c r="Q1186" i="59" a="1"/>
  <c r="Q1186" i="59" s="1"/>
  <c r="M1186" i="59" a="1"/>
  <c r="M1186" i="59" s="1"/>
  <c r="O1000" i="59" a="1"/>
  <c r="O1000" i="59" s="1"/>
  <c r="P1000" i="59" a="1"/>
  <c r="P1000" i="59" s="1"/>
  <c r="M1000" i="59" a="1"/>
  <c r="M1000" i="59" s="1"/>
  <c r="N1000" i="59" a="1"/>
  <c r="N1000" i="59" s="1"/>
  <c r="L1000" i="59" a="1"/>
  <c r="L1000" i="59" s="1"/>
  <c r="Q1000" i="59" a="1"/>
  <c r="Q1000" i="59" s="1"/>
  <c r="Q1285" i="59" a="1"/>
  <c r="Q1285" i="59" s="1"/>
  <c r="O1285" i="59" a="1"/>
  <c r="O1285" i="59" s="1"/>
  <c r="N1285" i="59" a="1"/>
  <c r="N1285" i="59" s="1"/>
  <c r="L1285" i="59" a="1"/>
  <c r="L1285" i="59" s="1"/>
  <c r="P1285" i="59" a="1"/>
  <c r="P1285" i="59" s="1"/>
  <c r="M1285" i="59" a="1"/>
  <c r="M1285" i="59" s="1"/>
  <c r="Q1221" i="59" a="1"/>
  <c r="Q1221" i="59" s="1"/>
  <c r="O1221" i="59" a="1"/>
  <c r="O1221" i="59" s="1"/>
  <c r="L1221" i="59" a="1"/>
  <c r="L1221" i="59" s="1"/>
  <c r="N1221" i="59" a="1"/>
  <c r="N1221" i="59" s="1"/>
  <c r="P1221" i="59" a="1"/>
  <c r="P1221" i="59" s="1"/>
  <c r="M1221" i="59" a="1"/>
  <c r="M1221" i="59" s="1"/>
  <c r="O1157" i="59" a="1"/>
  <c r="O1157" i="59" s="1"/>
  <c r="P1157" i="59" a="1"/>
  <c r="P1157" i="59" s="1"/>
  <c r="M1157" i="59" a="1"/>
  <c r="M1157" i="59" s="1"/>
  <c r="L1157" i="59" a="1"/>
  <c r="L1157" i="59" s="1"/>
  <c r="Q1157" i="59" a="1"/>
  <c r="Q1157" i="59" s="1"/>
  <c r="N1157" i="59" a="1"/>
  <c r="N1157" i="59" s="1"/>
  <c r="O1312" i="59" a="1"/>
  <c r="O1312" i="59" s="1"/>
  <c r="L1312" i="59" a="1"/>
  <c r="L1312" i="59" s="1"/>
  <c r="P1312" i="59" a="1"/>
  <c r="P1312" i="59" s="1"/>
  <c r="N1312" i="59" a="1"/>
  <c r="N1312" i="59" s="1"/>
  <c r="Q1312" i="59" a="1"/>
  <c r="Q1312" i="59" s="1"/>
  <c r="M1312" i="59" a="1"/>
  <c r="M1312" i="59" s="1"/>
  <c r="L1248" i="59" a="1"/>
  <c r="L1248" i="59" s="1"/>
  <c r="N1248" i="59" a="1"/>
  <c r="N1248" i="59" s="1"/>
  <c r="P1248" i="59" a="1"/>
  <c r="P1248" i="59" s="1"/>
  <c r="O1248" i="59" a="1"/>
  <c r="O1248" i="59" s="1"/>
  <c r="M1248" i="59" a="1"/>
  <c r="M1248" i="59" s="1"/>
  <c r="Q1248" i="59" a="1"/>
  <c r="Q1248" i="59" s="1"/>
  <c r="O1184" i="59" a="1"/>
  <c r="O1184" i="59" s="1"/>
  <c r="L1184" i="59" a="1"/>
  <c r="L1184" i="59" s="1"/>
  <c r="P1184" i="59" a="1"/>
  <c r="P1184" i="59" s="1"/>
  <c r="M1184" i="59" a="1"/>
  <c r="M1184" i="59" s="1"/>
  <c r="N1184" i="59" a="1"/>
  <c r="N1184" i="59" s="1"/>
  <c r="Q1184" i="59" a="1"/>
  <c r="Q1184" i="59" s="1"/>
  <c r="N1307" i="59" a="1"/>
  <c r="N1307" i="59" s="1"/>
  <c r="L1307" i="59" a="1"/>
  <c r="L1307" i="59" s="1"/>
  <c r="P1307" i="59" a="1"/>
  <c r="P1307" i="59" s="1"/>
  <c r="M1307" i="59" a="1"/>
  <c r="M1307" i="59" s="1"/>
  <c r="Q1307" i="59" a="1"/>
  <c r="Q1307" i="59" s="1"/>
  <c r="O1307" i="59" a="1"/>
  <c r="O1307" i="59" s="1"/>
  <c r="N1243" i="59" a="1"/>
  <c r="N1243" i="59" s="1"/>
  <c r="L1243" i="59" a="1"/>
  <c r="L1243" i="59" s="1"/>
  <c r="P1243" i="59" a="1"/>
  <c r="P1243" i="59" s="1"/>
  <c r="M1243" i="59" a="1"/>
  <c r="M1243" i="59" s="1"/>
  <c r="Q1243" i="59" a="1"/>
  <c r="Q1243" i="59" s="1"/>
  <c r="O1243" i="59" a="1"/>
  <c r="O1243" i="59" s="1"/>
  <c r="N1179" i="59" a="1"/>
  <c r="N1179" i="59" s="1"/>
  <c r="L1179" i="59" a="1"/>
  <c r="L1179" i="59" s="1"/>
  <c r="P1179" i="59" a="1"/>
  <c r="P1179" i="59" s="1"/>
  <c r="M1179" i="59" a="1"/>
  <c r="M1179" i="59" s="1"/>
  <c r="Q1179" i="59" a="1"/>
  <c r="Q1179" i="59" s="1"/>
  <c r="O1179" i="59" a="1"/>
  <c r="O1179" i="59" s="1"/>
  <c r="M1071" i="59" a="1"/>
  <c r="M1071" i="59" s="1"/>
  <c r="P1071" i="59" a="1"/>
  <c r="P1071" i="59" s="1"/>
  <c r="Q1071" i="59" a="1"/>
  <c r="Q1071" i="59" s="1"/>
  <c r="N1071" i="59" a="1"/>
  <c r="N1071" i="59" s="1"/>
  <c r="O1071" i="59" a="1"/>
  <c r="O1071" i="59" s="1"/>
  <c r="L1071" i="59" a="1"/>
  <c r="L1071" i="59" s="1"/>
  <c r="M1063" i="59" a="1"/>
  <c r="M1063" i="59" s="1"/>
  <c r="Q1063" i="59" a="1"/>
  <c r="Q1063" i="59" s="1"/>
  <c r="O1063" i="59" a="1"/>
  <c r="O1063" i="59" s="1"/>
  <c r="N1063" i="59" a="1"/>
  <c r="N1063" i="59" s="1"/>
  <c r="P1063" i="59" a="1"/>
  <c r="P1063" i="59" s="1"/>
  <c r="L1063" i="59" a="1"/>
  <c r="L1063" i="59" s="1"/>
  <c r="N1151" i="59" a="1"/>
  <c r="N1151" i="59" s="1"/>
  <c r="Q1151" i="59" a="1"/>
  <c r="Q1151" i="59" s="1"/>
  <c r="O1151" i="59" a="1"/>
  <c r="O1151" i="59" s="1"/>
  <c r="P1151" i="59" a="1"/>
  <c r="P1151" i="59" s="1"/>
  <c r="L1151" i="59" a="1"/>
  <c r="L1151" i="59" s="1"/>
  <c r="M1151" i="59" a="1"/>
  <c r="M1151" i="59" s="1"/>
  <c r="P977" i="59" a="1"/>
  <c r="P977" i="59" s="1"/>
  <c r="L977" i="59" a="1"/>
  <c r="L977" i="59" s="1"/>
  <c r="O977" i="59" a="1"/>
  <c r="O977" i="59" s="1"/>
  <c r="M977" i="59" a="1"/>
  <c r="M977" i="59" s="1"/>
  <c r="Q977" i="59" a="1"/>
  <c r="Q977" i="59" s="1"/>
  <c r="N977" i="59" a="1"/>
  <c r="N977" i="59" s="1"/>
  <c r="Q1069" i="59" a="1"/>
  <c r="Q1069" i="59" s="1"/>
  <c r="N1069" i="59" a="1"/>
  <c r="N1069" i="59" s="1"/>
  <c r="O1069" i="59" a="1"/>
  <c r="O1069" i="59" s="1"/>
  <c r="L1069" i="59" a="1"/>
  <c r="L1069" i="59" s="1"/>
  <c r="P1069" i="59" a="1"/>
  <c r="P1069" i="59" s="1"/>
  <c r="M1069" i="59" a="1"/>
  <c r="M1069" i="59" s="1"/>
  <c r="N1152" i="59" a="1"/>
  <c r="N1152" i="59" s="1"/>
  <c r="O1152" i="59" a="1"/>
  <c r="O1152" i="59" s="1"/>
  <c r="Q1152" i="59" a="1"/>
  <c r="Q1152" i="59" s="1"/>
  <c r="P1152" i="59" a="1"/>
  <c r="P1152" i="59" s="1"/>
  <c r="M1152" i="59" a="1"/>
  <c r="M1152" i="59" s="1"/>
  <c r="L1152" i="59" a="1"/>
  <c r="L1152" i="59" s="1"/>
  <c r="M1039" i="59" a="1"/>
  <c r="M1039" i="59" s="1"/>
  <c r="Q1039" i="59" a="1"/>
  <c r="Q1039" i="59" s="1"/>
  <c r="N1039" i="59" a="1"/>
  <c r="N1039" i="59" s="1"/>
  <c r="O1039" i="59" a="1"/>
  <c r="O1039" i="59" s="1"/>
  <c r="P1039" i="59" a="1"/>
  <c r="P1039" i="59" s="1"/>
  <c r="L1039" i="59" a="1"/>
  <c r="L1039" i="59" s="1"/>
  <c r="L1147" i="59" a="1"/>
  <c r="L1147" i="59" s="1"/>
  <c r="P1147" i="59" a="1"/>
  <c r="P1147" i="59" s="1"/>
  <c r="N1147" i="59" a="1"/>
  <c r="N1147" i="59" s="1"/>
  <c r="Q1147" i="59" a="1"/>
  <c r="Q1147" i="59" s="1"/>
  <c r="M1147" i="59" a="1"/>
  <c r="M1147" i="59" s="1"/>
  <c r="O1147" i="59" a="1"/>
  <c r="O1147" i="59" s="1"/>
  <c r="L1007" i="59" a="1"/>
  <c r="L1007" i="59" s="1"/>
  <c r="M1007" i="59" a="1"/>
  <c r="M1007" i="59" s="1"/>
  <c r="Q1007" i="59" a="1"/>
  <c r="Q1007" i="59" s="1"/>
  <c r="N1007" i="59" a="1"/>
  <c r="N1007" i="59" s="1"/>
  <c r="O1007" i="59" a="1"/>
  <c r="O1007" i="59" s="1"/>
  <c r="P1007" i="59" a="1"/>
  <c r="P1007" i="59" s="1"/>
  <c r="N932" i="59" a="1"/>
  <c r="N932" i="59" s="1"/>
  <c r="P932" i="59" a="1"/>
  <c r="P932" i="59" s="1"/>
  <c r="M932" i="59" a="1"/>
  <c r="M932" i="59" s="1"/>
  <c r="Q932" i="59" a="1"/>
  <c r="Q932" i="59" s="1"/>
  <c r="O932" i="59" a="1"/>
  <c r="O932" i="59" s="1"/>
  <c r="L932" i="59" a="1"/>
  <c r="L932" i="59" s="1"/>
  <c r="Q1074" i="59" a="1"/>
  <c r="Q1074" i="59" s="1"/>
  <c r="N1074" i="59" a="1"/>
  <c r="N1074" i="59" s="1"/>
  <c r="L1074" i="59" a="1"/>
  <c r="L1074" i="59" s="1"/>
  <c r="M1074" i="59" a="1"/>
  <c r="M1074" i="59" s="1"/>
  <c r="O1074" i="59" a="1"/>
  <c r="O1074" i="59" s="1"/>
  <c r="P1074" i="59" a="1"/>
  <c r="P1074" i="59" s="1"/>
  <c r="M991" i="59" a="1"/>
  <c r="M991" i="59" s="1"/>
  <c r="Q991" i="59" a="1"/>
  <c r="Q991" i="59" s="1"/>
  <c r="N991" i="59" a="1"/>
  <c r="N991" i="59" s="1"/>
  <c r="P991" i="59" a="1"/>
  <c r="P991" i="59" s="1"/>
  <c r="O991" i="59" a="1"/>
  <c r="O991" i="59" s="1"/>
  <c r="L991" i="59" a="1"/>
  <c r="L991" i="59" s="1"/>
  <c r="Q873" i="59" a="1"/>
  <c r="Q873" i="59" s="1"/>
  <c r="N873" i="59" a="1"/>
  <c r="N873" i="59" s="1"/>
  <c r="M873" i="59" a="1"/>
  <c r="M873" i="59" s="1"/>
  <c r="L873" i="59" a="1"/>
  <c r="L873" i="59" s="1"/>
  <c r="P873" i="59" a="1"/>
  <c r="P873" i="59" s="1"/>
  <c r="O873" i="59" a="1"/>
  <c r="O873" i="59" s="1"/>
  <c r="N1104" i="59" a="1"/>
  <c r="N1104" i="59" s="1"/>
  <c r="O1104" i="59" a="1"/>
  <c r="O1104" i="59" s="1"/>
  <c r="L1104" i="59" a="1"/>
  <c r="L1104" i="59" s="1"/>
  <c r="P1104" i="59" a="1"/>
  <c r="P1104" i="59" s="1"/>
  <c r="M1104" i="59" a="1"/>
  <c r="M1104" i="59" s="1"/>
  <c r="Q1104" i="59" a="1"/>
  <c r="Q1104" i="59" s="1"/>
  <c r="N1040" i="59" a="1"/>
  <c r="N1040" i="59" s="1"/>
  <c r="P1040" i="59" a="1"/>
  <c r="P1040" i="59" s="1"/>
  <c r="O1040" i="59" a="1"/>
  <c r="O1040" i="59" s="1"/>
  <c r="M1040" i="59" a="1"/>
  <c r="M1040" i="59" s="1"/>
  <c r="Q1040" i="59" a="1"/>
  <c r="Q1040" i="59" s="1"/>
  <c r="L1040" i="59" a="1"/>
  <c r="L1040" i="59" s="1"/>
  <c r="M943" i="59" a="1"/>
  <c r="M943" i="59" s="1"/>
  <c r="Q943" i="59" a="1"/>
  <c r="Q943" i="59" s="1"/>
  <c r="N943" i="59" a="1"/>
  <c r="N943" i="59" s="1"/>
  <c r="P943" i="59" a="1"/>
  <c r="P943" i="59" s="1"/>
  <c r="O943" i="59" a="1"/>
  <c r="O943" i="59" s="1"/>
  <c r="L943" i="59" a="1"/>
  <c r="L943" i="59" s="1"/>
  <c r="O1123" i="59" a="1"/>
  <c r="O1123" i="59" s="1"/>
  <c r="L1123" i="59" a="1"/>
  <c r="L1123" i="59" s="1"/>
  <c r="P1123" i="59" a="1"/>
  <c r="P1123" i="59" s="1"/>
  <c r="M1123" i="59" a="1"/>
  <c r="M1123" i="59" s="1"/>
  <c r="Q1123" i="59" a="1"/>
  <c r="Q1123" i="59" s="1"/>
  <c r="N1123" i="59" a="1"/>
  <c r="N1123" i="59" s="1"/>
  <c r="L1059" i="59" a="1"/>
  <c r="L1059" i="59" s="1"/>
  <c r="P1059" i="59" a="1"/>
  <c r="P1059" i="59" s="1"/>
  <c r="M1059" i="59" a="1"/>
  <c r="M1059" i="59" s="1"/>
  <c r="O1059" i="59" a="1"/>
  <c r="O1059" i="59" s="1"/>
  <c r="Q1059" i="59" a="1"/>
  <c r="Q1059" i="59" s="1"/>
  <c r="N1059" i="59" a="1"/>
  <c r="N1059" i="59" s="1"/>
  <c r="Q967" i="59" a="1"/>
  <c r="Q967" i="59" s="1"/>
  <c r="P967" i="59" a="1"/>
  <c r="P967" i="59" s="1"/>
  <c r="L967" i="59" a="1"/>
  <c r="L967" i="59" s="1"/>
  <c r="N967" i="59" a="1"/>
  <c r="N967" i="59" s="1"/>
  <c r="M967" i="59" a="1"/>
  <c r="M967" i="59" s="1"/>
  <c r="O967" i="59" a="1"/>
  <c r="O967" i="59" s="1"/>
  <c r="N807" i="59" a="1"/>
  <c r="N807" i="59" s="1"/>
  <c r="M807" i="59" a="1"/>
  <c r="M807" i="59" s="1"/>
  <c r="Q807" i="59" a="1"/>
  <c r="Q807" i="59" s="1"/>
  <c r="O807" i="59" a="1"/>
  <c r="O807" i="59" s="1"/>
  <c r="L807" i="59" a="1"/>
  <c r="L807" i="59" s="1"/>
  <c r="P807" i="59" a="1"/>
  <c r="P807" i="59" s="1"/>
  <c r="O1086" i="59" a="1"/>
  <c r="O1086" i="59" s="1"/>
  <c r="L1086" i="59" a="1"/>
  <c r="L1086" i="59" s="1"/>
  <c r="P1086" i="59" a="1"/>
  <c r="P1086" i="59" s="1"/>
  <c r="N1086" i="59" a="1"/>
  <c r="N1086" i="59" s="1"/>
  <c r="M1086" i="59" a="1"/>
  <c r="M1086" i="59" s="1"/>
  <c r="Q1086" i="59" a="1"/>
  <c r="Q1086" i="59" s="1"/>
  <c r="O1024" i="59" a="1"/>
  <c r="O1024" i="59" s="1"/>
  <c r="L1024" i="59" a="1"/>
  <c r="L1024" i="59" s="1"/>
  <c r="P1024" i="59" a="1"/>
  <c r="P1024" i="59" s="1"/>
  <c r="M1024" i="59" a="1"/>
  <c r="M1024" i="59" s="1"/>
  <c r="Q1024" i="59" a="1"/>
  <c r="Q1024" i="59" s="1"/>
  <c r="N1024" i="59" a="1"/>
  <c r="N1024" i="59" s="1"/>
  <c r="P897" i="59" a="1"/>
  <c r="P897" i="59" s="1"/>
  <c r="L897" i="59" a="1"/>
  <c r="L897" i="59" s="1"/>
  <c r="N897" i="59" a="1"/>
  <c r="N897" i="59" s="1"/>
  <c r="M897" i="59" a="1"/>
  <c r="M897" i="59" s="1"/>
  <c r="Q897" i="59" a="1"/>
  <c r="Q897" i="59" s="1"/>
  <c r="O897" i="59" a="1"/>
  <c r="O897" i="59" s="1"/>
  <c r="L1089" i="59" a="1"/>
  <c r="L1089" i="59" s="1"/>
  <c r="O1089" i="59" a="1"/>
  <c r="O1089" i="59" s="1"/>
  <c r="M1089" i="59" a="1"/>
  <c r="M1089" i="59" s="1"/>
  <c r="Q1089" i="59" a="1"/>
  <c r="Q1089" i="59" s="1"/>
  <c r="N1089" i="59" a="1"/>
  <c r="N1089" i="59" s="1"/>
  <c r="P1089" i="59" a="1"/>
  <c r="P1089" i="59" s="1"/>
  <c r="O1018" i="59" a="1"/>
  <c r="O1018" i="59" s="1"/>
  <c r="N1018" i="59" a="1"/>
  <c r="N1018" i="59" s="1"/>
  <c r="Q1018" i="59" a="1"/>
  <c r="Q1018" i="59" s="1"/>
  <c r="M1018" i="59" a="1"/>
  <c r="M1018" i="59" s="1"/>
  <c r="L1018" i="59" a="1"/>
  <c r="L1018" i="59" s="1"/>
  <c r="P1018" i="59" a="1"/>
  <c r="P1018" i="59" s="1"/>
  <c r="M908" i="59" a="1"/>
  <c r="M908" i="59" s="1"/>
  <c r="Q908" i="59" a="1"/>
  <c r="Q908" i="59" s="1"/>
  <c r="L908" i="59" a="1"/>
  <c r="L908" i="59" s="1"/>
  <c r="O908" i="59" a="1"/>
  <c r="O908" i="59" s="1"/>
  <c r="P908" i="59" a="1"/>
  <c r="P908" i="59" s="1"/>
  <c r="N908" i="59" a="1"/>
  <c r="N908" i="59" s="1"/>
  <c r="O552" i="59" a="1"/>
  <c r="O552" i="59" s="1"/>
  <c r="L552" i="59" a="1"/>
  <c r="L552" i="59" s="1"/>
  <c r="P552" i="59" a="1"/>
  <c r="P552" i="59" s="1"/>
  <c r="N552" i="59" a="1"/>
  <c r="N552" i="59" s="1"/>
  <c r="M552" i="59" a="1"/>
  <c r="M552" i="59" s="1"/>
  <c r="Q552" i="59" a="1"/>
  <c r="Q552" i="59" s="1"/>
  <c r="P973" i="59" a="1"/>
  <c r="P973" i="59" s="1"/>
  <c r="N973" i="59" a="1"/>
  <c r="N973" i="59" s="1"/>
  <c r="Q973" i="59" a="1"/>
  <c r="Q973" i="59" s="1"/>
  <c r="L973" i="59" a="1"/>
  <c r="L973" i="59" s="1"/>
  <c r="M973" i="59" a="1"/>
  <c r="M973" i="59" s="1"/>
  <c r="O973" i="59" a="1"/>
  <c r="O973" i="59" s="1"/>
  <c r="N909" i="59" a="1"/>
  <c r="N909" i="59" s="1"/>
  <c r="M909" i="59" a="1"/>
  <c r="M909" i="59" s="1"/>
  <c r="O909" i="59" a="1"/>
  <c r="O909" i="59" s="1"/>
  <c r="L909" i="59" a="1"/>
  <c r="L909" i="59" s="1"/>
  <c r="P909" i="59" a="1"/>
  <c r="P909" i="59" s="1"/>
  <c r="Q909" i="59" a="1"/>
  <c r="Q909" i="59" s="1"/>
  <c r="L772" i="59" a="1"/>
  <c r="L772" i="59" s="1"/>
  <c r="P772" i="59" a="1"/>
  <c r="P772" i="59" s="1"/>
  <c r="N772" i="59" a="1"/>
  <c r="N772" i="59" s="1"/>
  <c r="M772" i="59" a="1"/>
  <c r="M772" i="59" s="1"/>
  <c r="Q772" i="59" a="1"/>
  <c r="Q772" i="59" s="1"/>
  <c r="O772" i="59" a="1"/>
  <c r="O772" i="59" s="1"/>
  <c r="P920" i="59" a="1"/>
  <c r="P920" i="59" s="1"/>
  <c r="O920" i="59" a="1"/>
  <c r="O920" i="59" s="1"/>
  <c r="Q920" i="59" a="1"/>
  <c r="Q920" i="59" s="1"/>
  <c r="M920" i="59" a="1"/>
  <c r="M920" i="59" s="1"/>
  <c r="L920" i="59" a="1"/>
  <c r="L920" i="59" s="1"/>
  <c r="N920" i="59" a="1"/>
  <c r="N920" i="59" s="1"/>
  <c r="Q799" i="59" a="1"/>
  <c r="Q799" i="59" s="1"/>
  <c r="O799" i="59" a="1"/>
  <c r="O799" i="59" s="1"/>
  <c r="M799" i="59" a="1"/>
  <c r="M799" i="59" s="1"/>
  <c r="N799" i="59" a="1"/>
  <c r="N799" i="59" s="1"/>
  <c r="L799" i="59" a="1"/>
  <c r="L799" i="59" s="1"/>
  <c r="P799" i="59" a="1"/>
  <c r="P799" i="59" s="1"/>
  <c r="O995" i="59" a="1"/>
  <c r="O995" i="59" s="1"/>
  <c r="N995" i="59" a="1"/>
  <c r="N995" i="59" s="1"/>
  <c r="P995" i="59" a="1"/>
  <c r="P995" i="59" s="1"/>
  <c r="M995" i="59" a="1"/>
  <c r="M995" i="59" s="1"/>
  <c r="Q995" i="59" a="1"/>
  <c r="Q995" i="59" s="1"/>
  <c r="L995" i="59" a="1"/>
  <c r="L995" i="59" s="1"/>
  <c r="N931" i="59" a="1"/>
  <c r="N931" i="59" s="1"/>
  <c r="L931" i="59" a="1"/>
  <c r="L931" i="59" s="1"/>
  <c r="P931" i="59" a="1"/>
  <c r="P931" i="59" s="1"/>
  <c r="Q931" i="59" a="1"/>
  <c r="Q931" i="59" s="1"/>
  <c r="O931" i="59" a="1"/>
  <c r="O931" i="59" s="1"/>
  <c r="M931" i="59" a="1"/>
  <c r="M931" i="59" s="1"/>
  <c r="M855" i="59" a="1"/>
  <c r="M855" i="59" s="1"/>
  <c r="Q855" i="59" a="1"/>
  <c r="Q855" i="59" s="1"/>
  <c r="O855" i="59" a="1"/>
  <c r="O855" i="59" s="1"/>
  <c r="N855" i="59" a="1"/>
  <c r="N855" i="59" s="1"/>
  <c r="L855" i="59" a="1"/>
  <c r="L855" i="59" s="1"/>
  <c r="P855" i="59" a="1"/>
  <c r="P855" i="59" s="1"/>
  <c r="L1022" i="59" a="1"/>
  <c r="L1022" i="59" s="1"/>
  <c r="P1022" i="59" a="1"/>
  <c r="P1022" i="59" s="1"/>
  <c r="Q1022" i="59" a="1"/>
  <c r="Q1022" i="59" s="1"/>
  <c r="N1022" i="59" a="1"/>
  <c r="N1022" i="59" s="1"/>
  <c r="M1022" i="59" a="1"/>
  <c r="M1022" i="59" s="1"/>
  <c r="O1022" i="59" a="1"/>
  <c r="O1022" i="59" s="1"/>
  <c r="L958" i="59" a="1"/>
  <c r="L958" i="59" s="1"/>
  <c r="P958" i="59" a="1"/>
  <c r="P958" i="59" s="1"/>
  <c r="Q958" i="59" a="1"/>
  <c r="Q958" i="59" s="1"/>
  <c r="M958" i="59" a="1"/>
  <c r="M958" i="59" s="1"/>
  <c r="N958" i="59" a="1"/>
  <c r="N958" i="59" s="1"/>
  <c r="O958" i="59" a="1"/>
  <c r="O958" i="59" s="1"/>
  <c r="L894" i="59" a="1"/>
  <c r="L894" i="59" s="1"/>
  <c r="P894" i="59" a="1"/>
  <c r="P894" i="59" s="1"/>
  <c r="Q894" i="59" a="1"/>
  <c r="Q894" i="59" s="1"/>
  <c r="O894" i="59" a="1"/>
  <c r="O894" i="59" s="1"/>
  <c r="N894" i="59" a="1"/>
  <c r="N894" i="59" s="1"/>
  <c r="M894" i="59" a="1"/>
  <c r="M894" i="59" s="1"/>
  <c r="M719" i="59" a="1"/>
  <c r="M719" i="59" s="1"/>
  <c r="Q719" i="59" a="1"/>
  <c r="Q719" i="59" s="1"/>
  <c r="N719" i="59" a="1"/>
  <c r="N719" i="59" s="1"/>
  <c r="P719" i="59" a="1"/>
  <c r="P719" i="59" s="1"/>
  <c r="O719" i="59" a="1"/>
  <c r="O719" i="59" s="1"/>
  <c r="L719" i="59" a="1"/>
  <c r="L719" i="59" s="1"/>
  <c r="M826" i="59" a="1"/>
  <c r="M826" i="59" s="1"/>
  <c r="Q826" i="59" a="1"/>
  <c r="Q826" i="59" s="1"/>
  <c r="N826" i="59" a="1"/>
  <c r="N826" i="59" s="1"/>
  <c r="O826" i="59" a="1"/>
  <c r="O826" i="59" s="1"/>
  <c r="L826" i="59" a="1"/>
  <c r="L826" i="59" s="1"/>
  <c r="P826" i="59" a="1"/>
  <c r="P826" i="59" s="1"/>
  <c r="M762" i="59" a="1"/>
  <c r="M762" i="59" s="1"/>
  <c r="Q762" i="59" a="1"/>
  <c r="Q762" i="59" s="1"/>
  <c r="N762" i="59" a="1"/>
  <c r="N762" i="59" s="1"/>
  <c r="O762" i="59" a="1"/>
  <c r="O762" i="59" s="1"/>
  <c r="L762" i="59" a="1"/>
  <c r="L762" i="59" s="1"/>
  <c r="P762" i="59" a="1"/>
  <c r="P762" i="59" s="1"/>
  <c r="P636" i="59" a="1"/>
  <c r="P636" i="59" s="1"/>
  <c r="M636" i="59" a="1"/>
  <c r="M636" i="59" s="1"/>
  <c r="Q636" i="59" a="1"/>
  <c r="Q636" i="59" s="1"/>
  <c r="L636" i="59" a="1"/>
  <c r="L636" i="59" s="1"/>
  <c r="N636" i="59" a="1"/>
  <c r="N636" i="59" s="1"/>
  <c r="O636" i="59" a="1"/>
  <c r="O636" i="59" s="1"/>
  <c r="N845" i="59" a="1"/>
  <c r="N845" i="59" s="1"/>
  <c r="O845" i="59" a="1"/>
  <c r="O845" i="59" s="1"/>
  <c r="L845" i="59" a="1"/>
  <c r="L845" i="59" s="1"/>
  <c r="P845" i="59" a="1"/>
  <c r="P845" i="59" s="1"/>
  <c r="M845" i="59" a="1"/>
  <c r="M845" i="59" s="1"/>
  <c r="Q845" i="59" a="1"/>
  <c r="Q845" i="59" s="1"/>
  <c r="N781" i="59" a="1"/>
  <c r="N781" i="59" s="1"/>
  <c r="P781" i="59" a="1"/>
  <c r="P781" i="59" s="1"/>
  <c r="M781" i="59" a="1"/>
  <c r="M781" i="59" s="1"/>
  <c r="O781" i="59" a="1"/>
  <c r="O781" i="59" s="1"/>
  <c r="Q781" i="59" a="1"/>
  <c r="Q781" i="59" s="1"/>
  <c r="L781" i="59" a="1"/>
  <c r="L781" i="59" s="1"/>
  <c r="L705" i="59" a="1"/>
  <c r="L705" i="59" s="1"/>
  <c r="P705" i="59" a="1"/>
  <c r="P705" i="59" s="1"/>
  <c r="M705" i="59" a="1"/>
  <c r="M705" i="59" s="1"/>
  <c r="Q705" i="59" a="1"/>
  <c r="Q705" i="59" s="1"/>
  <c r="N705" i="59" a="1"/>
  <c r="N705" i="59" s="1"/>
  <c r="O705" i="59" a="1"/>
  <c r="O705" i="59" s="1"/>
  <c r="P864" i="59" a="1"/>
  <c r="P864" i="59" s="1"/>
  <c r="O864" i="59" a="1"/>
  <c r="O864" i="59" s="1"/>
  <c r="N864" i="59" a="1"/>
  <c r="N864" i="59" s="1"/>
  <c r="Q864" i="59" a="1"/>
  <c r="Q864" i="59" s="1"/>
  <c r="L864" i="59" a="1"/>
  <c r="L864" i="59" s="1"/>
  <c r="M864" i="59" a="1"/>
  <c r="M864" i="59" s="1"/>
  <c r="L800" i="59" a="1"/>
  <c r="L800" i="59" s="1"/>
  <c r="P800" i="59" a="1"/>
  <c r="P800" i="59" s="1"/>
  <c r="N800" i="59" a="1"/>
  <c r="N800" i="59" s="1"/>
  <c r="Q800" i="59" a="1"/>
  <c r="Q800" i="59" s="1"/>
  <c r="M800" i="59" a="1"/>
  <c r="M800" i="59" s="1"/>
  <c r="O800" i="59" a="1"/>
  <c r="O800" i="59" s="1"/>
  <c r="P732" i="59" a="1"/>
  <c r="P732" i="59" s="1"/>
  <c r="N732" i="59" a="1"/>
  <c r="N732" i="59" s="1"/>
  <c r="Q732" i="59" a="1"/>
  <c r="Q732" i="59" s="1"/>
  <c r="L732" i="59" a="1"/>
  <c r="L732" i="59" s="1"/>
  <c r="M732" i="59" a="1"/>
  <c r="M732" i="59" s="1"/>
  <c r="O732" i="59" a="1"/>
  <c r="O732" i="59" s="1"/>
  <c r="O819" i="59" a="1"/>
  <c r="O819" i="59" s="1"/>
  <c r="M819" i="59" a="1"/>
  <c r="M819" i="59" s="1"/>
  <c r="L819" i="59" a="1"/>
  <c r="L819" i="59" s="1"/>
  <c r="Q819" i="59" a="1"/>
  <c r="Q819" i="59" s="1"/>
  <c r="P819" i="59" a="1"/>
  <c r="P819" i="59" s="1"/>
  <c r="N819" i="59" a="1"/>
  <c r="N819" i="59" s="1"/>
  <c r="O755" i="59" a="1"/>
  <c r="O755" i="59" s="1"/>
  <c r="M755" i="59" a="1"/>
  <c r="M755" i="59" s="1"/>
  <c r="Q755" i="59" a="1"/>
  <c r="Q755" i="59" s="1"/>
  <c r="L755" i="59" a="1"/>
  <c r="L755" i="59" s="1"/>
  <c r="P755" i="59" a="1"/>
  <c r="P755" i="59" s="1"/>
  <c r="N755" i="59" a="1"/>
  <c r="N755" i="59" s="1"/>
  <c r="O584" i="59" a="1"/>
  <c r="O584" i="59" s="1"/>
  <c r="L584" i="59" a="1"/>
  <c r="L584" i="59" s="1"/>
  <c r="P584" i="59" a="1"/>
  <c r="P584" i="59" s="1"/>
  <c r="Q584" i="59" a="1"/>
  <c r="Q584" i="59" s="1"/>
  <c r="N584" i="59" a="1"/>
  <c r="N584" i="59" s="1"/>
  <c r="M584" i="59" a="1"/>
  <c r="M584" i="59" s="1"/>
  <c r="Q846" i="59" a="1"/>
  <c r="Q846" i="59" s="1"/>
  <c r="L846" i="59" a="1"/>
  <c r="L846" i="59" s="1"/>
  <c r="O846" i="59" a="1"/>
  <c r="O846" i="59" s="1"/>
  <c r="N846" i="59" a="1"/>
  <c r="N846" i="59" s="1"/>
  <c r="M846" i="59" a="1"/>
  <c r="M846" i="59" s="1"/>
  <c r="P846" i="59" a="1"/>
  <c r="P846" i="59" s="1"/>
  <c r="O782" i="59" a="1"/>
  <c r="O782" i="59" s="1"/>
  <c r="L782" i="59" a="1"/>
  <c r="L782" i="59" s="1"/>
  <c r="P782" i="59" a="1"/>
  <c r="P782" i="59" s="1"/>
  <c r="M782" i="59" a="1"/>
  <c r="M782" i="59" s="1"/>
  <c r="Q782" i="59" a="1"/>
  <c r="Q782" i="59" s="1"/>
  <c r="N782" i="59" a="1"/>
  <c r="N782" i="59" s="1"/>
  <c r="M723" i="59" a="1"/>
  <c r="M723" i="59" s="1"/>
  <c r="L723" i="59" a="1"/>
  <c r="L723" i="59" s="1"/>
  <c r="Q723" i="59" a="1"/>
  <c r="Q723" i="59" s="1"/>
  <c r="P723" i="59" a="1"/>
  <c r="P723" i="59" s="1"/>
  <c r="O723" i="59" a="1"/>
  <c r="O723" i="59" s="1"/>
  <c r="N723" i="59" a="1"/>
  <c r="N723" i="59" s="1"/>
  <c r="M817" i="59" a="1"/>
  <c r="M817" i="59" s="1"/>
  <c r="P817" i="59" a="1"/>
  <c r="P817" i="59" s="1"/>
  <c r="N817" i="59" a="1"/>
  <c r="N817" i="59" s="1"/>
  <c r="Q817" i="59" a="1"/>
  <c r="Q817" i="59" s="1"/>
  <c r="L817" i="59" a="1"/>
  <c r="L817" i="59" s="1"/>
  <c r="O817" i="59" a="1"/>
  <c r="O817" i="59" s="1"/>
  <c r="M753" i="59" a="1"/>
  <c r="M753" i="59" s="1"/>
  <c r="Q753" i="59" a="1"/>
  <c r="Q753" i="59" s="1"/>
  <c r="N753" i="59" a="1"/>
  <c r="N753" i="59" s="1"/>
  <c r="L753" i="59" a="1"/>
  <c r="L753" i="59" s="1"/>
  <c r="P753" i="59" a="1"/>
  <c r="P753" i="59" s="1"/>
  <c r="O753" i="59" a="1"/>
  <c r="O753" i="59" s="1"/>
  <c r="P568" i="59" a="1"/>
  <c r="P568" i="59" s="1"/>
  <c r="O568" i="59" a="1"/>
  <c r="O568" i="59" s="1"/>
  <c r="Q568" i="59" a="1"/>
  <c r="Q568" i="59" s="1"/>
  <c r="L568" i="59" a="1"/>
  <c r="L568" i="59" s="1"/>
  <c r="M568" i="59" a="1"/>
  <c r="M568" i="59" s="1"/>
  <c r="N568" i="59" a="1"/>
  <c r="N568" i="59" s="1"/>
  <c r="O682" i="59" a="1"/>
  <c r="O682" i="59" s="1"/>
  <c r="M682" i="59" a="1"/>
  <c r="M682" i="59" s="1"/>
  <c r="P682" i="59" a="1"/>
  <c r="P682" i="59" s="1"/>
  <c r="Q682" i="59" a="1"/>
  <c r="Q682" i="59" s="1"/>
  <c r="N682" i="59" a="1"/>
  <c r="N682" i="59" s="1"/>
  <c r="L682" i="59" a="1"/>
  <c r="L682" i="59" s="1"/>
  <c r="Q618" i="59" a="1"/>
  <c r="Q618" i="59" s="1"/>
  <c r="N618" i="59" a="1"/>
  <c r="N618" i="59" s="1"/>
  <c r="O618" i="59" a="1"/>
  <c r="O618" i="59" s="1"/>
  <c r="M618" i="59" a="1"/>
  <c r="M618" i="59" s="1"/>
  <c r="L618" i="59" a="1"/>
  <c r="L618" i="59" s="1"/>
  <c r="P618" i="59" a="1"/>
  <c r="P618" i="59" s="1"/>
  <c r="N717" i="59" a="1"/>
  <c r="N717" i="59" s="1"/>
  <c r="O717" i="59" a="1"/>
  <c r="O717" i="59" s="1"/>
  <c r="L717" i="59" a="1"/>
  <c r="L717" i="59" s="1"/>
  <c r="P717" i="59" a="1"/>
  <c r="P717" i="59" s="1"/>
  <c r="M717" i="59" a="1"/>
  <c r="M717" i="59" s="1"/>
  <c r="Q717" i="59" a="1"/>
  <c r="Q717" i="59" s="1"/>
  <c r="N653" i="59" a="1"/>
  <c r="N653" i="59" s="1"/>
  <c r="O653" i="59" a="1"/>
  <c r="O653" i="59" s="1"/>
  <c r="L653" i="59" a="1"/>
  <c r="L653" i="59" s="1"/>
  <c r="P653" i="59" a="1"/>
  <c r="P653" i="59" s="1"/>
  <c r="M653" i="59" a="1"/>
  <c r="M653" i="59" s="1"/>
  <c r="Q653" i="59" a="1"/>
  <c r="Q653" i="59" s="1"/>
  <c r="P569" i="59" a="1"/>
  <c r="P569" i="59" s="1"/>
  <c r="N569" i="59" a="1"/>
  <c r="N569" i="59" s="1"/>
  <c r="Q569" i="59" a="1"/>
  <c r="Q569" i="59" s="1"/>
  <c r="L569" i="59" a="1"/>
  <c r="L569" i="59" s="1"/>
  <c r="M569" i="59" a="1"/>
  <c r="M569" i="59" s="1"/>
  <c r="O569" i="59" a="1"/>
  <c r="O569" i="59" s="1"/>
  <c r="L704" i="59" a="1"/>
  <c r="L704" i="59" s="1"/>
  <c r="P704" i="59" a="1"/>
  <c r="P704" i="59" s="1"/>
  <c r="N704" i="59" a="1"/>
  <c r="N704" i="59" s="1"/>
  <c r="Q704" i="59" a="1"/>
  <c r="Q704" i="59" s="1"/>
  <c r="O704" i="59" a="1"/>
  <c r="O704" i="59" s="1"/>
  <c r="M704" i="59" a="1"/>
  <c r="M704" i="59" s="1"/>
  <c r="N640" i="59" a="1"/>
  <c r="N640" i="59" s="1"/>
  <c r="O640" i="59" a="1"/>
  <c r="O640" i="59" s="1"/>
  <c r="L640" i="59" a="1"/>
  <c r="L640" i="59" s="1"/>
  <c r="P640" i="59" a="1"/>
  <c r="P640" i="59" s="1"/>
  <c r="Q640" i="59" a="1"/>
  <c r="Q640" i="59" s="1"/>
  <c r="M640" i="59" a="1"/>
  <c r="M640" i="59" s="1"/>
  <c r="N548" i="59" a="1"/>
  <c r="N548" i="59" s="1"/>
  <c r="M548" i="59" a="1"/>
  <c r="M548" i="59" s="1"/>
  <c r="Q548" i="59" a="1"/>
  <c r="Q548" i="59" s="1"/>
  <c r="P548" i="59" a="1"/>
  <c r="P548" i="59" s="1"/>
  <c r="O548" i="59" a="1"/>
  <c r="O548" i="59" s="1"/>
  <c r="L548" i="59" a="1"/>
  <c r="L548" i="59" s="1"/>
  <c r="O627" i="59" a="1"/>
  <c r="O627" i="59" s="1"/>
  <c r="M627" i="59" a="1"/>
  <c r="M627" i="59" s="1"/>
  <c r="Q627" i="59" a="1"/>
  <c r="Q627" i="59" s="1"/>
  <c r="L627" i="59" a="1"/>
  <c r="L627" i="59" s="1"/>
  <c r="P627" i="59" a="1"/>
  <c r="P627" i="59" s="1"/>
  <c r="N627" i="59" a="1"/>
  <c r="N627" i="59" s="1"/>
  <c r="M734" i="59" a="1"/>
  <c r="M734" i="59" s="1"/>
  <c r="Q734" i="59" a="1"/>
  <c r="Q734" i="59" s="1"/>
  <c r="L734" i="59" a="1"/>
  <c r="L734" i="59" s="1"/>
  <c r="N734" i="59" a="1"/>
  <c r="N734" i="59" s="1"/>
  <c r="O734" i="59" a="1"/>
  <c r="O734" i="59" s="1"/>
  <c r="P734" i="59" a="1"/>
  <c r="P734" i="59" s="1"/>
  <c r="M670" i="59" a="1"/>
  <c r="M670" i="59" s="1"/>
  <c r="Q670" i="59" a="1"/>
  <c r="Q670" i="59" s="1"/>
  <c r="L670" i="59" a="1"/>
  <c r="L670" i="59" s="1"/>
  <c r="N670" i="59" a="1"/>
  <c r="N670" i="59" s="1"/>
  <c r="P670" i="59" a="1"/>
  <c r="P670" i="59" s="1"/>
  <c r="O670" i="59" a="1"/>
  <c r="O670" i="59" s="1"/>
  <c r="L598" i="59" a="1"/>
  <c r="L598" i="59" s="1"/>
  <c r="P598" i="59" a="1"/>
  <c r="P598" i="59" s="1"/>
  <c r="N598" i="59" a="1"/>
  <c r="N598" i="59" s="1"/>
  <c r="M598" i="59" a="1"/>
  <c r="M598" i="59" s="1"/>
  <c r="Q598" i="59" a="1"/>
  <c r="Q598" i="59" s="1"/>
  <c r="O598" i="59" a="1"/>
  <c r="O598" i="59" s="1"/>
  <c r="L649" i="59" a="1"/>
  <c r="L649" i="59" s="1"/>
  <c r="M649" i="59" a="1"/>
  <c r="M649" i="59" s="1"/>
  <c r="Q649" i="59" a="1"/>
  <c r="Q649" i="59" s="1"/>
  <c r="P649" i="59" a="1"/>
  <c r="P649" i="59" s="1"/>
  <c r="N649" i="59" a="1"/>
  <c r="N649" i="59" s="1"/>
  <c r="O649" i="59" a="1"/>
  <c r="O649" i="59" s="1"/>
  <c r="M561" i="59" a="1"/>
  <c r="M561" i="59" s="1"/>
  <c r="L561" i="59" a="1"/>
  <c r="L561" i="59" s="1"/>
  <c r="P561" i="59" a="1"/>
  <c r="P561" i="59" s="1"/>
  <c r="O561" i="59" a="1"/>
  <c r="O561" i="59" s="1"/>
  <c r="N561" i="59" a="1"/>
  <c r="N561" i="59" s="1"/>
  <c r="Q561" i="59" a="1"/>
  <c r="Q561" i="59" s="1"/>
  <c r="O575" i="59" a="1"/>
  <c r="O575" i="59" s="1"/>
  <c r="L575" i="59" a="1"/>
  <c r="L575" i="59" s="1"/>
  <c r="Q575" i="59" a="1"/>
  <c r="Q575" i="59" s="1"/>
  <c r="M575" i="59" a="1"/>
  <c r="M575" i="59" s="1"/>
  <c r="P575" i="59" a="1"/>
  <c r="P575" i="59" s="1"/>
  <c r="N575" i="59" a="1"/>
  <c r="N575" i="59" s="1"/>
  <c r="O492" i="59" a="1"/>
  <c r="O492" i="59" s="1"/>
  <c r="Q492" i="59" a="1"/>
  <c r="Q492" i="59" s="1"/>
  <c r="P492" i="59" a="1"/>
  <c r="P492" i="59" s="1"/>
  <c r="N492" i="59" a="1"/>
  <c r="N492" i="59" s="1"/>
  <c r="L492" i="59" a="1"/>
  <c r="L492" i="59" s="1"/>
  <c r="M492" i="59" a="1"/>
  <c r="M492" i="59" s="1"/>
  <c r="Q554" i="59" a="1"/>
  <c r="Q554" i="59" s="1"/>
  <c r="N554" i="59" a="1"/>
  <c r="N554" i="59" s="1"/>
  <c r="P554" i="59" a="1"/>
  <c r="P554" i="59" s="1"/>
  <c r="O554" i="59" a="1"/>
  <c r="O554" i="59" s="1"/>
  <c r="M554" i="59" a="1"/>
  <c r="M554" i="59" s="1"/>
  <c r="L554" i="59" a="1"/>
  <c r="L554" i="59" s="1"/>
  <c r="L605" i="59" a="1"/>
  <c r="L605" i="59" s="1"/>
  <c r="Q605" i="59" a="1"/>
  <c r="Q605" i="59" s="1"/>
  <c r="P605" i="59" a="1"/>
  <c r="P605" i="59" s="1"/>
  <c r="N605" i="59" a="1"/>
  <c r="N605" i="59" s="1"/>
  <c r="O605" i="59" a="1"/>
  <c r="O605" i="59" s="1"/>
  <c r="M605" i="59" a="1"/>
  <c r="M605" i="59" s="1"/>
  <c r="L531" i="59" a="1"/>
  <c r="L531" i="59" s="1"/>
  <c r="Q531" i="59" a="1"/>
  <c r="Q531" i="59" s="1"/>
  <c r="P531" i="59" a="1"/>
  <c r="P531" i="59" s="1"/>
  <c r="O531" i="59" a="1"/>
  <c r="O531" i="59" s="1"/>
  <c r="M531" i="59" a="1"/>
  <c r="M531" i="59" s="1"/>
  <c r="N531" i="59" a="1"/>
  <c r="N531" i="59" s="1"/>
  <c r="P451" i="59" a="1"/>
  <c r="P451" i="59" s="1"/>
  <c r="L451" i="59" a="1"/>
  <c r="L451" i="59" s="1"/>
  <c r="O451" i="59" a="1"/>
  <c r="O451" i="59" s="1"/>
  <c r="Q451" i="59" a="1"/>
  <c r="Q451" i="59" s="1"/>
  <c r="M451" i="59" a="1"/>
  <c r="M451" i="59" s="1"/>
  <c r="N451" i="59" a="1"/>
  <c r="N451" i="59" s="1"/>
  <c r="O547" i="59" a="1"/>
  <c r="O547" i="59" s="1"/>
  <c r="M547" i="59" a="1"/>
  <c r="M547" i="59" s="1"/>
  <c r="Q547" i="59" a="1"/>
  <c r="Q547" i="59" s="1"/>
  <c r="P547" i="59" a="1"/>
  <c r="P547" i="59" s="1"/>
  <c r="L547" i="59" a="1"/>
  <c r="L547" i="59" s="1"/>
  <c r="N547" i="59" a="1"/>
  <c r="N547" i="59" s="1"/>
  <c r="N501" i="59" a="1"/>
  <c r="N501" i="59" s="1"/>
  <c r="L501" i="59" a="1"/>
  <c r="L501" i="59" s="1"/>
  <c r="M501" i="59" a="1"/>
  <c r="M501" i="59" s="1"/>
  <c r="O501" i="59" a="1"/>
  <c r="O501" i="59" s="1"/>
  <c r="P501" i="59" a="1"/>
  <c r="P501" i="59" s="1"/>
  <c r="Q501" i="59" a="1"/>
  <c r="Q501" i="59" s="1"/>
  <c r="L510" i="59" a="1"/>
  <c r="L510" i="59" s="1"/>
  <c r="Q510" i="59" a="1"/>
  <c r="Q510" i="59" s="1"/>
  <c r="N510" i="59" a="1"/>
  <c r="N510" i="59" s="1"/>
  <c r="M510" i="59" a="1"/>
  <c r="M510" i="59" s="1"/>
  <c r="O510" i="59" a="1"/>
  <c r="O510" i="59" s="1"/>
  <c r="P510" i="59" a="1"/>
  <c r="P510" i="59" s="1"/>
  <c r="O419" i="59" a="1"/>
  <c r="O419" i="59" s="1"/>
  <c r="L419" i="59" a="1"/>
  <c r="L419" i="59" s="1"/>
  <c r="P419" i="59" a="1"/>
  <c r="P419" i="59" s="1"/>
  <c r="N419" i="59" a="1"/>
  <c r="N419" i="59" s="1"/>
  <c r="Q419" i="59" a="1"/>
  <c r="Q419" i="59" s="1"/>
  <c r="M419" i="59" a="1"/>
  <c r="M419" i="59" s="1"/>
  <c r="L487" i="59" a="1"/>
  <c r="L487" i="59" s="1"/>
  <c r="N487" i="59" a="1"/>
  <c r="N487" i="59" s="1"/>
  <c r="O487" i="59" a="1"/>
  <c r="O487" i="59" s="1"/>
  <c r="M487" i="59" a="1"/>
  <c r="M487" i="59" s="1"/>
  <c r="Q487" i="59" a="1"/>
  <c r="Q487" i="59" s="1"/>
  <c r="P487" i="59" a="1"/>
  <c r="P487" i="59" s="1"/>
  <c r="L530" i="59" a="1"/>
  <c r="L530" i="59" s="1"/>
  <c r="P530" i="59" a="1"/>
  <c r="P530" i="59" s="1"/>
  <c r="Q530" i="59" a="1"/>
  <c r="Q530" i="59" s="1"/>
  <c r="N530" i="59" a="1"/>
  <c r="N530" i="59" s="1"/>
  <c r="O530" i="59" a="1"/>
  <c r="O530" i="59" s="1"/>
  <c r="M530" i="59" a="1"/>
  <c r="M530" i="59" s="1"/>
  <c r="Q441" i="59" a="1"/>
  <c r="Q441" i="59" s="1"/>
  <c r="O441" i="59" a="1"/>
  <c r="O441" i="59" s="1"/>
  <c r="M441" i="59" a="1"/>
  <c r="M441" i="59" s="1"/>
  <c r="L441" i="59" a="1"/>
  <c r="L441" i="59" s="1"/>
  <c r="P441" i="59" a="1"/>
  <c r="P441" i="59" s="1"/>
  <c r="N441" i="59" a="1"/>
  <c r="N441" i="59" s="1"/>
  <c r="M528" i="59" a="1"/>
  <c r="M528" i="59" s="1"/>
  <c r="Q528" i="59" a="1"/>
  <c r="Q528" i="59" s="1"/>
  <c r="L528" i="59" a="1"/>
  <c r="L528" i="59" s="1"/>
  <c r="P528" i="59" a="1"/>
  <c r="P528" i="59" s="1"/>
  <c r="N528" i="59" a="1"/>
  <c r="N528" i="59" s="1"/>
  <c r="O528" i="59" a="1"/>
  <c r="O528" i="59" s="1"/>
  <c r="N443" i="59" a="1"/>
  <c r="N443" i="59" s="1"/>
  <c r="O443" i="59" a="1"/>
  <c r="O443" i="59" s="1"/>
  <c r="L443" i="59" a="1"/>
  <c r="L443" i="59" s="1"/>
  <c r="P443" i="59" a="1"/>
  <c r="P443" i="59" s="1"/>
  <c r="M443" i="59" a="1"/>
  <c r="M443" i="59" s="1"/>
  <c r="Q443" i="59" a="1"/>
  <c r="Q443" i="59" s="1"/>
  <c r="Q468" i="59" a="1"/>
  <c r="Q468" i="59" s="1"/>
  <c r="P468" i="59" a="1"/>
  <c r="P468" i="59" s="1"/>
  <c r="N468" i="59" a="1"/>
  <c r="N468" i="59" s="1"/>
  <c r="O468" i="59" a="1"/>
  <c r="O468" i="59" s="1"/>
  <c r="L468" i="59" a="1"/>
  <c r="L468" i="59" s="1"/>
  <c r="M468" i="59" a="1"/>
  <c r="M468" i="59" s="1"/>
  <c r="L388" i="59" a="1"/>
  <c r="L388" i="59" s="1"/>
  <c r="N388" i="59" a="1"/>
  <c r="N388" i="59" s="1"/>
  <c r="Q388" i="59" a="1"/>
  <c r="Q388" i="59" s="1"/>
  <c r="P388" i="59" a="1"/>
  <c r="P388" i="59" s="1"/>
  <c r="M388" i="59" a="1"/>
  <c r="M388" i="59" s="1"/>
  <c r="O388" i="59" a="1"/>
  <c r="O388" i="59" s="1"/>
  <c r="N447" i="59" a="1"/>
  <c r="N447" i="59" s="1"/>
  <c r="Q447" i="59" a="1"/>
  <c r="Q447" i="59" s="1"/>
  <c r="M447" i="59" a="1"/>
  <c r="M447" i="59" s="1"/>
  <c r="L447" i="59" a="1"/>
  <c r="L447" i="59" s="1"/>
  <c r="P447" i="59" a="1"/>
  <c r="P447" i="59" s="1"/>
  <c r="O447" i="59" a="1"/>
  <c r="O447" i="59" s="1"/>
  <c r="N306" i="59" a="1"/>
  <c r="N306" i="59" s="1"/>
  <c r="M306" i="59" a="1"/>
  <c r="M306" i="59" s="1"/>
  <c r="O306" i="59" a="1"/>
  <c r="O306" i="59" s="1"/>
  <c r="Q306" i="59" a="1"/>
  <c r="Q306" i="59" s="1"/>
  <c r="P306" i="59" a="1"/>
  <c r="P306" i="59" s="1"/>
  <c r="L306" i="59" a="1"/>
  <c r="L306" i="59" s="1"/>
  <c r="M445" i="59" a="1"/>
  <c r="M445" i="59" s="1"/>
  <c r="P445" i="59" a="1"/>
  <c r="P445" i="59" s="1"/>
  <c r="N445" i="59" a="1"/>
  <c r="N445" i="59" s="1"/>
  <c r="L445" i="59" a="1"/>
  <c r="L445" i="59" s="1"/>
  <c r="Q445" i="59" a="1"/>
  <c r="Q445" i="59" s="1"/>
  <c r="O445" i="59" a="1"/>
  <c r="O445" i="59" s="1"/>
  <c r="M319" i="59" a="1"/>
  <c r="M319" i="59" s="1"/>
  <c r="L319" i="59" a="1"/>
  <c r="L319" i="59" s="1"/>
  <c r="Q319" i="59" a="1"/>
  <c r="Q319" i="59" s="1"/>
  <c r="P319" i="59" a="1"/>
  <c r="P319" i="59" s="1"/>
  <c r="N319" i="59" a="1"/>
  <c r="N319" i="59" s="1"/>
  <c r="O319" i="59" a="1"/>
  <c r="O319" i="59" s="1"/>
  <c r="L440" i="59" a="1"/>
  <c r="L440" i="59" s="1"/>
  <c r="Q440" i="59" a="1"/>
  <c r="Q440" i="59" s="1"/>
  <c r="N440" i="59" a="1"/>
  <c r="N440" i="59" s="1"/>
  <c r="P440" i="59" a="1"/>
  <c r="P440" i="59" s="1"/>
  <c r="M440" i="59" a="1"/>
  <c r="M440" i="59" s="1"/>
  <c r="O440" i="59" a="1"/>
  <c r="O440" i="59" s="1"/>
  <c r="M359" i="59" a="1"/>
  <c r="M359" i="59" s="1"/>
  <c r="L359" i="59" a="1"/>
  <c r="L359" i="59" s="1"/>
  <c r="Q359" i="59" a="1"/>
  <c r="Q359" i="59" s="1"/>
  <c r="P359" i="59" a="1"/>
  <c r="P359" i="59" s="1"/>
  <c r="N359" i="59" a="1"/>
  <c r="N359" i="59" s="1"/>
  <c r="O359" i="59" a="1"/>
  <c r="O359" i="59" s="1"/>
  <c r="O373" i="59" a="1"/>
  <c r="O373" i="59" s="1"/>
  <c r="L373" i="59" a="1"/>
  <c r="L373" i="59" s="1"/>
  <c r="N373" i="59" a="1"/>
  <c r="N373" i="59" s="1"/>
  <c r="Q373" i="59" a="1"/>
  <c r="Q373" i="59" s="1"/>
  <c r="M373" i="59" a="1"/>
  <c r="M373" i="59" s="1"/>
  <c r="P373" i="59" a="1"/>
  <c r="P373" i="59" s="1"/>
  <c r="P416" i="59" a="1"/>
  <c r="P416" i="59" s="1"/>
  <c r="M416" i="59" a="1"/>
  <c r="M416" i="59" s="1"/>
  <c r="N416" i="59" a="1"/>
  <c r="N416" i="59" s="1"/>
  <c r="Q416" i="59" a="1"/>
  <c r="Q416" i="59" s="1"/>
  <c r="L416" i="59" a="1"/>
  <c r="L416" i="59" s="1"/>
  <c r="O416" i="59" a="1"/>
  <c r="O416" i="59" s="1"/>
  <c r="L345" i="59" a="1"/>
  <c r="L345" i="59" s="1"/>
  <c r="O345" i="59" a="1"/>
  <c r="O345" i="59" s="1"/>
  <c r="P345" i="59" a="1"/>
  <c r="P345" i="59" s="1"/>
  <c r="Q345" i="59" a="1"/>
  <c r="Q345" i="59" s="1"/>
  <c r="M345" i="59" a="1"/>
  <c r="M345" i="59" s="1"/>
  <c r="N345" i="59" a="1"/>
  <c r="N345" i="59" s="1"/>
  <c r="M414" i="59" a="1"/>
  <c r="M414" i="59" s="1"/>
  <c r="Q414" i="59" a="1"/>
  <c r="Q414" i="59" s="1"/>
  <c r="O414" i="59" a="1"/>
  <c r="O414" i="59" s="1"/>
  <c r="P414" i="59" a="1"/>
  <c r="P414" i="59" s="1"/>
  <c r="N414" i="59" a="1"/>
  <c r="N414" i="59" s="1"/>
  <c r="L414" i="59" a="1"/>
  <c r="L414" i="59" s="1"/>
  <c r="N330" i="59" a="1"/>
  <c r="N330" i="59" s="1"/>
  <c r="M330" i="59" a="1"/>
  <c r="M330" i="59" s="1"/>
  <c r="O330" i="59" a="1"/>
  <c r="O330" i="59" s="1"/>
  <c r="L330" i="59" a="1"/>
  <c r="L330" i="59" s="1"/>
  <c r="Q330" i="59" a="1"/>
  <c r="Q330" i="59" s="1"/>
  <c r="P330" i="59" a="1"/>
  <c r="P330" i="59" s="1"/>
  <c r="M393" i="59" a="1"/>
  <c r="M393" i="59" s="1"/>
  <c r="Q393" i="59" a="1"/>
  <c r="Q393" i="59" s="1"/>
  <c r="L393" i="59" a="1"/>
  <c r="L393" i="59" s="1"/>
  <c r="P393" i="59" a="1"/>
  <c r="P393" i="59" s="1"/>
  <c r="N393" i="59" a="1"/>
  <c r="N393" i="59" s="1"/>
  <c r="O393" i="59" a="1"/>
  <c r="O393" i="59" s="1"/>
  <c r="M229" i="59" a="1"/>
  <c r="M229" i="59" s="1"/>
  <c r="N229" i="59" a="1"/>
  <c r="N229" i="59" s="1"/>
  <c r="O229" i="59" a="1"/>
  <c r="O229" i="59" s="1"/>
  <c r="P229" i="59" a="1"/>
  <c r="P229" i="59" s="1"/>
  <c r="Q229" i="59" a="1"/>
  <c r="Q229" i="59" s="1"/>
  <c r="L229" i="59" a="1"/>
  <c r="L229" i="59" s="1"/>
  <c r="O320" i="59" a="1"/>
  <c r="O320" i="59" s="1"/>
  <c r="L320" i="59" a="1"/>
  <c r="L320" i="59" s="1"/>
  <c r="P320" i="59" a="1"/>
  <c r="P320" i="59" s="1"/>
  <c r="M320" i="59" a="1"/>
  <c r="M320" i="59" s="1"/>
  <c r="N320" i="59" a="1"/>
  <c r="N320" i="59" s="1"/>
  <c r="Q320" i="59" a="1"/>
  <c r="Q320" i="59" s="1"/>
  <c r="N363" i="59" a="1"/>
  <c r="N363" i="59" s="1"/>
  <c r="O363" i="59" a="1"/>
  <c r="O363" i="59" s="1"/>
  <c r="L363" i="59" a="1"/>
  <c r="L363" i="59" s="1"/>
  <c r="P363" i="59" a="1"/>
  <c r="P363" i="59" s="1"/>
  <c r="M363" i="59" a="1"/>
  <c r="M363" i="59" s="1"/>
  <c r="Q363" i="59" a="1"/>
  <c r="Q363" i="59" s="1"/>
  <c r="N299" i="59" a="1"/>
  <c r="N299" i="59" s="1"/>
  <c r="O299" i="59" a="1"/>
  <c r="O299" i="59" s="1"/>
  <c r="M299" i="59" a="1"/>
  <c r="M299" i="59" s="1"/>
  <c r="L299" i="59" a="1"/>
  <c r="L299" i="59" s="1"/>
  <c r="P299" i="59" a="1"/>
  <c r="P299" i="59" s="1"/>
  <c r="Q299" i="59" a="1"/>
  <c r="Q299" i="59" s="1"/>
  <c r="M342" i="59" a="1"/>
  <c r="M342" i="59" s="1"/>
  <c r="Q342" i="59" a="1"/>
  <c r="Q342" i="59" s="1"/>
  <c r="L342" i="59" a="1"/>
  <c r="L342" i="59" s="1"/>
  <c r="P342" i="59" a="1"/>
  <c r="P342" i="59" s="1"/>
  <c r="O342" i="59" a="1"/>
  <c r="O342" i="59" s="1"/>
  <c r="N342" i="59" a="1"/>
  <c r="N342" i="59" s="1"/>
  <c r="L278" i="59" a="1"/>
  <c r="L278" i="59" s="1"/>
  <c r="O278" i="59" a="1"/>
  <c r="O278" i="59" s="1"/>
  <c r="P278" i="59" a="1"/>
  <c r="P278" i="59" s="1"/>
  <c r="N278" i="59" a="1"/>
  <c r="N278" i="59" s="1"/>
  <c r="Q278" i="59" a="1"/>
  <c r="Q278" i="59" s="1"/>
  <c r="M278" i="59" a="1"/>
  <c r="M278" i="59" s="1"/>
  <c r="N364" i="59" a="1"/>
  <c r="N364" i="59" s="1"/>
  <c r="M364" i="59" a="1"/>
  <c r="M364" i="59" s="1"/>
  <c r="Q364" i="59" a="1"/>
  <c r="Q364" i="59" s="1"/>
  <c r="P364" i="59" a="1"/>
  <c r="P364" i="59" s="1"/>
  <c r="L364" i="59" a="1"/>
  <c r="L364" i="59" s="1"/>
  <c r="O364" i="59" a="1"/>
  <c r="O364" i="59" s="1"/>
  <c r="M300" i="59" a="1"/>
  <c r="M300" i="59" s="1"/>
  <c r="Q300" i="59" a="1"/>
  <c r="Q300" i="59" s="1"/>
  <c r="N300" i="59" a="1"/>
  <c r="N300" i="59" s="1"/>
  <c r="P300" i="59" a="1"/>
  <c r="P300" i="59" s="1"/>
  <c r="L300" i="59" a="1"/>
  <c r="L300" i="59" s="1"/>
  <c r="O300" i="59" a="1"/>
  <c r="O300" i="59" s="1"/>
  <c r="Q182" i="59" a="1"/>
  <c r="Q182" i="59" s="1"/>
  <c r="N182" i="59" a="1"/>
  <c r="N182" i="59" s="1"/>
  <c r="O182" i="59" a="1"/>
  <c r="O182" i="59" s="1"/>
  <c r="P182" i="59" a="1"/>
  <c r="P182" i="59" s="1"/>
  <c r="L182" i="59" a="1"/>
  <c r="L182" i="59" s="1"/>
  <c r="M182" i="59" a="1"/>
  <c r="M182" i="59" s="1"/>
  <c r="N272" i="59" a="1"/>
  <c r="N272" i="59" s="1"/>
  <c r="M272" i="59" a="1"/>
  <c r="M272" i="59" s="1"/>
  <c r="O272" i="59" a="1"/>
  <c r="O272" i="59" s="1"/>
  <c r="L272" i="59" a="1"/>
  <c r="L272" i="59" s="1"/>
  <c r="P272" i="59" a="1"/>
  <c r="P272" i="59" s="1"/>
  <c r="Q272" i="59" a="1"/>
  <c r="Q272" i="59" s="1"/>
  <c r="L267" i="59" a="1"/>
  <c r="L267" i="59" s="1"/>
  <c r="M267" i="59" a="1"/>
  <c r="M267" i="59" s="1"/>
  <c r="Q267" i="59" a="1"/>
  <c r="Q267" i="59" s="1"/>
  <c r="P267" i="59" a="1"/>
  <c r="P267" i="59" s="1"/>
  <c r="N267" i="59" a="1"/>
  <c r="N267" i="59" s="1"/>
  <c r="O267" i="59" a="1"/>
  <c r="O267" i="59" s="1"/>
  <c r="P241" i="59" a="1"/>
  <c r="P241" i="59" s="1"/>
  <c r="Q241" i="59" a="1"/>
  <c r="Q241" i="59" s="1"/>
  <c r="O241" i="59" a="1"/>
  <c r="O241" i="59" s="1"/>
  <c r="L241" i="59" a="1"/>
  <c r="L241" i="59" s="1"/>
  <c r="M241" i="59" a="1"/>
  <c r="M241" i="59" s="1"/>
  <c r="N241" i="59" a="1"/>
  <c r="N241" i="59" s="1"/>
  <c r="Q231" i="59" a="1"/>
  <c r="Q231" i="59" s="1"/>
  <c r="N231" i="59" a="1"/>
  <c r="N231" i="59" s="1"/>
  <c r="L231" i="59" a="1"/>
  <c r="L231" i="59" s="1"/>
  <c r="P231" i="59" a="1"/>
  <c r="P231" i="59" s="1"/>
  <c r="M231" i="59" a="1"/>
  <c r="M231" i="59" s="1"/>
  <c r="O231" i="59" a="1"/>
  <c r="O231" i="59" s="1"/>
  <c r="M199" i="59" a="1"/>
  <c r="M199" i="59" s="1"/>
  <c r="L199" i="59" a="1"/>
  <c r="L199" i="59" s="1"/>
  <c r="N199" i="59" a="1"/>
  <c r="N199" i="59" s="1"/>
  <c r="P199" i="59" a="1"/>
  <c r="P199" i="59" s="1"/>
  <c r="Q199" i="59" a="1"/>
  <c r="Q199" i="59" s="1"/>
  <c r="O199" i="59" a="1"/>
  <c r="O199" i="59" s="1"/>
  <c r="O208" i="59" a="1"/>
  <c r="O208" i="59" s="1"/>
  <c r="M208" i="59" a="1"/>
  <c r="M208" i="59" s="1"/>
  <c r="L208" i="59" a="1"/>
  <c r="L208" i="59" s="1"/>
  <c r="P208" i="59" a="1"/>
  <c r="P208" i="59" s="1"/>
  <c r="N208" i="59" a="1"/>
  <c r="N208" i="59" s="1"/>
  <c r="Q208" i="59" a="1"/>
  <c r="Q208" i="59" s="1"/>
  <c r="M246" i="59" a="1"/>
  <c r="M246" i="59" s="1"/>
  <c r="L246" i="59" a="1"/>
  <c r="L246" i="59" s="1"/>
  <c r="N246" i="59" a="1"/>
  <c r="N246" i="59" s="1"/>
  <c r="Q246" i="59" a="1"/>
  <c r="Q246" i="59" s="1"/>
  <c r="O246" i="59" a="1"/>
  <c r="O246" i="59" s="1"/>
  <c r="P246" i="59" a="1"/>
  <c r="P246" i="59" s="1"/>
  <c r="O244" i="59" a="1"/>
  <c r="O244" i="59" s="1"/>
  <c r="P244" i="59" a="1"/>
  <c r="P244" i="59" s="1"/>
  <c r="Q244" i="59" a="1"/>
  <c r="Q244" i="59" s="1"/>
  <c r="N244" i="59" a="1"/>
  <c r="N244" i="59" s="1"/>
  <c r="L244" i="59" a="1"/>
  <c r="L244" i="59" s="1"/>
  <c r="M244" i="59" a="1"/>
  <c r="M244" i="59" s="1"/>
  <c r="P168" i="59" a="1"/>
  <c r="P168" i="59" s="1"/>
  <c r="M168" i="59" a="1"/>
  <c r="M168" i="59" s="1"/>
  <c r="O168" i="59" a="1"/>
  <c r="O168" i="59" s="1"/>
  <c r="Q168" i="59" a="1"/>
  <c r="Q168" i="59" s="1"/>
  <c r="L168" i="59" a="1"/>
  <c r="L168" i="59" s="1"/>
  <c r="N168" i="59" a="1"/>
  <c r="N168" i="59" s="1"/>
  <c r="P198" i="59" a="1"/>
  <c r="P198" i="59" s="1"/>
  <c r="O198" i="59" a="1"/>
  <c r="O198" i="59" s="1"/>
  <c r="M198" i="59" a="1"/>
  <c r="M198" i="59" s="1"/>
  <c r="Q198" i="59" a="1"/>
  <c r="Q198" i="59" s="1"/>
  <c r="L198" i="59" a="1"/>
  <c r="L198" i="59" s="1"/>
  <c r="N198" i="59" a="1"/>
  <c r="N198" i="59" s="1"/>
  <c r="O185" i="59" a="1"/>
  <c r="O185" i="59" s="1"/>
  <c r="Q185" i="59" a="1"/>
  <c r="Q185" i="59" s="1"/>
  <c r="L185" i="59" a="1"/>
  <c r="L185" i="59" s="1"/>
  <c r="P185" i="59" a="1"/>
  <c r="P185" i="59" s="1"/>
  <c r="M185" i="59" a="1"/>
  <c r="M185" i="59" s="1"/>
  <c r="N185" i="59" a="1"/>
  <c r="N185" i="59" s="1"/>
  <c r="N172" i="59" a="1"/>
  <c r="N172" i="59" s="1"/>
  <c r="L172" i="59" a="1"/>
  <c r="L172" i="59" s="1"/>
  <c r="Q172" i="59" a="1"/>
  <c r="Q172" i="59" s="1"/>
  <c r="O172" i="59" a="1"/>
  <c r="O172" i="59" s="1"/>
  <c r="P172" i="59" a="1"/>
  <c r="P172" i="59" s="1"/>
  <c r="M172" i="59" a="1"/>
  <c r="M172" i="59" s="1"/>
  <c r="L175" i="59" a="1"/>
  <c r="L175" i="59" s="1"/>
  <c r="P175" i="59" a="1"/>
  <c r="P175" i="59" s="1"/>
  <c r="M175" i="59" a="1"/>
  <c r="M175" i="59" s="1"/>
  <c r="O175" i="59" a="1"/>
  <c r="O175" i="59" s="1"/>
  <c r="Q175" i="59" a="1"/>
  <c r="Q175" i="59" s="1"/>
  <c r="N175" i="59" a="1"/>
  <c r="N175" i="59" s="1"/>
  <c r="Q150" i="59" a="1"/>
  <c r="Q150" i="59" s="1"/>
  <c r="O150" i="59" a="1"/>
  <c r="O150" i="59" s="1"/>
  <c r="N150" i="59" a="1"/>
  <c r="N150" i="59" s="1"/>
  <c r="M150" i="59" a="1"/>
  <c r="M150" i="59" s="1"/>
  <c r="P150" i="59" a="1"/>
  <c r="P150" i="59" s="1"/>
  <c r="L150" i="59" a="1"/>
  <c r="L150" i="59" s="1"/>
  <c r="Q74" i="59" a="1"/>
  <c r="Q74" i="59" s="1"/>
  <c r="P74" i="59" a="1"/>
  <c r="P74" i="59" s="1"/>
  <c r="L74" i="59" a="1"/>
  <c r="L74" i="59" s="1"/>
  <c r="N74" i="59" a="1"/>
  <c r="N74" i="59" s="1"/>
  <c r="O74" i="59" a="1"/>
  <c r="O74" i="59" s="1"/>
  <c r="M74" i="59" a="1"/>
  <c r="M74" i="59" s="1"/>
  <c r="N132" i="59" a="1"/>
  <c r="N132" i="59" s="1"/>
  <c r="O132" i="59" a="1"/>
  <c r="O132" i="59" s="1"/>
  <c r="P132" i="59" a="1"/>
  <c r="P132" i="59" s="1"/>
  <c r="L132" i="59" a="1"/>
  <c r="L132" i="59" s="1"/>
  <c r="M132" i="59" a="1"/>
  <c r="M132" i="59" s="1"/>
  <c r="Q132" i="59" a="1"/>
  <c r="Q132" i="59" s="1"/>
  <c r="P107" i="59" a="1"/>
  <c r="P107" i="59" s="1"/>
  <c r="Q107" i="59" a="1"/>
  <c r="Q107" i="59" s="1"/>
  <c r="O107" i="59" a="1"/>
  <c r="O107" i="59" s="1"/>
  <c r="L107" i="59" a="1"/>
  <c r="L107" i="59" s="1"/>
  <c r="M107" i="59" a="1"/>
  <c r="M107" i="59" s="1"/>
  <c r="N107" i="59" a="1"/>
  <c r="N107" i="59" s="1"/>
  <c r="L120" i="59" a="1"/>
  <c r="L120" i="59" s="1"/>
  <c r="M120" i="59" a="1"/>
  <c r="M120" i="59" s="1"/>
  <c r="Q120" i="59" a="1"/>
  <c r="Q120" i="59" s="1"/>
  <c r="O120" i="59" a="1"/>
  <c r="O120" i="59" s="1"/>
  <c r="N120" i="59" a="1"/>
  <c r="N120" i="59" s="1"/>
  <c r="P120" i="59" a="1"/>
  <c r="P120" i="59" s="1"/>
  <c r="Q100" i="59" a="1"/>
  <c r="Q100" i="59" s="1"/>
  <c r="P100" i="59" a="1"/>
  <c r="P100" i="59" s="1"/>
  <c r="M100" i="59" a="1"/>
  <c r="M100" i="59" s="1"/>
  <c r="L100" i="59" a="1"/>
  <c r="L100" i="59" s="1"/>
  <c r="O100" i="59" a="1"/>
  <c r="O100" i="59" s="1"/>
  <c r="N100" i="59" a="1"/>
  <c r="N100" i="59" s="1"/>
  <c r="N101" i="59" a="1"/>
  <c r="N101" i="59" s="1"/>
  <c r="O101" i="59" a="1"/>
  <c r="O101" i="59" s="1"/>
  <c r="M101" i="59" a="1"/>
  <c r="M101" i="59" s="1"/>
  <c r="L101" i="59" a="1"/>
  <c r="L101" i="59" s="1"/>
  <c r="P101" i="59" a="1"/>
  <c r="P101" i="59" s="1"/>
  <c r="Q101" i="59" a="1"/>
  <c r="Q101" i="59" s="1"/>
  <c r="O119" i="59" a="1"/>
  <c r="O119" i="59" s="1"/>
  <c r="N119" i="59" a="1"/>
  <c r="N119" i="59" s="1"/>
  <c r="M119" i="59" a="1"/>
  <c r="M119" i="59" s="1"/>
  <c r="L119" i="59" a="1"/>
  <c r="L119" i="59" s="1"/>
  <c r="P119" i="59" a="1"/>
  <c r="P119" i="59" s="1"/>
  <c r="Q119" i="59" a="1"/>
  <c r="Q119" i="59" s="1"/>
  <c r="L114" i="59" a="1"/>
  <c r="L114" i="59" s="1"/>
  <c r="O114" i="59" a="1"/>
  <c r="O114" i="59" s="1"/>
  <c r="M114" i="59" a="1"/>
  <c r="M114" i="59" s="1"/>
  <c r="Q114" i="59" a="1"/>
  <c r="Q114" i="59" s="1"/>
  <c r="P114" i="59" a="1"/>
  <c r="P114" i="59" s="1"/>
  <c r="N114" i="59" a="1"/>
  <c r="N114" i="59" s="1"/>
  <c r="M117" i="59" a="1"/>
  <c r="M117" i="59" s="1"/>
  <c r="P117" i="59" a="1"/>
  <c r="P117" i="59" s="1"/>
  <c r="L117" i="59" a="1"/>
  <c r="L117" i="59" s="1"/>
  <c r="N117" i="59" a="1"/>
  <c r="N117" i="59" s="1"/>
  <c r="O117" i="59" a="1"/>
  <c r="O117" i="59" s="1"/>
  <c r="Q117" i="59" a="1"/>
  <c r="Q117" i="59" s="1"/>
  <c r="P79" i="59" a="1"/>
  <c r="P79" i="59" s="1"/>
  <c r="N79" i="59" a="1"/>
  <c r="N79" i="59" s="1"/>
  <c r="Q79" i="59" a="1"/>
  <c r="Q79" i="59" s="1"/>
  <c r="L79" i="59" a="1"/>
  <c r="L79" i="59" s="1"/>
  <c r="M79" i="59" a="1"/>
  <c r="M79" i="59" s="1"/>
  <c r="O79" i="59" a="1"/>
  <c r="O79" i="59" s="1"/>
  <c r="Q56" i="59" a="1"/>
  <c r="Q56" i="59" s="1"/>
  <c r="P56" i="59" a="1"/>
  <c r="P56" i="59" s="1"/>
  <c r="O56" i="59" a="1"/>
  <c r="O56" i="59" s="1"/>
  <c r="L56" i="59" a="1"/>
  <c r="L56" i="59" s="1"/>
  <c r="N56" i="59" a="1"/>
  <c r="N56" i="59" s="1"/>
  <c r="M56" i="59" a="1"/>
  <c r="M56" i="59" s="1"/>
  <c r="Q88" i="59" a="1"/>
  <c r="Q88" i="59" s="1"/>
  <c r="O88" i="59" a="1"/>
  <c r="O88" i="59" s="1"/>
  <c r="L88" i="59" a="1"/>
  <c r="L88" i="59" s="1"/>
  <c r="M88" i="59" a="1"/>
  <c r="M88" i="59" s="1"/>
  <c r="N88" i="59" a="1"/>
  <c r="N88" i="59" s="1"/>
  <c r="P88" i="59" a="1"/>
  <c r="P88" i="59" s="1"/>
  <c r="N60" i="59" a="1"/>
  <c r="N60" i="59" s="1"/>
  <c r="Q60" i="59" a="1"/>
  <c r="Q60" i="59" s="1"/>
  <c r="L60" i="59" a="1"/>
  <c r="L60" i="59" s="1"/>
  <c r="P60" i="59" a="1"/>
  <c r="P60" i="59" s="1"/>
  <c r="M60" i="59" a="1"/>
  <c r="M60" i="59" s="1"/>
  <c r="O60" i="59" a="1"/>
  <c r="O60" i="59" s="1"/>
  <c r="N32" i="59" a="1"/>
  <c r="N32" i="59" s="1"/>
  <c r="P32" i="59" a="1"/>
  <c r="P32" i="59" s="1"/>
  <c r="O32" i="59" a="1"/>
  <c r="O32" i="59" s="1"/>
  <c r="M32" i="59" a="1"/>
  <c r="M32" i="59" s="1"/>
  <c r="Q32" i="59" a="1"/>
  <c r="Q32" i="59" s="1"/>
  <c r="L32" i="59" a="1"/>
  <c r="L32" i="59" s="1"/>
  <c r="L34" i="59" a="1"/>
  <c r="L34" i="59" s="1"/>
  <c r="M34" i="59" a="1"/>
  <c r="M34" i="59" s="1"/>
  <c r="Q34" i="59" a="1"/>
  <c r="Q34" i="59" s="1"/>
  <c r="O34" i="59" a="1"/>
  <c r="O34" i="59" s="1"/>
  <c r="P34" i="59" a="1"/>
  <c r="P34" i="59" s="1"/>
  <c r="N34" i="59" a="1"/>
  <c r="N34" i="59" s="1"/>
  <c r="P46" i="59" a="1"/>
  <c r="P46" i="59" s="1"/>
  <c r="Q46" i="59" a="1"/>
  <c r="Q46" i="59" s="1"/>
  <c r="O46" i="59" a="1"/>
  <c r="O46" i="59" s="1"/>
  <c r="N46" i="59" a="1"/>
  <c r="N46" i="59" s="1"/>
  <c r="M46" i="59" a="1"/>
  <c r="M46" i="59" s="1"/>
  <c r="L46" i="59" a="1"/>
  <c r="L46" i="59" s="1"/>
  <c r="M21" i="59" a="1"/>
  <c r="M21" i="59" s="1"/>
  <c r="L21" i="59" a="1"/>
  <c r="L21" i="59" s="1"/>
  <c r="P21" i="59" a="1"/>
  <c r="P21" i="59" s="1"/>
  <c r="N21" i="59" a="1"/>
  <c r="N21" i="59" s="1"/>
  <c r="Q21" i="59" a="1"/>
  <c r="Q21" i="59" s="1"/>
  <c r="O21" i="59" a="1"/>
  <c r="O21" i="59" s="1"/>
  <c r="Q16" i="59" a="1"/>
  <c r="Q16" i="59" s="1"/>
  <c r="P16" i="59" a="1"/>
  <c r="P16" i="59" s="1"/>
  <c r="N16" i="59" a="1"/>
  <c r="N16" i="59" s="1"/>
  <c r="O16" i="59" a="1"/>
  <c r="O16" i="59" s="1"/>
  <c r="L16" i="59" a="1"/>
  <c r="L16" i="59" s="1"/>
  <c r="M16" i="59" a="1"/>
  <c r="M16" i="59" s="1"/>
  <c r="M1430" i="59" a="1"/>
  <c r="M1430" i="59" s="1"/>
  <c r="N1430" i="59" a="1"/>
  <c r="N1430" i="59" s="1"/>
  <c r="Q1430" i="59" a="1"/>
  <c r="Q1430" i="59" s="1"/>
  <c r="L1430" i="59" a="1"/>
  <c r="L1430" i="59" s="1"/>
  <c r="O1430" i="59" a="1"/>
  <c r="O1430" i="59" s="1"/>
  <c r="P1430" i="59" a="1"/>
  <c r="P1430" i="59" s="1"/>
  <c r="P1400" i="59" a="1"/>
  <c r="P1400" i="59" s="1"/>
  <c r="M1400" i="59" a="1"/>
  <c r="M1400" i="59" s="1"/>
  <c r="Q1400" i="59" a="1"/>
  <c r="Q1400" i="59" s="1"/>
  <c r="O1400" i="59" a="1"/>
  <c r="O1400" i="59" s="1"/>
  <c r="L1400" i="59" a="1"/>
  <c r="L1400" i="59" s="1"/>
  <c r="N1400" i="59" a="1"/>
  <c r="N1400" i="59" s="1"/>
  <c r="M1470" i="59" a="1"/>
  <c r="M1470" i="59" s="1"/>
  <c r="L1470" i="59" a="1"/>
  <c r="L1470" i="59" s="1"/>
  <c r="O1470" i="59" a="1"/>
  <c r="O1470" i="59" s="1"/>
  <c r="P1470" i="59" a="1"/>
  <c r="P1470" i="59" s="1"/>
  <c r="Q1470" i="59" a="1"/>
  <c r="Q1470" i="59" s="1"/>
  <c r="N1470" i="59" a="1"/>
  <c r="N1470" i="59" s="1"/>
  <c r="M1446" i="59" a="1"/>
  <c r="M1446" i="59" s="1"/>
  <c r="L1446" i="59" a="1"/>
  <c r="L1446" i="59" s="1"/>
  <c r="O1446" i="59" a="1"/>
  <c r="O1446" i="59" s="1"/>
  <c r="P1446" i="59" a="1"/>
  <c r="P1446" i="59" s="1"/>
  <c r="N1446" i="59" a="1"/>
  <c r="N1446" i="59" s="1"/>
  <c r="Q1446" i="59" a="1"/>
  <c r="Q1446" i="59" s="1"/>
  <c r="N1489" i="59" a="1"/>
  <c r="N1489" i="59" s="1"/>
  <c r="O1489" i="59" a="1"/>
  <c r="O1489" i="59" s="1"/>
  <c r="M1489" i="59" a="1"/>
  <c r="M1489" i="59" s="1"/>
  <c r="Q1489" i="59" a="1"/>
  <c r="Q1489" i="59" s="1"/>
  <c r="L1489" i="59" a="1"/>
  <c r="L1489" i="59" s="1"/>
  <c r="P1489" i="59" a="1"/>
  <c r="P1489" i="59" s="1"/>
  <c r="M1339" i="59" a="1"/>
  <c r="M1339" i="59" s="1"/>
  <c r="N1339" i="59" a="1"/>
  <c r="N1339" i="59" s="1"/>
  <c r="Q1339" i="59" a="1"/>
  <c r="Q1339" i="59" s="1"/>
  <c r="P1339" i="59" a="1"/>
  <c r="P1339" i="59" s="1"/>
  <c r="L1339" i="59" a="1"/>
  <c r="L1339" i="59" s="1"/>
  <c r="O1339" i="59" a="1"/>
  <c r="O1339" i="59" s="1"/>
  <c r="L1424" i="59" a="1"/>
  <c r="L1424" i="59" s="1"/>
  <c r="M1424" i="59" a="1"/>
  <c r="M1424" i="59" s="1"/>
  <c r="Q1424" i="59" a="1"/>
  <c r="Q1424" i="59" s="1"/>
  <c r="N1424" i="59" a="1"/>
  <c r="N1424" i="59" s="1"/>
  <c r="P1424" i="59" a="1"/>
  <c r="P1424" i="59" s="1"/>
  <c r="O1424" i="59" a="1"/>
  <c r="O1424" i="59" s="1"/>
  <c r="Q1496" i="59" a="1"/>
  <c r="Q1496" i="59" s="1"/>
  <c r="P1496" i="59" a="1"/>
  <c r="P1496" i="59" s="1"/>
  <c r="O1496" i="59" a="1"/>
  <c r="O1496" i="59" s="1"/>
  <c r="L1496" i="59" a="1"/>
  <c r="L1496" i="59" s="1"/>
  <c r="M1496" i="59" a="1"/>
  <c r="M1496" i="59" s="1"/>
  <c r="N1496" i="59" a="1"/>
  <c r="N1496" i="59" s="1"/>
  <c r="P1432" i="59" a="1"/>
  <c r="P1432" i="59" s="1"/>
  <c r="L1432" i="59" a="1"/>
  <c r="L1432" i="59" s="1"/>
  <c r="M1432" i="59" a="1"/>
  <c r="M1432" i="59" s="1"/>
  <c r="Q1432" i="59" a="1"/>
  <c r="Q1432" i="59" s="1"/>
  <c r="N1432" i="59" a="1"/>
  <c r="N1432" i="59" s="1"/>
  <c r="O1432" i="59" a="1"/>
  <c r="O1432" i="59" s="1"/>
  <c r="L1498" i="59" a="1"/>
  <c r="L1498" i="59" s="1"/>
  <c r="M1498" i="59" a="1"/>
  <c r="M1498" i="59" s="1"/>
  <c r="Q1498" i="59" a="1"/>
  <c r="Q1498" i="59" s="1"/>
  <c r="N1498" i="59" a="1"/>
  <c r="N1498" i="59" s="1"/>
  <c r="P1498" i="59" a="1"/>
  <c r="P1498" i="59" s="1"/>
  <c r="O1498" i="59" a="1"/>
  <c r="O1498" i="59" s="1"/>
  <c r="M1414" i="59" a="1"/>
  <c r="M1414" i="59" s="1"/>
  <c r="Q1414" i="59" a="1"/>
  <c r="Q1414" i="59" s="1"/>
  <c r="O1414" i="59" a="1"/>
  <c r="O1414" i="59" s="1"/>
  <c r="N1414" i="59" a="1"/>
  <c r="N1414" i="59" s="1"/>
  <c r="L1414" i="59" a="1"/>
  <c r="L1414" i="59" s="1"/>
  <c r="P1414" i="59" a="1"/>
  <c r="P1414" i="59" s="1"/>
  <c r="L1230" i="59" a="1"/>
  <c r="L1230" i="59" s="1"/>
  <c r="N1230" i="59" a="1"/>
  <c r="N1230" i="59" s="1"/>
  <c r="P1230" i="59" a="1"/>
  <c r="P1230" i="59" s="1"/>
  <c r="M1230" i="59" a="1"/>
  <c r="M1230" i="59" s="1"/>
  <c r="Q1230" i="59" a="1"/>
  <c r="Q1230" i="59" s="1"/>
  <c r="O1230" i="59" a="1"/>
  <c r="O1230" i="59" s="1"/>
  <c r="N1449" i="59" a="1"/>
  <c r="N1449" i="59" s="1"/>
  <c r="O1449" i="59" a="1"/>
  <c r="O1449" i="59" s="1"/>
  <c r="Q1449" i="59" a="1"/>
  <c r="Q1449" i="59" s="1"/>
  <c r="L1449" i="59" a="1"/>
  <c r="L1449" i="59" s="1"/>
  <c r="P1449" i="59" a="1"/>
  <c r="P1449" i="59" s="1"/>
  <c r="M1449" i="59" a="1"/>
  <c r="M1449" i="59" s="1"/>
  <c r="M1385" i="59" a="1"/>
  <c r="M1385" i="59" s="1"/>
  <c r="Q1385" i="59" a="1"/>
  <c r="Q1385" i="59" s="1"/>
  <c r="O1385" i="59" a="1"/>
  <c r="O1385" i="59" s="1"/>
  <c r="N1385" i="59" a="1"/>
  <c r="N1385" i="59" s="1"/>
  <c r="L1385" i="59" a="1"/>
  <c r="L1385" i="59" s="1"/>
  <c r="P1385" i="59" a="1"/>
  <c r="P1385" i="59" s="1"/>
  <c r="L1318" i="59" a="1"/>
  <c r="L1318" i="59" s="1"/>
  <c r="M1318" i="59" a="1"/>
  <c r="M1318" i="59" s="1"/>
  <c r="P1318" i="59" a="1"/>
  <c r="P1318" i="59" s="1"/>
  <c r="Q1318" i="59" a="1"/>
  <c r="Q1318" i="59" s="1"/>
  <c r="N1318" i="59" a="1"/>
  <c r="N1318" i="59" s="1"/>
  <c r="O1318" i="59" a="1"/>
  <c r="O1318" i="59" s="1"/>
  <c r="N1444" i="59" a="1"/>
  <c r="N1444" i="59" s="1"/>
  <c r="L1444" i="59" a="1"/>
  <c r="L1444" i="59" s="1"/>
  <c r="Q1444" i="59" a="1"/>
  <c r="Q1444" i="59" s="1"/>
  <c r="P1444" i="59" a="1"/>
  <c r="P1444" i="59" s="1"/>
  <c r="M1444" i="59" a="1"/>
  <c r="M1444" i="59" s="1"/>
  <c r="O1444" i="59" a="1"/>
  <c r="O1444" i="59" s="1"/>
  <c r="N1380" i="59" a="1"/>
  <c r="N1380" i="59" s="1"/>
  <c r="O1380" i="59" a="1"/>
  <c r="O1380" i="59" s="1"/>
  <c r="L1380" i="59" a="1"/>
  <c r="L1380" i="59" s="1"/>
  <c r="P1380" i="59" a="1"/>
  <c r="P1380" i="59" s="1"/>
  <c r="Q1380" i="59" a="1"/>
  <c r="Q1380" i="59" s="1"/>
  <c r="M1380" i="59" a="1"/>
  <c r="M1380" i="59" s="1"/>
  <c r="N1286" i="59" a="1"/>
  <c r="N1286" i="59" s="1"/>
  <c r="L1286" i="59" a="1"/>
  <c r="L1286" i="59" s="1"/>
  <c r="M1286" i="59" a="1"/>
  <c r="M1286" i="59" s="1"/>
  <c r="P1286" i="59" a="1"/>
  <c r="P1286" i="59" s="1"/>
  <c r="Q1286" i="59" a="1"/>
  <c r="Q1286" i="59" s="1"/>
  <c r="O1286" i="59" a="1"/>
  <c r="O1286" i="59" s="1"/>
  <c r="O1439" i="59" a="1"/>
  <c r="O1439" i="59" s="1"/>
  <c r="Q1439" i="59" a="1"/>
  <c r="Q1439" i="59" s="1"/>
  <c r="L1439" i="59" a="1"/>
  <c r="L1439" i="59" s="1"/>
  <c r="P1439" i="59" a="1"/>
  <c r="P1439" i="59" s="1"/>
  <c r="M1439" i="59" a="1"/>
  <c r="M1439" i="59" s="1"/>
  <c r="N1439" i="59" a="1"/>
  <c r="N1439" i="59" s="1"/>
  <c r="O1375" i="59" a="1"/>
  <c r="O1375" i="59" s="1"/>
  <c r="L1375" i="59" a="1"/>
  <c r="L1375" i="59" s="1"/>
  <c r="P1375" i="59" a="1"/>
  <c r="P1375" i="59" s="1"/>
  <c r="Q1375" i="59" a="1"/>
  <c r="Q1375" i="59" s="1"/>
  <c r="N1375" i="59" a="1"/>
  <c r="N1375" i="59" s="1"/>
  <c r="M1375" i="59" a="1"/>
  <c r="M1375" i="59" s="1"/>
  <c r="N1249" i="59" a="1"/>
  <c r="N1249" i="59" s="1"/>
  <c r="M1249" i="59" a="1"/>
  <c r="M1249" i="59" s="1"/>
  <c r="O1249" i="59" a="1"/>
  <c r="O1249" i="59" s="1"/>
  <c r="Q1249" i="59" a="1"/>
  <c r="Q1249" i="59" s="1"/>
  <c r="P1249" i="59" a="1"/>
  <c r="P1249" i="59" s="1"/>
  <c r="L1249" i="59" a="1"/>
  <c r="L1249" i="59" s="1"/>
  <c r="O1418" i="59" a="1"/>
  <c r="O1418" i="59" s="1"/>
  <c r="P1418" i="59" a="1"/>
  <c r="P1418" i="59" s="1"/>
  <c r="M1418" i="59" a="1"/>
  <c r="M1418" i="59" s="1"/>
  <c r="L1418" i="59" a="1"/>
  <c r="L1418" i="59" s="1"/>
  <c r="Q1418" i="59" a="1"/>
  <c r="Q1418" i="59" s="1"/>
  <c r="N1418" i="59" a="1"/>
  <c r="N1418" i="59" s="1"/>
  <c r="O1354" i="59" a="1"/>
  <c r="O1354" i="59" s="1"/>
  <c r="P1354" i="59" a="1"/>
  <c r="P1354" i="59" s="1"/>
  <c r="L1354" i="59" a="1"/>
  <c r="L1354" i="59" s="1"/>
  <c r="M1354" i="59" a="1"/>
  <c r="M1354" i="59" s="1"/>
  <c r="Q1354" i="59" a="1"/>
  <c r="Q1354" i="59" s="1"/>
  <c r="N1354" i="59" a="1"/>
  <c r="N1354" i="59" s="1"/>
  <c r="L1044" i="59" a="1"/>
  <c r="L1044" i="59" s="1"/>
  <c r="M1044" i="59" a="1"/>
  <c r="M1044" i="59" s="1"/>
  <c r="Q1044" i="59" a="1"/>
  <c r="Q1044" i="59" s="1"/>
  <c r="O1044" i="59" a="1"/>
  <c r="O1044" i="59" s="1"/>
  <c r="P1044" i="59" a="1"/>
  <c r="P1044" i="59" s="1"/>
  <c r="N1044" i="59" a="1"/>
  <c r="N1044" i="59" s="1"/>
  <c r="P1421" i="59" a="1"/>
  <c r="P1421" i="59" s="1"/>
  <c r="O1421" i="59" a="1"/>
  <c r="O1421" i="59" s="1"/>
  <c r="N1421" i="59" a="1"/>
  <c r="N1421" i="59" s="1"/>
  <c r="L1421" i="59" a="1"/>
  <c r="L1421" i="59" s="1"/>
  <c r="M1421" i="59" a="1"/>
  <c r="M1421" i="59" s="1"/>
  <c r="Q1421" i="59" a="1"/>
  <c r="Q1421" i="59" s="1"/>
  <c r="P1357" i="59" a="1"/>
  <c r="P1357" i="59" s="1"/>
  <c r="L1357" i="59" a="1"/>
  <c r="L1357" i="59" s="1"/>
  <c r="M1357" i="59" a="1"/>
  <c r="M1357" i="59" s="1"/>
  <c r="Q1357" i="59" a="1"/>
  <c r="Q1357" i="59" s="1"/>
  <c r="O1357" i="59" a="1"/>
  <c r="O1357" i="59" s="1"/>
  <c r="N1357" i="59" a="1"/>
  <c r="N1357" i="59" s="1"/>
  <c r="Q1241" i="59" a="1"/>
  <c r="Q1241" i="59" s="1"/>
  <c r="L1241" i="59" a="1"/>
  <c r="L1241" i="59" s="1"/>
  <c r="N1241" i="59" a="1"/>
  <c r="N1241" i="59" s="1"/>
  <c r="M1241" i="59" a="1"/>
  <c r="M1241" i="59" s="1"/>
  <c r="O1241" i="59" a="1"/>
  <c r="O1241" i="59" s="1"/>
  <c r="P1241" i="59" a="1"/>
  <c r="P1241" i="59" s="1"/>
  <c r="M1268" i="59" a="1"/>
  <c r="M1268" i="59" s="1"/>
  <c r="Q1268" i="59" a="1"/>
  <c r="Q1268" i="59" s="1"/>
  <c r="N1268" i="59" a="1"/>
  <c r="N1268" i="59" s="1"/>
  <c r="O1268" i="59" a="1"/>
  <c r="O1268" i="59" s="1"/>
  <c r="L1268" i="59" a="1"/>
  <c r="L1268" i="59" s="1"/>
  <c r="P1268" i="59" a="1"/>
  <c r="P1268" i="59" s="1"/>
  <c r="Q1204" i="59" a="1"/>
  <c r="Q1204" i="59" s="1"/>
  <c r="N1204" i="59" a="1"/>
  <c r="N1204" i="59" s="1"/>
  <c r="L1204" i="59" a="1"/>
  <c r="L1204" i="59" s="1"/>
  <c r="M1204" i="59" a="1"/>
  <c r="M1204" i="59" s="1"/>
  <c r="O1204" i="59" a="1"/>
  <c r="O1204" i="59" s="1"/>
  <c r="P1204" i="59" a="1"/>
  <c r="P1204" i="59" s="1"/>
  <c r="O1287" i="59" a="1"/>
  <c r="O1287" i="59" s="1"/>
  <c r="L1287" i="59" a="1"/>
  <c r="L1287" i="59" s="1"/>
  <c r="N1287" i="59" a="1"/>
  <c r="N1287" i="59" s="1"/>
  <c r="P1287" i="59" a="1"/>
  <c r="P1287" i="59" s="1"/>
  <c r="Q1287" i="59" a="1"/>
  <c r="Q1287" i="59" s="1"/>
  <c r="M1287" i="59" a="1"/>
  <c r="M1287" i="59" s="1"/>
  <c r="O1223" i="59" a="1"/>
  <c r="O1223" i="59" s="1"/>
  <c r="L1223" i="59" a="1"/>
  <c r="L1223" i="59" s="1"/>
  <c r="N1223" i="59" a="1"/>
  <c r="N1223" i="59" s="1"/>
  <c r="P1223" i="59" a="1"/>
  <c r="P1223" i="59" s="1"/>
  <c r="Q1223" i="59" a="1"/>
  <c r="Q1223" i="59" s="1"/>
  <c r="M1223" i="59" a="1"/>
  <c r="M1223" i="59" s="1"/>
  <c r="N1158" i="59" a="1"/>
  <c r="N1158" i="59" s="1"/>
  <c r="L1158" i="59" a="1"/>
  <c r="L1158" i="59" s="1"/>
  <c r="O1158" i="59" a="1"/>
  <c r="O1158" i="59" s="1"/>
  <c r="Q1158" i="59" a="1"/>
  <c r="Q1158" i="59" s="1"/>
  <c r="P1158" i="59" a="1"/>
  <c r="P1158" i="59" s="1"/>
  <c r="M1158" i="59" a="1"/>
  <c r="M1158" i="59" s="1"/>
  <c r="N1306" i="59" a="1"/>
  <c r="N1306" i="59" s="1"/>
  <c r="O1306" i="59" a="1"/>
  <c r="O1306" i="59" s="1"/>
  <c r="L1306" i="59" a="1"/>
  <c r="L1306" i="59" s="1"/>
  <c r="M1306" i="59" a="1"/>
  <c r="M1306" i="59" s="1"/>
  <c r="P1306" i="59" a="1"/>
  <c r="P1306" i="59" s="1"/>
  <c r="Q1306" i="59" a="1"/>
  <c r="Q1306" i="59" s="1"/>
  <c r="N1242" i="59" a="1"/>
  <c r="N1242" i="59" s="1"/>
  <c r="L1242" i="59" a="1"/>
  <c r="L1242" i="59" s="1"/>
  <c r="P1242" i="59" a="1"/>
  <c r="P1242" i="59" s="1"/>
  <c r="O1242" i="59" a="1"/>
  <c r="O1242" i="59" s="1"/>
  <c r="M1242" i="59" a="1"/>
  <c r="M1242" i="59" s="1"/>
  <c r="Q1242" i="59" a="1"/>
  <c r="Q1242" i="59" s="1"/>
  <c r="N1178" i="59" a="1"/>
  <c r="N1178" i="59" s="1"/>
  <c r="L1178" i="59" a="1"/>
  <c r="L1178" i="59" s="1"/>
  <c r="P1178" i="59" a="1"/>
  <c r="P1178" i="59" s="1"/>
  <c r="O1178" i="59" a="1"/>
  <c r="O1178" i="59" s="1"/>
  <c r="M1178" i="59" a="1"/>
  <c r="M1178" i="59" s="1"/>
  <c r="Q1178" i="59" a="1"/>
  <c r="Q1178" i="59" s="1"/>
  <c r="L993" i="59" a="1"/>
  <c r="L993" i="59" s="1"/>
  <c r="P993" i="59" a="1"/>
  <c r="P993" i="59" s="1"/>
  <c r="O993" i="59" a="1"/>
  <c r="O993" i="59" s="1"/>
  <c r="M993" i="59" a="1"/>
  <c r="M993" i="59" s="1"/>
  <c r="N993" i="59" a="1"/>
  <c r="N993" i="59" s="1"/>
  <c r="Q993" i="59" a="1"/>
  <c r="Q993" i="59" s="1"/>
  <c r="L1277" i="59" a="1"/>
  <c r="L1277" i="59" s="1"/>
  <c r="P1277" i="59" a="1"/>
  <c r="P1277" i="59" s="1"/>
  <c r="M1277" i="59" a="1"/>
  <c r="M1277" i="59" s="1"/>
  <c r="Q1277" i="59" a="1"/>
  <c r="Q1277" i="59" s="1"/>
  <c r="O1277" i="59" a="1"/>
  <c r="O1277" i="59" s="1"/>
  <c r="N1277" i="59" a="1"/>
  <c r="N1277" i="59" s="1"/>
  <c r="L1213" i="59" a="1"/>
  <c r="L1213" i="59" s="1"/>
  <c r="P1213" i="59" a="1"/>
  <c r="P1213" i="59" s="1"/>
  <c r="M1213" i="59" a="1"/>
  <c r="M1213" i="59" s="1"/>
  <c r="Q1213" i="59" a="1"/>
  <c r="Q1213" i="59" s="1"/>
  <c r="O1213" i="59" a="1"/>
  <c r="O1213" i="59" s="1"/>
  <c r="N1213" i="59" a="1"/>
  <c r="N1213" i="59" s="1"/>
  <c r="M1148" i="59" a="1"/>
  <c r="M1148" i="59" s="1"/>
  <c r="Q1148" i="59" a="1"/>
  <c r="Q1148" i="59" s="1"/>
  <c r="O1148" i="59" a="1"/>
  <c r="O1148" i="59" s="1"/>
  <c r="L1148" i="59" a="1"/>
  <c r="L1148" i="59" s="1"/>
  <c r="P1148" i="59" a="1"/>
  <c r="P1148" i="59" s="1"/>
  <c r="N1148" i="59" a="1"/>
  <c r="N1148" i="59" s="1"/>
  <c r="O1304" i="59" a="1"/>
  <c r="O1304" i="59" s="1"/>
  <c r="L1304" i="59" a="1"/>
  <c r="L1304" i="59" s="1"/>
  <c r="P1304" i="59" a="1"/>
  <c r="P1304" i="59" s="1"/>
  <c r="N1304" i="59" a="1"/>
  <c r="N1304" i="59" s="1"/>
  <c r="M1304" i="59" a="1"/>
  <c r="M1304" i="59" s="1"/>
  <c r="Q1304" i="59" a="1"/>
  <c r="Q1304" i="59" s="1"/>
  <c r="M1240" i="59" a="1"/>
  <c r="M1240" i="59" s="1"/>
  <c r="O1240" i="59" a="1"/>
  <c r="O1240" i="59" s="1"/>
  <c r="Q1240" i="59" a="1"/>
  <c r="Q1240" i="59" s="1"/>
  <c r="L1240" i="59" a="1"/>
  <c r="L1240" i="59" s="1"/>
  <c r="P1240" i="59" a="1"/>
  <c r="P1240" i="59" s="1"/>
  <c r="N1240" i="59" a="1"/>
  <c r="N1240" i="59" s="1"/>
  <c r="O1176" i="59" a="1"/>
  <c r="O1176" i="59" s="1"/>
  <c r="M1176" i="59" a="1"/>
  <c r="M1176" i="59" s="1"/>
  <c r="Q1176" i="59" a="1"/>
  <c r="Q1176" i="59" s="1"/>
  <c r="L1176" i="59" a="1"/>
  <c r="L1176" i="59" s="1"/>
  <c r="P1176" i="59" a="1"/>
  <c r="P1176" i="59" s="1"/>
  <c r="N1176" i="59" a="1"/>
  <c r="N1176" i="59" s="1"/>
  <c r="M1299" i="59" a="1"/>
  <c r="M1299" i="59" s="1"/>
  <c r="Q1299" i="59" a="1"/>
  <c r="Q1299" i="59" s="1"/>
  <c r="N1299" i="59" a="1"/>
  <c r="N1299" i="59" s="1"/>
  <c r="L1299" i="59" a="1"/>
  <c r="L1299" i="59" s="1"/>
  <c r="P1299" i="59" a="1"/>
  <c r="P1299" i="59" s="1"/>
  <c r="O1299" i="59" a="1"/>
  <c r="O1299" i="59" s="1"/>
  <c r="M1235" i="59" a="1"/>
  <c r="M1235" i="59" s="1"/>
  <c r="Q1235" i="59" a="1"/>
  <c r="Q1235" i="59" s="1"/>
  <c r="N1235" i="59" a="1"/>
  <c r="N1235" i="59" s="1"/>
  <c r="L1235" i="59" a="1"/>
  <c r="L1235" i="59" s="1"/>
  <c r="P1235" i="59" a="1"/>
  <c r="P1235" i="59" s="1"/>
  <c r="O1235" i="59" a="1"/>
  <c r="O1235" i="59" s="1"/>
  <c r="M1171" i="59" a="1"/>
  <c r="M1171" i="59" s="1"/>
  <c r="Q1171" i="59" a="1"/>
  <c r="Q1171" i="59" s="1"/>
  <c r="N1171" i="59" a="1"/>
  <c r="N1171" i="59" s="1"/>
  <c r="L1171" i="59" a="1"/>
  <c r="L1171" i="59" s="1"/>
  <c r="P1171" i="59" a="1"/>
  <c r="P1171" i="59" s="1"/>
  <c r="O1171" i="59" a="1"/>
  <c r="O1171" i="59" s="1"/>
  <c r="L1004" i="59" a="1"/>
  <c r="L1004" i="59" s="1"/>
  <c r="M1004" i="59" a="1"/>
  <c r="M1004" i="59" s="1"/>
  <c r="Q1004" i="59" a="1"/>
  <c r="Q1004" i="59" s="1"/>
  <c r="O1004" i="59" a="1"/>
  <c r="O1004" i="59" s="1"/>
  <c r="N1004" i="59" a="1"/>
  <c r="N1004" i="59" s="1"/>
  <c r="P1004" i="59" a="1"/>
  <c r="P1004" i="59" s="1"/>
  <c r="O1045" i="59" a="1"/>
  <c r="O1045" i="59" s="1"/>
  <c r="L1045" i="59" a="1"/>
  <c r="L1045" i="59" s="1"/>
  <c r="M1045" i="59" a="1"/>
  <c r="M1045" i="59" s="1"/>
  <c r="P1045" i="59" a="1"/>
  <c r="P1045" i="59" s="1"/>
  <c r="Q1045" i="59" a="1"/>
  <c r="Q1045" i="59" s="1"/>
  <c r="N1045" i="59" a="1"/>
  <c r="N1045" i="59" s="1"/>
  <c r="M1143" i="59" a="1"/>
  <c r="M1143" i="59" s="1"/>
  <c r="O1143" i="59" a="1"/>
  <c r="O1143" i="59" s="1"/>
  <c r="N1143" i="59" a="1"/>
  <c r="N1143" i="59" s="1"/>
  <c r="Q1143" i="59" a="1"/>
  <c r="Q1143" i="59" s="1"/>
  <c r="P1143" i="59" a="1"/>
  <c r="P1143" i="59" s="1"/>
  <c r="L1143" i="59" a="1"/>
  <c r="L1143" i="59" s="1"/>
  <c r="N898" i="59" a="1"/>
  <c r="N898" i="59" s="1"/>
  <c r="P898" i="59" a="1"/>
  <c r="P898" i="59" s="1"/>
  <c r="Q898" i="59" a="1"/>
  <c r="Q898" i="59" s="1"/>
  <c r="M898" i="59" a="1"/>
  <c r="M898" i="59" s="1"/>
  <c r="O898" i="59" a="1"/>
  <c r="O898" i="59" s="1"/>
  <c r="L898" i="59" a="1"/>
  <c r="L898" i="59" s="1"/>
  <c r="P1036" i="59" a="1"/>
  <c r="P1036" i="59" s="1"/>
  <c r="L1036" i="59" a="1"/>
  <c r="L1036" i="59" s="1"/>
  <c r="M1036" i="59" a="1"/>
  <c r="M1036" i="59" s="1"/>
  <c r="Q1036" i="59" a="1"/>
  <c r="Q1036" i="59" s="1"/>
  <c r="O1036" i="59" a="1"/>
  <c r="O1036" i="59" s="1"/>
  <c r="N1036" i="59" a="1"/>
  <c r="N1036" i="59" s="1"/>
  <c r="N1144" i="59" a="1"/>
  <c r="N1144" i="59" s="1"/>
  <c r="O1144" i="59" a="1"/>
  <c r="O1144" i="59" s="1"/>
  <c r="M1144" i="59" a="1"/>
  <c r="M1144" i="59" s="1"/>
  <c r="L1144" i="59" a="1"/>
  <c r="L1144" i="59" s="1"/>
  <c r="Q1144" i="59" a="1"/>
  <c r="Q1144" i="59" s="1"/>
  <c r="P1144" i="59" a="1"/>
  <c r="P1144" i="59" s="1"/>
  <c r="L1010" i="59" a="1"/>
  <c r="L1010" i="59" s="1"/>
  <c r="Q1010" i="59" a="1"/>
  <c r="Q1010" i="59" s="1"/>
  <c r="M1010" i="59" a="1"/>
  <c r="M1010" i="59" s="1"/>
  <c r="O1010" i="59" a="1"/>
  <c r="O1010" i="59" s="1"/>
  <c r="N1010" i="59" a="1"/>
  <c r="N1010" i="59" s="1"/>
  <c r="P1010" i="59" a="1"/>
  <c r="P1010" i="59" s="1"/>
  <c r="M1139" i="59" a="1"/>
  <c r="M1139" i="59" s="1"/>
  <c r="Q1139" i="59" a="1"/>
  <c r="Q1139" i="59" s="1"/>
  <c r="P1139" i="59" a="1"/>
  <c r="P1139" i="59" s="1"/>
  <c r="N1139" i="59" a="1"/>
  <c r="N1139" i="59" s="1"/>
  <c r="L1139" i="59" a="1"/>
  <c r="L1139" i="59" s="1"/>
  <c r="O1139" i="59" a="1"/>
  <c r="O1139" i="59" s="1"/>
  <c r="N1002" i="59" a="1"/>
  <c r="N1002" i="59" s="1"/>
  <c r="M1002" i="59" a="1"/>
  <c r="M1002" i="59" s="1"/>
  <c r="O1002" i="59" a="1"/>
  <c r="O1002" i="59" s="1"/>
  <c r="Q1002" i="59" a="1"/>
  <c r="Q1002" i="59" s="1"/>
  <c r="L1002" i="59" a="1"/>
  <c r="L1002" i="59" s="1"/>
  <c r="P1002" i="59" a="1"/>
  <c r="P1002" i="59" s="1"/>
  <c r="N775" i="59" a="1"/>
  <c r="N775" i="59" s="1"/>
  <c r="M775" i="59" a="1"/>
  <c r="M775" i="59" s="1"/>
  <c r="Q775" i="59" a="1"/>
  <c r="Q775" i="59" s="1"/>
  <c r="O775" i="59" a="1"/>
  <c r="O775" i="59" s="1"/>
  <c r="L775" i="59" a="1"/>
  <c r="L775" i="59" s="1"/>
  <c r="P775" i="59" a="1"/>
  <c r="P775" i="59" s="1"/>
  <c r="M1066" i="59" a="1"/>
  <c r="M1066" i="59" s="1"/>
  <c r="P1066" i="59" a="1"/>
  <c r="P1066" i="59" s="1"/>
  <c r="N1066" i="59" a="1"/>
  <c r="N1066" i="59" s="1"/>
  <c r="Q1066" i="59" a="1"/>
  <c r="Q1066" i="59" s="1"/>
  <c r="O1066" i="59" a="1"/>
  <c r="O1066" i="59" s="1"/>
  <c r="L1066" i="59" a="1"/>
  <c r="L1066" i="59" s="1"/>
  <c r="O988" i="59" a="1"/>
  <c r="O988" i="59" s="1"/>
  <c r="M988" i="59" a="1"/>
  <c r="M988" i="59" s="1"/>
  <c r="P988" i="59" a="1"/>
  <c r="P988" i="59" s="1"/>
  <c r="L988" i="59" a="1"/>
  <c r="L988" i="59" s="1"/>
  <c r="Q988" i="59" a="1"/>
  <c r="Q988" i="59" s="1"/>
  <c r="N988" i="59" a="1"/>
  <c r="N988" i="59" s="1"/>
  <c r="P841" i="59" a="1"/>
  <c r="P841" i="59" s="1"/>
  <c r="Q841" i="59" a="1"/>
  <c r="Q841" i="59" s="1"/>
  <c r="N841" i="59" a="1"/>
  <c r="N841" i="59" s="1"/>
  <c r="L841" i="59" a="1"/>
  <c r="L841" i="59" s="1"/>
  <c r="M841" i="59" a="1"/>
  <c r="M841" i="59" s="1"/>
  <c r="O841" i="59" a="1"/>
  <c r="O841" i="59" s="1"/>
  <c r="N1096" i="59" a="1"/>
  <c r="N1096" i="59" s="1"/>
  <c r="O1096" i="59" a="1"/>
  <c r="O1096" i="59" s="1"/>
  <c r="M1096" i="59" a="1"/>
  <c r="M1096" i="59" s="1"/>
  <c r="Q1096" i="59" a="1"/>
  <c r="Q1096" i="59" s="1"/>
  <c r="L1096" i="59" a="1"/>
  <c r="L1096" i="59" s="1"/>
  <c r="P1096" i="59" a="1"/>
  <c r="P1096" i="59" s="1"/>
  <c r="N1032" i="59" a="1"/>
  <c r="N1032" i="59" s="1"/>
  <c r="O1032" i="59" a="1"/>
  <c r="O1032" i="59" s="1"/>
  <c r="M1032" i="59" a="1"/>
  <c r="M1032" i="59" s="1"/>
  <c r="Q1032" i="59" a="1"/>
  <c r="Q1032" i="59" s="1"/>
  <c r="L1032" i="59" a="1"/>
  <c r="L1032" i="59" s="1"/>
  <c r="P1032" i="59" a="1"/>
  <c r="P1032" i="59" s="1"/>
  <c r="N927" i="59" a="1"/>
  <c r="N927" i="59" s="1"/>
  <c r="M927" i="59" a="1"/>
  <c r="M927" i="59" s="1"/>
  <c r="Q927" i="59" a="1"/>
  <c r="Q927" i="59" s="1"/>
  <c r="P927" i="59" a="1"/>
  <c r="P927" i="59" s="1"/>
  <c r="L927" i="59" a="1"/>
  <c r="L927" i="59" s="1"/>
  <c r="O927" i="59" a="1"/>
  <c r="O927" i="59" s="1"/>
  <c r="O1115" i="59" a="1"/>
  <c r="O1115" i="59" s="1"/>
  <c r="Q1115" i="59" a="1"/>
  <c r="Q1115" i="59" s="1"/>
  <c r="N1115" i="59" a="1"/>
  <c r="N1115" i="59" s="1"/>
  <c r="L1115" i="59" a="1"/>
  <c r="L1115" i="59" s="1"/>
  <c r="P1115" i="59" a="1"/>
  <c r="P1115" i="59" s="1"/>
  <c r="M1115" i="59" a="1"/>
  <c r="M1115" i="59" s="1"/>
  <c r="O1051" i="59" a="1"/>
  <c r="O1051" i="59" s="1"/>
  <c r="Q1051" i="59" a="1"/>
  <c r="Q1051" i="59" s="1"/>
  <c r="L1051" i="59" a="1"/>
  <c r="L1051" i="59" s="1"/>
  <c r="P1051" i="59" a="1"/>
  <c r="P1051" i="59" s="1"/>
  <c r="M1051" i="59" a="1"/>
  <c r="M1051" i="59" s="1"/>
  <c r="N1051" i="59" a="1"/>
  <c r="N1051" i="59" s="1"/>
  <c r="Q954" i="59" a="1"/>
  <c r="Q954" i="59" s="1"/>
  <c r="O954" i="59" a="1"/>
  <c r="O954" i="59" s="1"/>
  <c r="N954" i="59" a="1"/>
  <c r="N954" i="59" s="1"/>
  <c r="L954" i="59" a="1"/>
  <c r="L954" i="59" s="1"/>
  <c r="M954" i="59" a="1"/>
  <c r="M954" i="59" s="1"/>
  <c r="P954" i="59" a="1"/>
  <c r="P954" i="59" s="1"/>
  <c r="M743" i="59" a="1"/>
  <c r="M743" i="59" s="1"/>
  <c r="O743" i="59" a="1"/>
  <c r="O743" i="59" s="1"/>
  <c r="Q743" i="59" a="1"/>
  <c r="Q743" i="59" s="1"/>
  <c r="N743" i="59" a="1"/>
  <c r="N743" i="59" s="1"/>
  <c r="L743" i="59" a="1"/>
  <c r="L743" i="59" s="1"/>
  <c r="P743" i="59" a="1"/>
  <c r="P743" i="59" s="1"/>
  <c r="O1078" i="59" a="1"/>
  <c r="O1078" i="59" s="1"/>
  <c r="L1078" i="59" a="1"/>
  <c r="L1078" i="59" s="1"/>
  <c r="P1078" i="59" a="1"/>
  <c r="P1078" i="59" s="1"/>
  <c r="M1078" i="59" a="1"/>
  <c r="M1078" i="59" s="1"/>
  <c r="N1078" i="59" a="1"/>
  <c r="N1078" i="59" s="1"/>
  <c r="Q1078" i="59" a="1"/>
  <c r="Q1078" i="59" s="1"/>
  <c r="M1023" i="59" a="1"/>
  <c r="M1023" i="59" s="1"/>
  <c r="Q1023" i="59" a="1"/>
  <c r="Q1023" i="59" s="1"/>
  <c r="L1023" i="59" a="1"/>
  <c r="L1023" i="59" s="1"/>
  <c r="O1023" i="59" a="1"/>
  <c r="O1023" i="59" s="1"/>
  <c r="N1023" i="59" a="1"/>
  <c r="N1023" i="59" s="1"/>
  <c r="P1023" i="59" a="1"/>
  <c r="P1023" i="59" s="1"/>
  <c r="Q857" i="59" a="1"/>
  <c r="Q857" i="59" s="1"/>
  <c r="P857" i="59" a="1"/>
  <c r="P857" i="59" s="1"/>
  <c r="O857" i="59" a="1"/>
  <c r="O857" i="59" s="1"/>
  <c r="N857" i="59" a="1"/>
  <c r="N857" i="59" s="1"/>
  <c r="L857" i="59" a="1"/>
  <c r="L857" i="59" s="1"/>
  <c r="M857" i="59" a="1"/>
  <c r="M857" i="59" s="1"/>
  <c r="L1081" i="59" a="1"/>
  <c r="L1081" i="59" s="1"/>
  <c r="P1081" i="59" a="1"/>
  <c r="P1081" i="59" s="1"/>
  <c r="M1081" i="59" a="1"/>
  <c r="M1081" i="59" s="1"/>
  <c r="Q1081" i="59" a="1"/>
  <c r="Q1081" i="59" s="1"/>
  <c r="N1081" i="59" a="1"/>
  <c r="N1081" i="59" s="1"/>
  <c r="O1081" i="59" a="1"/>
  <c r="O1081" i="59" s="1"/>
  <c r="P1016" i="59" a="1"/>
  <c r="P1016" i="59" s="1"/>
  <c r="O1016" i="59" a="1"/>
  <c r="O1016" i="59" s="1"/>
  <c r="L1016" i="59" a="1"/>
  <c r="L1016" i="59" s="1"/>
  <c r="N1016" i="59" a="1"/>
  <c r="N1016" i="59" s="1"/>
  <c r="M1016" i="59" a="1"/>
  <c r="M1016" i="59" s="1"/>
  <c r="Q1016" i="59" a="1"/>
  <c r="Q1016" i="59" s="1"/>
  <c r="L892" i="59" a="1"/>
  <c r="L892" i="59" s="1"/>
  <c r="M892" i="59" a="1"/>
  <c r="M892" i="59" s="1"/>
  <c r="N892" i="59" a="1"/>
  <c r="N892" i="59" s="1"/>
  <c r="Q892" i="59" a="1"/>
  <c r="Q892" i="59" s="1"/>
  <c r="O892" i="59" a="1"/>
  <c r="O892" i="59" s="1"/>
  <c r="P892" i="59" a="1"/>
  <c r="P892" i="59" s="1"/>
  <c r="N1029" i="59" a="1"/>
  <c r="N1029" i="59" s="1"/>
  <c r="P1029" i="59" a="1"/>
  <c r="P1029" i="59" s="1"/>
  <c r="L1029" i="59" a="1"/>
  <c r="L1029" i="59" s="1"/>
  <c r="M1029" i="59" a="1"/>
  <c r="M1029" i="59" s="1"/>
  <c r="Q1029" i="59" a="1"/>
  <c r="Q1029" i="59" s="1"/>
  <c r="O1029" i="59" a="1"/>
  <c r="O1029" i="59" s="1"/>
  <c r="N965" i="59" a="1"/>
  <c r="N965" i="59" s="1"/>
  <c r="Q965" i="59" a="1"/>
  <c r="Q965" i="59" s="1"/>
  <c r="L965" i="59" a="1"/>
  <c r="L965" i="59" s="1"/>
  <c r="M965" i="59" a="1"/>
  <c r="M965" i="59" s="1"/>
  <c r="O965" i="59" a="1"/>
  <c r="O965" i="59" s="1"/>
  <c r="P965" i="59" a="1"/>
  <c r="P965" i="59" s="1"/>
  <c r="N901" i="59" a="1"/>
  <c r="N901" i="59" s="1"/>
  <c r="Q901" i="59" a="1"/>
  <c r="Q901" i="59" s="1"/>
  <c r="M901" i="59" a="1"/>
  <c r="M901" i="59" s="1"/>
  <c r="L901" i="59" a="1"/>
  <c r="L901" i="59" s="1"/>
  <c r="O901" i="59" a="1"/>
  <c r="O901" i="59" s="1"/>
  <c r="P901" i="59" a="1"/>
  <c r="P901" i="59" s="1"/>
  <c r="M676" i="59" a="1"/>
  <c r="M676" i="59" s="1"/>
  <c r="N676" i="59" a="1"/>
  <c r="N676" i="59" s="1"/>
  <c r="L676" i="59" a="1"/>
  <c r="L676" i="59" s="1"/>
  <c r="O676" i="59" a="1"/>
  <c r="O676" i="59" s="1"/>
  <c r="Q676" i="59" a="1"/>
  <c r="Q676" i="59" s="1"/>
  <c r="P676" i="59" a="1"/>
  <c r="P676" i="59" s="1"/>
  <c r="L912" i="59" a="1"/>
  <c r="L912" i="59" s="1"/>
  <c r="O912" i="59" a="1"/>
  <c r="O912" i="59" s="1"/>
  <c r="Q912" i="59" a="1"/>
  <c r="Q912" i="59" s="1"/>
  <c r="P912" i="59" a="1"/>
  <c r="P912" i="59" s="1"/>
  <c r="M912" i="59" a="1"/>
  <c r="M912" i="59" s="1"/>
  <c r="N912" i="59" a="1"/>
  <c r="N912" i="59" s="1"/>
  <c r="Q767" i="59" a="1"/>
  <c r="Q767" i="59" s="1"/>
  <c r="N767" i="59" a="1"/>
  <c r="N767" i="59" s="1"/>
  <c r="O767" i="59" a="1"/>
  <c r="O767" i="59" s="1"/>
  <c r="M767" i="59" a="1"/>
  <c r="M767" i="59" s="1"/>
  <c r="L767" i="59" a="1"/>
  <c r="L767" i="59" s="1"/>
  <c r="P767" i="59" a="1"/>
  <c r="P767" i="59" s="1"/>
  <c r="O987" i="59" a="1"/>
  <c r="O987" i="59" s="1"/>
  <c r="P987" i="59" a="1"/>
  <c r="P987" i="59" s="1"/>
  <c r="Q987" i="59" a="1"/>
  <c r="Q987" i="59" s="1"/>
  <c r="N987" i="59" a="1"/>
  <c r="N987" i="59" s="1"/>
  <c r="L987" i="59" a="1"/>
  <c r="L987" i="59" s="1"/>
  <c r="M987" i="59" a="1"/>
  <c r="M987" i="59" s="1"/>
  <c r="O923" i="59" a="1"/>
  <c r="O923" i="59" s="1"/>
  <c r="P923" i="59" a="1"/>
  <c r="P923" i="59" s="1"/>
  <c r="M923" i="59" a="1"/>
  <c r="M923" i="59" s="1"/>
  <c r="N923" i="59" a="1"/>
  <c r="N923" i="59" s="1"/>
  <c r="Q923" i="59" a="1"/>
  <c r="Q923" i="59" s="1"/>
  <c r="L923" i="59" a="1"/>
  <c r="L923" i="59" s="1"/>
  <c r="N839" i="59" a="1"/>
  <c r="N839" i="59" s="1"/>
  <c r="M839" i="59" a="1"/>
  <c r="M839" i="59" s="1"/>
  <c r="O839" i="59" a="1"/>
  <c r="O839" i="59" s="1"/>
  <c r="Q839" i="59" a="1"/>
  <c r="Q839" i="59" s="1"/>
  <c r="P839" i="59" a="1"/>
  <c r="P839" i="59" s="1"/>
  <c r="L839" i="59" a="1"/>
  <c r="L839" i="59" s="1"/>
  <c r="L1014" i="59" a="1"/>
  <c r="L1014" i="59" s="1"/>
  <c r="P1014" i="59" a="1"/>
  <c r="P1014" i="59" s="1"/>
  <c r="M1014" i="59" a="1"/>
  <c r="M1014" i="59" s="1"/>
  <c r="O1014" i="59" a="1"/>
  <c r="O1014" i="59" s="1"/>
  <c r="N1014" i="59" a="1"/>
  <c r="N1014" i="59" s="1"/>
  <c r="Q1014" i="59" a="1"/>
  <c r="Q1014" i="59" s="1"/>
  <c r="L950" i="59" a="1"/>
  <c r="L950" i="59" s="1"/>
  <c r="P950" i="59" a="1"/>
  <c r="P950" i="59" s="1"/>
  <c r="M950" i="59" a="1"/>
  <c r="M950" i="59" s="1"/>
  <c r="N950" i="59" a="1"/>
  <c r="N950" i="59" s="1"/>
  <c r="O950" i="59" a="1"/>
  <c r="O950" i="59" s="1"/>
  <c r="Q950" i="59" a="1"/>
  <c r="Q950" i="59" s="1"/>
  <c r="O883" i="59" a="1"/>
  <c r="O883" i="59" s="1"/>
  <c r="L883" i="59" a="1"/>
  <c r="L883" i="59" s="1"/>
  <c r="M883" i="59" a="1"/>
  <c r="M883" i="59" s="1"/>
  <c r="P883" i="59" a="1"/>
  <c r="P883" i="59" s="1"/>
  <c r="Q883" i="59" a="1"/>
  <c r="Q883" i="59" s="1"/>
  <c r="N883" i="59" a="1"/>
  <c r="N883" i="59" s="1"/>
  <c r="O882" i="59" a="1"/>
  <c r="O882" i="59" s="1"/>
  <c r="L882" i="59" a="1"/>
  <c r="L882" i="59" s="1"/>
  <c r="M882" i="59" a="1"/>
  <c r="M882" i="59" s="1"/>
  <c r="P882" i="59" a="1"/>
  <c r="P882" i="59" s="1"/>
  <c r="Q882" i="59" a="1"/>
  <c r="Q882" i="59" s="1"/>
  <c r="N882" i="59" a="1"/>
  <c r="N882" i="59" s="1"/>
  <c r="Q818" i="59" a="1"/>
  <c r="Q818" i="59" s="1"/>
  <c r="N818" i="59" a="1"/>
  <c r="N818" i="59" s="1"/>
  <c r="M818" i="59" a="1"/>
  <c r="M818" i="59" s="1"/>
  <c r="L818" i="59" a="1"/>
  <c r="L818" i="59" s="1"/>
  <c r="O818" i="59" a="1"/>
  <c r="O818" i="59" s="1"/>
  <c r="P818" i="59" a="1"/>
  <c r="P818" i="59" s="1"/>
  <c r="M754" i="59" a="1"/>
  <c r="M754" i="59" s="1"/>
  <c r="Q754" i="59" a="1"/>
  <c r="Q754" i="59" s="1"/>
  <c r="N754" i="59" a="1"/>
  <c r="N754" i="59" s="1"/>
  <c r="L754" i="59" a="1"/>
  <c r="L754" i="59" s="1"/>
  <c r="O754" i="59" a="1"/>
  <c r="O754" i="59" s="1"/>
  <c r="P754" i="59" a="1"/>
  <c r="P754" i="59" s="1"/>
  <c r="M556" i="59" a="1"/>
  <c r="M556" i="59" s="1"/>
  <c r="Q556" i="59" a="1"/>
  <c r="Q556" i="59" s="1"/>
  <c r="N556" i="59" a="1"/>
  <c r="N556" i="59" s="1"/>
  <c r="P556" i="59" a="1"/>
  <c r="P556" i="59" s="1"/>
  <c r="O556" i="59" a="1"/>
  <c r="O556" i="59" s="1"/>
  <c r="L556" i="59" a="1"/>
  <c r="L556" i="59" s="1"/>
  <c r="O837" i="59" a="1"/>
  <c r="O837" i="59" s="1"/>
  <c r="N837" i="59" a="1"/>
  <c r="N837" i="59" s="1"/>
  <c r="P837" i="59" a="1"/>
  <c r="P837" i="59" s="1"/>
  <c r="Q837" i="59" a="1"/>
  <c r="Q837" i="59" s="1"/>
  <c r="L837" i="59" a="1"/>
  <c r="L837" i="59" s="1"/>
  <c r="M837" i="59" a="1"/>
  <c r="M837" i="59" s="1"/>
  <c r="N773" i="59" a="1"/>
  <c r="N773" i="59" s="1"/>
  <c r="O773" i="59" a="1"/>
  <c r="O773" i="59" s="1"/>
  <c r="P773" i="59" a="1"/>
  <c r="P773" i="59" s="1"/>
  <c r="L773" i="59" a="1"/>
  <c r="L773" i="59" s="1"/>
  <c r="Q773" i="59" a="1"/>
  <c r="Q773" i="59" s="1"/>
  <c r="M773" i="59" a="1"/>
  <c r="M773" i="59" s="1"/>
  <c r="M689" i="59" a="1"/>
  <c r="M689" i="59" s="1"/>
  <c r="Q689" i="59" a="1"/>
  <c r="Q689" i="59" s="1"/>
  <c r="L689" i="59" a="1"/>
  <c r="L689" i="59" s="1"/>
  <c r="N689" i="59" a="1"/>
  <c r="N689" i="59" s="1"/>
  <c r="P689" i="59" a="1"/>
  <c r="P689" i="59" s="1"/>
  <c r="O689" i="59" a="1"/>
  <c r="O689" i="59" s="1"/>
  <c r="P856" i="59" a="1"/>
  <c r="P856" i="59" s="1"/>
  <c r="M856" i="59" a="1"/>
  <c r="M856" i="59" s="1"/>
  <c r="L856" i="59" a="1"/>
  <c r="L856" i="59" s="1"/>
  <c r="N856" i="59" a="1"/>
  <c r="N856" i="59" s="1"/>
  <c r="Q856" i="59" a="1"/>
  <c r="Q856" i="59" s="1"/>
  <c r="O856" i="59" a="1"/>
  <c r="O856" i="59" s="1"/>
  <c r="N792" i="59" a="1"/>
  <c r="N792" i="59" s="1"/>
  <c r="P792" i="59" a="1"/>
  <c r="P792" i="59" s="1"/>
  <c r="M792" i="59" a="1"/>
  <c r="M792" i="59" s="1"/>
  <c r="L792" i="59" a="1"/>
  <c r="L792" i="59" s="1"/>
  <c r="O792" i="59" a="1"/>
  <c r="O792" i="59" s="1"/>
  <c r="Q792" i="59" a="1"/>
  <c r="Q792" i="59" s="1"/>
  <c r="N716" i="59" a="1"/>
  <c r="N716" i="59" s="1"/>
  <c r="P716" i="59" a="1"/>
  <c r="P716" i="59" s="1"/>
  <c r="L716" i="59" a="1"/>
  <c r="L716" i="59" s="1"/>
  <c r="Q716" i="59" a="1"/>
  <c r="Q716" i="59" s="1"/>
  <c r="M716" i="59" a="1"/>
  <c r="M716" i="59" s="1"/>
  <c r="O716" i="59" a="1"/>
  <c r="O716" i="59" s="1"/>
  <c r="O811" i="59" a="1"/>
  <c r="O811" i="59" s="1"/>
  <c r="Q811" i="59" a="1"/>
  <c r="Q811" i="59" s="1"/>
  <c r="M811" i="59" a="1"/>
  <c r="M811" i="59" s="1"/>
  <c r="L811" i="59" a="1"/>
  <c r="L811" i="59" s="1"/>
  <c r="P811" i="59" a="1"/>
  <c r="P811" i="59" s="1"/>
  <c r="N811" i="59" a="1"/>
  <c r="N811" i="59" s="1"/>
  <c r="O747" i="59" a="1"/>
  <c r="O747" i="59" s="1"/>
  <c r="Q747" i="59" a="1"/>
  <c r="Q747" i="59" s="1"/>
  <c r="L747" i="59" a="1"/>
  <c r="L747" i="59" s="1"/>
  <c r="P747" i="59" a="1"/>
  <c r="P747" i="59" s="1"/>
  <c r="M747" i="59" a="1"/>
  <c r="M747" i="59" s="1"/>
  <c r="N747" i="59" a="1"/>
  <c r="N747" i="59" s="1"/>
  <c r="Q537" i="59" a="1"/>
  <c r="Q537" i="59" s="1"/>
  <c r="O537" i="59" a="1"/>
  <c r="O537" i="59" s="1"/>
  <c r="N537" i="59" a="1"/>
  <c r="N537" i="59" s="1"/>
  <c r="L537" i="59" a="1"/>
  <c r="L537" i="59" s="1"/>
  <c r="P537" i="59" a="1"/>
  <c r="P537" i="59" s="1"/>
  <c r="M537" i="59" a="1"/>
  <c r="M537" i="59" s="1"/>
  <c r="M838" i="59" a="1"/>
  <c r="M838" i="59" s="1"/>
  <c r="P838" i="59" a="1"/>
  <c r="P838" i="59" s="1"/>
  <c r="Q838" i="59" a="1"/>
  <c r="Q838" i="59" s="1"/>
  <c r="L838" i="59" a="1"/>
  <c r="L838" i="59" s="1"/>
  <c r="N838" i="59" a="1"/>
  <c r="N838" i="59" s="1"/>
  <c r="O838" i="59" a="1"/>
  <c r="O838" i="59" s="1"/>
  <c r="O774" i="59" a="1"/>
  <c r="O774" i="59" s="1"/>
  <c r="L774" i="59" a="1"/>
  <c r="L774" i="59" s="1"/>
  <c r="P774" i="59" a="1"/>
  <c r="P774" i="59" s="1"/>
  <c r="M774" i="59" a="1"/>
  <c r="M774" i="59" s="1"/>
  <c r="N774" i="59" a="1"/>
  <c r="N774" i="59" s="1"/>
  <c r="Q774" i="59" a="1"/>
  <c r="Q774" i="59" s="1"/>
  <c r="O707" i="59" a="1"/>
  <c r="O707" i="59" s="1"/>
  <c r="L707" i="59" a="1"/>
  <c r="L707" i="59" s="1"/>
  <c r="P707" i="59" a="1"/>
  <c r="P707" i="59" s="1"/>
  <c r="M707" i="59" a="1"/>
  <c r="M707" i="59" s="1"/>
  <c r="Q707" i="59" a="1"/>
  <c r="Q707" i="59" s="1"/>
  <c r="N707" i="59" a="1"/>
  <c r="N707" i="59" s="1"/>
  <c r="P809" i="59" a="1"/>
  <c r="P809" i="59" s="1"/>
  <c r="Q809" i="59" a="1"/>
  <c r="Q809" i="59" s="1"/>
  <c r="L809" i="59" a="1"/>
  <c r="L809" i="59" s="1"/>
  <c r="M809" i="59" a="1"/>
  <c r="M809" i="59" s="1"/>
  <c r="N809" i="59" a="1"/>
  <c r="N809" i="59" s="1"/>
  <c r="O809" i="59" a="1"/>
  <c r="O809" i="59" s="1"/>
  <c r="P745" i="59" a="1"/>
  <c r="P745" i="59" s="1"/>
  <c r="Q745" i="59" a="1"/>
  <c r="Q745" i="59" s="1"/>
  <c r="N745" i="59" a="1"/>
  <c r="N745" i="59" s="1"/>
  <c r="L745" i="59" a="1"/>
  <c r="L745" i="59" s="1"/>
  <c r="M745" i="59" a="1"/>
  <c r="M745" i="59" s="1"/>
  <c r="O745" i="59" a="1"/>
  <c r="O745" i="59" s="1"/>
  <c r="O738" i="59" a="1"/>
  <c r="O738" i="59" s="1"/>
  <c r="Q738" i="59" a="1"/>
  <c r="Q738" i="59" s="1"/>
  <c r="N738" i="59" a="1"/>
  <c r="N738" i="59" s="1"/>
  <c r="P738" i="59" a="1"/>
  <c r="P738" i="59" s="1"/>
  <c r="L738" i="59" a="1"/>
  <c r="L738" i="59" s="1"/>
  <c r="M738" i="59" a="1"/>
  <c r="M738" i="59" s="1"/>
  <c r="O674" i="59" a="1"/>
  <c r="O674" i="59" s="1"/>
  <c r="Q674" i="59" a="1"/>
  <c r="Q674" i="59" s="1"/>
  <c r="M674" i="59" a="1"/>
  <c r="M674" i="59" s="1"/>
  <c r="P674" i="59" a="1"/>
  <c r="P674" i="59" s="1"/>
  <c r="L674" i="59" a="1"/>
  <c r="L674" i="59" s="1"/>
  <c r="N674" i="59" a="1"/>
  <c r="N674" i="59" s="1"/>
  <c r="Q610" i="59" a="1"/>
  <c r="Q610" i="59" s="1"/>
  <c r="M610" i="59" a="1"/>
  <c r="M610" i="59" s="1"/>
  <c r="O610" i="59" a="1"/>
  <c r="O610" i="59" s="1"/>
  <c r="L610" i="59" a="1"/>
  <c r="L610" i="59" s="1"/>
  <c r="P610" i="59" a="1"/>
  <c r="P610" i="59" s="1"/>
  <c r="N610" i="59" a="1"/>
  <c r="N610" i="59" s="1"/>
  <c r="O709" i="59" a="1"/>
  <c r="O709" i="59" s="1"/>
  <c r="P709" i="59" a="1"/>
  <c r="P709" i="59" s="1"/>
  <c r="N709" i="59" a="1"/>
  <c r="N709" i="59" s="1"/>
  <c r="L709" i="59" a="1"/>
  <c r="L709" i="59" s="1"/>
  <c r="Q709" i="59" a="1"/>
  <c r="Q709" i="59" s="1"/>
  <c r="M709" i="59" a="1"/>
  <c r="M709" i="59" s="1"/>
  <c r="O645" i="59" a="1"/>
  <c r="O645" i="59" s="1"/>
  <c r="P645" i="59" a="1"/>
  <c r="P645" i="59" s="1"/>
  <c r="M645" i="59" a="1"/>
  <c r="M645" i="59" s="1"/>
  <c r="N645" i="59" a="1"/>
  <c r="N645" i="59" s="1"/>
  <c r="L645" i="59" a="1"/>
  <c r="L645" i="59" s="1"/>
  <c r="Q645" i="59" a="1"/>
  <c r="Q645" i="59" s="1"/>
  <c r="P553" i="59" a="1"/>
  <c r="P553" i="59" s="1"/>
  <c r="M553" i="59" a="1"/>
  <c r="M553" i="59" s="1"/>
  <c r="N553" i="59" a="1"/>
  <c r="N553" i="59" s="1"/>
  <c r="Q553" i="59" a="1"/>
  <c r="Q553" i="59" s="1"/>
  <c r="L553" i="59" a="1"/>
  <c r="L553" i="59" s="1"/>
  <c r="O553" i="59" a="1"/>
  <c r="O553" i="59" s="1"/>
  <c r="L696" i="59" a="1"/>
  <c r="L696" i="59" s="1"/>
  <c r="P696" i="59" a="1"/>
  <c r="P696" i="59" s="1"/>
  <c r="M696" i="59" a="1"/>
  <c r="M696" i="59" s="1"/>
  <c r="N696" i="59" a="1"/>
  <c r="N696" i="59" s="1"/>
  <c r="O696" i="59" a="1"/>
  <c r="O696" i="59" s="1"/>
  <c r="Q696" i="59" a="1"/>
  <c r="Q696" i="59" s="1"/>
  <c r="N632" i="59" a="1"/>
  <c r="N632" i="59" s="1"/>
  <c r="O632" i="59" a="1"/>
  <c r="O632" i="59" s="1"/>
  <c r="L632" i="59" a="1"/>
  <c r="L632" i="59" s="1"/>
  <c r="M632" i="59" a="1"/>
  <c r="M632" i="59" s="1"/>
  <c r="P632" i="59" a="1"/>
  <c r="P632" i="59" s="1"/>
  <c r="Q632" i="59" a="1"/>
  <c r="Q632" i="59" s="1"/>
  <c r="M523" i="59" a="1"/>
  <c r="M523" i="59" s="1"/>
  <c r="O523" i="59" a="1"/>
  <c r="O523" i="59" s="1"/>
  <c r="P523" i="59" a="1"/>
  <c r="P523" i="59" s="1"/>
  <c r="Q523" i="59" a="1"/>
  <c r="Q523" i="59" s="1"/>
  <c r="N523" i="59" a="1"/>
  <c r="N523" i="59" s="1"/>
  <c r="L523" i="59" a="1"/>
  <c r="L523" i="59" s="1"/>
  <c r="O619" i="59" a="1"/>
  <c r="O619" i="59" s="1"/>
  <c r="L619" i="59" a="1"/>
  <c r="L619" i="59" s="1"/>
  <c r="P619" i="59" a="1"/>
  <c r="P619" i="59" s="1"/>
  <c r="M619" i="59" a="1"/>
  <c r="M619" i="59" s="1"/>
  <c r="Q619" i="59" a="1"/>
  <c r="Q619" i="59" s="1"/>
  <c r="N619" i="59" a="1"/>
  <c r="N619" i="59" s="1"/>
  <c r="M726" i="59" a="1"/>
  <c r="M726" i="59" s="1"/>
  <c r="Q726" i="59" a="1"/>
  <c r="Q726" i="59" s="1"/>
  <c r="O726" i="59" a="1"/>
  <c r="O726" i="59" s="1"/>
  <c r="P726" i="59" a="1"/>
  <c r="P726" i="59" s="1"/>
  <c r="L726" i="59" a="1"/>
  <c r="L726" i="59" s="1"/>
  <c r="N726" i="59" a="1"/>
  <c r="N726" i="59" s="1"/>
  <c r="O662" i="59" a="1"/>
  <c r="O662" i="59" s="1"/>
  <c r="M662" i="59" a="1"/>
  <c r="M662" i="59" s="1"/>
  <c r="Q662" i="59" a="1"/>
  <c r="Q662" i="59" s="1"/>
  <c r="L662" i="59" a="1"/>
  <c r="L662" i="59" s="1"/>
  <c r="P662" i="59" a="1"/>
  <c r="P662" i="59" s="1"/>
  <c r="N662" i="59" a="1"/>
  <c r="N662" i="59" s="1"/>
  <c r="N582" i="59" a="1"/>
  <c r="N582" i="59" s="1"/>
  <c r="M582" i="59" a="1"/>
  <c r="M582" i="59" s="1"/>
  <c r="Q582" i="59" a="1"/>
  <c r="Q582" i="59" s="1"/>
  <c r="L582" i="59" a="1"/>
  <c r="L582" i="59" s="1"/>
  <c r="P582" i="59" a="1"/>
  <c r="P582" i="59" s="1"/>
  <c r="O582" i="59" a="1"/>
  <c r="O582" i="59" s="1"/>
  <c r="L641" i="59" a="1"/>
  <c r="L641" i="59" s="1"/>
  <c r="P641" i="59" a="1"/>
  <c r="P641" i="59" s="1"/>
  <c r="M641" i="59" a="1"/>
  <c r="M641" i="59" s="1"/>
  <c r="N641" i="59" a="1"/>
  <c r="N641" i="59" s="1"/>
  <c r="Q641" i="59" a="1"/>
  <c r="Q641" i="59" s="1"/>
  <c r="O641" i="59" a="1"/>
  <c r="O641" i="59" s="1"/>
  <c r="L545" i="59" a="1"/>
  <c r="L545" i="59" s="1"/>
  <c r="O545" i="59" a="1"/>
  <c r="O545" i="59" s="1"/>
  <c r="N545" i="59" a="1"/>
  <c r="N545" i="59" s="1"/>
  <c r="M545" i="59" a="1"/>
  <c r="M545" i="59" s="1"/>
  <c r="P545" i="59" a="1"/>
  <c r="P545" i="59" s="1"/>
  <c r="Q545" i="59" a="1"/>
  <c r="Q545" i="59" s="1"/>
  <c r="O567" i="59" a="1"/>
  <c r="O567" i="59" s="1"/>
  <c r="M567" i="59" a="1"/>
  <c r="M567" i="59" s="1"/>
  <c r="N567" i="59" a="1"/>
  <c r="N567" i="59" s="1"/>
  <c r="Q567" i="59" a="1"/>
  <c r="Q567" i="59" s="1"/>
  <c r="P567" i="59" a="1"/>
  <c r="P567" i="59" s="1"/>
  <c r="L567" i="59" a="1"/>
  <c r="L567" i="59" s="1"/>
  <c r="O482" i="59" a="1"/>
  <c r="O482" i="59" s="1"/>
  <c r="P482" i="59" a="1"/>
  <c r="P482" i="59" s="1"/>
  <c r="N482" i="59" a="1"/>
  <c r="N482" i="59" s="1"/>
  <c r="Q482" i="59" a="1"/>
  <c r="Q482" i="59" s="1"/>
  <c r="L482" i="59" a="1"/>
  <c r="L482" i="59" s="1"/>
  <c r="M482" i="59" a="1"/>
  <c r="M482" i="59" s="1"/>
  <c r="N546" i="59" a="1"/>
  <c r="N546" i="59" s="1"/>
  <c r="P546" i="59" a="1"/>
  <c r="P546" i="59" s="1"/>
  <c r="O546" i="59" a="1"/>
  <c r="O546" i="59" s="1"/>
  <c r="L546" i="59" a="1"/>
  <c r="L546" i="59" s="1"/>
  <c r="Q546" i="59" a="1"/>
  <c r="Q546" i="59" s="1"/>
  <c r="M546" i="59" a="1"/>
  <c r="M546" i="59" s="1"/>
  <c r="L597" i="59" a="1"/>
  <c r="L597" i="59" s="1"/>
  <c r="P597" i="59" a="1"/>
  <c r="P597" i="59" s="1"/>
  <c r="O597" i="59" a="1"/>
  <c r="O597" i="59" s="1"/>
  <c r="M597" i="59" a="1"/>
  <c r="M597" i="59" s="1"/>
  <c r="N597" i="59" a="1"/>
  <c r="N597" i="59" s="1"/>
  <c r="Q597" i="59" a="1"/>
  <c r="Q597" i="59" s="1"/>
  <c r="L515" i="59" a="1"/>
  <c r="L515" i="59" s="1"/>
  <c r="P515" i="59" a="1"/>
  <c r="P515" i="59" s="1"/>
  <c r="M515" i="59" a="1"/>
  <c r="M515" i="59" s="1"/>
  <c r="Q515" i="59" a="1"/>
  <c r="Q515" i="59" s="1"/>
  <c r="O515" i="59" a="1"/>
  <c r="O515" i="59" s="1"/>
  <c r="N515" i="59" a="1"/>
  <c r="N515" i="59" s="1"/>
  <c r="M603" i="59" a="1"/>
  <c r="M603" i="59" s="1"/>
  <c r="L603" i="59" a="1"/>
  <c r="L603" i="59" s="1"/>
  <c r="N603" i="59" a="1"/>
  <c r="N603" i="59" s="1"/>
  <c r="O603" i="59" a="1"/>
  <c r="O603" i="59" s="1"/>
  <c r="Q603" i="59" a="1"/>
  <c r="Q603" i="59" s="1"/>
  <c r="P603" i="59" a="1"/>
  <c r="P603" i="59" s="1"/>
  <c r="M532" i="59" a="1"/>
  <c r="M532" i="59" s="1"/>
  <c r="O532" i="59" a="1"/>
  <c r="O532" i="59" s="1"/>
  <c r="N532" i="59" a="1"/>
  <c r="N532" i="59" s="1"/>
  <c r="Q532" i="59" a="1"/>
  <c r="Q532" i="59" s="1"/>
  <c r="L532" i="59" a="1"/>
  <c r="L532" i="59" s="1"/>
  <c r="P532" i="59" a="1"/>
  <c r="P532" i="59" s="1"/>
  <c r="P435" i="59" a="1"/>
  <c r="P435" i="59" s="1"/>
  <c r="N435" i="59" a="1"/>
  <c r="N435" i="59" s="1"/>
  <c r="M435" i="59" a="1"/>
  <c r="M435" i="59" s="1"/>
  <c r="L435" i="59" a="1"/>
  <c r="L435" i="59" s="1"/>
  <c r="O435" i="59" a="1"/>
  <c r="O435" i="59" s="1"/>
  <c r="Q435" i="59" a="1"/>
  <c r="Q435" i="59" s="1"/>
  <c r="L502" i="59" a="1"/>
  <c r="L502" i="59" s="1"/>
  <c r="Q502" i="59" a="1"/>
  <c r="Q502" i="59" s="1"/>
  <c r="P502" i="59" a="1"/>
  <c r="P502" i="59" s="1"/>
  <c r="N502" i="59" a="1"/>
  <c r="N502" i="59" s="1"/>
  <c r="M502" i="59" a="1"/>
  <c r="M502" i="59" s="1"/>
  <c r="O502" i="59" a="1"/>
  <c r="O502" i="59" s="1"/>
  <c r="O387" i="59" a="1"/>
  <c r="O387" i="59" s="1"/>
  <c r="L387" i="59" a="1"/>
  <c r="L387" i="59" s="1"/>
  <c r="P387" i="59" a="1"/>
  <c r="P387" i="59" s="1"/>
  <c r="M387" i="59" a="1"/>
  <c r="M387" i="59" s="1"/>
  <c r="N387" i="59" a="1"/>
  <c r="N387" i="59" s="1"/>
  <c r="Q387" i="59" a="1"/>
  <c r="Q387" i="59" s="1"/>
  <c r="M478" i="59" a="1"/>
  <c r="M478" i="59" s="1"/>
  <c r="Q478" i="59" a="1"/>
  <c r="Q478" i="59" s="1"/>
  <c r="N478" i="59" a="1"/>
  <c r="N478" i="59" s="1"/>
  <c r="P478" i="59" a="1"/>
  <c r="P478" i="59" s="1"/>
  <c r="O478" i="59" a="1"/>
  <c r="O478" i="59" s="1"/>
  <c r="L478" i="59" a="1"/>
  <c r="L478" i="59" s="1"/>
  <c r="L522" i="59" a="1"/>
  <c r="L522" i="59" s="1"/>
  <c r="P522" i="59" a="1"/>
  <c r="P522" i="59" s="1"/>
  <c r="N522" i="59" a="1"/>
  <c r="N522" i="59" s="1"/>
  <c r="O522" i="59" a="1"/>
  <c r="O522" i="59" s="1"/>
  <c r="M522" i="59" a="1"/>
  <c r="M522" i="59" s="1"/>
  <c r="Q522" i="59" a="1"/>
  <c r="Q522" i="59" s="1"/>
  <c r="L403" i="59" a="1"/>
  <c r="L403" i="59" s="1"/>
  <c r="N403" i="59" a="1"/>
  <c r="N403" i="59" s="1"/>
  <c r="P403" i="59" a="1"/>
  <c r="P403" i="59" s="1"/>
  <c r="O403" i="59" a="1"/>
  <c r="O403" i="59" s="1"/>
  <c r="Q403" i="59" a="1"/>
  <c r="Q403" i="59" s="1"/>
  <c r="M403" i="59" a="1"/>
  <c r="M403" i="59" s="1"/>
  <c r="Q520" i="59" a="1"/>
  <c r="Q520" i="59" s="1"/>
  <c r="P520" i="59" a="1"/>
  <c r="P520" i="59" s="1"/>
  <c r="M520" i="59" a="1"/>
  <c r="M520" i="59" s="1"/>
  <c r="O520" i="59" a="1"/>
  <c r="O520" i="59" s="1"/>
  <c r="L520" i="59" a="1"/>
  <c r="L520" i="59" s="1"/>
  <c r="N520" i="59" a="1"/>
  <c r="N520" i="59" s="1"/>
  <c r="L407" i="59" a="1"/>
  <c r="L407" i="59" s="1"/>
  <c r="N407" i="59" a="1"/>
  <c r="N407" i="59" s="1"/>
  <c r="P407" i="59" a="1"/>
  <c r="P407" i="59" s="1"/>
  <c r="M407" i="59" a="1"/>
  <c r="M407" i="59" s="1"/>
  <c r="Q407" i="59" a="1"/>
  <c r="Q407" i="59" s="1"/>
  <c r="O407" i="59" a="1"/>
  <c r="O407" i="59" s="1"/>
  <c r="N460" i="59" a="1"/>
  <c r="N460" i="59" s="1"/>
  <c r="O460" i="59" a="1"/>
  <c r="O460" i="59" s="1"/>
  <c r="M460" i="59" a="1"/>
  <c r="M460" i="59" s="1"/>
  <c r="P460" i="59" a="1"/>
  <c r="P460" i="59" s="1"/>
  <c r="Q460" i="59" a="1"/>
  <c r="Q460" i="59" s="1"/>
  <c r="L460" i="59" a="1"/>
  <c r="L460" i="59" s="1"/>
  <c r="N372" i="59" a="1"/>
  <c r="N372" i="59" s="1"/>
  <c r="M372" i="59" a="1"/>
  <c r="M372" i="59" s="1"/>
  <c r="L372" i="59" a="1"/>
  <c r="L372" i="59" s="1"/>
  <c r="Q372" i="59" a="1"/>
  <c r="Q372" i="59" s="1"/>
  <c r="P372" i="59" a="1"/>
  <c r="P372" i="59" s="1"/>
  <c r="O372" i="59" a="1"/>
  <c r="O372" i="59" s="1"/>
  <c r="L439" i="59" a="1"/>
  <c r="L439" i="59" s="1"/>
  <c r="N439" i="59" a="1"/>
  <c r="N439" i="59" s="1"/>
  <c r="Q439" i="59" a="1"/>
  <c r="Q439" i="59" s="1"/>
  <c r="O439" i="59" a="1"/>
  <c r="O439" i="59" s="1"/>
  <c r="P439" i="59" a="1"/>
  <c r="P439" i="59" s="1"/>
  <c r="M439" i="59" a="1"/>
  <c r="M439" i="59" s="1"/>
  <c r="M378" i="59" a="1"/>
  <c r="M378" i="59" s="1"/>
  <c r="Q378" i="59" a="1"/>
  <c r="Q378" i="59" s="1"/>
  <c r="O378" i="59" a="1"/>
  <c r="O378" i="59" s="1"/>
  <c r="N378" i="59" a="1"/>
  <c r="N378" i="59" s="1"/>
  <c r="L378" i="59" a="1"/>
  <c r="L378" i="59" s="1"/>
  <c r="P378" i="59" a="1"/>
  <c r="P378" i="59" s="1"/>
  <c r="L437" i="59" a="1"/>
  <c r="L437" i="59" s="1"/>
  <c r="N437" i="59" a="1"/>
  <c r="N437" i="59" s="1"/>
  <c r="P437" i="59" a="1"/>
  <c r="P437" i="59" s="1"/>
  <c r="M437" i="59" a="1"/>
  <c r="M437" i="59" s="1"/>
  <c r="Q437" i="59" a="1"/>
  <c r="Q437" i="59" s="1"/>
  <c r="O437" i="59" a="1"/>
  <c r="O437" i="59" s="1"/>
  <c r="M293" i="59" a="1"/>
  <c r="M293" i="59" s="1"/>
  <c r="N293" i="59" a="1"/>
  <c r="N293" i="59" s="1"/>
  <c r="Q293" i="59" a="1"/>
  <c r="Q293" i="59" s="1"/>
  <c r="P293" i="59" a="1"/>
  <c r="P293" i="59" s="1"/>
  <c r="O293" i="59" a="1"/>
  <c r="O293" i="59" s="1"/>
  <c r="L293" i="59" a="1"/>
  <c r="L293" i="59" s="1"/>
  <c r="Q432" i="59" a="1"/>
  <c r="Q432" i="59" s="1"/>
  <c r="L432" i="59" a="1"/>
  <c r="L432" i="59" s="1"/>
  <c r="N432" i="59" a="1"/>
  <c r="N432" i="59" s="1"/>
  <c r="P432" i="59" a="1"/>
  <c r="P432" i="59" s="1"/>
  <c r="M432" i="59" a="1"/>
  <c r="M432" i="59" s="1"/>
  <c r="O432" i="59" a="1"/>
  <c r="O432" i="59" s="1"/>
  <c r="M327" i="59" a="1"/>
  <c r="M327" i="59" s="1"/>
  <c r="L327" i="59" a="1"/>
  <c r="L327" i="59" s="1"/>
  <c r="Q327" i="59" a="1"/>
  <c r="Q327" i="59" s="1"/>
  <c r="P327" i="59" a="1"/>
  <c r="P327" i="59" s="1"/>
  <c r="O327" i="59" a="1"/>
  <c r="O327" i="59" s="1"/>
  <c r="N327" i="59" a="1"/>
  <c r="N327" i="59" s="1"/>
  <c r="Q365" i="59" a="1"/>
  <c r="Q365" i="59" s="1"/>
  <c r="M365" i="59" a="1"/>
  <c r="M365" i="59" s="1"/>
  <c r="N365" i="59" a="1"/>
  <c r="N365" i="59" s="1"/>
  <c r="O365" i="59" a="1"/>
  <c r="O365" i="59" s="1"/>
  <c r="P365" i="59" a="1"/>
  <c r="P365" i="59" s="1"/>
  <c r="L365" i="59" a="1"/>
  <c r="L365" i="59" s="1"/>
  <c r="N408" i="59" a="1"/>
  <c r="N408" i="59" s="1"/>
  <c r="L408" i="59" a="1"/>
  <c r="L408" i="59" s="1"/>
  <c r="O408" i="59" a="1"/>
  <c r="O408" i="59" s="1"/>
  <c r="P408" i="59" a="1"/>
  <c r="P408" i="59" s="1"/>
  <c r="M408" i="59" a="1"/>
  <c r="M408" i="59" s="1"/>
  <c r="Q408" i="59" a="1"/>
  <c r="Q408" i="59" s="1"/>
  <c r="L329" i="59" a="1"/>
  <c r="L329" i="59" s="1"/>
  <c r="O329" i="59" a="1"/>
  <c r="O329" i="59" s="1"/>
  <c r="P329" i="59" a="1"/>
  <c r="P329" i="59" s="1"/>
  <c r="M329" i="59" a="1"/>
  <c r="M329" i="59" s="1"/>
  <c r="Q329" i="59" a="1"/>
  <c r="Q329" i="59" s="1"/>
  <c r="N329" i="59" a="1"/>
  <c r="N329" i="59" s="1"/>
  <c r="Q406" i="59" a="1"/>
  <c r="Q406" i="59" s="1"/>
  <c r="O406" i="59" a="1"/>
  <c r="O406" i="59" s="1"/>
  <c r="M406" i="59" a="1"/>
  <c r="M406" i="59" s="1"/>
  <c r="N406" i="59" a="1"/>
  <c r="N406" i="59" s="1"/>
  <c r="L406" i="59" a="1"/>
  <c r="L406" i="59" s="1"/>
  <c r="P406" i="59" a="1"/>
  <c r="P406" i="59" s="1"/>
  <c r="N314" i="59" a="1"/>
  <c r="N314" i="59" s="1"/>
  <c r="L314" i="59" a="1"/>
  <c r="L314" i="59" s="1"/>
  <c r="M314" i="59" a="1"/>
  <c r="M314" i="59" s="1"/>
  <c r="Q314" i="59" a="1"/>
  <c r="Q314" i="59" s="1"/>
  <c r="O314" i="59" a="1"/>
  <c r="O314" i="59" s="1"/>
  <c r="P314" i="59" a="1"/>
  <c r="P314" i="59" s="1"/>
  <c r="L385" i="59" a="1"/>
  <c r="L385" i="59" s="1"/>
  <c r="P385" i="59" a="1"/>
  <c r="P385" i="59" s="1"/>
  <c r="O385" i="59" a="1"/>
  <c r="O385" i="59" s="1"/>
  <c r="M385" i="59" a="1"/>
  <c r="M385" i="59" s="1"/>
  <c r="Q385" i="59" a="1"/>
  <c r="Q385" i="59" s="1"/>
  <c r="N385" i="59" a="1"/>
  <c r="N385" i="59" s="1"/>
  <c r="L321" i="59" a="1"/>
  <c r="L321" i="59" s="1"/>
  <c r="O321" i="59" a="1"/>
  <c r="O321" i="59" s="1"/>
  <c r="P321" i="59" a="1"/>
  <c r="P321" i="59" s="1"/>
  <c r="M321" i="59" a="1"/>
  <c r="M321" i="59" s="1"/>
  <c r="N321" i="59" a="1"/>
  <c r="N321" i="59" s="1"/>
  <c r="Q321" i="59" a="1"/>
  <c r="Q321" i="59" s="1"/>
  <c r="O312" i="59" a="1"/>
  <c r="O312" i="59" s="1"/>
  <c r="Q312" i="59" a="1"/>
  <c r="Q312" i="59" s="1"/>
  <c r="P312" i="59" a="1"/>
  <c r="P312" i="59" s="1"/>
  <c r="N312" i="59" a="1"/>
  <c r="N312" i="59" s="1"/>
  <c r="L312" i="59" a="1"/>
  <c r="L312" i="59" s="1"/>
  <c r="M312" i="59" a="1"/>
  <c r="M312" i="59" s="1"/>
  <c r="N355" i="59" a="1"/>
  <c r="N355" i="59" s="1"/>
  <c r="O355" i="59" a="1"/>
  <c r="O355" i="59" s="1"/>
  <c r="Q355" i="59" a="1"/>
  <c r="Q355" i="59" s="1"/>
  <c r="L355" i="59" a="1"/>
  <c r="L355" i="59" s="1"/>
  <c r="P355" i="59" a="1"/>
  <c r="P355" i="59" s="1"/>
  <c r="M355" i="59" a="1"/>
  <c r="M355" i="59" s="1"/>
  <c r="N291" i="59" a="1"/>
  <c r="N291" i="59" s="1"/>
  <c r="O291" i="59" a="1"/>
  <c r="O291" i="59" s="1"/>
  <c r="L291" i="59" a="1"/>
  <c r="L291" i="59" s="1"/>
  <c r="P291" i="59" a="1"/>
  <c r="P291" i="59" s="1"/>
  <c r="Q291" i="59" a="1"/>
  <c r="Q291" i="59" s="1"/>
  <c r="M291" i="59" a="1"/>
  <c r="M291" i="59" s="1"/>
  <c r="L334" i="59" a="1"/>
  <c r="L334" i="59" s="1"/>
  <c r="P334" i="59" a="1"/>
  <c r="P334" i="59" s="1"/>
  <c r="Q334" i="59" a="1"/>
  <c r="Q334" i="59" s="1"/>
  <c r="M334" i="59" a="1"/>
  <c r="M334" i="59" s="1"/>
  <c r="N334" i="59" a="1"/>
  <c r="N334" i="59" s="1"/>
  <c r="O334" i="59" a="1"/>
  <c r="O334" i="59" s="1"/>
  <c r="M274" i="59" a="1"/>
  <c r="M274" i="59" s="1"/>
  <c r="L274" i="59" a="1"/>
  <c r="L274" i="59" s="1"/>
  <c r="Q274" i="59" a="1"/>
  <c r="Q274" i="59" s="1"/>
  <c r="P274" i="59" a="1"/>
  <c r="P274" i="59" s="1"/>
  <c r="N274" i="59" a="1"/>
  <c r="N274" i="59" s="1"/>
  <c r="O274" i="59" a="1"/>
  <c r="O274" i="59" s="1"/>
  <c r="Q356" i="59" a="1"/>
  <c r="Q356" i="59" s="1"/>
  <c r="L356" i="59" a="1"/>
  <c r="L356" i="59" s="1"/>
  <c r="N356" i="59" a="1"/>
  <c r="N356" i="59" s="1"/>
  <c r="M356" i="59" a="1"/>
  <c r="M356" i="59" s="1"/>
  <c r="O356" i="59" a="1"/>
  <c r="O356" i="59" s="1"/>
  <c r="P356" i="59" a="1"/>
  <c r="P356" i="59" s="1"/>
  <c r="O292" i="59" a="1"/>
  <c r="O292" i="59" s="1"/>
  <c r="M292" i="59" a="1"/>
  <c r="M292" i="59" s="1"/>
  <c r="L292" i="59" a="1"/>
  <c r="L292" i="59" s="1"/>
  <c r="Q292" i="59" a="1"/>
  <c r="Q292" i="59" s="1"/>
  <c r="P292" i="59" a="1"/>
  <c r="P292" i="59" s="1"/>
  <c r="N292" i="59" a="1"/>
  <c r="N292" i="59" s="1"/>
  <c r="M277" i="59" a="1"/>
  <c r="M277" i="59" s="1"/>
  <c r="L277" i="59" a="1"/>
  <c r="L277" i="59" s="1"/>
  <c r="N277" i="59" a="1"/>
  <c r="N277" i="59" s="1"/>
  <c r="Q277" i="59" a="1"/>
  <c r="Q277" i="59" s="1"/>
  <c r="P277" i="59" a="1"/>
  <c r="P277" i="59" s="1"/>
  <c r="O277" i="59" a="1"/>
  <c r="O277" i="59" s="1"/>
  <c r="Q264" i="59" a="1"/>
  <c r="Q264" i="59" s="1"/>
  <c r="M264" i="59" a="1"/>
  <c r="M264" i="59" s="1"/>
  <c r="O264" i="59" a="1"/>
  <c r="O264" i="59" s="1"/>
  <c r="L264" i="59" a="1"/>
  <c r="L264" i="59" s="1"/>
  <c r="N264" i="59" a="1"/>
  <c r="N264" i="59" s="1"/>
  <c r="P264" i="59" a="1"/>
  <c r="P264" i="59" s="1"/>
  <c r="N259" i="59" a="1"/>
  <c r="N259" i="59" s="1"/>
  <c r="O259" i="59" a="1"/>
  <c r="O259" i="59" s="1"/>
  <c r="L259" i="59" a="1"/>
  <c r="L259" i="59" s="1"/>
  <c r="P259" i="59" a="1"/>
  <c r="P259" i="59" s="1"/>
  <c r="M259" i="59" a="1"/>
  <c r="M259" i="59" s="1"/>
  <c r="Q259" i="59" a="1"/>
  <c r="Q259" i="59" s="1"/>
  <c r="L223" i="59" a="1"/>
  <c r="L223" i="59" s="1"/>
  <c r="Q223" i="59" a="1"/>
  <c r="Q223" i="59" s="1"/>
  <c r="N223" i="59" a="1"/>
  <c r="N223" i="59" s="1"/>
  <c r="O223" i="59" a="1"/>
  <c r="O223" i="59" s="1"/>
  <c r="P223" i="59" a="1"/>
  <c r="P223" i="59" s="1"/>
  <c r="M223" i="59" a="1"/>
  <c r="M223" i="59" s="1"/>
  <c r="M213" i="59" a="1"/>
  <c r="M213" i="59" s="1"/>
  <c r="P213" i="59" a="1"/>
  <c r="P213" i="59" s="1"/>
  <c r="L213" i="59" a="1"/>
  <c r="L213" i="59" s="1"/>
  <c r="Q213" i="59" a="1"/>
  <c r="Q213" i="59" s="1"/>
  <c r="N213" i="59" a="1"/>
  <c r="N213" i="59" s="1"/>
  <c r="O213" i="59" a="1"/>
  <c r="O213" i="59" s="1"/>
  <c r="O161" i="59" a="1"/>
  <c r="O161" i="59" s="1"/>
  <c r="Q161" i="59" a="1"/>
  <c r="Q161" i="59" s="1"/>
  <c r="P161" i="59" a="1"/>
  <c r="P161" i="59" s="1"/>
  <c r="M161" i="59" a="1"/>
  <c r="M161" i="59" s="1"/>
  <c r="N161" i="59" a="1"/>
  <c r="N161" i="59" s="1"/>
  <c r="L161" i="59" a="1"/>
  <c r="L161" i="59" s="1"/>
  <c r="O178" i="59" a="1"/>
  <c r="O178" i="59" s="1"/>
  <c r="Q178" i="59" a="1"/>
  <c r="Q178" i="59" s="1"/>
  <c r="L178" i="59" a="1"/>
  <c r="L178" i="59" s="1"/>
  <c r="P178" i="59" a="1"/>
  <c r="P178" i="59" s="1"/>
  <c r="N178" i="59" a="1"/>
  <c r="N178" i="59" s="1"/>
  <c r="M178" i="59" a="1"/>
  <c r="M178" i="59" s="1"/>
  <c r="M238" i="59" a="1"/>
  <c r="M238" i="59" s="1"/>
  <c r="Q238" i="59" a="1"/>
  <c r="Q238" i="59" s="1"/>
  <c r="O238" i="59" a="1"/>
  <c r="O238" i="59" s="1"/>
  <c r="N238" i="59" a="1"/>
  <c r="N238" i="59" s="1"/>
  <c r="P238" i="59" a="1"/>
  <c r="P238" i="59" s="1"/>
  <c r="L238" i="59" a="1"/>
  <c r="L238" i="59" s="1"/>
  <c r="O236" i="59" a="1"/>
  <c r="O236" i="59" s="1"/>
  <c r="N236" i="59" a="1"/>
  <c r="N236" i="59" s="1"/>
  <c r="P236" i="59" a="1"/>
  <c r="P236" i="59" s="1"/>
  <c r="L236" i="59" a="1"/>
  <c r="L236" i="59" s="1"/>
  <c r="Q236" i="59" a="1"/>
  <c r="Q236" i="59" s="1"/>
  <c r="M236" i="59" a="1"/>
  <c r="M236" i="59" s="1"/>
  <c r="N136" i="59" a="1"/>
  <c r="N136" i="59" s="1"/>
  <c r="P136" i="59" a="1"/>
  <c r="P136" i="59" s="1"/>
  <c r="M136" i="59" a="1"/>
  <c r="M136" i="59" s="1"/>
  <c r="O136" i="59" a="1"/>
  <c r="O136" i="59" s="1"/>
  <c r="Q136" i="59" a="1"/>
  <c r="Q136" i="59" s="1"/>
  <c r="L136" i="59" a="1"/>
  <c r="L136" i="59" s="1"/>
  <c r="P192" i="59" a="1"/>
  <c r="P192" i="59" s="1"/>
  <c r="Q192" i="59" a="1"/>
  <c r="Q192" i="59" s="1"/>
  <c r="L192" i="59" a="1"/>
  <c r="L192" i="59" s="1"/>
  <c r="N192" i="59" a="1"/>
  <c r="N192" i="59" s="1"/>
  <c r="M192" i="59" a="1"/>
  <c r="M192" i="59" s="1"/>
  <c r="O192" i="59" a="1"/>
  <c r="O192" i="59" s="1"/>
  <c r="M177" i="59" a="1"/>
  <c r="M177" i="59" s="1"/>
  <c r="Q177" i="59" a="1"/>
  <c r="Q177" i="59" s="1"/>
  <c r="L177" i="59" a="1"/>
  <c r="L177" i="59" s="1"/>
  <c r="P177" i="59" a="1"/>
  <c r="P177" i="59" s="1"/>
  <c r="O177" i="59" a="1"/>
  <c r="O177" i="59" s="1"/>
  <c r="N177" i="59" a="1"/>
  <c r="N177" i="59" s="1"/>
  <c r="O169" i="59" a="1"/>
  <c r="O169" i="59" s="1"/>
  <c r="Q169" i="59" a="1"/>
  <c r="Q169" i="59" s="1"/>
  <c r="N169" i="59" a="1"/>
  <c r="N169" i="59" s="1"/>
  <c r="M169" i="59" a="1"/>
  <c r="M169" i="59" s="1"/>
  <c r="P169" i="59" a="1"/>
  <c r="P169" i="59" s="1"/>
  <c r="L169" i="59" a="1"/>
  <c r="L169" i="59" s="1"/>
  <c r="L154" i="59" a="1"/>
  <c r="L154" i="59" s="1"/>
  <c r="N154" i="59" a="1"/>
  <c r="N154" i="59" s="1"/>
  <c r="P154" i="59" a="1"/>
  <c r="P154" i="59" s="1"/>
  <c r="O154" i="59" a="1"/>
  <c r="O154" i="59" s="1"/>
  <c r="Q154" i="59" a="1"/>
  <c r="Q154" i="59" s="1"/>
  <c r="M154" i="59" a="1"/>
  <c r="M154" i="59" s="1"/>
  <c r="Q130" i="59" a="1"/>
  <c r="Q130" i="59" s="1"/>
  <c r="O130" i="59" a="1"/>
  <c r="O130" i="59" s="1"/>
  <c r="L130" i="59" a="1"/>
  <c r="L130" i="59" s="1"/>
  <c r="P130" i="59" a="1"/>
  <c r="P130" i="59" s="1"/>
  <c r="N130" i="59" a="1"/>
  <c r="N130" i="59" s="1"/>
  <c r="M130" i="59" a="1"/>
  <c r="M130" i="59" s="1"/>
  <c r="O145" i="59" a="1"/>
  <c r="O145" i="59" s="1"/>
  <c r="P145" i="59" a="1"/>
  <c r="P145" i="59" s="1"/>
  <c r="L145" i="59" a="1"/>
  <c r="L145" i="59" s="1"/>
  <c r="N145" i="59" a="1"/>
  <c r="N145" i="59" s="1"/>
  <c r="Q145" i="59" a="1"/>
  <c r="Q145" i="59" s="1"/>
  <c r="M145" i="59" a="1"/>
  <c r="M145" i="59" s="1"/>
  <c r="M126" i="59" a="1"/>
  <c r="M126" i="59" s="1"/>
  <c r="L126" i="59" a="1"/>
  <c r="L126" i="59" s="1"/>
  <c r="Q126" i="59" a="1"/>
  <c r="Q126" i="59" s="1"/>
  <c r="O126" i="59" a="1"/>
  <c r="O126" i="59" s="1"/>
  <c r="P126" i="59" a="1"/>
  <c r="P126" i="59" s="1"/>
  <c r="N126" i="59" a="1"/>
  <c r="N126" i="59" s="1"/>
  <c r="M165" i="59" a="1"/>
  <c r="M165" i="59" s="1"/>
  <c r="Q165" i="59" a="1"/>
  <c r="Q165" i="59" s="1"/>
  <c r="P165" i="59" a="1"/>
  <c r="P165" i="59" s="1"/>
  <c r="N165" i="59" a="1"/>
  <c r="N165" i="59" s="1"/>
  <c r="O165" i="59" a="1"/>
  <c r="O165" i="59" s="1"/>
  <c r="L165" i="59" a="1"/>
  <c r="L165" i="59" s="1"/>
  <c r="M112" i="59" a="1"/>
  <c r="M112" i="59" s="1"/>
  <c r="Q112" i="59" a="1"/>
  <c r="Q112" i="59" s="1"/>
  <c r="N112" i="59" a="1"/>
  <c r="N112" i="59" s="1"/>
  <c r="O112" i="59" a="1"/>
  <c r="O112" i="59" s="1"/>
  <c r="L112" i="59" a="1"/>
  <c r="L112" i="59" s="1"/>
  <c r="P112" i="59" a="1"/>
  <c r="P112" i="59" s="1"/>
  <c r="N84" i="59" a="1"/>
  <c r="N84" i="59" s="1"/>
  <c r="Q84" i="59" a="1"/>
  <c r="Q84" i="59" s="1"/>
  <c r="O84" i="59" a="1"/>
  <c r="O84" i="59" s="1"/>
  <c r="M84" i="59" a="1"/>
  <c r="M84" i="59" s="1"/>
  <c r="P84" i="59" a="1"/>
  <c r="P84" i="59" s="1"/>
  <c r="L84" i="59" a="1"/>
  <c r="L84" i="59" s="1"/>
  <c r="O85" i="59" a="1"/>
  <c r="O85" i="59" s="1"/>
  <c r="N85" i="59" a="1"/>
  <c r="N85" i="59" s="1"/>
  <c r="L85" i="59" a="1"/>
  <c r="L85" i="59" s="1"/>
  <c r="P85" i="59" a="1"/>
  <c r="P85" i="59" s="1"/>
  <c r="Q85" i="59" a="1"/>
  <c r="Q85" i="59" s="1"/>
  <c r="M85" i="59" a="1"/>
  <c r="M85" i="59" s="1"/>
  <c r="M111" i="59" a="1"/>
  <c r="M111" i="59" s="1"/>
  <c r="L111" i="59" a="1"/>
  <c r="L111" i="59" s="1"/>
  <c r="P111" i="59" a="1"/>
  <c r="P111" i="59" s="1"/>
  <c r="Q111" i="59" a="1"/>
  <c r="Q111" i="59" s="1"/>
  <c r="N111" i="59" a="1"/>
  <c r="N111" i="59" s="1"/>
  <c r="O111" i="59" a="1"/>
  <c r="O111" i="59" s="1"/>
  <c r="M106" i="59" a="1"/>
  <c r="M106" i="59" s="1"/>
  <c r="O106" i="59" a="1"/>
  <c r="O106" i="59" s="1"/>
  <c r="N106" i="59" a="1"/>
  <c r="N106" i="59" s="1"/>
  <c r="Q106" i="59" a="1"/>
  <c r="Q106" i="59" s="1"/>
  <c r="L106" i="59" a="1"/>
  <c r="L106" i="59" s="1"/>
  <c r="P106" i="59" a="1"/>
  <c r="P106" i="59" s="1"/>
  <c r="P109" i="59" a="1"/>
  <c r="P109" i="59" s="1"/>
  <c r="L109" i="59" a="1"/>
  <c r="L109" i="59" s="1"/>
  <c r="N109" i="59" a="1"/>
  <c r="N109" i="59" s="1"/>
  <c r="M109" i="59" a="1"/>
  <c r="M109" i="59" s="1"/>
  <c r="Q109" i="59" a="1"/>
  <c r="Q109" i="59" s="1"/>
  <c r="O109" i="59" a="1"/>
  <c r="O109" i="59" s="1"/>
  <c r="O22" i="59" a="1"/>
  <c r="O22" i="59" s="1"/>
  <c r="L22" i="59" a="1"/>
  <c r="L22" i="59" s="1"/>
  <c r="P22" i="59" a="1"/>
  <c r="P22" i="59" s="1"/>
  <c r="Q22" i="59" a="1"/>
  <c r="Q22" i="59" s="1"/>
  <c r="M22" i="59" a="1"/>
  <c r="M22" i="59" s="1"/>
  <c r="N22" i="59" a="1"/>
  <c r="N22" i="59" s="1"/>
  <c r="P27" i="59" a="1"/>
  <c r="P27" i="59" s="1"/>
  <c r="N27" i="59" a="1"/>
  <c r="N27" i="59" s="1"/>
  <c r="L27" i="59" a="1"/>
  <c r="L27" i="59" s="1"/>
  <c r="O27" i="59" a="1"/>
  <c r="O27" i="59" s="1"/>
  <c r="Q27" i="59" a="1"/>
  <c r="Q27" i="59" s="1"/>
  <c r="M27" i="59" a="1"/>
  <c r="M27" i="59" s="1"/>
  <c r="O44" i="59" a="1"/>
  <c r="O44" i="59" s="1"/>
  <c r="Q44" i="59" a="1"/>
  <c r="Q44" i="59" s="1"/>
  <c r="M44" i="59" a="1"/>
  <c r="M44" i="59" s="1"/>
  <c r="N44" i="59" a="1"/>
  <c r="N44" i="59" s="1"/>
  <c r="L44" i="59" a="1"/>
  <c r="L44" i="59" s="1"/>
  <c r="P44" i="59" a="1"/>
  <c r="P44" i="59" s="1"/>
  <c r="P51" i="59" a="1"/>
  <c r="P51" i="59" s="1"/>
  <c r="M51" i="59" a="1"/>
  <c r="M51" i="59" s="1"/>
  <c r="Q51" i="59" a="1"/>
  <c r="Q51" i="59" s="1"/>
  <c r="O51" i="59" a="1"/>
  <c r="O51" i="59" s="1"/>
  <c r="L51" i="59" a="1"/>
  <c r="L51" i="59" s="1"/>
  <c r="N51" i="59" a="1"/>
  <c r="N51" i="59" s="1"/>
  <c r="N20" i="59" a="1"/>
  <c r="N20" i="59" s="1"/>
  <c r="P20" i="59" a="1"/>
  <c r="P20" i="59" s="1"/>
  <c r="M20" i="59" a="1"/>
  <c r="M20" i="59" s="1"/>
  <c r="O20" i="59" a="1"/>
  <c r="O20" i="59" s="1"/>
  <c r="Q20" i="59" a="1"/>
  <c r="Q20" i="59" s="1"/>
  <c r="L20" i="59" a="1"/>
  <c r="L20" i="59" s="1"/>
  <c r="N53" i="59" a="1"/>
  <c r="N53" i="59" s="1"/>
  <c r="P53" i="59" a="1"/>
  <c r="P53" i="59" s="1"/>
  <c r="Q53" i="59" a="1"/>
  <c r="Q53" i="59" s="1"/>
  <c r="O53" i="59" a="1"/>
  <c r="O53" i="59" s="1"/>
  <c r="L53" i="59" a="1"/>
  <c r="L53" i="59" s="1"/>
  <c r="M53" i="59" a="1"/>
  <c r="M53" i="59" s="1"/>
  <c r="Q38" i="59" a="1"/>
  <c r="Q38" i="59" s="1"/>
  <c r="N38" i="59" a="1"/>
  <c r="N38" i="59" s="1"/>
  <c r="P38" i="59" a="1"/>
  <c r="P38" i="59" s="1"/>
  <c r="M38" i="59" a="1"/>
  <c r="M38" i="59" s="1"/>
  <c r="O38" i="59" a="1"/>
  <c r="O38" i="59" s="1"/>
  <c r="L38" i="59" a="1"/>
  <c r="L38" i="59" s="1"/>
  <c r="M18" i="59" a="1"/>
  <c r="M18" i="59" s="1"/>
  <c r="L18" i="59" a="1"/>
  <c r="L18" i="59" s="1"/>
  <c r="P18" i="59" a="1"/>
  <c r="P18" i="59" s="1"/>
  <c r="Q18" i="59" a="1"/>
  <c r="Q18" i="59" s="1"/>
  <c r="N18" i="59" a="1"/>
  <c r="N18" i="59" s="1"/>
  <c r="O18" i="59" a="1"/>
  <c r="O18" i="59" s="1"/>
  <c r="M10" i="59" a="1"/>
  <c r="M10" i="59" s="1"/>
  <c r="Q10" i="59" a="1"/>
  <c r="Q10" i="59" s="1"/>
  <c r="O10" i="59" a="1"/>
  <c r="O10" i="59" s="1"/>
  <c r="L10" i="59" a="1"/>
  <c r="L10" i="59" s="1"/>
  <c r="N10" i="59" a="1"/>
  <c r="N10" i="59" s="1"/>
  <c r="P10" i="59" a="1"/>
  <c r="P10" i="59" s="1"/>
  <c r="M1265" i="59" a="1"/>
  <c r="M1265" i="59" s="1"/>
  <c r="O1265" i="59" a="1"/>
  <c r="O1265" i="59" s="1"/>
  <c r="Q1265" i="59" a="1"/>
  <c r="Q1265" i="59" s="1"/>
  <c r="N1265" i="59" a="1"/>
  <c r="N1265" i="59" s="1"/>
  <c r="P1265" i="59" a="1"/>
  <c r="P1265" i="59" s="1"/>
  <c r="L1265" i="59" a="1"/>
  <c r="L1265" i="59" s="1"/>
  <c r="Q1499" i="59" a="1"/>
  <c r="Q1499" i="59" s="1"/>
  <c r="O1499" i="59" a="1"/>
  <c r="O1499" i="59" s="1"/>
  <c r="L1499" i="59" a="1"/>
  <c r="L1499" i="59" s="1"/>
  <c r="M1499" i="59" a="1"/>
  <c r="M1499" i="59" s="1"/>
  <c r="N1499" i="59" a="1"/>
  <c r="N1499" i="59" s="1"/>
  <c r="P1499" i="59" a="1"/>
  <c r="P1499" i="59" s="1"/>
  <c r="L1408" i="59" a="1"/>
  <c r="L1408" i="59" s="1"/>
  <c r="Q1408" i="59" a="1"/>
  <c r="Q1408" i="59" s="1"/>
  <c r="P1408" i="59" a="1"/>
  <c r="P1408" i="59" s="1"/>
  <c r="O1408" i="59" a="1"/>
  <c r="O1408" i="59" s="1"/>
  <c r="N1408" i="59" a="1"/>
  <c r="N1408" i="59" s="1"/>
  <c r="M1408" i="59" a="1"/>
  <c r="M1408" i="59" s="1"/>
  <c r="N1481" i="59" a="1"/>
  <c r="N1481" i="59" s="1"/>
  <c r="P1481" i="59" a="1"/>
  <c r="P1481" i="59" s="1"/>
  <c r="Q1481" i="59" a="1"/>
  <c r="Q1481" i="59" s="1"/>
  <c r="L1481" i="59" a="1"/>
  <c r="L1481" i="59" s="1"/>
  <c r="O1481" i="59" a="1"/>
  <c r="O1481" i="59" s="1"/>
  <c r="M1481" i="59" a="1"/>
  <c r="M1481" i="59" s="1"/>
  <c r="Q1411" i="59" a="1"/>
  <c r="Q1411" i="59" s="1"/>
  <c r="P1411" i="59" a="1"/>
  <c r="P1411" i="59" s="1"/>
  <c r="M1411" i="59" a="1"/>
  <c r="M1411" i="59" s="1"/>
  <c r="N1411" i="59" a="1"/>
  <c r="N1411" i="59" s="1"/>
  <c r="L1411" i="59" a="1"/>
  <c r="L1411" i="59" s="1"/>
  <c r="O1411" i="59" a="1"/>
  <c r="O1411" i="59" s="1"/>
  <c r="M1366" i="59" a="1"/>
  <c r="M1366" i="59" s="1"/>
  <c r="N1366" i="59" a="1"/>
  <c r="N1366" i="59" s="1"/>
  <c r="Q1366" i="59" a="1"/>
  <c r="Q1366" i="59" s="1"/>
  <c r="O1366" i="59" a="1"/>
  <c r="O1366" i="59" s="1"/>
  <c r="L1366" i="59" a="1"/>
  <c r="L1366" i="59" s="1"/>
  <c r="P1366" i="59" a="1"/>
  <c r="P1366" i="59" s="1"/>
  <c r="M1419" i="59" a="1"/>
  <c r="M1419" i="59" s="1"/>
  <c r="Q1419" i="59" a="1"/>
  <c r="Q1419" i="59" s="1"/>
  <c r="N1419" i="59" a="1"/>
  <c r="N1419" i="59" s="1"/>
  <c r="L1419" i="59" a="1"/>
  <c r="L1419" i="59" s="1"/>
  <c r="O1419" i="59" a="1"/>
  <c r="O1419" i="59" s="1"/>
  <c r="P1419" i="59" a="1"/>
  <c r="P1419" i="59" s="1"/>
  <c r="P1490" i="59" a="1"/>
  <c r="P1490" i="59" s="1"/>
  <c r="N1490" i="59" a="1"/>
  <c r="N1490" i="59" s="1"/>
  <c r="O1490" i="59" a="1"/>
  <c r="O1490" i="59" s="1"/>
  <c r="M1490" i="59" a="1"/>
  <c r="M1490" i="59" s="1"/>
  <c r="L1490" i="59" a="1"/>
  <c r="L1490" i="59" s="1"/>
  <c r="Q1490" i="59" a="1"/>
  <c r="Q1490" i="59" s="1"/>
  <c r="L1376" i="59" a="1"/>
  <c r="L1376" i="59" s="1"/>
  <c r="Q1376" i="59" a="1"/>
  <c r="Q1376" i="59" s="1"/>
  <c r="P1376" i="59" a="1"/>
  <c r="P1376" i="59" s="1"/>
  <c r="O1376" i="59" a="1"/>
  <c r="O1376" i="59" s="1"/>
  <c r="M1376" i="59" a="1"/>
  <c r="M1376" i="59" s="1"/>
  <c r="N1376" i="59" a="1"/>
  <c r="N1376" i="59" s="1"/>
  <c r="L1198" i="59" a="1"/>
  <c r="L1198" i="59" s="1"/>
  <c r="N1198" i="59" a="1"/>
  <c r="N1198" i="59" s="1"/>
  <c r="M1198" i="59" a="1"/>
  <c r="M1198" i="59" s="1"/>
  <c r="P1198" i="59" a="1"/>
  <c r="P1198" i="59" s="1"/>
  <c r="Q1198" i="59" a="1"/>
  <c r="Q1198" i="59" s="1"/>
  <c r="O1198" i="59" a="1"/>
  <c r="O1198" i="59" s="1"/>
  <c r="M1441" i="59" a="1"/>
  <c r="M1441" i="59" s="1"/>
  <c r="O1441" i="59" a="1"/>
  <c r="O1441" i="59" s="1"/>
  <c r="N1441" i="59" a="1"/>
  <c r="N1441" i="59" s="1"/>
  <c r="P1441" i="59" a="1"/>
  <c r="P1441" i="59" s="1"/>
  <c r="Q1441" i="59" a="1"/>
  <c r="Q1441" i="59" s="1"/>
  <c r="L1441" i="59" a="1"/>
  <c r="L1441" i="59" s="1"/>
  <c r="Q1377" i="59" a="1"/>
  <c r="Q1377" i="59" s="1"/>
  <c r="N1377" i="59" a="1"/>
  <c r="N1377" i="59" s="1"/>
  <c r="P1377" i="59" a="1"/>
  <c r="P1377" i="59" s="1"/>
  <c r="O1377" i="59" a="1"/>
  <c r="O1377" i="59" s="1"/>
  <c r="L1377" i="59" a="1"/>
  <c r="L1377" i="59" s="1"/>
  <c r="M1377" i="59" a="1"/>
  <c r="M1377" i="59" s="1"/>
  <c r="O1303" i="59" a="1"/>
  <c r="O1303" i="59" s="1"/>
  <c r="L1303" i="59" a="1"/>
  <c r="L1303" i="59" s="1"/>
  <c r="N1303" i="59" a="1"/>
  <c r="N1303" i="59" s="1"/>
  <c r="P1303" i="59" a="1"/>
  <c r="P1303" i="59" s="1"/>
  <c r="M1303" i="59" a="1"/>
  <c r="M1303" i="59" s="1"/>
  <c r="Q1303" i="59" a="1"/>
  <c r="Q1303" i="59" s="1"/>
  <c r="O1436" i="59" a="1"/>
  <c r="O1436" i="59" s="1"/>
  <c r="Q1436" i="59" a="1"/>
  <c r="Q1436" i="59" s="1"/>
  <c r="N1436" i="59" a="1"/>
  <c r="N1436" i="59" s="1"/>
  <c r="L1436" i="59" a="1"/>
  <c r="L1436" i="59" s="1"/>
  <c r="P1436" i="59" a="1"/>
  <c r="P1436" i="59" s="1"/>
  <c r="M1436" i="59" a="1"/>
  <c r="M1436" i="59" s="1"/>
  <c r="L1372" i="59" a="1"/>
  <c r="L1372" i="59" s="1"/>
  <c r="N1372" i="59" a="1"/>
  <c r="N1372" i="59" s="1"/>
  <c r="P1372" i="59" a="1"/>
  <c r="P1372" i="59" s="1"/>
  <c r="M1372" i="59" a="1"/>
  <c r="M1372" i="59" s="1"/>
  <c r="O1372" i="59" a="1"/>
  <c r="O1372" i="59" s="1"/>
  <c r="Q1372" i="59" a="1"/>
  <c r="Q1372" i="59" s="1"/>
  <c r="L1254" i="59" a="1"/>
  <c r="L1254" i="59" s="1"/>
  <c r="P1254" i="59" a="1"/>
  <c r="P1254" i="59" s="1"/>
  <c r="N1254" i="59" a="1"/>
  <c r="N1254" i="59" s="1"/>
  <c r="M1254" i="59" a="1"/>
  <c r="M1254" i="59" s="1"/>
  <c r="Q1254" i="59" a="1"/>
  <c r="Q1254" i="59" s="1"/>
  <c r="O1254" i="59" a="1"/>
  <c r="O1254" i="59" s="1"/>
  <c r="O1431" i="59" a="1"/>
  <c r="O1431" i="59" s="1"/>
  <c r="Q1431" i="59" a="1"/>
  <c r="Q1431" i="59" s="1"/>
  <c r="L1431" i="59" a="1"/>
  <c r="L1431" i="59" s="1"/>
  <c r="P1431" i="59" a="1"/>
  <c r="P1431" i="59" s="1"/>
  <c r="M1431" i="59" a="1"/>
  <c r="M1431" i="59" s="1"/>
  <c r="N1431" i="59" a="1"/>
  <c r="N1431" i="59" s="1"/>
  <c r="O1367" i="59" a="1"/>
  <c r="O1367" i="59" s="1"/>
  <c r="L1367" i="59" a="1"/>
  <c r="L1367" i="59" s="1"/>
  <c r="P1367" i="59" a="1"/>
  <c r="P1367" i="59" s="1"/>
  <c r="N1367" i="59" a="1"/>
  <c r="N1367" i="59" s="1"/>
  <c r="Q1367" i="59" a="1"/>
  <c r="Q1367" i="59" s="1"/>
  <c r="M1367" i="59" a="1"/>
  <c r="M1367" i="59" s="1"/>
  <c r="N1217" i="59" a="1"/>
  <c r="N1217" i="59" s="1"/>
  <c r="M1217" i="59" a="1"/>
  <c r="M1217" i="59" s="1"/>
  <c r="O1217" i="59" a="1"/>
  <c r="O1217" i="59" s="1"/>
  <c r="Q1217" i="59" a="1"/>
  <c r="Q1217" i="59" s="1"/>
  <c r="P1217" i="59" a="1"/>
  <c r="P1217" i="59" s="1"/>
  <c r="L1217" i="59" a="1"/>
  <c r="L1217" i="59" s="1"/>
  <c r="L1410" i="59" a="1"/>
  <c r="L1410" i="59" s="1"/>
  <c r="O1410" i="59" a="1"/>
  <c r="O1410" i="59" s="1"/>
  <c r="P1410" i="59" a="1"/>
  <c r="P1410" i="59" s="1"/>
  <c r="M1410" i="59" a="1"/>
  <c r="M1410" i="59" s="1"/>
  <c r="Q1410" i="59" a="1"/>
  <c r="Q1410" i="59" s="1"/>
  <c r="N1410" i="59" a="1"/>
  <c r="N1410" i="59" s="1"/>
  <c r="O1346" i="59" a="1"/>
  <c r="O1346" i="59" s="1"/>
  <c r="N1346" i="59" a="1"/>
  <c r="N1346" i="59" s="1"/>
  <c r="L1346" i="59" a="1"/>
  <c r="L1346" i="59" s="1"/>
  <c r="P1346" i="59" a="1"/>
  <c r="P1346" i="59" s="1"/>
  <c r="M1346" i="59" a="1"/>
  <c r="M1346" i="59" s="1"/>
  <c r="Q1346" i="59" a="1"/>
  <c r="Q1346" i="59" s="1"/>
  <c r="N1477" i="59" a="1"/>
  <c r="N1477" i="59" s="1"/>
  <c r="O1477" i="59" a="1"/>
  <c r="O1477" i="59" s="1"/>
  <c r="L1477" i="59" a="1"/>
  <c r="L1477" i="59" s="1"/>
  <c r="Q1477" i="59" a="1"/>
  <c r="Q1477" i="59" s="1"/>
  <c r="P1477" i="59" a="1"/>
  <c r="P1477" i="59" s="1"/>
  <c r="M1477" i="59" a="1"/>
  <c r="M1477" i="59" s="1"/>
  <c r="L1413" i="59" a="1"/>
  <c r="L1413" i="59" s="1"/>
  <c r="Q1413" i="59" a="1"/>
  <c r="Q1413" i="59" s="1"/>
  <c r="P1413" i="59" a="1"/>
  <c r="P1413" i="59" s="1"/>
  <c r="M1413" i="59" a="1"/>
  <c r="M1413" i="59" s="1"/>
  <c r="N1413" i="59" a="1"/>
  <c r="N1413" i="59" s="1"/>
  <c r="O1413" i="59" a="1"/>
  <c r="O1413" i="59" s="1"/>
  <c r="L1349" i="59" a="1"/>
  <c r="L1349" i="59" s="1"/>
  <c r="Q1349" i="59" a="1"/>
  <c r="Q1349" i="59" s="1"/>
  <c r="P1349" i="59" a="1"/>
  <c r="P1349" i="59" s="1"/>
  <c r="M1349" i="59" a="1"/>
  <c r="M1349" i="59" s="1"/>
  <c r="O1349" i="59" a="1"/>
  <c r="O1349" i="59" s="1"/>
  <c r="N1349" i="59" a="1"/>
  <c r="N1349" i="59" s="1"/>
  <c r="Q1209" i="59" a="1"/>
  <c r="Q1209" i="59" s="1"/>
  <c r="N1209" i="59" a="1"/>
  <c r="N1209" i="59" s="1"/>
  <c r="M1209" i="59" a="1"/>
  <c r="M1209" i="59" s="1"/>
  <c r="O1209" i="59" a="1"/>
  <c r="O1209" i="59" s="1"/>
  <c r="L1209" i="59" a="1"/>
  <c r="L1209" i="59" s="1"/>
  <c r="P1209" i="59" a="1"/>
  <c r="P1209" i="59" s="1"/>
  <c r="O1260" i="59" a="1"/>
  <c r="O1260" i="59" s="1"/>
  <c r="M1260" i="59" a="1"/>
  <c r="M1260" i="59" s="1"/>
  <c r="N1260" i="59" a="1"/>
  <c r="N1260" i="59" s="1"/>
  <c r="Q1260" i="59" a="1"/>
  <c r="Q1260" i="59" s="1"/>
  <c r="P1260" i="59" a="1"/>
  <c r="P1260" i="59" s="1"/>
  <c r="L1260" i="59" a="1"/>
  <c r="L1260" i="59" s="1"/>
  <c r="M1196" i="59" a="1"/>
  <c r="M1196" i="59" s="1"/>
  <c r="Q1196" i="59" a="1"/>
  <c r="Q1196" i="59" s="1"/>
  <c r="O1196" i="59" a="1"/>
  <c r="O1196" i="59" s="1"/>
  <c r="P1196" i="59" a="1"/>
  <c r="P1196" i="59" s="1"/>
  <c r="N1196" i="59" a="1"/>
  <c r="N1196" i="59" s="1"/>
  <c r="L1196" i="59" a="1"/>
  <c r="L1196" i="59" s="1"/>
  <c r="O1279" i="59" a="1"/>
  <c r="O1279" i="59" s="1"/>
  <c r="L1279" i="59" a="1"/>
  <c r="L1279" i="59" s="1"/>
  <c r="N1279" i="59" a="1"/>
  <c r="N1279" i="59" s="1"/>
  <c r="P1279" i="59" a="1"/>
  <c r="P1279" i="59" s="1"/>
  <c r="M1279" i="59" a="1"/>
  <c r="M1279" i="59" s="1"/>
  <c r="Q1279" i="59" a="1"/>
  <c r="Q1279" i="59" s="1"/>
  <c r="O1215" i="59" a="1"/>
  <c r="O1215" i="59" s="1"/>
  <c r="L1215" i="59" a="1"/>
  <c r="L1215" i="59" s="1"/>
  <c r="N1215" i="59" a="1"/>
  <c r="N1215" i="59" s="1"/>
  <c r="P1215" i="59" a="1"/>
  <c r="P1215" i="59" s="1"/>
  <c r="Q1215" i="59" a="1"/>
  <c r="Q1215" i="59" s="1"/>
  <c r="M1215" i="59" a="1"/>
  <c r="M1215" i="59" s="1"/>
  <c r="O1117" i="59" a="1"/>
  <c r="O1117" i="59" s="1"/>
  <c r="L1117" i="59" a="1"/>
  <c r="L1117" i="59" s="1"/>
  <c r="P1117" i="59" a="1"/>
  <c r="P1117" i="59" s="1"/>
  <c r="N1117" i="59" a="1"/>
  <c r="N1117" i="59" s="1"/>
  <c r="M1117" i="59" a="1"/>
  <c r="M1117" i="59" s="1"/>
  <c r="Q1117" i="59" a="1"/>
  <c r="Q1117" i="59" s="1"/>
  <c r="O1298" i="59" a="1"/>
  <c r="O1298" i="59" s="1"/>
  <c r="Q1298" i="59" a="1"/>
  <c r="Q1298" i="59" s="1"/>
  <c r="N1298" i="59" a="1"/>
  <c r="N1298" i="59" s="1"/>
  <c r="P1298" i="59" a="1"/>
  <c r="P1298" i="59" s="1"/>
  <c r="M1298" i="59" a="1"/>
  <c r="M1298" i="59" s="1"/>
  <c r="L1298" i="59" a="1"/>
  <c r="L1298" i="59" s="1"/>
  <c r="O1234" i="59" a="1"/>
  <c r="O1234" i="59" s="1"/>
  <c r="M1234" i="59" a="1"/>
  <c r="M1234" i="59" s="1"/>
  <c r="L1234" i="59" a="1"/>
  <c r="L1234" i="59" s="1"/>
  <c r="N1234" i="59" a="1"/>
  <c r="N1234" i="59" s="1"/>
  <c r="P1234" i="59" a="1"/>
  <c r="P1234" i="59" s="1"/>
  <c r="Q1234" i="59" a="1"/>
  <c r="Q1234" i="59" s="1"/>
  <c r="N1170" i="59" a="1"/>
  <c r="N1170" i="59" s="1"/>
  <c r="O1170" i="59" a="1"/>
  <c r="O1170" i="59" s="1"/>
  <c r="L1170" i="59" a="1"/>
  <c r="L1170" i="59" s="1"/>
  <c r="P1170" i="59" a="1"/>
  <c r="P1170" i="59" s="1"/>
  <c r="M1170" i="59" a="1"/>
  <c r="M1170" i="59" s="1"/>
  <c r="Q1170" i="59" a="1"/>
  <c r="Q1170" i="59" s="1"/>
  <c r="O986" i="59" a="1"/>
  <c r="O986" i="59" s="1"/>
  <c r="N986" i="59" a="1"/>
  <c r="N986" i="59" s="1"/>
  <c r="P986" i="59" a="1"/>
  <c r="P986" i="59" s="1"/>
  <c r="L986" i="59" a="1"/>
  <c r="L986" i="59" s="1"/>
  <c r="M986" i="59" a="1"/>
  <c r="M986" i="59" s="1"/>
  <c r="Q986" i="59" a="1"/>
  <c r="Q986" i="59" s="1"/>
  <c r="L1269" i="59" a="1"/>
  <c r="L1269" i="59" s="1"/>
  <c r="P1269" i="59" a="1"/>
  <c r="P1269" i="59" s="1"/>
  <c r="M1269" i="59" a="1"/>
  <c r="M1269" i="59" s="1"/>
  <c r="Q1269" i="59" a="1"/>
  <c r="Q1269" i="59" s="1"/>
  <c r="O1269" i="59" a="1"/>
  <c r="O1269" i="59" s="1"/>
  <c r="N1269" i="59" a="1"/>
  <c r="N1269" i="59" s="1"/>
  <c r="L1205" i="59" a="1"/>
  <c r="L1205" i="59" s="1"/>
  <c r="P1205" i="59" a="1"/>
  <c r="P1205" i="59" s="1"/>
  <c r="M1205" i="59" a="1"/>
  <c r="M1205" i="59" s="1"/>
  <c r="Q1205" i="59" a="1"/>
  <c r="Q1205" i="59" s="1"/>
  <c r="O1205" i="59" a="1"/>
  <c r="O1205" i="59" s="1"/>
  <c r="N1205" i="59" a="1"/>
  <c r="N1205" i="59" s="1"/>
  <c r="O1142" i="59" a="1"/>
  <c r="O1142" i="59" s="1"/>
  <c r="L1142" i="59" a="1"/>
  <c r="L1142" i="59" s="1"/>
  <c r="P1142" i="59" a="1"/>
  <c r="P1142" i="59" s="1"/>
  <c r="N1142" i="59" a="1"/>
  <c r="N1142" i="59" s="1"/>
  <c r="M1142" i="59" a="1"/>
  <c r="M1142" i="59" s="1"/>
  <c r="Q1142" i="59" a="1"/>
  <c r="Q1142" i="59" s="1"/>
  <c r="M1296" i="59" a="1"/>
  <c r="M1296" i="59" s="1"/>
  <c r="O1296" i="59" a="1"/>
  <c r="O1296" i="59" s="1"/>
  <c r="L1296" i="59" a="1"/>
  <c r="L1296" i="59" s="1"/>
  <c r="P1296" i="59" a="1"/>
  <c r="P1296" i="59" s="1"/>
  <c r="Q1296" i="59" a="1"/>
  <c r="Q1296" i="59" s="1"/>
  <c r="N1296" i="59" a="1"/>
  <c r="N1296" i="59" s="1"/>
  <c r="O1232" i="59" a="1"/>
  <c r="O1232" i="59" s="1"/>
  <c r="M1232" i="59" a="1"/>
  <c r="M1232" i="59" s="1"/>
  <c r="Q1232" i="59" a="1"/>
  <c r="Q1232" i="59" s="1"/>
  <c r="L1232" i="59" a="1"/>
  <c r="L1232" i="59" s="1"/>
  <c r="P1232" i="59" a="1"/>
  <c r="P1232" i="59" s="1"/>
  <c r="N1232" i="59" a="1"/>
  <c r="N1232" i="59" s="1"/>
  <c r="O1168" i="59" a="1"/>
  <c r="O1168" i="59" s="1"/>
  <c r="M1168" i="59" a="1"/>
  <c r="M1168" i="59" s="1"/>
  <c r="Q1168" i="59" a="1"/>
  <c r="Q1168" i="59" s="1"/>
  <c r="L1168" i="59" a="1"/>
  <c r="L1168" i="59" s="1"/>
  <c r="P1168" i="59" a="1"/>
  <c r="P1168" i="59" s="1"/>
  <c r="N1168" i="59" a="1"/>
  <c r="N1168" i="59" s="1"/>
  <c r="M1291" i="59" a="1"/>
  <c r="M1291" i="59" s="1"/>
  <c r="Q1291" i="59" a="1"/>
  <c r="Q1291" i="59" s="1"/>
  <c r="N1291" i="59" a="1"/>
  <c r="N1291" i="59" s="1"/>
  <c r="L1291" i="59" a="1"/>
  <c r="L1291" i="59" s="1"/>
  <c r="P1291" i="59" a="1"/>
  <c r="P1291" i="59" s="1"/>
  <c r="O1291" i="59" a="1"/>
  <c r="O1291" i="59" s="1"/>
  <c r="M1227" i="59" a="1"/>
  <c r="M1227" i="59" s="1"/>
  <c r="Q1227" i="59" a="1"/>
  <c r="Q1227" i="59" s="1"/>
  <c r="N1227" i="59" a="1"/>
  <c r="N1227" i="59" s="1"/>
  <c r="L1227" i="59" a="1"/>
  <c r="L1227" i="59" s="1"/>
  <c r="P1227" i="59" a="1"/>
  <c r="P1227" i="59" s="1"/>
  <c r="O1227" i="59" a="1"/>
  <c r="O1227" i="59" s="1"/>
  <c r="M1163" i="59" a="1"/>
  <c r="M1163" i="59" s="1"/>
  <c r="Q1163" i="59" a="1"/>
  <c r="Q1163" i="59" s="1"/>
  <c r="N1163" i="59" a="1"/>
  <c r="N1163" i="59" s="1"/>
  <c r="L1163" i="59" a="1"/>
  <c r="L1163" i="59" s="1"/>
  <c r="P1163" i="59" a="1"/>
  <c r="P1163" i="59" s="1"/>
  <c r="O1163" i="59" a="1"/>
  <c r="O1163" i="59" s="1"/>
  <c r="M1153" i="59" a="1"/>
  <c r="M1153" i="59" s="1"/>
  <c r="N1153" i="59" a="1"/>
  <c r="N1153" i="59" s="1"/>
  <c r="O1153" i="59" a="1"/>
  <c r="O1153" i="59" s="1"/>
  <c r="Q1153" i="59" a="1"/>
  <c r="Q1153" i="59" s="1"/>
  <c r="L1153" i="59" a="1"/>
  <c r="L1153" i="59" s="1"/>
  <c r="P1153" i="59" a="1"/>
  <c r="P1153" i="59" s="1"/>
  <c r="L1001" i="59" a="1"/>
  <c r="L1001" i="59" s="1"/>
  <c r="P1001" i="59" a="1"/>
  <c r="P1001" i="59" s="1"/>
  <c r="N1001" i="59" a="1"/>
  <c r="N1001" i="59" s="1"/>
  <c r="O1001" i="59" a="1"/>
  <c r="O1001" i="59" s="1"/>
  <c r="Q1001" i="59" a="1"/>
  <c r="Q1001" i="59" s="1"/>
  <c r="M1001" i="59" a="1"/>
  <c r="M1001" i="59" s="1"/>
  <c r="O1135" i="59" a="1"/>
  <c r="O1135" i="59" s="1"/>
  <c r="L1135" i="59" a="1"/>
  <c r="L1135" i="59" s="1"/>
  <c r="N1135" i="59" a="1"/>
  <c r="N1135" i="59" s="1"/>
  <c r="Q1135" i="59" a="1"/>
  <c r="Q1135" i="59" s="1"/>
  <c r="P1135" i="59" a="1"/>
  <c r="P1135" i="59" s="1"/>
  <c r="M1135" i="59" a="1"/>
  <c r="M1135" i="59" s="1"/>
  <c r="N836" i="59" a="1"/>
  <c r="N836" i="59" s="1"/>
  <c r="M836" i="59" a="1"/>
  <c r="M836" i="59" s="1"/>
  <c r="O836" i="59" a="1"/>
  <c r="O836" i="59" s="1"/>
  <c r="P836" i="59" a="1"/>
  <c r="P836" i="59" s="1"/>
  <c r="L836" i="59" a="1"/>
  <c r="L836" i="59" s="1"/>
  <c r="Q836" i="59" a="1"/>
  <c r="Q836" i="59" s="1"/>
  <c r="L1008" i="59" a="1"/>
  <c r="L1008" i="59" s="1"/>
  <c r="O1008" i="59" a="1"/>
  <c r="O1008" i="59" s="1"/>
  <c r="M1008" i="59" a="1"/>
  <c r="M1008" i="59" s="1"/>
  <c r="N1008" i="59" a="1"/>
  <c r="N1008" i="59" s="1"/>
  <c r="P1008" i="59" a="1"/>
  <c r="P1008" i="59" s="1"/>
  <c r="Q1008" i="59" a="1"/>
  <c r="Q1008" i="59" s="1"/>
  <c r="O1136" i="59" a="1"/>
  <c r="O1136" i="59" s="1"/>
  <c r="M1136" i="59" a="1"/>
  <c r="M1136" i="59" s="1"/>
  <c r="Q1136" i="59" a="1"/>
  <c r="Q1136" i="59" s="1"/>
  <c r="P1136" i="59" a="1"/>
  <c r="P1136" i="59" s="1"/>
  <c r="L1136" i="59" a="1"/>
  <c r="L1136" i="59" s="1"/>
  <c r="N1136" i="59" a="1"/>
  <c r="N1136" i="59" s="1"/>
  <c r="P984" i="59" a="1"/>
  <c r="P984" i="59" s="1"/>
  <c r="O984" i="59" a="1"/>
  <c r="O984" i="59" s="1"/>
  <c r="N984" i="59" a="1"/>
  <c r="N984" i="59" s="1"/>
  <c r="L984" i="59" a="1"/>
  <c r="L984" i="59" s="1"/>
  <c r="Q984" i="59" a="1"/>
  <c r="Q984" i="59" s="1"/>
  <c r="M984" i="59" a="1"/>
  <c r="M984" i="59" s="1"/>
  <c r="Q1131" i="59" a="1"/>
  <c r="Q1131" i="59" s="1"/>
  <c r="L1131" i="59" a="1"/>
  <c r="L1131" i="59" s="1"/>
  <c r="P1131" i="59" a="1"/>
  <c r="P1131" i="59" s="1"/>
  <c r="M1131" i="59" a="1"/>
  <c r="M1131" i="59" s="1"/>
  <c r="O1131" i="59" a="1"/>
  <c r="O1131" i="59" s="1"/>
  <c r="N1131" i="59" a="1"/>
  <c r="N1131" i="59" s="1"/>
  <c r="N962" i="59" a="1"/>
  <c r="N962" i="59" s="1"/>
  <c r="P962" i="59" a="1"/>
  <c r="P962" i="59" s="1"/>
  <c r="Q962" i="59" a="1"/>
  <c r="Q962" i="59" s="1"/>
  <c r="L962" i="59" a="1"/>
  <c r="L962" i="59" s="1"/>
  <c r="O962" i="59" a="1"/>
  <c r="O962" i="59" s="1"/>
  <c r="M962" i="59" a="1"/>
  <c r="M962" i="59" s="1"/>
  <c r="Q1122" i="59" a="1"/>
  <c r="Q1122" i="59" s="1"/>
  <c r="M1122" i="59" a="1"/>
  <c r="M1122" i="59" s="1"/>
  <c r="O1122" i="59" a="1"/>
  <c r="O1122" i="59" s="1"/>
  <c r="P1122" i="59" a="1"/>
  <c r="P1122" i="59" s="1"/>
  <c r="N1122" i="59" a="1"/>
  <c r="N1122" i="59" s="1"/>
  <c r="L1122" i="59" a="1"/>
  <c r="L1122" i="59" s="1"/>
  <c r="Q1058" i="59" a="1"/>
  <c r="Q1058" i="59" s="1"/>
  <c r="M1058" i="59" a="1"/>
  <c r="M1058" i="59" s="1"/>
  <c r="L1058" i="59" a="1"/>
  <c r="L1058" i="59" s="1"/>
  <c r="N1058" i="59" a="1"/>
  <c r="N1058" i="59" s="1"/>
  <c r="O1058" i="59" a="1"/>
  <c r="O1058" i="59" s="1"/>
  <c r="P1058" i="59" a="1"/>
  <c r="P1058" i="59" s="1"/>
  <c r="L985" i="59" a="1"/>
  <c r="L985" i="59" s="1"/>
  <c r="P985" i="59" a="1"/>
  <c r="P985" i="59" s="1"/>
  <c r="Q985" i="59" a="1"/>
  <c r="Q985" i="59" s="1"/>
  <c r="N985" i="59" a="1"/>
  <c r="N985" i="59" s="1"/>
  <c r="O985" i="59" a="1"/>
  <c r="O985" i="59" s="1"/>
  <c r="M985" i="59" a="1"/>
  <c r="M985" i="59" s="1"/>
  <c r="N788" i="59" a="1"/>
  <c r="N788" i="59" s="1"/>
  <c r="L788" i="59" a="1"/>
  <c r="L788" i="59" s="1"/>
  <c r="M788" i="59" a="1"/>
  <c r="M788" i="59" s="1"/>
  <c r="P788" i="59" a="1"/>
  <c r="P788" i="59" s="1"/>
  <c r="Q788" i="59" a="1"/>
  <c r="Q788" i="59" s="1"/>
  <c r="O788" i="59" a="1"/>
  <c r="O788" i="59" s="1"/>
  <c r="N1088" i="59" a="1"/>
  <c r="N1088" i="59" s="1"/>
  <c r="O1088" i="59" a="1"/>
  <c r="O1088" i="59" s="1"/>
  <c r="L1088" i="59" a="1"/>
  <c r="L1088" i="59" s="1"/>
  <c r="Q1088" i="59" a="1"/>
  <c r="Q1088" i="59" s="1"/>
  <c r="M1088" i="59" a="1"/>
  <c r="M1088" i="59" s="1"/>
  <c r="P1088" i="59" a="1"/>
  <c r="P1088" i="59" s="1"/>
  <c r="O978" i="59" a="1"/>
  <c r="O978" i="59" s="1"/>
  <c r="P978" i="59" a="1"/>
  <c r="P978" i="59" s="1"/>
  <c r="N978" i="59" a="1"/>
  <c r="N978" i="59" s="1"/>
  <c r="Q978" i="59" a="1"/>
  <c r="Q978" i="59" s="1"/>
  <c r="M978" i="59" a="1"/>
  <c r="M978" i="59" s="1"/>
  <c r="L978" i="59" a="1"/>
  <c r="L978" i="59" s="1"/>
  <c r="P911" i="59" a="1"/>
  <c r="P911" i="59" s="1"/>
  <c r="M911" i="59" a="1"/>
  <c r="M911" i="59" s="1"/>
  <c r="Q911" i="59" a="1"/>
  <c r="Q911" i="59" s="1"/>
  <c r="N911" i="59" a="1"/>
  <c r="N911" i="59" s="1"/>
  <c r="O911" i="59" a="1"/>
  <c r="O911" i="59" s="1"/>
  <c r="L911" i="59" a="1"/>
  <c r="L911" i="59" s="1"/>
  <c r="L1107" i="59" a="1"/>
  <c r="L1107" i="59" s="1"/>
  <c r="O1107" i="59" a="1"/>
  <c r="O1107" i="59" s="1"/>
  <c r="P1107" i="59" a="1"/>
  <c r="P1107" i="59" s="1"/>
  <c r="M1107" i="59" a="1"/>
  <c r="M1107" i="59" s="1"/>
  <c r="Q1107" i="59" a="1"/>
  <c r="Q1107" i="59" s="1"/>
  <c r="N1107" i="59" a="1"/>
  <c r="N1107" i="59" s="1"/>
  <c r="L1043" i="59" a="1"/>
  <c r="L1043" i="59" s="1"/>
  <c r="P1043" i="59" a="1"/>
  <c r="P1043" i="59" s="1"/>
  <c r="M1043" i="59" a="1"/>
  <c r="M1043" i="59" s="1"/>
  <c r="Q1043" i="59" a="1"/>
  <c r="Q1043" i="59" s="1"/>
  <c r="O1043" i="59" a="1"/>
  <c r="O1043" i="59" s="1"/>
  <c r="N1043" i="59" a="1"/>
  <c r="N1043" i="59" s="1"/>
  <c r="N938" i="59" a="1"/>
  <c r="N938" i="59" s="1"/>
  <c r="O938" i="59" a="1"/>
  <c r="O938" i="59" s="1"/>
  <c r="M938" i="59" a="1"/>
  <c r="M938" i="59" s="1"/>
  <c r="Q938" i="59" a="1"/>
  <c r="Q938" i="59" s="1"/>
  <c r="P938" i="59" a="1"/>
  <c r="P938" i="59" s="1"/>
  <c r="L938" i="59" a="1"/>
  <c r="L938" i="59" s="1"/>
  <c r="M687" i="59" a="1"/>
  <c r="M687" i="59" s="1"/>
  <c r="Q687" i="59" a="1"/>
  <c r="Q687" i="59" s="1"/>
  <c r="N687" i="59" a="1"/>
  <c r="N687" i="59" s="1"/>
  <c r="O687" i="59" a="1"/>
  <c r="O687" i="59" s="1"/>
  <c r="P687" i="59" a="1"/>
  <c r="P687" i="59" s="1"/>
  <c r="L687" i="59" a="1"/>
  <c r="L687" i="59" s="1"/>
  <c r="O1070" i="59" a="1"/>
  <c r="O1070" i="59" s="1"/>
  <c r="Q1070" i="59" a="1"/>
  <c r="Q1070" i="59" s="1"/>
  <c r="M1070" i="59" a="1"/>
  <c r="M1070" i="59" s="1"/>
  <c r="L1070" i="59" a="1"/>
  <c r="L1070" i="59" s="1"/>
  <c r="P1070" i="59" a="1"/>
  <c r="P1070" i="59" s="1"/>
  <c r="N1070" i="59" a="1"/>
  <c r="N1070" i="59" s="1"/>
  <c r="M1020" i="59" a="1"/>
  <c r="M1020" i="59" s="1"/>
  <c r="Q1020" i="59" a="1"/>
  <c r="Q1020" i="59" s="1"/>
  <c r="N1020" i="59" a="1"/>
  <c r="N1020" i="59" s="1"/>
  <c r="L1020" i="59" a="1"/>
  <c r="L1020" i="59" s="1"/>
  <c r="O1020" i="59" a="1"/>
  <c r="O1020" i="59" s="1"/>
  <c r="P1020" i="59" a="1"/>
  <c r="P1020" i="59" s="1"/>
  <c r="M820" i="59" a="1"/>
  <c r="M820" i="59" s="1"/>
  <c r="N820" i="59" a="1"/>
  <c r="N820" i="59" s="1"/>
  <c r="L820" i="59" a="1"/>
  <c r="L820" i="59" s="1"/>
  <c r="O820" i="59" a="1"/>
  <c r="O820" i="59" s="1"/>
  <c r="P820" i="59" a="1"/>
  <c r="P820" i="59" s="1"/>
  <c r="Q820" i="59" a="1"/>
  <c r="Q820" i="59" s="1"/>
  <c r="L1073" i="59" a="1"/>
  <c r="L1073" i="59" s="1"/>
  <c r="N1073" i="59" a="1"/>
  <c r="N1073" i="59" s="1"/>
  <c r="P1073" i="59" a="1"/>
  <c r="P1073" i="59" s="1"/>
  <c r="M1073" i="59" a="1"/>
  <c r="M1073" i="59" s="1"/>
  <c r="Q1073" i="59" a="1"/>
  <c r="Q1073" i="59" s="1"/>
  <c r="O1073" i="59" a="1"/>
  <c r="O1073" i="59" s="1"/>
  <c r="M1015" i="59" a="1"/>
  <c r="M1015" i="59" s="1"/>
  <c r="Q1015" i="59" a="1"/>
  <c r="Q1015" i="59" s="1"/>
  <c r="L1015" i="59" a="1"/>
  <c r="L1015" i="59" s="1"/>
  <c r="O1015" i="59" a="1"/>
  <c r="O1015" i="59" s="1"/>
  <c r="N1015" i="59" a="1"/>
  <c r="N1015" i="59" s="1"/>
  <c r="P1015" i="59" a="1"/>
  <c r="P1015" i="59" s="1"/>
  <c r="N884" i="59" a="1"/>
  <c r="N884" i="59" s="1"/>
  <c r="O884" i="59" a="1"/>
  <c r="O884" i="59" s="1"/>
  <c r="M884" i="59" a="1"/>
  <c r="M884" i="59" s="1"/>
  <c r="L884" i="59" a="1"/>
  <c r="L884" i="59" s="1"/>
  <c r="P884" i="59" a="1"/>
  <c r="P884" i="59" s="1"/>
  <c r="Q884" i="59" a="1"/>
  <c r="Q884" i="59" s="1"/>
  <c r="N1021" i="59" a="1"/>
  <c r="N1021" i="59" s="1"/>
  <c r="L1021" i="59" a="1"/>
  <c r="L1021" i="59" s="1"/>
  <c r="M1021" i="59" a="1"/>
  <c r="M1021" i="59" s="1"/>
  <c r="Q1021" i="59" a="1"/>
  <c r="Q1021" i="59" s="1"/>
  <c r="O1021" i="59" a="1"/>
  <c r="O1021" i="59" s="1"/>
  <c r="P1021" i="59" a="1"/>
  <c r="P1021" i="59" s="1"/>
  <c r="N957" i="59" a="1"/>
  <c r="N957" i="59" s="1"/>
  <c r="O957" i="59" a="1"/>
  <c r="O957" i="59" s="1"/>
  <c r="L957" i="59" a="1"/>
  <c r="L957" i="59" s="1"/>
  <c r="M957" i="59" a="1"/>
  <c r="M957" i="59" s="1"/>
  <c r="P957" i="59" a="1"/>
  <c r="P957" i="59" s="1"/>
  <c r="Q957" i="59" a="1"/>
  <c r="Q957" i="59" s="1"/>
  <c r="N893" i="59" a="1"/>
  <c r="N893" i="59" s="1"/>
  <c r="O893" i="59" a="1"/>
  <c r="O893" i="59" s="1"/>
  <c r="P893" i="59" a="1"/>
  <c r="P893" i="59" s="1"/>
  <c r="M893" i="59" a="1"/>
  <c r="M893" i="59" s="1"/>
  <c r="L893" i="59" a="1"/>
  <c r="L893" i="59" s="1"/>
  <c r="Q893" i="59" a="1"/>
  <c r="Q893" i="59" s="1"/>
  <c r="P644" i="59" a="1"/>
  <c r="P644" i="59" s="1"/>
  <c r="M644" i="59" a="1"/>
  <c r="M644" i="59" s="1"/>
  <c r="Q644" i="59" a="1"/>
  <c r="Q644" i="59" s="1"/>
  <c r="N644" i="59" a="1"/>
  <c r="N644" i="59" s="1"/>
  <c r="L644" i="59" a="1"/>
  <c r="L644" i="59" s="1"/>
  <c r="O644" i="59" a="1"/>
  <c r="O644" i="59" s="1"/>
  <c r="O904" i="59" a="1"/>
  <c r="O904" i="59" s="1"/>
  <c r="P904" i="59" a="1"/>
  <c r="P904" i="59" s="1"/>
  <c r="N904" i="59" a="1"/>
  <c r="N904" i="59" s="1"/>
  <c r="Q904" i="59" a="1"/>
  <c r="Q904" i="59" s="1"/>
  <c r="M904" i="59" a="1"/>
  <c r="M904" i="59" s="1"/>
  <c r="L904" i="59" a="1"/>
  <c r="L904" i="59" s="1"/>
  <c r="N735" i="59" a="1"/>
  <c r="N735" i="59" s="1"/>
  <c r="M735" i="59" a="1"/>
  <c r="M735" i="59" s="1"/>
  <c r="Q735" i="59" a="1"/>
  <c r="Q735" i="59" s="1"/>
  <c r="O735" i="59" a="1"/>
  <c r="O735" i="59" s="1"/>
  <c r="P735" i="59" a="1"/>
  <c r="P735" i="59" s="1"/>
  <c r="L735" i="59" a="1"/>
  <c r="L735" i="59" s="1"/>
  <c r="O979" i="59" a="1"/>
  <c r="O979" i="59" s="1"/>
  <c r="P979" i="59" a="1"/>
  <c r="P979" i="59" s="1"/>
  <c r="M979" i="59" a="1"/>
  <c r="M979" i="59" s="1"/>
  <c r="Q979" i="59" a="1"/>
  <c r="Q979" i="59" s="1"/>
  <c r="N979" i="59" a="1"/>
  <c r="N979" i="59" s="1"/>
  <c r="L979" i="59" a="1"/>
  <c r="L979" i="59" s="1"/>
  <c r="L915" i="59" a="1"/>
  <c r="L915" i="59" s="1"/>
  <c r="Q915" i="59" a="1"/>
  <c r="Q915" i="59" s="1"/>
  <c r="P915" i="59" a="1"/>
  <c r="P915" i="59" s="1"/>
  <c r="O915" i="59" a="1"/>
  <c r="O915" i="59" s="1"/>
  <c r="M915" i="59" a="1"/>
  <c r="M915" i="59" s="1"/>
  <c r="N915" i="59" a="1"/>
  <c r="N915" i="59" s="1"/>
  <c r="P828" i="59" a="1"/>
  <c r="P828" i="59" s="1"/>
  <c r="M828" i="59" a="1"/>
  <c r="M828" i="59" s="1"/>
  <c r="Q828" i="59" a="1"/>
  <c r="Q828" i="59" s="1"/>
  <c r="L828" i="59" a="1"/>
  <c r="L828" i="59" s="1"/>
  <c r="N828" i="59" a="1"/>
  <c r="N828" i="59" s="1"/>
  <c r="O828" i="59" a="1"/>
  <c r="O828" i="59" s="1"/>
  <c r="Q1006" i="59" a="1"/>
  <c r="Q1006" i="59" s="1"/>
  <c r="L1006" i="59" a="1"/>
  <c r="L1006" i="59" s="1"/>
  <c r="P1006" i="59" a="1"/>
  <c r="P1006" i="59" s="1"/>
  <c r="N1006" i="59" a="1"/>
  <c r="N1006" i="59" s="1"/>
  <c r="M1006" i="59" a="1"/>
  <c r="M1006" i="59" s="1"/>
  <c r="O1006" i="59" a="1"/>
  <c r="O1006" i="59" s="1"/>
  <c r="Q942" i="59" a="1"/>
  <c r="Q942" i="59" s="1"/>
  <c r="L942" i="59" a="1"/>
  <c r="L942" i="59" s="1"/>
  <c r="P942" i="59" a="1"/>
  <c r="P942" i="59" s="1"/>
  <c r="O942" i="59" a="1"/>
  <c r="O942" i="59" s="1"/>
  <c r="M942" i="59" a="1"/>
  <c r="M942" i="59" s="1"/>
  <c r="N942" i="59" a="1"/>
  <c r="N942" i="59" s="1"/>
  <c r="P867" i="59" a="1"/>
  <c r="P867" i="59" s="1"/>
  <c r="Q867" i="59" a="1"/>
  <c r="Q867" i="59" s="1"/>
  <c r="O867" i="59" a="1"/>
  <c r="O867" i="59" s="1"/>
  <c r="L867" i="59" a="1"/>
  <c r="L867" i="59" s="1"/>
  <c r="M867" i="59" a="1"/>
  <c r="M867" i="59" s="1"/>
  <c r="N867" i="59" a="1"/>
  <c r="N867" i="59" s="1"/>
  <c r="N874" i="59" a="1"/>
  <c r="N874" i="59" s="1"/>
  <c r="O874" i="59" a="1"/>
  <c r="O874" i="59" s="1"/>
  <c r="P874" i="59" a="1"/>
  <c r="P874" i="59" s="1"/>
  <c r="L874" i="59" a="1"/>
  <c r="L874" i="59" s="1"/>
  <c r="Q874" i="59" a="1"/>
  <c r="Q874" i="59" s="1"/>
  <c r="M874" i="59" a="1"/>
  <c r="M874" i="59" s="1"/>
  <c r="O810" i="59" a="1"/>
  <c r="O810" i="59" s="1"/>
  <c r="N810" i="59" a="1"/>
  <c r="N810" i="59" s="1"/>
  <c r="M810" i="59" a="1"/>
  <c r="M810" i="59" s="1"/>
  <c r="Q810" i="59" a="1"/>
  <c r="Q810" i="59" s="1"/>
  <c r="P810" i="59" a="1"/>
  <c r="P810" i="59" s="1"/>
  <c r="L810" i="59" a="1"/>
  <c r="L810" i="59" s="1"/>
  <c r="M746" i="59" a="1"/>
  <c r="M746" i="59" s="1"/>
  <c r="Q746" i="59" a="1"/>
  <c r="Q746" i="59" s="1"/>
  <c r="O746" i="59" a="1"/>
  <c r="O746" i="59" s="1"/>
  <c r="N746" i="59" a="1"/>
  <c r="N746" i="59" s="1"/>
  <c r="P746" i="59" a="1"/>
  <c r="P746" i="59" s="1"/>
  <c r="L746" i="59" a="1"/>
  <c r="L746" i="59" s="1"/>
  <c r="M491" i="59" a="1"/>
  <c r="M491" i="59" s="1"/>
  <c r="O491" i="59" a="1"/>
  <c r="O491" i="59" s="1"/>
  <c r="L491" i="59" a="1"/>
  <c r="L491" i="59" s="1"/>
  <c r="P491" i="59" a="1"/>
  <c r="P491" i="59" s="1"/>
  <c r="N491" i="59" a="1"/>
  <c r="N491" i="59" s="1"/>
  <c r="Q491" i="59" a="1"/>
  <c r="Q491" i="59" s="1"/>
  <c r="O829" i="59" a="1"/>
  <c r="O829" i="59" s="1"/>
  <c r="L829" i="59" a="1"/>
  <c r="L829" i="59" s="1"/>
  <c r="P829" i="59" a="1"/>
  <c r="P829" i="59" s="1"/>
  <c r="N829" i="59" a="1"/>
  <c r="N829" i="59" s="1"/>
  <c r="Q829" i="59" a="1"/>
  <c r="Q829" i="59" s="1"/>
  <c r="M829" i="59" a="1"/>
  <c r="M829" i="59" s="1"/>
  <c r="O765" i="59" a="1"/>
  <c r="O765" i="59" s="1"/>
  <c r="N765" i="59" a="1"/>
  <c r="N765" i="59" s="1"/>
  <c r="L765" i="59" a="1"/>
  <c r="L765" i="59" s="1"/>
  <c r="Q765" i="59" a="1"/>
  <c r="Q765" i="59" s="1"/>
  <c r="M765" i="59" a="1"/>
  <c r="M765" i="59" s="1"/>
  <c r="P765" i="59" a="1"/>
  <c r="P765" i="59" s="1"/>
  <c r="L673" i="59" a="1"/>
  <c r="L673" i="59" s="1"/>
  <c r="P673" i="59" a="1"/>
  <c r="P673" i="59" s="1"/>
  <c r="N673" i="59" a="1"/>
  <c r="N673" i="59" s="1"/>
  <c r="M673" i="59" a="1"/>
  <c r="M673" i="59" s="1"/>
  <c r="Q673" i="59" a="1"/>
  <c r="Q673" i="59" s="1"/>
  <c r="O673" i="59" a="1"/>
  <c r="O673" i="59" s="1"/>
  <c r="O848" i="59" a="1"/>
  <c r="O848" i="59" s="1"/>
  <c r="Q848" i="59" a="1"/>
  <c r="Q848" i="59" s="1"/>
  <c r="L848" i="59" a="1"/>
  <c r="L848" i="59" s="1"/>
  <c r="P848" i="59" a="1"/>
  <c r="P848" i="59" s="1"/>
  <c r="M848" i="59" a="1"/>
  <c r="M848" i="59" s="1"/>
  <c r="N848" i="59" a="1"/>
  <c r="N848" i="59" s="1"/>
  <c r="O784" i="59" a="1"/>
  <c r="O784" i="59" s="1"/>
  <c r="N784" i="59" a="1"/>
  <c r="N784" i="59" s="1"/>
  <c r="P784" i="59" a="1"/>
  <c r="P784" i="59" s="1"/>
  <c r="M784" i="59" a="1"/>
  <c r="M784" i="59" s="1"/>
  <c r="Q784" i="59" a="1"/>
  <c r="Q784" i="59" s="1"/>
  <c r="L784" i="59" a="1"/>
  <c r="L784" i="59" s="1"/>
  <c r="P700" i="59" a="1"/>
  <c r="P700" i="59" s="1"/>
  <c r="N700" i="59" a="1"/>
  <c r="N700" i="59" s="1"/>
  <c r="M700" i="59" a="1"/>
  <c r="M700" i="59" s="1"/>
  <c r="L700" i="59" a="1"/>
  <c r="L700" i="59" s="1"/>
  <c r="Q700" i="59" a="1"/>
  <c r="Q700" i="59" s="1"/>
  <c r="O700" i="59" a="1"/>
  <c r="O700" i="59" s="1"/>
  <c r="P803" i="59" a="1"/>
  <c r="P803" i="59" s="1"/>
  <c r="O803" i="59" a="1"/>
  <c r="O803" i="59" s="1"/>
  <c r="L803" i="59" a="1"/>
  <c r="L803" i="59" s="1"/>
  <c r="N803" i="59" a="1"/>
  <c r="N803" i="59" s="1"/>
  <c r="M803" i="59" a="1"/>
  <c r="M803" i="59" s="1"/>
  <c r="Q803" i="59" a="1"/>
  <c r="Q803" i="59" s="1"/>
  <c r="M727" i="59" a="1"/>
  <c r="M727" i="59" s="1"/>
  <c r="Q727" i="59" a="1"/>
  <c r="Q727" i="59" s="1"/>
  <c r="N727" i="59" a="1"/>
  <c r="N727" i="59" s="1"/>
  <c r="O727" i="59" a="1"/>
  <c r="O727" i="59" s="1"/>
  <c r="L727" i="59" a="1"/>
  <c r="L727" i="59" s="1"/>
  <c r="P727" i="59" a="1"/>
  <c r="P727" i="59" s="1"/>
  <c r="P483" i="59" a="1"/>
  <c r="P483" i="59" s="1"/>
  <c r="L483" i="59" a="1"/>
  <c r="L483" i="59" s="1"/>
  <c r="Q483" i="59" a="1"/>
  <c r="Q483" i="59" s="1"/>
  <c r="N483" i="59" a="1"/>
  <c r="N483" i="59" s="1"/>
  <c r="O483" i="59" a="1"/>
  <c r="O483" i="59" s="1"/>
  <c r="M483" i="59" a="1"/>
  <c r="M483" i="59" s="1"/>
  <c r="Q830" i="59" a="1"/>
  <c r="Q830" i="59" s="1"/>
  <c r="O830" i="59" a="1"/>
  <c r="O830" i="59" s="1"/>
  <c r="M830" i="59" a="1"/>
  <c r="M830" i="59" s="1"/>
  <c r="P830" i="59" a="1"/>
  <c r="P830" i="59" s="1"/>
  <c r="L830" i="59" a="1"/>
  <c r="L830" i="59" s="1"/>
  <c r="N830" i="59" a="1"/>
  <c r="N830" i="59" s="1"/>
  <c r="O766" i="59" a="1"/>
  <c r="O766" i="59" s="1"/>
  <c r="Q766" i="59" a="1"/>
  <c r="Q766" i="59" s="1"/>
  <c r="L766" i="59" a="1"/>
  <c r="L766" i="59" s="1"/>
  <c r="P766" i="59" a="1"/>
  <c r="P766" i="59" s="1"/>
  <c r="N766" i="59" a="1"/>
  <c r="N766" i="59" s="1"/>
  <c r="M766" i="59" a="1"/>
  <c r="M766" i="59" s="1"/>
  <c r="L691" i="59" a="1"/>
  <c r="L691" i="59" s="1"/>
  <c r="P691" i="59" a="1"/>
  <c r="P691" i="59" s="1"/>
  <c r="M691" i="59" a="1"/>
  <c r="M691" i="59" s="1"/>
  <c r="O691" i="59" a="1"/>
  <c r="O691" i="59" s="1"/>
  <c r="Q691" i="59" a="1"/>
  <c r="Q691" i="59" s="1"/>
  <c r="N691" i="59" a="1"/>
  <c r="N691" i="59" s="1"/>
  <c r="L801" i="59" a="1"/>
  <c r="L801" i="59" s="1"/>
  <c r="P801" i="59" a="1"/>
  <c r="P801" i="59" s="1"/>
  <c r="Q801" i="59" a="1"/>
  <c r="Q801" i="59" s="1"/>
  <c r="N801" i="59" a="1"/>
  <c r="N801" i="59" s="1"/>
  <c r="M801" i="59" a="1"/>
  <c r="M801" i="59" s="1"/>
  <c r="O801" i="59" a="1"/>
  <c r="O801" i="59" s="1"/>
  <c r="L729" i="59" a="1"/>
  <c r="L729" i="59" s="1"/>
  <c r="M729" i="59" a="1"/>
  <c r="M729" i="59" s="1"/>
  <c r="N729" i="59" a="1"/>
  <c r="N729" i="59" s="1"/>
  <c r="P729" i="59" a="1"/>
  <c r="P729" i="59" s="1"/>
  <c r="Q729" i="59" a="1"/>
  <c r="Q729" i="59" s="1"/>
  <c r="O729" i="59" a="1"/>
  <c r="O729" i="59" s="1"/>
  <c r="M730" i="59" a="1"/>
  <c r="M730" i="59" s="1"/>
  <c r="O730" i="59" a="1"/>
  <c r="O730" i="59" s="1"/>
  <c r="N730" i="59" a="1"/>
  <c r="N730" i="59" s="1"/>
  <c r="Q730" i="59" a="1"/>
  <c r="Q730" i="59" s="1"/>
  <c r="P730" i="59" a="1"/>
  <c r="P730" i="59" s="1"/>
  <c r="L730" i="59" a="1"/>
  <c r="L730" i="59" s="1"/>
  <c r="Q666" i="59" a="1"/>
  <c r="Q666" i="59" s="1"/>
  <c r="P666" i="59" a="1"/>
  <c r="P666" i="59" s="1"/>
  <c r="O666" i="59" a="1"/>
  <c r="O666" i="59" s="1"/>
  <c r="M666" i="59" a="1"/>
  <c r="M666" i="59" s="1"/>
  <c r="N666" i="59" a="1"/>
  <c r="N666" i="59" s="1"/>
  <c r="L666" i="59" a="1"/>
  <c r="L666" i="59" s="1"/>
  <c r="L606" i="59" a="1"/>
  <c r="L606" i="59" s="1"/>
  <c r="P606" i="59" a="1"/>
  <c r="P606" i="59" s="1"/>
  <c r="M606" i="59" a="1"/>
  <c r="M606" i="59" s="1"/>
  <c r="Q606" i="59" a="1"/>
  <c r="Q606" i="59" s="1"/>
  <c r="O606" i="59" a="1"/>
  <c r="O606" i="59" s="1"/>
  <c r="N606" i="59" a="1"/>
  <c r="N606" i="59" s="1"/>
  <c r="L701" i="59" a="1"/>
  <c r="L701" i="59" s="1"/>
  <c r="P701" i="59" a="1"/>
  <c r="P701" i="59" s="1"/>
  <c r="O701" i="59" a="1"/>
  <c r="O701" i="59" s="1"/>
  <c r="N701" i="59" a="1"/>
  <c r="N701" i="59" s="1"/>
  <c r="M701" i="59" a="1"/>
  <c r="M701" i="59" s="1"/>
  <c r="Q701" i="59" a="1"/>
  <c r="Q701" i="59" s="1"/>
  <c r="L637" i="59" a="1"/>
  <c r="L637" i="59" s="1"/>
  <c r="O637" i="59" a="1"/>
  <c r="O637" i="59" s="1"/>
  <c r="P637" i="59" a="1"/>
  <c r="P637" i="59" s="1"/>
  <c r="N637" i="59" a="1"/>
  <c r="N637" i="59" s="1"/>
  <c r="M637" i="59" a="1"/>
  <c r="M637" i="59" s="1"/>
  <c r="Q637" i="59" a="1"/>
  <c r="Q637" i="59" s="1"/>
  <c r="N539" i="59" a="1"/>
  <c r="N539" i="59" s="1"/>
  <c r="L539" i="59" a="1"/>
  <c r="L539" i="59" s="1"/>
  <c r="P539" i="59" a="1"/>
  <c r="P539" i="59" s="1"/>
  <c r="M539" i="59" a="1"/>
  <c r="M539" i="59" s="1"/>
  <c r="Q539" i="59" a="1"/>
  <c r="Q539" i="59" s="1"/>
  <c r="O539" i="59" a="1"/>
  <c r="O539" i="59" s="1"/>
  <c r="N688" i="59" a="1"/>
  <c r="N688" i="59" s="1"/>
  <c r="L688" i="59" a="1"/>
  <c r="L688" i="59" s="1"/>
  <c r="P688" i="59" a="1"/>
  <c r="P688" i="59" s="1"/>
  <c r="O688" i="59" a="1"/>
  <c r="O688" i="59" s="1"/>
  <c r="Q688" i="59" a="1"/>
  <c r="Q688" i="59" s="1"/>
  <c r="M688" i="59" a="1"/>
  <c r="M688" i="59" s="1"/>
  <c r="O624" i="59" a="1"/>
  <c r="O624" i="59" s="1"/>
  <c r="N624" i="59" a="1"/>
  <c r="N624" i="59" s="1"/>
  <c r="L624" i="59" a="1"/>
  <c r="L624" i="59" s="1"/>
  <c r="P624" i="59" a="1"/>
  <c r="P624" i="59" s="1"/>
  <c r="Q624" i="59" a="1"/>
  <c r="Q624" i="59" s="1"/>
  <c r="M624" i="59" a="1"/>
  <c r="M624" i="59" s="1"/>
  <c r="O434" i="59" a="1"/>
  <c r="O434" i="59" s="1"/>
  <c r="Q434" i="59" a="1"/>
  <c r="Q434" i="59" s="1"/>
  <c r="M434" i="59" a="1"/>
  <c r="M434" i="59" s="1"/>
  <c r="L434" i="59" a="1"/>
  <c r="L434" i="59" s="1"/>
  <c r="P434" i="59" a="1"/>
  <c r="P434" i="59" s="1"/>
  <c r="N434" i="59" a="1"/>
  <c r="N434" i="59" s="1"/>
  <c r="O611" i="59" a="1"/>
  <c r="O611" i="59" s="1"/>
  <c r="L611" i="59" a="1"/>
  <c r="L611" i="59" s="1"/>
  <c r="P611" i="59" a="1"/>
  <c r="P611" i="59" s="1"/>
  <c r="M611" i="59" a="1"/>
  <c r="M611" i="59" s="1"/>
  <c r="Q611" i="59" a="1"/>
  <c r="Q611" i="59" s="1"/>
  <c r="N611" i="59" a="1"/>
  <c r="N611" i="59" s="1"/>
  <c r="L718" i="59" a="1"/>
  <c r="L718" i="59" s="1"/>
  <c r="M718" i="59" a="1"/>
  <c r="M718" i="59" s="1"/>
  <c r="Q718" i="59" a="1"/>
  <c r="Q718" i="59" s="1"/>
  <c r="N718" i="59" a="1"/>
  <c r="N718" i="59" s="1"/>
  <c r="O718" i="59" a="1"/>
  <c r="O718" i="59" s="1"/>
  <c r="P718" i="59" a="1"/>
  <c r="P718" i="59" s="1"/>
  <c r="L654" i="59" a="1"/>
  <c r="L654" i="59" s="1"/>
  <c r="N654" i="59" a="1"/>
  <c r="N654" i="59" s="1"/>
  <c r="P654" i="59" a="1"/>
  <c r="P654" i="59" s="1"/>
  <c r="M654" i="59" a="1"/>
  <c r="M654" i="59" s="1"/>
  <c r="O654" i="59" a="1"/>
  <c r="O654" i="59" s="1"/>
  <c r="Q654" i="59" a="1"/>
  <c r="Q654" i="59" s="1"/>
  <c r="L566" i="59" a="1"/>
  <c r="L566" i="59" s="1"/>
  <c r="P566" i="59" a="1"/>
  <c r="P566" i="59" s="1"/>
  <c r="N566" i="59" a="1"/>
  <c r="N566" i="59" s="1"/>
  <c r="M566" i="59" a="1"/>
  <c r="M566" i="59" s="1"/>
  <c r="Q566" i="59" a="1"/>
  <c r="Q566" i="59" s="1"/>
  <c r="O566" i="59" a="1"/>
  <c r="O566" i="59" s="1"/>
  <c r="L633" i="59" a="1"/>
  <c r="L633" i="59" s="1"/>
  <c r="M633" i="59" a="1"/>
  <c r="M633" i="59" s="1"/>
  <c r="Q633" i="59" a="1"/>
  <c r="Q633" i="59" s="1"/>
  <c r="P633" i="59" a="1"/>
  <c r="P633" i="59" s="1"/>
  <c r="N633" i="59" a="1"/>
  <c r="N633" i="59" s="1"/>
  <c r="O633" i="59" a="1"/>
  <c r="O633" i="59" s="1"/>
  <c r="M497" i="59" a="1"/>
  <c r="M497" i="59" s="1"/>
  <c r="O497" i="59" a="1"/>
  <c r="O497" i="59" s="1"/>
  <c r="Q497" i="59" a="1"/>
  <c r="Q497" i="59" s="1"/>
  <c r="N497" i="59" a="1"/>
  <c r="N497" i="59" s="1"/>
  <c r="L497" i="59" a="1"/>
  <c r="L497" i="59" s="1"/>
  <c r="P497" i="59" a="1"/>
  <c r="P497" i="59" s="1"/>
  <c r="O559" i="59" a="1"/>
  <c r="O559" i="59" s="1"/>
  <c r="Q559" i="59" a="1"/>
  <c r="Q559" i="59" s="1"/>
  <c r="L559" i="59" a="1"/>
  <c r="L559" i="59" s="1"/>
  <c r="M559" i="59" a="1"/>
  <c r="M559" i="59" s="1"/>
  <c r="N559" i="59" a="1"/>
  <c r="N559" i="59" s="1"/>
  <c r="P559" i="59" a="1"/>
  <c r="P559" i="59" s="1"/>
  <c r="P602" i="59" a="1"/>
  <c r="P602" i="59" s="1"/>
  <c r="O602" i="59" a="1"/>
  <c r="O602" i="59" s="1"/>
  <c r="N602" i="59" a="1"/>
  <c r="N602" i="59" s="1"/>
  <c r="M602" i="59" a="1"/>
  <c r="M602" i="59" s="1"/>
  <c r="L602" i="59" a="1"/>
  <c r="L602" i="59" s="1"/>
  <c r="Q602" i="59" a="1"/>
  <c r="Q602" i="59" s="1"/>
  <c r="O541" i="59" a="1"/>
  <c r="O541" i="59" s="1"/>
  <c r="P541" i="59" a="1"/>
  <c r="P541" i="59" s="1"/>
  <c r="L541" i="59" a="1"/>
  <c r="L541" i="59" s="1"/>
  <c r="N541" i="59" a="1"/>
  <c r="N541" i="59" s="1"/>
  <c r="M541" i="59" a="1"/>
  <c r="M541" i="59" s="1"/>
  <c r="Q541" i="59" a="1"/>
  <c r="Q541" i="59" s="1"/>
  <c r="L589" i="59" a="1"/>
  <c r="L589" i="59" s="1"/>
  <c r="P589" i="59" a="1"/>
  <c r="P589" i="59" s="1"/>
  <c r="N589" i="59" a="1"/>
  <c r="N589" i="59" s="1"/>
  <c r="O589" i="59" a="1"/>
  <c r="O589" i="59" s="1"/>
  <c r="Q589" i="59" a="1"/>
  <c r="Q589" i="59" s="1"/>
  <c r="M589" i="59" a="1"/>
  <c r="M589" i="59" s="1"/>
  <c r="L499" i="59" a="1"/>
  <c r="L499" i="59" s="1"/>
  <c r="Q499" i="59" a="1"/>
  <c r="Q499" i="59" s="1"/>
  <c r="P499" i="59" a="1"/>
  <c r="P499" i="59" s="1"/>
  <c r="M499" i="59" a="1"/>
  <c r="M499" i="59" s="1"/>
  <c r="O499" i="59" a="1"/>
  <c r="O499" i="59" s="1"/>
  <c r="N499" i="59" a="1"/>
  <c r="N499" i="59" s="1"/>
  <c r="O595" i="59" a="1"/>
  <c r="O595" i="59" s="1"/>
  <c r="P595" i="59" a="1"/>
  <c r="P595" i="59" s="1"/>
  <c r="M595" i="59" a="1"/>
  <c r="M595" i="59" s="1"/>
  <c r="Q595" i="59" a="1"/>
  <c r="Q595" i="59" s="1"/>
  <c r="L595" i="59" a="1"/>
  <c r="L595" i="59" s="1"/>
  <c r="N595" i="59" a="1"/>
  <c r="N595" i="59" s="1"/>
  <c r="O516" i="59" a="1"/>
  <c r="O516" i="59" s="1"/>
  <c r="P516" i="59" a="1"/>
  <c r="P516" i="59" s="1"/>
  <c r="N516" i="59" a="1"/>
  <c r="N516" i="59" s="1"/>
  <c r="M516" i="59" a="1"/>
  <c r="M516" i="59" s="1"/>
  <c r="L516" i="59" a="1"/>
  <c r="L516" i="59" s="1"/>
  <c r="Q516" i="59" a="1"/>
  <c r="Q516" i="59" s="1"/>
  <c r="N423" i="59" a="1"/>
  <c r="N423" i="59" s="1"/>
  <c r="L423" i="59" a="1"/>
  <c r="L423" i="59" s="1"/>
  <c r="M423" i="59" a="1"/>
  <c r="M423" i="59" s="1"/>
  <c r="Q423" i="59" a="1"/>
  <c r="Q423" i="59" s="1"/>
  <c r="O423" i="59" a="1"/>
  <c r="O423" i="59" s="1"/>
  <c r="P423" i="59" a="1"/>
  <c r="P423" i="59" s="1"/>
  <c r="Q494" i="59" a="1"/>
  <c r="Q494" i="59" s="1"/>
  <c r="M494" i="59" a="1"/>
  <c r="M494" i="59" s="1"/>
  <c r="N494" i="59" a="1"/>
  <c r="N494" i="59" s="1"/>
  <c r="L494" i="59" a="1"/>
  <c r="L494" i="59" s="1"/>
  <c r="O494" i="59" a="1"/>
  <c r="O494" i="59" s="1"/>
  <c r="P494" i="59" a="1"/>
  <c r="P494" i="59" s="1"/>
  <c r="M535" i="59" a="1"/>
  <c r="M535" i="59" s="1"/>
  <c r="O535" i="59" a="1"/>
  <c r="O535" i="59" s="1"/>
  <c r="Q535" i="59" a="1"/>
  <c r="Q535" i="59" s="1"/>
  <c r="N535" i="59" a="1"/>
  <c r="N535" i="59" s="1"/>
  <c r="P535" i="59" a="1"/>
  <c r="P535" i="59" s="1"/>
  <c r="L535" i="59" a="1"/>
  <c r="L535" i="59" s="1"/>
  <c r="M462" i="59" a="1"/>
  <c r="M462" i="59" s="1"/>
  <c r="N462" i="59" a="1"/>
  <c r="N462" i="59" s="1"/>
  <c r="Q462" i="59" a="1"/>
  <c r="Q462" i="59" s="1"/>
  <c r="P462" i="59" a="1"/>
  <c r="P462" i="59" s="1"/>
  <c r="L462" i="59" a="1"/>
  <c r="L462" i="59" s="1"/>
  <c r="O462" i="59" a="1"/>
  <c r="O462" i="59" s="1"/>
  <c r="O514" i="59" a="1"/>
  <c r="O514" i="59" s="1"/>
  <c r="Q514" i="59" a="1"/>
  <c r="Q514" i="59" s="1"/>
  <c r="L514" i="59" a="1"/>
  <c r="L514" i="59" s="1"/>
  <c r="P514" i="59" a="1"/>
  <c r="P514" i="59" s="1"/>
  <c r="M514" i="59" a="1"/>
  <c r="M514" i="59" s="1"/>
  <c r="N514" i="59" a="1"/>
  <c r="N514" i="59" s="1"/>
  <c r="P474" i="59" a="1"/>
  <c r="P474" i="59" s="1"/>
  <c r="O474" i="59" a="1"/>
  <c r="O474" i="59" s="1"/>
  <c r="M474" i="59" a="1"/>
  <c r="M474" i="59" s="1"/>
  <c r="Q474" i="59" a="1"/>
  <c r="Q474" i="59" s="1"/>
  <c r="L474" i="59" a="1"/>
  <c r="L474" i="59" s="1"/>
  <c r="N474" i="59" a="1"/>
  <c r="N474" i="59" s="1"/>
  <c r="P512" i="59" a="1"/>
  <c r="P512" i="59" s="1"/>
  <c r="N512" i="59" a="1"/>
  <c r="N512" i="59" s="1"/>
  <c r="O512" i="59" a="1"/>
  <c r="O512" i="59" s="1"/>
  <c r="L512" i="59" a="1"/>
  <c r="L512" i="59" s="1"/>
  <c r="M512" i="59" a="1"/>
  <c r="M512" i="59" s="1"/>
  <c r="Q512" i="59" a="1"/>
  <c r="Q512" i="59" s="1"/>
  <c r="N470" i="59" a="1"/>
  <c r="N470" i="59" s="1"/>
  <c r="L470" i="59" a="1"/>
  <c r="L470" i="59" s="1"/>
  <c r="O470" i="59" a="1"/>
  <c r="O470" i="59" s="1"/>
  <c r="M470" i="59" a="1"/>
  <c r="M470" i="59" s="1"/>
  <c r="Q470" i="59" a="1"/>
  <c r="Q470" i="59" s="1"/>
  <c r="P470" i="59" a="1"/>
  <c r="P470" i="59" s="1"/>
  <c r="L452" i="59" a="1"/>
  <c r="L452" i="59" s="1"/>
  <c r="P452" i="59" a="1"/>
  <c r="P452" i="59" s="1"/>
  <c r="O452" i="59" a="1"/>
  <c r="O452" i="59" s="1"/>
  <c r="Q452" i="59" a="1"/>
  <c r="Q452" i="59" s="1"/>
  <c r="M452" i="59" a="1"/>
  <c r="M452" i="59" s="1"/>
  <c r="N452" i="59" a="1"/>
  <c r="N452" i="59" s="1"/>
  <c r="L353" i="59" a="1"/>
  <c r="L353" i="59" s="1"/>
  <c r="O353" i="59" a="1"/>
  <c r="O353" i="59" s="1"/>
  <c r="P353" i="59" a="1"/>
  <c r="P353" i="59" s="1"/>
  <c r="N353" i="59" a="1"/>
  <c r="N353" i="59" s="1"/>
  <c r="M353" i="59" a="1"/>
  <c r="M353" i="59" s="1"/>
  <c r="Q353" i="59" a="1"/>
  <c r="Q353" i="59" s="1"/>
  <c r="N431" i="59" a="1"/>
  <c r="N431" i="59" s="1"/>
  <c r="L431" i="59" a="1"/>
  <c r="L431" i="59" s="1"/>
  <c r="P431" i="59" a="1"/>
  <c r="P431" i="59" s="1"/>
  <c r="Q431" i="59" a="1"/>
  <c r="Q431" i="59" s="1"/>
  <c r="O431" i="59" a="1"/>
  <c r="O431" i="59" s="1"/>
  <c r="M431" i="59" a="1"/>
  <c r="M431" i="59" s="1"/>
  <c r="L338" i="59" a="1"/>
  <c r="L338" i="59" s="1"/>
  <c r="N338" i="59" a="1"/>
  <c r="N338" i="59" s="1"/>
  <c r="O338" i="59" a="1"/>
  <c r="O338" i="59" s="1"/>
  <c r="Q338" i="59" a="1"/>
  <c r="Q338" i="59" s="1"/>
  <c r="M338" i="59" a="1"/>
  <c r="M338" i="59" s="1"/>
  <c r="P338" i="59" a="1"/>
  <c r="P338" i="59" s="1"/>
  <c r="M429" i="59" a="1"/>
  <c r="M429" i="59" s="1"/>
  <c r="N429" i="59" a="1"/>
  <c r="N429" i="59" s="1"/>
  <c r="O429" i="59" a="1"/>
  <c r="O429" i="59" s="1"/>
  <c r="P429" i="59" a="1"/>
  <c r="P429" i="59" s="1"/>
  <c r="Q429" i="59" a="1"/>
  <c r="Q429" i="59" s="1"/>
  <c r="L429" i="59" a="1"/>
  <c r="L429" i="59" s="1"/>
  <c r="M266" i="59" a="1"/>
  <c r="M266" i="59" s="1"/>
  <c r="O266" i="59" a="1"/>
  <c r="O266" i="59" s="1"/>
  <c r="Q266" i="59" a="1"/>
  <c r="Q266" i="59" s="1"/>
  <c r="P266" i="59" a="1"/>
  <c r="P266" i="59" s="1"/>
  <c r="N266" i="59" a="1"/>
  <c r="N266" i="59" s="1"/>
  <c r="L266" i="59" a="1"/>
  <c r="L266" i="59" s="1"/>
  <c r="L412" i="59" a="1"/>
  <c r="L412" i="59" s="1"/>
  <c r="P412" i="59" a="1"/>
  <c r="P412" i="59" s="1"/>
  <c r="N412" i="59" a="1"/>
  <c r="N412" i="59" s="1"/>
  <c r="O412" i="59" a="1"/>
  <c r="O412" i="59" s="1"/>
  <c r="Q412" i="59" a="1"/>
  <c r="Q412" i="59" s="1"/>
  <c r="M412" i="59" a="1"/>
  <c r="M412" i="59" s="1"/>
  <c r="Q421" i="59" a="1"/>
  <c r="Q421" i="59" s="1"/>
  <c r="N421" i="59" a="1"/>
  <c r="N421" i="59" s="1"/>
  <c r="O421" i="59" a="1"/>
  <c r="O421" i="59" s="1"/>
  <c r="M421" i="59" a="1"/>
  <c r="M421" i="59" s="1"/>
  <c r="P421" i="59" a="1"/>
  <c r="P421" i="59" s="1"/>
  <c r="L421" i="59" a="1"/>
  <c r="L421" i="59" s="1"/>
  <c r="M349" i="59" a="1"/>
  <c r="M349" i="59" s="1"/>
  <c r="N349" i="59" a="1"/>
  <c r="N349" i="59" s="1"/>
  <c r="Q349" i="59" a="1"/>
  <c r="Q349" i="59" s="1"/>
  <c r="O349" i="59" a="1"/>
  <c r="O349" i="59" s="1"/>
  <c r="P349" i="59" a="1"/>
  <c r="P349" i="59" s="1"/>
  <c r="L349" i="59" a="1"/>
  <c r="L349" i="59" s="1"/>
  <c r="L400" i="59" a="1"/>
  <c r="L400" i="59" s="1"/>
  <c r="P400" i="59" a="1"/>
  <c r="P400" i="59" s="1"/>
  <c r="N400" i="59" a="1"/>
  <c r="N400" i="59" s="1"/>
  <c r="M400" i="59" a="1"/>
  <c r="M400" i="59" s="1"/>
  <c r="O400" i="59" a="1"/>
  <c r="O400" i="59" s="1"/>
  <c r="Q400" i="59" a="1"/>
  <c r="Q400" i="59" s="1"/>
  <c r="L313" i="59" a="1"/>
  <c r="L313" i="59" s="1"/>
  <c r="O313" i="59" a="1"/>
  <c r="O313" i="59" s="1"/>
  <c r="P313" i="59" a="1"/>
  <c r="P313" i="59" s="1"/>
  <c r="M313" i="59" a="1"/>
  <c r="M313" i="59" s="1"/>
  <c r="Q313" i="59" a="1"/>
  <c r="Q313" i="59" s="1"/>
  <c r="N313" i="59" a="1"/>
  <c r="N313" i="59" s="1"/>
  <c r="O398" i="59" a="1"/>
  <c r="O398" i="59" s="1"/>
  <c r="M398" i="59" a="1"/>
  <c r="M398" i="59" s="1"/>
  <c r="P398" i="59" a="1"/>
  <c r="P398" i="59" s="1"/>
  <c r="Q398" i="59" a="1"/>
  <c r="Q398" i="59" s="1"/>
  <c r="L398" i="59" a="1"/>
  <c r="L398" i="59" s="1"/>
  <c r="N398" i="59" a="1"/>
  <c r="N398" i="59" s="1"/>
  <c r="N298" i="59" a="1"/>
  <c r="N298" i="59" s="1"/>
  <c r="O298" i="59" a="1"/>
  <c r="O298" i="59" s="1"/>
  <c r="P298" i="59" a="1"/>
  <c r="P298" i="59" s="1"/>
  <c r="M298" i="59" a="1"/>
  <c r="M298" i="59" s="1"/>
  <c r="Q298" i="59" a="1"/>
  <c r="Q298" i="59" s="1"/>
  <c r="L298" i="59" a="1"/>
  <c r="L298" i="59" s="1"/>
  <c r="L377" i="59" a="1"/>
  <c r="L377" i="59" s="1"/>
  <c r="O377" i="59" a="1"/>
  <c r="O377" i="59" s="1"/>
  <c r="P377" i="59" a="1"/>
  <c r="P377" i="59" s="1"/>
  <c r="M377" i="59" a="1"/>
  <c r="M377" i="59" s="1"/>
  <c r="Q377" i="59" a="1"/>
  <c r="Q377" i="59" s="1"/>
  <c r="N377" i="59" a="1"/>
  <c r="N377" i="59" s="1"/>
  <c r="L305" i="59" a="1"/>
  <c r="L305" i="59" s="1"/>
  <c r="O305" i="59" a="1"/>
  <c r="O305" i="59" s="1"/>
  <c r="P305" i="59" a="1"/>
  <c r="P305" i="59" s="1"/>
  <c r="N305" i="59" a="1"/>
  <c r="N305" i="59" s="1"/>
  <c r="M305" i="59" a="1"/>
  <c r="M305" i="59" s="1"/>
  <c r="Q305" i="59" a="1"/>
  <c r="Q305" i="59" s="1"/>
  <c r="O304" i="59" a="1"/>
  <c r="O304" i="59" s="1"/>
  <c r="L304" i="59" a="1"/>
  <c r="L304" i="59" s="1"/>
  <c r="N304" i="59" a="1"/>
  <c r="N304" i="59" s="1"/>
  <c r="P304" i="59" a="1"/>
  <c r="P304" i="59" s="1"/>
  <c r="M304" i="59" a="1"/>
  <c r="M304" i="59" s="1"/>
  <c r="Q304" i="59" a="1"/>
  <c r="Q304" i="59" s="1"/>
  <c r="N347" i="59" a="1"/>
  <c r="N347" i="59" s="1"/>
  <c r="O347" i="59" a="1"/>
  <c r="O347" i="59" s="1"/>
  <c r="M347" i="59" a="1"/>
  <c r="M347" i="59" s="1"/>
  <c r="L347" i="59" a="1"/>
  <c r="L347" i="59" s="1"/>
  <c r="P347" i="59" a="1"/>
  <c r="P347" i="59" s="1"/>
  <c r="Q347" i="59" a="1"/>
  <c r="Q347" i="59" s="1"/>
  <c r="N283" i="59" a="1"/>
  <c r="N283" i="59" s="1"/>
  <c r="O283" i="59" a="1"/>
  <c r="O283" i="59" s="1"/>
  <c r="M283" i="59" a="1"/>
  <c r="M283" i="59" s="1"/>
  <c r="L283" i="59" a="1"/>
  <c r="L283" i="59" s="1"/>
  <c r="P283" i="59" a="1"/>
  <c r="P283" i="59" s="1"/>
  <c r="Q283" i="59" a="1"/>
  <c r="Q283" i="59" s="1"/>
  <c r="P326" i="59" a="1"/>
  <c r="P326" i="59" s="1"/>
  <c r="L326" i="59" a="1"/>
  <c r="L326" i="59" s="1"/>
  <c r="Q326" i="59" a="1"/>
  <c r="Q326" i="59" s="1"/>
  <c r="O326" i="59" a="1"/>
  <c r="O326" i="59" s="1"/>
  <c r="M326" i="59" a="1"/>
  <c r="M326" i="59" s="1"/>
  <c r="N326" i="59" a="1"/>
  <c r="N326" i="59" s="1"/>
  <c r="L255" i="59" a="1"/>
  <c r="L255" i="59" s="1"/>
  <c r="M255" i="59" a="1"/>
  <c r="M255" i="59" s="1"/>
  <c r="Q255" i="59" a="1"/>
  <c r="Q255" i="59" s="1"/>
  <c r="O255" i="59" a="1"/>
  <c r="O255" i="59" s="1"/>
  <c r="P255" i="59" a="1"/>
  <c r="P255" i="59" s="1"/>
  <c r="N255" i="59" a="1"/>
  <c r="N255" i="59" s="1"/>
  <c r="M348" i="59" a="1"/>
  <c r="M348" i="59" s="1"/>
  <c r="P348" i="59" a="1"/>
  <c r="P348" i="59" s="1"/>
  <c r="N348" i="59" a="1"/>
  <c r="N348" i="59" s="1"/>
  <c r="Q348" i="59" a="1"/>
  <c r="Q348" i="59" s="1"/>
  <c r="L348" i="59" a="1"/>
  <c r="L348" i="59" s="1"/>
  <c r="O348" i="59" a="1"/>
  <c r="O348" i="59" s="1"/>
  <c r="L284" i="59" a="1"/>
  <c r="L284" i="59" s="1"/>
  <c r="Q284" i="59" a="1"/>
  <c r="Q284" i="59" s="1"/>
  <c r="P284" i="59" a="1"/>
  <c r="P284" i="59" s="1"/>
  <c r="O284" i="59" a="1"/>
  <c r="O284" i="59" s="1"/>
  <c r="M284" i="59" a="1"/>
  <c r="M284" i="59" s="1"/>
  <c r="N284" i="59" a="1"/>
  <c r="N284" i="59" s="1"/>
  <c r="N269" i="59" a="1"/>
  <c r="N269" i="59" s="1"/>
  <c r="L269" i="59" a="1"/>
  <c r="L269" i="59" s="1"/>
  <c r="P269" i="59" a="1"/>
  <c r="P269" i="59" s="1"/>
  <c r="O269" i="59" a="1"/>
  <c r="O269" i="59" s="1"/>
  <c r="M269" i="59" a="1"/>
  <c r="M269" i="59" s="1"/>
  <c r="Q269" i="59" a="1"/>
  <c r="Q269" i="59" s="1"/>
  <c r="O256" i="59" a="1"/>
  <c r="O256" i="59" s="1"/>
  <c r="L256" i="59" a="1"/>
  <c r="L256" i="59" s="1"/>
  <c r="P256" i="59" a="1"/>
  <c r="P256" i="59" s="1"/>
  <c r="Q256" i="59" a="1"/>
  <c r="Q256" i="59" s="1"/>
  <c r="N256" i="59" a="1"/>
  <c r="N256" i="59" s="1"/>
  <c r="M256" i="59" a="1"/>
  <c r="M256" i="59" s="1"/>
  <c r="O251" i="59" a="1"/>
  <c r="O251" i="59" s="1"/>
  <c r="L251" i="59" a="1"/>
  <c r="L251" i="59" s="1"/>
  <c r="P251" i="59" a="1"/>
  <c r="P251" i="59" s="1"/>
  <c r="N251" i="59" a="1"/>
  <c r="N251" i="59" s="1"/>
  <c r="Q251" i="59" a="1"/>
  <c r="Q251" i="59" s="1"/>
  <c r="M251" i="59" a="1"/>
  <c r="M251" i="59" s="1"/>
  <c r="P205" i="59" a="1"/>
  <c r="P205" i="59" s="1"/>
  <c r="N205" i="59" a="1"/>
  <c r="N205" i="59" s="1"/>
  <c r="L205" i="59" a="1"/>
  <c r="L205" i="59" s="1"/>
  <c r="M205" i="59" a="1"/>
  <c r="M205" i="59" s="1"/>
  <c r="Q205" i="59" a="1"/>
  <c r="Q205" i="59" s="1"/>
  <c r="O205" i="59" a="1"/>
  <c r="O205" i="59" s="1"/>
  <c r="N187" i="59" a="1"/>
  <c r="N187" i="59" s="1"/>
  <c r="L187" i="59" a="1"/>
  <c r="L187" i="59" s="1"/>
  <c r="P187" i="59" a="1"/>
  <c r="P187" i="59" s="1"/>
  <c r="M187" i="59" a="1"/>
  <c r="M187" i="59" s="1"/>
  <c r="Q187" i="59" a="1"/>
  <c r="Q187" i="59" s="1"/>
  <c r="O187" i="59" a="1"/>
  <c r="O187" i="59" s="1"/>
  <c r="P152" i="59" a="1"/>
  <c r="P152" i="59" s="1"/>
  <c r="L152" i="59" a="1"/>
  <c r="L152" i="59" s="1"/>
  <c r="M152" i="59" a="1"/>
  <c r="M152" i="59" s="1"/>
  <c r="Q152" i="59" a="1"/>
  <c r="Q152" i="59" s="1"/>
  <c r="N152" i="59" a="1"/>
  <c r="N152" i="59" s="1"/>
  <c r="O152" i="59" a="1"/>
  <c r="O152" i="59" s="1"/>
  <c r="L138" i="59" a="1"/>
  <c r="L138" i="59" s="1"/>
  <c r="N138" i="59" a="1"/>
  <c r="N138" i="59" s="1"/>
  <c r="O138" i="59" a="1"/>
  <c r="O138" i="59" s="1"/>
  <c r="P138" i="59" a="1"/>
  <c r="P138" i="59" s="1"/>
  <c r="Q138" i="59" a="1"/>
  <c r="Q138" i="59" s="1"/>
  <c r="M138" i="59" a="1"/>
  <c r="M138" i="59" s="1"/>
  <c r="P230" i="59" a="1"/>
  <c r="P230" i="59" s="1"/>
  <c r="Q230" i="59" a="1"/>
  <c r="Q230" i="59" s="1"/>
  <c r="L230" i="59" a="1"/>
  <c r="L230" i="59" s="1"/>
  <c r="O230" i="59" a="1"/>
  <c r="O230" i="59" s="1"/>
  <c r="N230" i="59" a="1"/>
  <c r="N230" i="59" s="1"/>
  <c r="M230" i="59" a="1"/>
  <c r="M230" i="59" s="1"/>
  <c r="Q228" i="59" a="1"/>
  <c r="Q228" i="59" s="1"/>
  <c r="N228" i="59" a="1"/>
  <c r="N228" i="59" s="1"/>
  <c r="L228" i="59" a="1"/>
  <c r="L228" i="59" s="1"/>
  <c r="O228" i="59" a="1"/>
  <c r="O228" i="59" s="1"/>
  <c r="M228" i="59" a="1"/>
  <c r="M228" i="59" s="1"/>
  <c r="P228" i="59" a="1"/>
  <c r="P228" i="59" s="1"/>
  <c r="N242" i="59" a="1"/>
  <c r="N242" i="59" s="1"/>
  <c r="L242" i="59" a="1"/>
  <c r="L242" i="59" s="1"/>
  <c r="P242" i="59" a="1"/>
  <c r="P242" i="59" s="1"/>
  <c r="Q242" i="59" a="1"/>
  <c r="Q242" i="59" s="1"/>
  <c r="M242" i="59" a="1"/>
  <c r="M242" i="59" s="1"/>
  <c r="O242" i="59" a="1"/>
  <c r="O242" i="59" s="1"/>
  <c r="P179" i="59" a="1"/>
  <c r="P179" i="59" s="1"/>
  <c r="M179" i="59" a="1"/>
  <c r="M179" i="59" s="1"/>
  <c r="Q179" i="59" a="1"/>
  <c r="Q179" i="59" s="1"/>
  <c r="O179" i="59" a="1"/>
  <c r="O179" i="59" s="1"/>
  <c r="N179" i="59" a="1"/>
  <c r="N179" i="59" s="1"/>
  <c r="L179" i="59" a="1"/>
  <c r="L179" i="59" s="1"/>
  <c r="N170" i="59" a="1"/>
  <c r="N170" i="59" s="1"/>
  <c r="Q170" i="59" a="1"/>
  <c r="Q170" i="59" s="1"/>
  <c r="O170" i="59" a="1"/>
  <c r="O170" i="59" s="1"/>
  <c r="M170" i="59" a="1"/>
  <c r="M170" i="59" s="1"/>
  <c r="P170" i="59" a="1"/>
  <c r="P170" i="59" s="1"/>
  <c r="L170" i="59" a="1"/>
  <c r="L170" i="59" s="1"/>
  <c r="L153" i="59" a="1"/>
  <c r="L153" i="59" s="1"/>
  <c r="N153" i="59" a="1"/>
  <c r="N153" i="59" s="1"/>
  <c r="M153" i="59" a="1"/>
  <c r="M153" i="59" s="1"/>
  <c r="O153" i="59" a="1"/>
  <c r="O153" i="59" s="1"/>
  <c r="P153" i="59" a="1"/>
  <c r="P153" i="59" s="1"/>
  <c r="Q153" i="59" a="1"/>
  <c r="Q153" i="59" s="1"/>
  <c r="Q142" i="59" a="1"/>
  <c r="Q142" i="59" s="1"/>
  <c r="M142" i="59" a="1"/>
  <c r="M142" i="59" s="1"/>
  <c r="O142" i="59" a="1"/>
  <c r="O142" i="59" s="1"/>
  <c r="N142" i="59" a="1"/>
  <c r="N142" i="59" s="1"/>
  <c r="L142" i="59" a="1"/>
  <c r="L142" i="59" s="1"/>
  <c r="P142" i="59" a="1"/>
  <c r="P142" i="59" s="1"/>
  <c r="Q163" i="59" a="1"/>
  <c r="Q163" i="59" s="1"/>
  <c r="P163" i="59" a="1"/>
  <c r="P163" i="59" s="1"/>
  <c r="M163" i="59" a="1"/>
  <c r="M163" i="59" s="1"/>
  <c r="O163" i="59" a="1"/>
  <c r="O163" i="59" s="1"/>
  <c r="L163" i="59" a="1"/>
  <c r="L163" i="59" s="1"/>
  <c r="N163" i="59" a="1"/>
  <c r="N163" i="59" s="1"/>
  <c r="O137" i="59" a="1"/>
  <c r="O137" i="59" s="1"/>
  <c r="M137" i="59" a="1"/>
  <c r="M137" i="59" s="1"/>
  <c r="N137" i="59" a="1"/>
  <c r="N137" i="59" s="1"/>
  <c r="P137" i="59" a="1"/>
  <c r="P137" i="59" s="1"/>
  <c r="L137" i="59" a="1"/>
  <c r="L137" i="59" s="1"/>
  <c r="Q137" i="59" a="1"/>
  <c r="Q137" i="59" s="1"/>
  <c r="L167" i="59" a="1"/>
  <c r="L167" i="59" s="1"/>
  <c r="P167" i="59" a="1"/>
  <c r="P167" i="59" s="1"/>
  <c r="M167" i="59" a="1"/>
  <c r="M167" i="59" s="1"/>
  <c r="Q167" i="59" a="1"/>
  <c r="Q167" i="59" s="1"/>
  <c r="O167" i="59" a="1"/>
  <c r="O167" i="59" s="1"/>
  <c r="N167" i="59" a="1"/>
  <c r="N167" i="59" s="1"/>
  <c r="M157" i="59" a="1"/>
  <c r="M157" i="59" s="1"/>
  <c r="L157" i="59" a="1"/>
  <c r="L157" i="59" s="1"/>
  <c r="Q157" i="59" a="1"/>
  <c r="Q157" i="59" s="1"/>
  <c r="N157" i="59" a="1"/>
  <c r="N157" i="59" s="1"/>
  <c r="P157" i="59" a="1"/>
  <c r="P157" i="59" s="1"/>
  <c r="O157" i="59" a="1"/>
  <c r="O157" i="59" s="1"/>
  <c r="M104" i="59" a="1"/>
  <c r="M104" i="59" s="1"/>
  <c r="L104" i="59" a="1"/>
  <c r="L104" i="59" s="1"/>
  <c r="N104" i="59" a="1"/>
  <c r="N104" i="59" s="1"/>
  <c r="P104" i="59" a="1"/>
  <c r="P104" i="59" s="1"/>
  <c r="Q104" i="59" a="1"/>
  <c r="Q104" i="59" s="1"/>
  <c r="O104" i="59" a="1"/>
  <c r="O104" i="59" s="1"/>
  <c r="O66" i="59" a="1"/>
  <c r="O66" i="59" s="1"/>
  <c r="P66" i="59" a="1"/>
  <c r="P66" i="59" s="1"/>
  <c r="M66" i="59" a="1"/>
  <c r="M66" i="59" s="1"/>
  <c r="Q66" i="59" a="1"/>
  <c r="Q66" i="59" s="1"/>
  <c r="L66" i="59" a="1"/>
  <c r="L66" i="59" s="1"/>
  <c r="N66" i="59" a="1"/>
  <c r="N66" i="59" s="1"/>
  <c r="L52" i="59" a="1"/>
  <c r="L52" i="59" s="1"/>
  <c r="P52" i="59" a="1"/>
  <c r="P52" i="59" s="1"/>
  <c r="Q52" i="59" a="1"/>
  <c r="Q52" i="59" s="1"/>
  <c r="O52" i="59" a="1"/>
  <c r="O52" i="59" s="1"/>
  <c r="M52" i="59" a="1"/>
  <c r="M52" i="59" s="1"/>
  <c r="N52" i="59" a="1"/>
  <c r="N52" i="59" s="1"/>
  <c r="N103" i="59" a="1"/>
  <c r="N103" i="59" s="1"/>
  <c r="L103" i="59" a="1"/>
  <c r="L103" i="59" s="1"/>
  <c r="P103" i="59" a="1"/>
  <c r="P103" i="59" s="1"/>
  <c r="M103" i="59" a="1"/>
  <c r="M103" i="59" s="1"/>
  <c r="O103" i="59" a="1"/>
  <c r="O103" i="59" s="1"/>
  <c r="Q103" i="59" a="1"/>
  <c r="Q103" i="59" s="1"/>
  <c r="Q92" i="59" a="1"/>
  <c r="Q92" i="59" s="1"/>
  <c r="L92" i="59" a="1"/>
  <c r="L92" i="59" s="1"/>
  <c r="O92" i="59" a="1"/>
  <c r="O92" i="59" s="1"/>
  <c r="M92" i="59" a="1"/>
  <c r="M92" i="59" s="1"/>
  <c r="N92" i="59" a="1"/>
  <c r="N92" i="59" s="1"/>
  <c r="P92" i="59" a="1"/>
  <c r="P92" i="59" s="1"/>
  <c r="L93" i="59" a="1"/>
  <c r="L93" i="59" s="1"/>
  <c r="O93" i="59" a="1"/>
  <c r="O93" i="59" s="1"/>
  <c r="M93" i="59" a="1"/>
  <c r="M93" i="59" s="1"/>
  <c r="Q93" i="59" a="1"/>
  <c r="Q93" i="59" s="1"/>
  <c r="P93" i="59" a="1"/>
  <c r="P93" i="59" s="1"/>
  <c r="N93" i="59" a="1"/>
  <c r="N93" i="59" s="1"/>
  <c r="M13" i="59" a="1"/>
  <c r="M13" i="59" s="1"/>
  <c r="Q13" i="59" a="1"/>
  <c r="Q13" i="59" s="1"/>
  <c r="L13" i="59" a="1"/>
  <c r="L13" i="59" s="1"/>
  <c r="P13" i="59" a="1"/>
  <c r="P13" i="59" s="1"/>
  <c r="O13" i="59" a="1"/>
  <c r="O13" i="59" s="1"/>
  <c r="N13" i="59" a="1"/>
  <c r="N13" i="59" s="1"/>
  <c r="M25" i="59" a="1"/>
  <c r="M25" i="59" s="1"/>
  <c r="L25" i="59" a="1"/>
  <c r="L25" i="59" s="1"/>
  <c r="P25" i="59" a="1"/>
  <c r="P25" i="59" s="1"/>
  <c r="N25" i="59" a="1"/>
  <c r="N25" i="59" s="1"/>
  <c r="Q25" i="59" a="1"/>
  <c r="Q25" i="59" s="1"/>
  <c r="O25" i="59" a="1"/>
  <c r="O25" i="59" s="1"/>
  <c r="M42" i="59" a="1"/>
  <c r="M42" i="59" s="1"/>
  <c r="Q42" i="59" a="1"/>
  <c r="Q42" i="59" s="1"/>
  <c r="L42" i="59" a="1"/>
  <c r="L42" i="59" s="1"/>
  <c r="P42" i="59" a="1"/>
  <c r="P42" i="59" s="1"/>
  <c r="N42" i="59" a="1"/>
  <c r="N42" i="59" s="1"/>
  <c r="O42" i="59" a="1"/>
  <c r="O42" i="59" s="1"/>
  <c r="M35" i="59" a="1"/>
  <c r="M35" i="59" s="1"/>
  <c r="Q35" i="59" a="1"/>
  <c r="Q35" i="59" s="1"/>
  <c r="P35" i="59" a="1"/>
  <c r="P35" i="59" s="1"/>
  <c r="N35" i="59" a="1"/>
  <c r="N35" i="59" s="1"/>
  <c r="O35" i="59" a="1"/>
  <c r="O35" i="59" s="1"/>
  <c r="L35" i="59" a="1"/>
  <c r="L35" i="59" s="1"/>
  <c r="M14" i="59" a="1"/>
  <c r="M14" i="59" s="1"/>
  <c r="O14" i="59" a="1"/>
  <c r="O14" i="59" s="1"/>
  <c r="N14" i="59" a="1"/>
  <c r="N14" i="59" s="1"/>
  <c r="L14" i="59" a="1"/>
  <c r="L14" i="59" s="1"/>
  <c r="P14" i="59" a="1"/>
  <c r="P14" i="59" s="1"/>
  <c r="Q14" i="59" a="1"/>
  <c r="Q14" i="59" s="1"/>
  <c r="L45" i="59" a="1"/>
  <c r="L45" i="59" s="1"/>
  <c r="Q45" i="59" a="1"/>
  <c r="Q45" i="59" s="1"/>
  <c r="N45" i="59" a="1"/>
  <c r="N45" i="59" s="1"/>
  <c r="M45" i="59" a="1"/>
  <c r="M45" i="59" s="1"/>
  <c r="O45" i="59" a="1"/>
  <c r="O45" i="59" s="1"/>
  <c r="P45" i="59" a="1"/>
  <c r="P45" i="59" s="1"/>
  <c r="O30" i="59" a="1"/>
  <c r="O30" i="59" s="1"/>
  <c r="N30" i="59" a="1"/>
  <c r="N30" i="59" s="1"/>
  <c r="M30" i="59" a="1"/>
  <c r="M30" i="59" s="1"/>
  <c r="Q30" i="59" a="1"/>
  <c r="Q30" i="59" s="1"/>
  <c r="L30" i="59" a="1"/>
  <c r="L30" i="59" s="1"/>
  <c r="P30" i="59" a="1"/>
  <c r="P30" i="59" s="1"/>
  <c r="P15" i="59" a="1"/>
  <c r="P15" i="59" s="1"/>
  <c r="L15" i="59" a="1"/>
  <c r="L15" i="59" s="1"/>
  <c r="Q15" i="59" a="1"/>
  <c r="Q15" i="59" s="1"/>
  <c r="M15" i="59" a="1"/>
  <c r="M15" i="59" s="1"/>
  <c r="N15" i="59" a="1"/>
  <c r="N15" i="59" s="1"/>
  <c r="O15" i="59" a="1"/>
  <c r="O15" i="59" s="1"/>
  <c r="Q7" i="59" a="1"/>
  <c r="Q7" i="59" s="1"/>
  <c r="L7" i="59" a="1"/>
  <c r="L7" i="59" s="1"/>
  <c r="P7" i="59" a="1"/>
  <c r="P7" i="59" s="1"/>
  <c r="O7" i="59" a="1"/>
  <c r="O7" i="59" s="1"/>
  <c r="M7" i="59" a="1"/>
  <c r="M7" i="59" s="1"/>
  <c r="N7" i="59" a="1"/>
  <c r="N7" i="59" s="1"/>
  <c r="Q1379" i="59" a="1"/>
  <c r="Q1379" i="59" s="1"/>
  <c r="M1379" i="59" a="1"/>
  <c r="M1379" i="59" s="1"/>
  <c r="N1379" i="59" a="1"/>
  <c r="N1379" i="59" s="1"/>
  <c r="O1379" i="59" a="1"/>
  <c r="O1379" i="59" s="1"/>
  <c r="P1379" i="59" a="1"/>
  <c r="P1379" i="59" s="1"/>
  <c r="L1379" i="59" a="1"/>
  <c r="L1379" i="59" s="1"/>
  <c r="M1387" i="59" a="1"/>
  <c r="M1387" i="59" s="1"/>
  <c r="Q1387" i="59" a="1"/>
  <c r="Q1387" i="59" s="1"/>
  <c r="L1387" i="59" a="1"/>
  <c r="L1387" i="59" s="1"/>
  <c r="P1387" i="59" a="1"/>
  <c r="P1387" i="59" s="1"/>
  <c r="N1387" i="59" a="1"/>
  <c r="N1387" i="59" s="1"/>
  <c r="O1387" i="59" a="1"/>
  <c r="O1387" i="59" s="1"/>
  <c r="L1501" i="59" a="1"/>
  <c r="L1501" i="59" s="1"/>
  <c r="P1501" i="59" a="1"/>
  <c r="P1501" i="59" s="1"/>
  <c r="M1501" i="59" a="1"/>
  <c r="M1501" i="59" s="1"/>
  <c r="Q1501" i="59" a="1"/>
  <c r="Q1501" i="59" s="1"/>
  <c r="O1501" i="59" a="1"/>
  <c r="O1501" i="59" s="1"/>
  <c r="N1501" i="59" a="1"/>
  <c r="N1501" i="59" s="1"/>
  <c r="M1374" i="59" a="1"/>
  <c r="M1374" i="59" s="1"/>
  <c r="N1374" i="59" a="1"/>
  <c r="N1374" i="59" s="1"/>
  <c r="Q1374" i="59" a="1"/>
  <c r="Q1374" i="59" s="1"/>
  <c r="O1374" i="59" a="1"/>
  <c r="O1374" i="59" s="1"/>
  <c r="P1374" i="59" a="1"/>
  <c r="P1374" i="59" s="1"/>
  <c r="L1374" i="59" a="1"/>
  <c r="L1374" i="59" s="1"/>
  <c r="M1395" i="59" a="1"/>
  <c r="M1395" i="59" s="1"/>
  <c r="O1395" i="59" a="1"/>
  <c r="O1395" i="59" s="1"/>
  <c r="N1395" i="59" a="1"/>
  <c r="N1395" i="59" s="1"/>
  <c r="Q1395" i="59" a="1"/>
  <c r="Q1395" i="59" s="1"/>
  <c r="P1395" i="59" a="1"/>
  <c r="P1395" i="59" s="1"/>
  <c r="L1395" i="59" a="1"/>
  <c r="L1395" i="59" s="1"/>
  <c r="O1133" i="59" a="1"/>
  <c r="O1133" i="59" s="1"/>
  <c r="L1133" i="59" a="1"/>
  <c r="L1133" i="59" s="1"/>
  <c r="P1133" i="59" a="1"/>
  <c r="P1133" i="59" s="1"/>
  <c r="Q1133" i="59" a="1"/>
  <c r="Q1133" i="59" s="1"/>
  <c r="N1133" i="59" a="1"/>
  <c r="N1133" i="59" s="1"/>
  <c r="M1133" i="59" a="1"/>
  <c r="M1133" i="59" s="1"/>
  <c r="O1503" i="59" a="1"/>
  <c r="O1503" i="59" s="1"/>
  <c r="Q1503" i="59" a="1"/>
  <c r="Q1503" i="59" s="1"/>
  <c r="N1503" i="59" a="1"/>
  <c r="N1503" i="59" s="1"/>
  <c r="M1503" i="59" a="1"/>
  <c r="M1503" i="59" s="1"/>
  <c r="L1503" i="59" a="1"/>
  <c r="L1503" i="59" s="1"/>
  <c r="P1503" i="59" a="1"/>
  <c r="P1503" i="59" s="1"/>
  <c r="M1406" i="59" a="1"/>
  <c r="M1406" i="59" s="1"/>
  <c r="N1406" i="59" a="1"/>
  <c r="N1406" i="59" s="1"/>
  <c r="Q1406" i="59" a="1"/>
  <c r="Q1406" i="59" s="1"/>
  <c r="L1406" i="59" a="1"/>
  <c r="L1406" i="59" s="1"/>
  <c r="O1406" i="59" a="1"/>
  <c r="O1406" i="59" s="1"/>
  <c r="P1406" i="59" a="1"/>
  <c r="P1406" i="59" s="1"/>
  <c r="M1363" i="59" a="1"/>
  <c r="M1363" i="59" s="1"/>
  <c r="N1363" i="59" a="1"/>
  <c r="N1363" i="59" s="1"/>
  <c r="P1363" i="59" a="1"/>
  <c r="P1363" i="59" s="1"/>
  <c r="L1363" i="59" a="1"/>
  <c r="L1363" i="59" s="1"/>
  <c r="O1363" i="59" a="1"/>
  <c r="O1363" i="59" s="1"/>
  <c r="Q1363" i="59" a="1"/>
  <c r="Q1363" i="59" s="1"/>
  <c r="L1166" i="59" a="1"/>
  <c r="L1166" i="59" s="1"/>
  <c r="N1166" i="59" a="1"/>
  <c r="N1166" i="59" s="1"/>
  <c r="M1166" i="59" a="1"/>
  <c r="M1166" i="59" s="1"/>
  <c r="Q1166" i="59" a="1"/>
  <c r="Q1166" i="59" s="1"/>
  <c r="P1166" i="59" a="1"/>
  <c r="P1166" i="59" s="1"/>
  <c r="O1166" i="59" a="1"/>
  <c r="O1166" i="59" s="1"/>
  <c r="Q1433" i="59" a="1"/>
  <c r="Q1433" i="59" s="1"/>
  <c r="N1433" i="59" a="1"/>
  <c r="N1433" i="59" s="1"/>
  <c r="P1433" i="59" a="1"/>
  <c r="P1433" i="59" s="1"/>
  <c r="O1433" i="59" a="1"/>
  <c r="O1433" i="59" s="1"/>
  <c r="L1433" i="59" a="1"/>
  <c r="L1433" i="59" s="1"/>
  <c r="M1433" i="59" a="1"/>
  <c r="M1433" i="59" s="1"/>
  <c r="N1369" i="59" a="1"/>
  <c r="N1369" i="59" s="1"/>
  <c r="L1369" i="59" a="1"/>
  <c r="L1369" i="59" s="1"/>
  <c r="M1369" i="59" a="1"/>
  <c r="M1369" i="59" s="1"/>
  <c r="P1369" i="59" a="1"/>
  <c r="P1369" i="59" s="1"/>
  <c r="O1369" i="59" a="1"/>
  <c r="O1369" i="59" s="1"/>
  <c r="Q1369" i="59" a="1"/>
  <c r="Q1369" i="59" s="1"/>
  <c r="N1289" i="59" a="1"/>
  <c r="N1289" i="59" s="1"/>
  <c r="M1289" i="59" a="1"/>
  <c r="M1289" i="59" s="1"/>
  <c r="O1289" i="59" a="1"/>
  <c r="O1289" i="59" s="1"/>
  <c r="Q1289" i="59" a="1"/>
  <c r="Q1289" i="59" s="1"/>
  <c r="L1289" i="59" a="1"/>
  <c r="L1289" i="59" s="1"/>
  <c r="P1289" i="59" a="1"/>
  <c r="P1289" i="59" s="1"/>
  <c r="O1428" i="59" a="1"/>
  <c r="O1428" i="59" s="1"/>
  <c r="L1428" i="59" a="1"/>
  <c r="L1428" i="59" s="1"/>
  <c r="P1428" i="59" a="1"/>
  <c r="P1428" i="59" s="1"/>
  <c r="N1428" i="59" a="1"/>
  <c r="N1428" i="59" s="1"/>
  <c r="Q1428" i="59" a="1"/>
  <c r="Q1428" i="59" s="1"/>
  <c r="M1428" i="59" a="1"/>
  <c r="M1428" i="59" s="1"/>
  <c r="N1364" i="59" a="1"/>
  <c r="N1364" i="59" s="1"/>
  <c r="L1364" i="59" a="1"/>
  <c r="L1364" i="59" s="1"/>
  <c r="P1364" i="59" a="1"/>
  <c r="P1364" i="59" s="1"/>
  <c r="Q1364" i="59" a="1"/>
  <c r="Q1364" i="59" s="1"/>
  <c r="O1364" i="59" a="1"/>
  <c r="O1364" i="59" s="1"/>
  <c r="M1364" i="59" a="1"/>
  <c r="M1364" i="59" s="1"/>
  <c r="L1222" i="59" a="1"/>
  <c r="L1222" i="59" s="1"/>
  <c r="P1222" i="59" a="1"/>
  <c r="P1222" i="59" s="1"/>
  <c r="N1222" i="59" a="1"/>
  <c r="N1222" i="59" s="1"/>
  <c r="M1222" i="59" a="1"/>
  <c r="M1222" i="59" s="1"/>
  <c r="Q1222" i="59" a="1"/>
  <c r="Q1222" i="59" s="1"/>
  <c r="O1222" i="59" a="1"/>
  <c r="O1222" i="59" s="1"/>
  <c r="O1423" i="59" a="1"/>
  <c r="O1423" i="59" s="1"/>
  <c r="P1423" i="59" a="1"/>
  <c r="P1423" i="59" s="1"/>
  <c r="Q1423" i="59" a="1"/>
  <c r="Q1423" i="59" s="1"/>
  <c r="L1423" i="59" a="1"/>
  <c r="L1423" i="59" s="1"/>
  <c r="M1423" i="59" a="1"/>
  <c r="M1423" i="59" s="1"/>
  <c r="N1423" i="59" a="1"/>
  <c r="N1423" i="59" s="1"/>
  <c r="O1359" i="59" a="1"/>
  <c r="O1359" i="59" s="1"/>
  <c r="P1359" i="59" a="1"/>
  <c r="P1359" i="59" s="1"/>
  <c r="Q1359" i="59" a="1"/>
  <c r="Q1359" i="59" s="1"/>
  <c r="L1359" i="59" a="1"/>
  <c r="L1359" i="59" s="1"/>
  <c r="M1359" i="59" a="1"/>
  <c r="M1359" i="59" s="1"/>
  <c r="N1359" i="59" a="1"/>
  <c r="N1359" i="59" s="1"/>
  <c r="N1185" i="59" a="1"/>
  <c r="N1185" i="59" s="1"/>
  <c r="M1185" i="59" a="1"/>
  <c r="M1185" i="59" s="1"/>
  <c r="O1185" i="59" a="1"/>
  <c r="O1185" i="59" s="1"/>
  <c r="Q1185" i="59" a="1"/>
  <c r="Q1185" i="59" s="1"/>
  <c r="L1185" i="59" a="1"/>
  <c r="L1185" i="59" s="1"/>
  <c r="P1185" i="59" a="1"/>
  <c r="P1185" i="59" s="1"/>
  <c r="O1402" i="59" a="1"/>
  <c r="O1402" i="59" s="1"/>
  <c r="M1402" i="59" a="1"/>
  <c r="M1402" i="59" s="1"/>
  <c r="Q1402" i="59" a="1"/>
  <c r="Q1402" i="59" s="1"/>
  <c r="L1402" i="59" a="1"/>
  <c r="L1402" i="59" s="1"/>
  <c r="P1402" i="59" a="1"/>
  <c r="P1402" i="59" s="1"/>
  <c r="N1402" i="59" a="1"/>
  <c r="N1402" i="59" s="1"/>
  <c r="O1338" i="59" a="1"/>
  <c r="O1338" i="59" s="1"/>
  <c r="L1338" i="59" a="1"/>
  <c r="L1338" i="59" s="1"/>
  <c r="M1338" i="59" a="1"/>
  <c r="M1338" i="59" s="1"/>
  <c r="P1338" i="59" a="1"/>
  <c r="P1338" i="59" s="1"/>
  <c r="Q1338" i="59" a="1"/>
  <c r="Q1338" i="59" s="1"/>
  <c r="N1338" i="59" a="1"/>
  <c r="N1338" i="59" s="1"/>
  <c r="Q1469" i="59" a="1"/>
  <c r="Q1469" i="59" s="1"/>
  <c r="P1469" i="59" a="1"/>
  <c r="P1469" i="59" s="1"/>
  <c r="N1469" i="59" a="1"/>
  <c r="N1469" i="59" s="1"/>
  <c r="L1469" i="59" a="1"/>
  <c r="L1469" i="59" s="1"/>
  <c r="M1469" i="59" a="1"/>
  <c r="M1469" i="59" s="1"/>
  <c r="O1469" i="59" a="1"/>
  <c r="O1469" i="59" s="1"/>
  <c r="L1405" i="59" a="1"/>
  <c r="L1405" i="59" s="1"/>
  <c r="M1405" i="59" a="1"/>
  <c r="M1405" i="59" s="1"/>
  <c r="Q1405" i="59" a="1"/>
  <c r="Q1405" i="59" s="1"/>
  <c r="P1405" i="59" a="1"/>
  <c r="P1405" i="59" s="1"/>
  <c r="O1405" i="59" a="1"/>
  <c r="O1405" i="59" s="1"/>
  <c r="N1405" i="59" a="1"/>
  <c r="N1405" i="59" s="1"/>
  <c r="L1341" i="59" a="1"/>
  <c r="L1341" i="59" s="1"/>
  <c r="M1341" i="59" a="1"/>
  <c r="M1341" i="59" s="1"/>
  <c r="Q1341" i="59" a="1"/>
  <c r="Q1341" i="59" s="1"/>
  <c r="O1341" i="59" a="1"/>
  <c r="O1341" i="59" s="1"/>
  <c r="P1341" i="59" a="1"/>
  <c r="P1341" i="59" s="1"/>
  <c r="N1341" i="59" a="1"/>
  <c r="N1341" i="59" s="1"/>
  <c r="Q1177" i="59" a="1"/>
  <c r="Q1177" i="59" s="1"/>
  <c r="N1177" i="59" a="1"/>
  <c r="N1177" i="59" s="1"/>
  <c r="L1177" i="59" a="1"/>
  <c r="L1177" i="59" s="1"/>
  <c r="M1177" i="59" a="1"/>
  <c r="M1177" i="59" s="1"/>
  <c r="O1177" i="59" a="1"/>
  <c r="O1177" i="59" s="1"/>
  <c r="P1177" i="59" a="1"/>
  <c r="P1177" i="59" s="1"/>
  <c r="Q1252" i="59" a="1"/>
  <c r="Q1252" i="59" s="1"/>
  <c r="O1252" i="59" a="1"/>
  <c r="O1252" i="59" s="1"/>
  <c r="N1252" i="59" a="1"/>
  <c r="N1252" i="59" s="1"/>
  <c r="M1252" i="59" a="1"/>
  <c r="M1252" i="59" s="1"/>
  <c r="L1252" i="59" a="1"/>
  <c r="L1252" i="59" s="1"/>
  <c r="P1252" i="59" a="1"/>
  <c r="P1252" i="59" s="1"/>
  <c r="M1188" i="59" a="1"/>
  <c r="M1188" i="59" s="1"/>
  <c r="O1188" i="59" a="1"/>
  <c r="O1188" i="59" s="1"/>
  <c r="Q1188" i="59" a="1"/>
  <c r="Q1188" i="59" s="1"/>
  <c r="N1188" i="59" a="1"/>
  <c r="N1188" i="59" s="1"/>
  <c r="P1188" i="59" a="1"/>
  <c r="P1188" i="59" s="1"/>
  <c r="L1188" i="59" a="1"/>
  <c r="L1188" i="59" s="1"/>
  <c r="O1271" i="59" a="1"/>
  <c r="O1271" i="59" s="1"/>
  <c r="L1271" i="59" a="1"/>
  <c r="L1271" i="59" s="1"/>
  <c r="N1271" i="59" a="1"/>
  <c r="N1271" i="59" s="1"/>
  <c r="P1271" i="59" a="1"/>
  <c r="P1271" i="59" s="1"/>
  <c r="M1271" i="59" a="1"/>
  <c r="M1271" i="59" s="1"/>
  <c r="Q1271" i="59" a="1"/>
  <c r="Q1271" i="59" s="1"/>
  <c r="O1207" i="59" a="1"/>
  <c r="O1207" i="59" s="1"/>
  <c r="L1207" i="59" a="1"/>
  <c r="L1207" i="59" s="1"/>
  <c r="N1207" i="59" a="1"/>
  <c r="N1207" i="59" s="1"/>
  <c r="P1207" i="59" a="1"/>
  <c r="P1207" i="59" s="1"/>
  <c r="Q1207" i="59" a="1"/>
  <c r="Q1207" i="59" s="1"/>
  <c r="M1207" i="59" a="1"/>
  <c r="M1207" i="59" s="1"/>
  <c r="L1108" i="59" a="1"/>
  <c r="L1108" i="59" s="1"/>
  <c r="M1108" i="59" a="1"/>
  <c r="M1108" i="59" s="1"/>
  <c r="Q1108" i="59" a="1"/>
  <c r="Q1108" i="59" s="1"/>
  <c r="P1108" i="59" a="1"/>
  <c r="P1108" i="59" s="1"/>
  <c r="O1108" i="59" a="1"/>
  <c r="O1108" i="59" s="1"/>
  <c r="N1108" i="59" a="1"/>
  <c r="N1108" i="59" s="1"/>
  <c r="N1290" i="59" a="1"/>
  <c r="N1290" i="59" s="1"/>
  <c r="O1290" i="59" a="1"/>
  <c r="O1290" i="59" s="1"/>
  <c r="M1290" i="59" a="1"/>
  <c r="M1290" i="59" s="1"/>
  <c r="L1290" i="59" a="1"/>
  <c r="L1290" i="59" s="1"/>
  <c r="P1290" i="59" a="1"/>
  <c r="P1290" i="59" s="1"/>
  <c r="Q1290" i="59" a="1"/>
  <c r="Q1290" i="59" s="1"/>
  <c r="N1226" i="59" a="1"/>
  <c r="N1226" i="59" s="1"/>
  <c r="O1226" i="59" a="1"/>
  <c r="O1226" i="59" s="1"/>
  <c r="L1226" i="59" a="1"/>
  <c r="L1226" i="59" s="1"/>
  <c r="M1226" i="59" a="1"/>
  <c r="M1226" i="59" s="1"/>
  <c r="P1226" i="59" a="1"/>
  <c r="P1226" i="59" s="1"/>
  <c r="Q1226" i="59" a="1"/>
  <c r="Q1226" i="59" s="1"/>
  <c r="N1162" i="59" a="1"/>
  <c r="N1162" i="59" s="1"/>
  <c r="O1162" i="59" a="1"/>
  <c r="O1162" i="59" s="1"/>
  <c r="M1162" i="59" a="1"/>
  <c r="M1162" i="59" s="1"/>
  <c r="L1162" i="59" a="1"/>
  <c r="L1162" i="59" s="1"/>
  <c r="P1162" i="59" a="1"/>
  <c r="P1162" i="59" s="1"/>
  <c r="Q1162" i="59" a="1"/>
  <c r="Q1162" i="59" s="1"/>
  <c r="L1325" i="59" a="1"/>
  <c r="L1325" i="59" s="1"/>
  <c r="P1325" i="59" a="1"/>
  <c r="P1325" i="59" s="1"/>
  <c r="O1325" i="59" a="1"/>
  <c r="O1325" i="59" s="1"/>
  <c r="N1325" i="59" a="1"/>
  <c r="N1325" i="59" s="1"/>
  <c r="M1325" i="59" a="1"/>
  <c r="M1325" i="59" s="1"/>
  <c r="Q1325" i="59" a="1"/>
  <c r="Q1325" i="59" s="1"/>
  <c r="L1261" i="59" a="1"/>
  <c r="L1261" i="59" s="1"/>
  <c r="P1261" i="59" a="1"/>
  <c r="P1261" i="59" s="1"/>
  <c r="M1261" i="59" a="1"/>
  <c r="M1261" i="59" s="1"/>
  <c r="Q1261" i="59" a="1"/>
  <c r="Q1261" i="59" s="1"/>
  <c r="O1261" i="59" a="1"/>
  <c r="O1261" i="59" s="1"/>
  <c r="N1261" i="59" a="1"/>
  <c r="N1261" i="59" s="1"/>
  <c r="L1197" i="59" a="1"/>
  <c r="L1197" i="59" s="1"/>
  <c r="P1197" i="59" a="1"/>
  <c r="P1197" i="59" s="1"/>
  <c r="M1197" i="59" a="1"/>
  <c r="M1197" i="59" s="1"/>
  <c r="Q1197" i="59" a="1"/>
  <c r="Q1197" i="59" s="1"/>
  <c r="O1197" i="59" a="1"/>
  <c r="O1197" i="59" s="1"/>
  <c r="N1197" i="59" a="1"/>
  <c r="N1197" i="59" s="1"/>
  <c r="N1037" i="59" a="1"/>
  <c r="N1037" i="59" s="1"/>
  <c r="Q1037" i="59" a="1"/>
  <c r="Q1037" i="59" s="1"/>
  <c r="M1037" i="59" a="1"/>
  <c r="M1037" i="59" s="1"/>
  <c r="O1037" i="59" a="1"/>
  <c r="O1037" i="59" s="1"/>
  <c r="L1037" i="59" a="1"/>
  <c r="L1037" i="59" s="1"/>
  <c r="P1037" i="59" a="1"/>
  <c r="P1037" i="59" s="1"/>
  <c r="O1288" i="59" a="1"/>
  <c r="O1288" i="59" s="1"/>
  <c r="L1288" i="59" a="1"/>
  <c r="L1288" i="59" s="1"/>
  <c r="P1288" i="59" a="1"/>
  <c r="P1288" i="59" s="1"/>
  <c r="N1288" i="59" a="1"/>
  <c r="N1288" i="59" s="1"/>
  <c r="M1288" i="59" a="1"/>
  <c r="M1288" i="59" s="1"/>
  <c r="Q1288" i="59" a="1"/>
  <c r="Q1288" i="59" s="1"/>
  <c r="L1224" i="59" a="1"/>
  <c r="L1224" i="59" s="1"/>
  <c r="P1224" i="59" a="1"/>
  <c r="P1224" i="59" s="1"/>
  <c r="O1224" i="59" a="1"/>
  <c r="O1224" i="59" s="1"/>
  <c r="M1224" i="59" a="1"/>
  <c r="M1224" i="59" s="1"/>
  <c r="Q1224" i="59" a="1"/>
  <c r="Q1224" i="59" s="1"/>
  <c r="N1224" i="59" a="1"/>
  <c r="N1224" i="59" s="1"/>
  <c r="L1160" i="59" a="1"/>
  <c r="L1160" i="59" s="1"/>
  <c r="P1160" i="59" a="1"/>
  <c r="P1160" i="59" s="1"/>
  <c r="N1160" i="59" a="1"/>
  <c r="N1160" i="59" s="1"/>
  <c r="M1160" i="59" a="1"/>
  <c r="M1160" i="59" s="1"/>
  <c r="Q1160" i="59" a="1"/>
  <c r="Q1160" i="59" s="1"/>
  <c r="O1160" i="59" a="1"/>
  <c r="O1160" i="59" s="1"/>
  <c r="P1283" i="59" a="1"/>
  <c r="P1283" i="59" s="1"/>
  <c r="M1283" i="59" a="1"/>
  <c r="M1283" i="59" s="1"/>
  <c r="Q1283" i="59" a="1"/>
  <c r="Q1283" i="59" s="1"/>
  <c r="N1283" i="59" a="1"/>
  <c r="N1283" i="59" s="1"/>
  <c r="L1283" i="59" a="1"/>
  <c r="L1283" i="59" s="1"/>
  <c r="O1283" i="59" a="1"/>
  <c r="O1283" i="59" s="1"/>
  <c r="P1219" i="59" a="1"/>
  <c r="P1219" i="59" s="1"/>
  <c r="M1219" i="59" a="1"/>
  <c r="M1219" i="59" s="1"/>
  <c r="Q1219" i="59" a="1"/>
  <c r="Q1219" i="59" s="1"/>
  <c r="N1219" i="59" a="1"/>
  <c r="N1219" i="59" s="1"/>
  <c r="L1219" i="59" a="1"/>
  <c r="L1219" i="59" s="1"/>
  <c r="O1219" i="59" a="1"/>
  <c r="O1219" i="59" s="1"/>
  <c r="O1156" i="59" a="1"/>
  <c r="O1156" i="59" s="1"/>
  <c r="Q1156" i="59" a="1"/>
  <c r="Q1156" i="59" s="1"/>
  <c r="N1156" i="59" a="1"/>
  <c r="N1156" i="59" s="1"/>
  <c r="P1156" i="59" a="1"/>
  <c r="P1156" i="59" s="1"/>
  <c r="M1156" i="59" a="1"/>
  <c r="M1156" i="59" s="1"/>
  <c r="L1156" i="59" a="1"/>
  <c r="L1156" i="59" s="1"/>
  <c r="M1145" i="59" a="1"/>
  <c r="M1145" i="59" s="1"/>
  <c r="Q1145" i="59" a="1"/>
  <c r="Q1145" i="59" s="1"/>
  <c r="O1145" i="59" a="1"/>
  <c r="O1145" i="59" s="1"/>
  <c r="N1145" i="59" a="1"/>
  <c r="N1145" i="59" s="1"/>
  <c r="L1145" i="59" a="1"/>
  <c r="L1145" i="59" s="1"/>
  <c r="P1145" i="59" a="1"/>
  <c r="P1145" i="59" s="1"/>
  <c r="N996" i="59" a="1"/>
  <c r="N996" i="59" s="1"/>
  <c r="M996" i="59" a="1"/>
  <c r="M996" i="59" s="1"/>
  <c r="Q996" i="59" a="1"/>
  <c r="Q996" i="59" s="1"/>
  <c r="P996" i="59" a="1"/>
  <c r="P996" i="59" s="1"/>
  <c r="O996" i="59" a="1"/>
  <c r="O996" i="59" s="1"/>
  <c r="L996" i="59" a="1"/>
  <c r="L996" i="59" s="1"/>
  <c r="O1127" i="59" a="1"/>
  <c r="O1127" i="59" s="1"/>
  <c r="N1127" i="59" a="1"/>
  <c r="N1127" i="59" s="1"/>
  <c r="Q1127" i="59" a="1"/>
  <c r="Q1127" i="59" s="1"/>
  <c r="L1127" i="59" a="1"/>
  <c r="L1127" i="59" s="1"/>
  <c r="M1127" i="59" a="1"/>
  <c r="M1127" i="59" s="1"/>
  <c r="P1127" i="59" a="1"/>
  <c r="P1127" i="59" s="1"/>
  <c r="L1146" i="59" a="1"/>
  <c r="L1146" i="59" s="1"/>
  <c r="P1146" i="59" a="1"/>
  <c r="P1146" i="59" s="1"/>
  <c r="M1146" i="59" a="1"/>
  <c r="M1146" i="59" s="1"/>
  <c r="O1146" i="59" a="1"/>
  <c r="O1146" i="59" s="1"/>
  <c r="N1146" i="59" a="1"/>
  <c r="N1146" i="59" s="1"/>
  <c r="Q1146" i="59" a="1"/>
  <c r="Q1146" i="59" s="1"/>
  <c r="M914" i="59" a="1"/>
  <c r="M914" i="59" s="1"/>
  <c r="O914" i="59" a="1"/>
  <c r="O914" i="59" s="1"/>
  <c r="N914" i="59" a="1"/>
  <c r="N914" i="59" s="1"/>
  <c r="P914" i="59" a="1"/>
  <c r="P914" i="59" s="1"/>
  <c r="L914" i="59" a="1"/>
  <c r="L914" i="59" s="1"/>
  <c r="Q914" i="59" a="1"/>
  <c r="Q914" i="59" s="1"/>
  <c r="O1128" i="59" a="1"/>
  <c r="O1128" i="59" s="1"/>
  <c r="M1128" i="59" a="1"/>
  <c r="M1128" i="59" s="1"/>
  <c r="Q1128" i="59" a="1"/>
  <c r="Q1128" i="59" s="1"/>
  <c r="N1128" i="59" a="1"/>
  <c r="N1128" i="59" s="1"/>
  <c r="P1128" i="59" a="1"/>
  <c r="P1128" i="59" s="1"/>
  <c r="L1128" i="59" a="1"/>
  <c r="L1128" i="59" s="1"/>
  <c r="M946" i="59" a="1"/>
  <c r="M946" i="59" s="1"/>
  <c r="N946" i="59" a="1"/>
  <c r="N946" i="59" s="1"/>
  <c r="P946" i="59" a="1"/>
  <c r="P946" i="59" s="1"/>
  <c r="Q946" i="59" a="1"/>
  <c r="Q946" i="59" s="1"/>
  <c r="O946" i="59" a="1"/>
  <c r="O946" i="59" s="1"/>
  <c r="L946" i="59" a="1"/>
  <c r="L946" i="59" s="1"/>
  <c r="L1124" i="59" a="1"/>
  <c r="L1124" i="59" s="1"/>
  <c r="P1124" i="59" a="1"/>
  <c r="P1124" i="59" s="1"/>
  <c r="N1124" i="59" a="1"/>
  <c r="N1124" i="59" s="1"/>
  <c r="M1124" i="59" a="1"/>
  <c r="M1124" i="59" s="1"/>
  <c r="Q1124" i="59" a="1"/>
  <c r="Q1124" i="59" s="1"/>
  <c r="O1124" i="59" a="1"/>
  <c r="O1124" i="59" s="1"/>
  <c r="Q919" i="59" a="1"/>
  <c r="Q919" i="59" s="1"/>
  <c r="M919" i="59" a="1"/>
  <c r="M919" i="59" s="1"/>
  <c r="L919" i="59" a="1"/>
  <c r="L919" i="59" s="1"/>
  <c r="O919" i="59" a="1"/>
  <c r="O919" i="59" s="1"/>
  <c r="P919" i="59" a="1"/>
  <c r="P919" i="59" s="1"/>
  <c r="N919" i="59" a="1"/>
  <c r="N919" i="59" s="1"/>
  <c r="M1114" i="59" a="1"/>
  <c r="M1114" i="59" s="1"/>
  <c r="Q1114" i="59" a="1"/>
  <c r="Q1114" i="59" s="1"/>
  <c r="N1114" i="59" a="1"/>
  <c r="N1114" i="59" s="1"/>
  <c r="P1114" i="59" a="1"/>
  <c r="P1114" i="59" s="1"/>
  <c r="O1114" i="59" a="1"/>
  <c r="O1114" i="59" s="1"/>
  <c r="L1114" i="59" a="1"/>
  <c r="L1114" i="59" s="1"/>
  <c r="M1050" i="59" a="1"/>
  <c r="M1050" i="59" s="1"/>
  <c r="Q1050" i="59" a="1"/>
  <c r="Q1050" i="59" s="1"/>
  <c r="N1050" i="59" a="1"/>
  <c r="N1050" i="59" s="1"/>
  <c r="O1050" i="59" a="1"/>
  <c r="O1050" i="59" s="1"/>
  <c r="P1050" i="59" a="1"/>
  <c r="P1050" i="59" s="1"/>
  <c r="L1050" i="59" a="1"/>
  <c r="L1050" i="59" s="1"/>
  <c r="O953" i="59" a="1"/>
  <c r="O953" i="59" s="1"/>
  <c r="L953" i="59" a="1"/>
  <c r="L953" i="59" s="1"/>
  <c r="M953" i="59" a="1"/>
  <c r="M953" i="59" s="1"/>
  <c r="P953" i="59" a="1"/>
  <c r="P953" i="59" s="1"/>
  <c r="Q953" i="59" a="1"/>
  <c r="Q953" i="59" s="1"/>
  <c r="N953" i="59" a="1"/>
  <c r="N953" i="59" s="1"/>
  <c r="N708" i="59" a="1"/>
  <c r="N708" i="59" s="1"/>
  <c r="L708" i="59" a="1"/>
  <c r="L708" i="59" s="1"/>
  <c r="M708" i="59" a="1"/>
  <c r="M708" i="59" s="1"/>
  <c r="P708" i="59" a="1"/>
  <c r="P708" i="59" s="1"/>
  <c r="Q708" i="59" a="1"/>
  <c r="Q708" i="59" s="1"/>
  <c r="O708" i="59" a="1"/>
  <c r="O708" i="59" s="1"/>
  <c r="N1080" i="59" a="1"/>
  <c r="N1080" i="59" s="1"/>
  <c r="O1080" i="59" a="1"/>
  <c r="O1080" i="59" s="1"/>
  <c r="L1080" i="59" a="1"/>
  <c r="L1080" i="59" s="1"/>
  <c r="Q1080" i="59" a="1"/>
  <c r="Q1080" i="59" s="1"/>
  <c r="P1080" i="59" a="1"/>
  <c r="P1080" i="59" s="1"/>
  <c r="M1080" i="59" a="1"/>
  <c r="M1080" i="59" s="1"/>
  <c r="L976" i="59" a="1"/>
  <c r="L976" i="59" s="1"/>
  <c r="O976" i="59" a="1"/>
  <c r="O976" i="59" s="1"/>
  <c r="M976" i="59" a="1"/>
  <c r="M976" i="59" s="1"/>
  <c r="P976" i="59" a="1"/>
  <c r="P976" i="59" s="1"/>
  <c r="Q976" i="59" a="1"/>
  <c r="Q976" i="59" s="1"/>
  <c r="N976" i="59" a="1"/>
  <c r="N976" i="59" s="1"/>
  <c r="M895" i="59" a="1"/>
  <c r="M895" i="59" s="1"/>
  <c r="N895" i="59" a="1"/>
  <c r="N895" i="59" s="1"/>
  <c r="Q895" i="59" a="1"/>
  <c r="Q895" i="59" s="1"/>
  <c r="P895" i="59" a="1"/>
  <c r="P895" i="59" s="1"/>
  <c r="O895" i="59" a="1"/>
  <c r="O895" i="59" s="1"/>
  <c r="L895" i="59" a="1"/>
  <c r="L895" i="59" s="1"/>
  <c r="O1099" i="59" a="1"/>
  <c r="O1099" i="59" s="1"/>
  <c r="L1099" i="59" a="1"/>
  <c r="L1099" i="59" s="1"/>
  <c r="N1099" i="59" a="1"/>
  <c r="N1099" i="59" s="1"/>
  <c r="P1099" i="59" a="1"/>
  <c r="P1099" i="59" s="1"/>
  <c r="M1099" i="59" a="1"/>
  <c r="M1099" i="59" s="1"/>
  <c r="Q1099" i="59" a="1"/>
  <c r="Q1099" i="59" s="1"/>
  <c r="O1035" i="59" a="1"/>
  <c r="O1035" i="59" s="1"/>
  <c r="N1035" i="59" a="1"/>
  <c r="N1035" i="59" s="1"/>
  <c r="L1035" i="59" a="1"/>
  <c r="L1035" i="59" s="1"/>
  <c r="P1035" i="59" a="1"/>
  <c r="P1035" i="59" s="1"/>
  <c r="M1035" i="59" a="1"/>
  <c r="M1035" i="59" s="1"/>
  <c r="Q1035" i="59" a="1"/>
  <c r="Q1035" i="59" s="1"/>
  <c r="O922" i="59" a="1"/>
  <c r="O922" i="59" s="1"/>
  <c r="N922" i="59" a="1"/>
  <c r="N922" i="59" s="1"/>
  <c r="Q922" i="59" a="1"/>
  <c r="Q922" i="59" s="1"/>
  <c r="L922" i="59" a="1"/>
  <c r="L922" i="59" s="1"/>
  <c r="M922" i="59" a="1"/>
  <c r="M922" i="59" s="1"/>
  <c r="P922" i="59" a="1"/>
  <c r="P922" i="59" s="1"/>
  <c r="O1126" i="59" a="1"/>
  <c r="O1126" i="59" s="1"/>
  <c r="L1126" i="59" a="1"/>
  <c r="L1126" i="59" s="1"/>
  <c r="M1126" i="59" a="1"/>
  <c r="M1126" i="59" s="1"/>
  <c r="P1126" i="59" a="1"/>
  <c r="P1126" i="59" s="1"/>
  <c r="N1126" i="59" a="1"/>
  <c r="N1126" i="59" s="1"/>
  <c r="Q1126" i="59" a="1"/>
  <c r="Q1126" i="59" s="1"/>
  <c r="P1062" i="59" a="1"/>
  <c r="P1062" i="59" s="1"/>
  <c r="O1062" i="59" a="1"/>
  <c r="O1062" i="59" s="1"/>
  <c r="M1062" i="59" a="1"/>
  <c r="M1062" i="59" s="1"/>
  <c r="L1062" i="59" a="1"/>
  <c r="L1062" i="59" s="1"/>
  <c r="N1062" i="59" a="1"/>
  <c r="N1062" i="59" s="1"/>
  <c r="Q1062" i="59" a="1"/>
  <c r="Q1062" i="59" s="1"/>
  <c r="L1017" i="59" a="1"/>
  <c r="L1017" i="59" s="1"/>
  <c r="P1017" i="59" a="1"/>
  <c r="P1017" i="59" s="1"/>
  <c r="M1017" i="59" a="1"/>
  <c r="M1017" i="59" s="1"/>
  <c r="N1017" i="59" a="1"/>
  <c r="N1017" i="59" s="1"/>
  <c r="O1017" i="59" a="1"/>
  <c r="O1017" i="59" s="1"/>
  <c r="Q1017" i="59" a="1"/>
  <c r="Q1017" i="59" s="1"/>
  <c r="L756" i="59" a="1"/>
  <c r="L756" i="59" s="1"/>
  <c r="P756" i="59" a="1"/>
  <c r="P756" i="59" s="1"/>
  <c r="N756" i="59" a="1"/>
  <c r="N756" i="59" s="1"/>
  <c r="M756" i="59" a="1"/>
  <c r="M756" i="59" s="1"/>
  <c r="Q756" i="59" a="1"/>
  <c r="Q756" i="59" s="1"/>
  <c r="O756" i="59" a="1"/>
  <c r="O756" i="59" s="1"/>
  <c r="M1065" i="59" a="1"/>
  <c r="M1065" i="59" s="1"/>
  <c r="L1065" i="59" a="1"/>
  <c r="L1065" i="59" s="1"/>
  <c r="Q1065" i="59" a="1"/>
  <c r="Q1065" i="59" s="1"/>
  <c r="P1065" i="59" a="1"/>
  <c r="P1065" i="59" s="1"/>
  <c r="N1065" i="59" a="1"/>
  <c r="N1065" i="59" s="1"/>
  <c r="O1065" i="59" a="1"/>
  <c r="O1065" i="59" s="1"/>
  <c r="M1012" i="59" a="1"/>
  <c r="M1012" i="59" s="1"/>
  <c r="Q1012" i="59" a="1"/>
  <c r="Q1012" i="59" s="1"/>
  <c r="N1012" i="59" a="1"/>
  <c r="N1012" i="59" s="1"/>
  <c r="L1012" i="59" a="1"/>
  <c r="L1012" i="59" s="1"/>
  <c r="P1012" i="59" a="1"/>
  <c r="P1012" i="59" s="1"/>
  <c r="O1012" i="59" a="1"/>
  <c r="O1012" i="59" s="1"/>
  <c r="N852" i="59" a="1"/>
  <c r="N852" i="59" s="1"/>
  <c r="Q852" i="59" a="1"/>
  <c r="Q852" i="59" s="1"/>
  <c r="M852" i="59" a="1"/>
  <c r="M852" i="59" s="1"/>
  <c r="P852" i="59" a="1"/>
  <c r="P852" i="59" s="1"/>
  <c r="O852" i="59" a="1"/>
  <c r="O852" i="59" s="1"/>
  <c r="L852" i="59" a="1"/>
  <c r="L852" i="59" s="1"/>
  <c r="N1013" i="59" a="1"/>
  <c r="N1013" i="59" s="1"/>
  <c r="L1013" i="59" a="1"/>
  <c r="L1013" i="59" s="1"/>
  <c r="P1013" i="59" a="1"/>
  <c r="P1013" i="59" s="1"/>
  <c r="O1013" i="59" a="1"/>
  <c r="O1013" i="59" s="1"/>
  <c r="M1013" i="59" a="1"/>
  <c r="M1013" i="59" s="1"/>
  <c r="Q1013" i="59" a="1"/>
  <c r="Q1013" i="59" s="1"/>
  <c r="N949" i="59" a="1"/>
  <c r="N949" i="59" s="1"/>
  <c r="O949" i="59" a="1"/>
  <c r="O949" i="59" s="1"/>
  <c r="L949" i="59" a="1"/>
  <c r="L949" i="59" s="1"/>
  <c r="Q949" i="59" a="1"/>
  <c r="Q949" i="59" s="1"/>
  <c r="M949" i="59" a="1"/>
  <c r="M949" i="59" s="1"/>
  <c r="P949" i="59" a="1"/>
  <c r="P949" i="59" s="1"/>
  <c r="M881" i="59" a="1"/>
  <c r="M881" i="59" s="1"/>
  <c r="Q881" i="59" a="1"/>
  <c r="Q881" i="59" s="1"/>
  <c r="N881" i="59" a="1"/>
  <c r="N881" i="59" s="1"/>
  <c r="L881" i="59" a="1"/>
  <c r="L881" i="59" s="1"/>
  <c r="P881" i="59" a="1"/>
  <c r="P881" i="59" s="1"/>
  <c r="O881" i="59" a="1"/>
  <c r="O881" i="59" s="1"/>
  <c r="O960" i="59" a="1"/>
  <c r="O960" i="59" s="1"/>
  <c r="L960" i="59" a="1"/>
  <c r="L960" i="59" s="1"/>
  <c r="N960" i="59" a="1"/>
  <c r="N960" i="59" s="1"/>
  <c r="P960" i="59" a="1"/>
  <c r="P960" i="59" s="1"/>
  <c r="M960" i="59" a="1"/>
  <c r="M960" i="59" s="1"/>
  <c r="Q960" i="59" a="1"/>
  <c r="Q960" i="59" s="1"/>
  <c r="O896" i="59" a="1"/>
  <c r="O896" i="59" s="1"/>
  <c r="L896" i="59" a="1"/>
  <c r="L896" i="59" s="1"/>
  <c r="N896" i="59" a="1"/>
  <c r="N896" i="59" s="1"/>
  <c r="P896" i="59" a="1"/>
  <c r="P896" i="59" s="1"/>
  <c r="Q896" i="59" a="1"/>
  <c r="Q896" i="59" s="1"/>
  <c r="M896" i="59" a="1"/>
  <c r="M896" i="59" s="1"/>
  <c r="M671" i="59" a="1"/>
  <c r="M671" i="59" s="1"/>
  <c r="Q671" i="59" a="1"/>
  <c r="Q671" i="59" s="1"/>
  <c r="O671" i="59" a="1"/>
  <c r="O671" i="59" s="1"/>
  <c r="N671" i="59" a="1"/>
  <c r="N671" i="59" s="1"/>
  <c r="P671" i="59" a="1"/>
  <c r="P671" i="59" s="1"/>
  <c r="L671" i="59" a="1"/>
  <c r="L671" i="59" s="1"/>
  <c r="Q971" i="59" a="1"/>
  <c r="Q971" i="59" s="1"/>
  <c r="O971" i="59" a="1"/>
  <c r="O971" i="59" s="1"/>
  <c r="P971" i="59" a="1"/>
  <c r="P971" i="59" s="1"/>
  <c r="L971" i="59" a="1"/>
  <c r="L971" i="59" s="1"/>
  <c r="N971" i="59" a="1"/>
  <c r="N971" i="59" s="1"/>
  <c r="M971" i="59" a="1"/>
  <c r="M971" i="59" s="1"/>
  <c r="O907" i="59" a="1"/>
  <c r="O907" i="59" s="1"/>
  <c r="L907" i="59" a="1"/>
  <c r="L907" i="59" s="1"/>
  <c r="P907" i="59" a="1"/>
  <c r="P907" i="59" s="1"/>
  <c r="M907" i="59" a="1"/>
  <c r="M907" i="59" s="1"/>
  <c r="Q907" i="59" a="1"/>
  <c r="Q907" i="59" s="1"/>
  <c r="N907" i="59" a="1"/>
  <c r="N907" i="59" s="1"/>
  <c r="L796" i="59" a="1"/>
  <c r="L796" i="59" s="1"/>
  <c r="P796" i="59" a="1"/>
  <c r="P796" i="59" s="1"/>
  <c r="M796" i="59" a="1"/>
  <c r="M796" i="59" s="1"/>
  <c r="Q796" i="59" a="1"/>
  <c r="Q796" i="59" s="1"/>
  <c r="N796" i="59" a="1"/>
  <c r="N796" i="59" s="1"/>
  <c r="O796" i="59" a="1"/>
  <c r="O796" i="59" s="1"/>
  <c r="M998" i="59" a="1"/>
  <c r="M998" i="59" s="1"/>
  <c r="L998" i="59" a="1"/>
  <c r="L998" i="59" s="1"/>
  <c r="N998" i="59" a="1"/>
  <c r="N998" i="59" s="1"/>
  <c r="Q998" i="59" a="1"/>
  <c r="Q998" i="59" s="1"/>
  <c r="P998" i="59" a="1"/>
  <c r="P998" i="59" s="1"/>
  <c r="O998" i="59" a="1"/>
  <c r="O998" i="59" s="1"/>
  <c r="M934" i="59" a="1"/>
  <c r="M934" i="59" s="1"/>
  <c r="L934" i="59" a="1"/>
  <c r="L934" i="59" s="1"/>
  <c r="P934" i="59" a="1"/>
  <c r="P934" i="59" s="1"/>
  <c r="Q934" i="59" a="1"/>
  <c r="Q934" i="59" s="1"/>
  <c r="N934" i="59" a="1"/>
  <c r="N934" i="59" s="1"/>
  <c r="O934" i="59" a="1"/>
  <c r="O934" i="59" s="1"/>
  <c r="O851" i="59" a="1"/>
  <c r="O851" i="59" s="1"/>
  <c r="P851" i="59" a="1"/>
  <c r="P851" i="59" s="1"/>
  <c r="L851" i="59" a="1"/>
  <c r="L851" i="59" s="1"/>
  <c r="M851" i="59" a="1"/>
  <c r="M851" i="59" s="1"/>
  <c r="N851" i="59" a="1"/>
  <c r="N851" i="59" s="1"/>
  <c r="Q851" i="59" a="1"/>
  <c r="Q851" i="59" s="1"/>
  <c r="O866" i="59" a="1"/>
  <c r="O866" i="59" s="1"/>
  <c r="L866" i="59" a="1"/>
  <c r="L866" i="59" s="1"/>
  <c r="P866" i="59" a="1"/>
  <c r="P866" i="59" s="1"/>
  <c r="M866" i="59" a="1"/>
  <c r="M866" i="59" s="1"/>
  <c r="Q866" i="59" a="1"/>
  <c r="Q866" i="59" s="1"/>
  <c r="N866" i="59" a="1"/>
  <c r="N866" i="59" s="1"/>
  <c r="M802" i="59" a="1"/>
  <c r="M802" i="59" s="1"/>
  <c r="Q802" i="59" a="1"/>
  <c r="Q802" i="59" s="1"/>
  <c r="N802" i="59" a="1"/>
  <c r="N802" i="59" s="1"/>
  <c r="O802" i="59" a="1"/>
  <c r="O802" i="59" s="1"/>
  <c r="P802" i="59" a="1"/>
  <c r="P802" i="59" s="1"/>
  <c r="L802" i="59" a="1"/>
  <c r="L802" i="59" s="1"/>
  <c r="L731" i="59" a="1"/>
  <c r="L731" i="59" s="1"/>
  <c r="P731" i="59" a="1"/>
  <c r="P731" i="59" s="1"/>
  <c r="O731" i="59" a="1"/>
  <c r="O731" i="59" s="1"/>
  <c r="Q731" i="59" a="1"/>
  <c r="Q731" i="59" s="1"/>
  <c r="M731" i="59" a="1"/>
  <c r="M731" i="59" s="1"/>
  <c r="N731" i="59" a="1"/>
  <c r="N731" i="59" s="1"/>
  <c r="P885" i="59" a="1"/>
  <c r="P885" i="59" s="1"/>
  <c r="N885" i="59" a="1"/>
  <c r="N885" i="59" s="1"/>
  <c r="O885" i="59" a="1"/>
  <c r="O885" i="59" s="1"/>
  <c r="L885" i="59" a="1"/>
  <c r="L885" i="59" s="1"/>
  <c r="Q885" i="59" a="1"/>
  <c r="Q885" i="59" s="1"/>
  <c r="M885" i="59" a="1"/>
  <c r="M885" i="59" s="1"/>
  <c r="N821" i="59" a="1"/>
  <c r="N821" i="59" s="1"/>
  <c r="P821" i="59" a="1"/>
  <c r="P821" i="59" s="1"/>
  <c r="O821" i="59" a="1"/>
  <c r="O821" i="59" s="1"/>
  <c r="M821" i="59" a="1"/>
  <c r="M821" i="59" s="1"/>
  <c r="L821" i="59" a="1"/>
  <c r="L821" i="59" s="1"/>
  <c r="Q821" i="59" a="1"/>
  <c r="Q821" i="59" s="1"/>
  <c r="N757" i="59" a="1"/>
  <c r="N757" i="59" s="1"/>
  <c r="P757" i="59" a="1"/>
  <c r="P757" i="59" s="1"/>
  <c r="L757" i="59" a="1"/>
  <c r="L757" i="59" s="1"/>
  <c r="O757" i="59" a="1"/>
  <c r="O757" i="59" s="1"/>
  <c r="M757" i="59" a="1"/>
  <c r="M757" i="59" s="1"/>
  <c r="Q757" i="59" a="1"/>
  <c r="Q757" i="59" s="1"/>
  <c r="M663" i="59" a="1"/>
  <c r="M663" i="59" s="1"/>
  <c r="Q663" i="59" a="1"/>
  <c r="Q663" i="59" s="1"/>
  <c r="N663" i="59" a="1"/>
  <c r="N663" i="59" s="1"/>
  <c r="O663" i="59" a="1"/>
  <c r="O663" i="59" s="1"/>
  <c r="L663" i="59" a="1"/>
  <c r="L663" i="59" s="1"/>
  <c r="P663" i="59" a="1"/>
  <c r="P663" i="59" s="1"/>
  <c r="P840" i="59" a="1"/>
  <c r="P840" i="59" s="1"/>
  <c r="L840" i="59" a="1"/>
  <c r="L840" i="59" s="1"/>
  <c r="M840" i="59" a="1"/>
  <c r="M840" i="59" s="1"/>
  <c r="N840" i="59" a="1"/>
  <c r="N840" i="59" s="1"/>
  <c r="O840" i="59" a="1"/>
  <c r="O840" i="59" s="1"/>
  <c r="Q840" i="59" a="1"/>
  <c r="Q840" i="59" s="1"/>
  <c r="N776" i="59" a="1"/>
  <c r="N776" i="59" s="1"/>
  <c r="P776" i="59" a="1"/>
  <c r="P776" i="59" s="1"/>
  <c r="O776" i="59" a="1"/>
  <c r="O776" i="59" s="1"/>
  <c r="M776" i="59" a="1"/>
  <c r="M776" i="59" s="1"/>
  <c r="L776" i="59" a="1"/>
  <c r="L776" i="59" s="1"/>
  <c r="Q776" i="59" a="1"/>
  <c r="Q776" i="59" s="1"/>
  <c r="N684" i="59" a="1"/>
  <c r="N684" i="59" s="1"/>
  <c r="P684" i="59" a="1"/>
  <c r="P684" i="59" s="1"/>
  <c r="L684" i="59" a="1"/>
  <c r="L684" i="59" s="1"/>
  <c r="O684" i="59" a="1"/>
  <c r="O684" i="59" s="1"/>
  <c r="M684" i="59" a="1"/>
  <c r="M684" i="59" s="1"/>
  <c r="Q684" i="59" a="1"/>
  <c r="Q684" i="59" s="1"/>
  <c r="L795" i="59" a="1"/>
  <c r="L795" i="59" s="1"/>
  <c r="P795" i="59" a="1"/>
  <c r="P795" i="59" s="1"/>
  <c r="Q795" i="59" a="1"/>
  <c r="Q795" i="59" s="1"/>
  <c r="O795" i="59" a="1"/>
  <c r="O795" i="59" s="1"/>
  <c r="N795" i="59" a="1"/>
  <c r="N795" i="59" s="1"/>
  <c r="M795" i="59" a="1"/>
  <c r="M795" i="59" s="1"/>
  <c r="N711" i="59" a="1"/>
  <c r="N711" i="59" s="1"/>
  <c r="O711" i="59" a="1"/>
  <c r="O711" i="59" s="1"/>
  <c r="M711" i="59" a="1"/>
  <c r="M711" i="59" s="1"/>
  <c r="Q711" i="59" a="1"/>
  <c r="Q711" i="59" s="1"/>
  <c r="L711" i="59" a="1"/>
  <c r="L711" i="59" s="1"/>
  <c r="P711" i="59" a="1"/>
  <c r="P711" i="59" s="1"/>
  <c r="M886" i="59" a="1"/>
  <c r="M886" i="59" s="1"/>
  <c r="Q886" i="59" a="1"/>
  <c r="Q886" i="59" s="1"/>
  <c r="P886" i="59" a="1"/>
  <c r="P886" i="59" s="1"/>
  <c r="N886" i="59" a="1"/>
  <c r="N886" i="59" s="1"/>
  <c r="L886" i="59" a="1"/>
  <c r="L886" i="59" s="1"/>
  <c r="O886" i="59" a="1"/>
  <c r="O886" i="59" s="1"/>
  <c r="O822" i="59" a="1"/>
  <c r="O822" i="59" s="1"/>
  <c r="L822" i="59" a="1"/>
  <c r="L822" i="59" s="1"/>
  <c r="P822" i="59" a="1"/>
  <c r="P822" i="59" s="1"/>
  <c r="Q822" i="59" a="1"/>
  <c r="Q822" i="59" s="1"/>
  <c r="M822" i="59" a="1"/>
  <c r="M822" i="59" s="1"/>
  <c r="N822" i="59" a="1"/>
  <c r="N822" i="59" s="1"/>
  <c r="O758" i="59" a="1"/>
  <c r="O758" i="59" s="1"/>
  <c r="M758" i="59" a="1"/>
  <c r="M758" i="59" s="1"/>
  <c r="Q758" i="59" a="1"/>
  <c r="Q758" i="59" s="1"/>
  <c r="L758" i="59" a="1"/>
  <c r="L758" i="59" s="1"/>
  <c r="P758" i="59" a="1"/>
  <c r="P758" i="59" s="1"/>
  <c r="N758" i="59" a="1"/>
  <c r="N758" i="59" s="1"/>
  <c r="O675" i="59" a="1"/>
  <c r="O675" i="59" s="1"/>
  <c r="L675" i="59" a="1"/>
  <c r="L675" i="59" s="1"/>
  <c r="P675" i="59" a="1"/>
  <c r="P675" i="59" s="1"/>
  <c r="M675" i="59" a="1"/>
  <c r="M675" i="59" s="1"/>
  <c r="Q675" i="59" a="1"/>
  <c r="Q675" i="59" s="1"/>
  <c r="N675" i="59" a="1"/>
  <c r="N675" i="59" s="1"/>
  <c r="P793" i="59" a="1"/>
  <c r="P793" i="59" s="1"/>
  <c r="Q793" i="59" a="1"/>
  <c r="Q793" i="59" s="1"/>
  <c r="L793" i="59" a="1"/>
  <c r="L793" i="59" s="1"/>
  <c r="M793" i="59" a="1"/>
  <c r="M793" i="59" s="1"/>
  <c r="N793" i="59" a="1"/>
  <c r="N793" i="59" s="1"/>
  <c r="O793" i="59" a="1"/>
  <c r="O793" i="59" s="1"/>
  <c r="N713" i="59" a="1"/>
  <c r="N713" i="59" s="1"/>
  <c r="M713" i="59" a="1"/>
  <c r="M713" i="59" s="1"/>
  <c r="Q713" i="59" a="1"/>
  <c r="Q713" i="59" s="1"/>
  <c r="L713" i="59" a="1"/>
  <c r="L713" i="59" s="1"/>
  <c r="P713" i="59" a="1"/>
  <c r="P713" i="59" s="1"/>
  <c r="O713" i="59" a="1"/>
  <c r="O713" i="59" s="1"/>
  <c r="Q722" i="59" a="1"/>
  <c r="Q722" i="59" s="1"/>
  <c r="O722" i="59" a="1"/>
  <c r="O722" i="59" s="1"/>
  <c r="N722" i="59" a="1"/>
  <c r="N722" i="59" s="1"/>
  <c r="L722" i="59" a="1"/>
  <c r="L722" i="59" s="1"/>
  <c r="M722" i="59" a="1"/>
  <c r="M722" i="59" s="1"/>
  <c r="P722" i="59" a="1"/>
  <c r="P722" i="59" s="1"/>
  <c r="Q658" i="59" a="1"/>
  <c r="Q658" i="59" s="1"/>
  <c r="N658" i="59" a="1"/>
  <c r="N658" i="59" s="1"/>
  <c r="M658" i="59" a="1"/>
  <c r="M658" i="59" s="1"/>
  <c r="O658" i="59" a="1"/>
  <c r="O658" i="59" s="1"/>
  <c r="L658" i="59" a="1"/>
  <c r="L658" i="59" s="1"/>
  <c r="P658" i="59" a="1"/>
  <c r="P658" i="59" s="1"/>
  <c r="Q590" i="59" a="1"/>
  <c r="Q590" i="59" s="1"/>
  <c r="L590" i="59" a="1"/>
  <c r="L590" i="59" s="1"/>
  <c r="P590" i="59" a="1"/>
  <c r="P590" i="59" s="1"/>
  <c r="N590" i="59" a="1"/>
  <c r="N590" i="59" s="1"/>
  <c r="O590" i="59" a="1"/>
  <c r="O590" i="59" s="1"/>
  <c r="M590" i="59" a="1"/>
  <c r="M590" i="59" s="1"/>
  <c r="O693" i="59" a="1"/>
  <c r="O693" i="59" s="1"/>
  <c r="N693" i="59" a="1"/>
  <c r="N693" i="59" s="1"/>
  <c r="L693" i="59" a="1"/>
  <c r="L693" i="59" s="1"/>
  <c r="P693" i="59" a="1"/>
  <c r="P693" i="59" s="1"/>
  <c r="Q693" i="59" a="1"/>
  <c r="Q693" i="59" s="1"/>
  <c r="M693" i="59" a="1"/>
  <c r="M693" i="59" s="1"/>
  <c r="N629" i="59" a="1"/>
  <c r="N629" i="59" s="1"/>
  <c r="L629" i="59" a="1"/>
  <c r="L629" i="59" s="1"/>
  <c r="P629" i="59" a="1"/>
  <c r="P629" i="59" s="1"/>
  <c r="O629" i="59" a="1"/>
  <c r="O629" i="59" s="1"/>
  <c r="Q629" i="59" a="1"/>
  <c r="Q629" i="59" s="1"/>
  <c r="M629" i="59" a="1"/>
  <c r="M629" i="59" s="1"/>
  <c r="M529" i="59" a="1"/>
  <c r="M529" i="59" s="1"/>
  <c r="Q529" i="59" a="1"/>
  <c r="Q529" i="59" s="1"/>
  <c r="N529" i="59" a="1"/>
  <c r="N529" i="59" s="1"/>
  <c r="O529" i="59" a="1"/>
  <c r="O529" i="59" s="1"/>
  <c r="L529" i="59" a="1"/>
  <c r="L529" i="59" s="1"/>
  <c r="P529" i="59" a="1"/>
  <c r="P529" i="59" s="1"/>
  <c r="L680" i="59" a="1"/>
  <c r="L680" i="59" s="1"/>
  <c r="P680" i="59" a="1"/>
  <c r="P680" i="59" s="1"/>
  <c r="M680" i="59" a="1"/>
  <c r="M680" i="59" s="1"/>
  <c r="N680" i="59" a="1"/>
  <c r="N680" i="59" s="1"/>
  <c r="O680" i="59" a="1"/>
  <c r="O680" i="59" s="1"/>
  <c r="Q680" i="59" a="1"/>
  <c r="Q680" i="59" s="1"/>
  <c r="N616" i="59" a="1"/>
  <c r="N616" i="59" s="1"/>
  <c r="L616" i="59" a="1"/>
  <c r="L616" i="59" s="1"/>
  <c r="P616" i="59" a="1"/>
  <c r="P616" i="59" s="1"/>
  <c r="O616" i="59" a="1"/>
  <c r="O616" i="59" s="1"/>
  <c r="M616" i="59" a="1"/>
  <c r="M616" i="59" s="1"/>
  <c r="Q616" i="59" a="1"/>
  <c r="Q616" i="59" s="1"/>
  <c r="L667" i="59" a="1"/>
  <c r="L667" i="59" s="1"/>
  <c r="P667" i="59" a="1"/>
  <c r="P667" i="59" s="1"/>
  <c r="O667" i="59" a="1"/>
  <c r="O667" i="59" s="1"/>
  <c r="Q667" i="59" a="1"/>
  <c r="Q667" i="59" s="1"/>
  <c r="M667" i="59" a="1"/>
  <c r="M667" i="59" s="1"/>
  <c r="N667" i="59" a="1"/>
  <c r="N667" i="59" s="1"/>
  <c r="Q592" i="59" a="1"/>
  <c r="Q592" i="59" s="1"/>
  <c r="L592" i="59" a="1"/>
  <c r="L592" i="59" s="1"/>
  <c r="P592" i="59" a="1"/>
  <c r="P592" i="59" s="1"/>
  <c r="O592" i="59" a="1"/>
  <c r="O592" i="59" s="1"/>
  <c r="M592" i="59" a="1"/>
  <c r="M592" i="59" s="1"/>
  <c r="N592" i="59" a="1"/>
  <c r="N592" i="59" s="1"/>
  <c r="M710" i="59" a="1"/>
  <c r="M710" i="59" s="1"/>
  <c r="O710" i="59" a="1"/>
  <c r="O710" i="59" s="1"/>
  <c r="Q710" i="59" a="1"/>
  <c r="Q710" i="59" s="1"/>
  <c r="P710" i="59" a="1"/>
  <c r="P710" i="59" s="1"/>
  <c r="L710" i="59" a="1"/>
  <c r="L710" i="59" s="1"/>
  <c r="N710" i="59" a="1"/>
  <c r="N710" i="59" s="1"/>
  <c r="L646" i="59" a="1"/>
  <c r="L646" i="59" s="1"/>
  <c r="P646" i="59" a="1"/>
  <c r="P646" i="59" s="1"/>
  <c r="O646" i="59" a="1"/>
  <c r="O646" i="59" s="1"/>
  <c r="M646" i="59" a="1"/>
  <c r="M646" i="59" s="1"/>
  <c r="Q646" i="59" a="1"/>
  <c r="Q646" i="59" s="1"/>
  <c r="N646" i="59" a="1"/>
  <c r="N646" i="59" s="1"/>
  <c r="N550" i="59" a="1"/>
  <c r="N550" i="59" s="1"/>
  <c r="M550" i="59" a="1"/>
  <c r="M550" i="59" s="1"/>
  <c r="Q550" i="59" a="1"/>
  <c r="Q550" i="59" s="1"/>
  <c r="L550" i="59" a="1"/>
  <c r="L550" i="59" s="1"/>
  <c r="P550" i="59" a="1"/>
  <c r="P550" i="59" s="1"/>
  <c r="O550" i="59" a="1"/>
  <c r="O550" i="59" s="1"/>
  <c r="M625" i="59" a="1"/>
  <c r="M625" i="59" s="1"/>
  <c r="Q625" i="59" a="1"/>
  <c r="Q625" i="59" s="1"/>
  <c r="L625" i="59" a="1"/>
  <c r="L625" i="59" s="1"/>
  <c r="N625" i="59" a="1"/>
  <c r="N625" i="59" s="1"/>
  <c r="P625" i="59" a="1"/>
  <c r="P625" i="59" s="1"/>
  <c r="O625" i="59" a="1"/>
  <c r="O625" i="59" s="1"/>
  <c r="N391" i="59" a="1"/>
  <c r="N391" i="59" s="1"/>
  <c r="M391" i="59" a="1"/>
  <c r="M391" i="59" s="1"/>
  <c r="Q391" i="59" a="1"/>
  <c r="Q391" i="59" s="1"/>
  <c r="L391" i="59" a="1"/>
  <c r="L391" i="59" s="1"/>
  <c r="P391" i="59" a="1"/>
  <c r="P391" i="59" s="1"/>
  <c r="O391" i="59" a="1"/>
  <c r="O391" i="59" s="1"/>
  <c r="P551" i="59" a="1"/>
  <c r="P551" i="59" s="1"/>
  <c r="O551" i="59" a="1"/>
  <c r="O551" i="59" s="1"/>
  <c r="N551" i="59" a="1"/>
  <c r="N551" i="59" s="1"/>
  <c r="Q551" i="59" a="1"/>
  <c r="Q551" i="59" s="1"/>
  <c r="M551" i="59" a="1"/>
  <c r="M551" i="59" s="1"/>
  <c r="L551" i="59" a="1"/>
  <c r="L551" i="59" s="1"/>
  <c r="O594" i="59" a="1"/>
  <c r="O594" i="59" s="1"/>
  <c r="N594" i="59" a="1"/>
  <c r="N594" i="59" s="1"/>
  <c r="M594" i="59" a="1"/>
  <c r="M594" i="59" s="1"/>
  <c r="L594" i="59" a="1"/>
  <c r="L594" i="59" s="1"/>
  <c r="Q594" i="59" a="1"/>
  <c r="Q594" i="59" s="1"/>
  <c r="P594" i="59" a="1"/>
  <c r="P594" i="59" s="1"/>
  <c r="O525" i="59" a="1"/>
  <c r="O525" i="59" s="1"/>
  <c r="L525" i="59" a="1"/>
  <c r="L525" i="59" s="1"/>
  <c r="P525" i="59" a="1"/>
  <c r="P525" i="59" s="1"/>
  <c r="N525" i="59" a="1"/>
  <c r="N525" i="59" s="1"/>
  <c r="Q525" i="59" a="1"/>
  <c r="Q525" i="59" s="1"/>
  <c r="M525" i="59" a="1"/>
  <c r="M525" i="59" s="1"/>
  <c r="L581" i="59" a="1"/>
  <c r="L581" i="59" s="1"/>
  <c r="M581" i="59" a="1"/>
  <c r="M581" i="59" s="1"/>
  <c r="N581" i="59" a="1"/>
  <c r="N581" i="59" s="1"/>
  <c r="P581" i="59" a="1"/>
  <c r="P581" i="59" s="1"/>
  <c r="O581" i="59" a="1"/>
  <c r="O581" i="59" s="1"/>
  <c r="Q581" i="59" a="1"/>
  <c r="Q581" i="59" s="1"/>
  <c r="O466" i="59" a="1"/>
  <c r="O466" i="59" s="1"/>
  <c r="M466" i="59" a="1"/>
  <c r="M466" i="59" s="1"/>
  <c r="L466" i="59" a="1"/>
  <c r="L466" i="59" s="1"/>
  <c r="P466" i="59" a="1"/>
  <c r="P466" i="59" s="1"/>
  <c r="N466" i="59" a="1"/>
  <c r="N466" i="59" s="1"/>
  <c r="Q466" i="59" a="1"/>
  <c r="Q466" i="59" s="1"/>
  <c r="M587" i="59" a="1"/>
  <c r="M587" i="59" s="1"/>
  <c r="Q587" i="59" a="1"/>
  <c r="Q587" i="59" s="1"/>
  <c r="N587" i="59" a="1"/>
  <c r="N587" i="59" s="1"/>
  <c r="O587" i="59" a="1"/>
  <c r="O587" i="59" s="1"/>
  <c r="P587" i="59" a="1"/>
  <c r="P587" i="59" s="1"/>
  <c r="L587" i="59" a="1"/>
  <c r="L587" i="59" s="1"/>
  <c r="M500" i="59" a="1"/>
  <c r="M500" i="59" s="1"/>
  <c r="O500" i="59" a="1"/>
  <c r="O500" i="59" s="1"/>
  <c r="L500" i="59" a="1"/>
  <c r="L500" i="59" s="1"/>
  <c r="N500" i="59" a="1"/>
  <c r="N500" i="59" s="1"/>
  <c r="P500" i="59" a="1"/>
  <c r="P500" i="59" s="1"/>
  <c r="Q500" i="59" a="1"/>
  <c r="Q500" i="59" s="1"/>
  <c r="O370" i="59" a="1"/>
  <c r="O370" i="59" s="1"/>
  <c r="M370" i="59" a="1"/>
  <c r="M370" i="59" s="1"/>
  <c r="Q370" i="59" a="1"/>
  <c r="Q370" i="59" s="1"/>
  <c r="P370" i="59" a="1"/>
  <c r="P370" i="59" s="1"/>
  <c r="L370" i="59" a="1"/>
  <c r="L370" i="59" s="1"/>
  <c r="N370" i="59" a="1"/>
  <c r="N370" i="59" s="1"/>
  <c r="P486" i="59" a="1"/>
  <c r="P486" i="59" s="1"/>
  <c r="N486" i="59" a="1"/>
  <c r="N486" i="59" s="1"/>
  <c r="M486" i="59" a="1"/>
  <c r="M486" i="59" s="1"/>
  <c r="Q486" i="59" a="1"/>
  <c r="Q486" i="59" s="1"/>
  <c r="L486" i="59" a="1"/>
  <c r="L486" i="59" s="1"/>
  <c r="O486" i="59" a="1"/>
  <c r="O486" i="59" s="1"/>
  <c r="N527" i="59" a="1"/>
  <c r="N527" i="59" s="1"/>
  <c r="O527" i="59" a="1"/>
  <c r="O527" i="59" s="1"/>
  <c r="M527" i="59" a="1"/>
  <c r="M527" i="59" s="1"/>
  <c r="L527" i="59" a="1"/>
  <c r="L527" i="59" s="1"/>
  <c r="P527" i="59" a="1"/>
  <c r="P527" i="59" s="1"/>
  <c r="Q527" i="59" a="1"/>
  <c r="Q527" i="59" s="1"/>
  <c r="M446" i="59" a="1"/>
  <c r="M446" i="59" s="1"/>
  <c r="P446" i="59" a="1"/>
  <c r="P446" i="59" s="1"/>
  <c r="O446" i="59" a="1"/>
  <c r="O446" i="59" s="1"/>
  <c r="Q446" i="59" a="1"/>
  <c r="Q446" i="59" s="1"/>
  <c r="L446" i="59" a="1"/>
  <c r="L446" i="59" s="1"/>
  <c r="N446" i="59" a="1"/>
  <c r="N446" i="59" s="1"/>
  <c r="L506" i="59" a="1"/>
  <c r="L506" i="59" s="1"/>
  <c r="P506" i="59" a="1"/>
  <c r="P506" i="59" s="1"/>
  <c r="N506" i="59" a="1"/>
  <c r="N506" i="59" s="1"/>
  <c r="O506" i="59" a="1"/>
  <c r="O506" i="59" s="1"/>
  <c r="M506" i="59" a="1"/>
  <c r="M506" i="59" s="1"/>
  <c r="Q506" i="59" a="1"/>
  <c r="Q506" i="59" s="1"/>
  <c r="P458" i="59" a="1"/>
  <c r="P458" i="59" s="1"/>
  <c r="O458" i="59" a="1"/>
  <c r="O458" i="59" s="1"/>
  <c r="L458" i="59" a="1"/>
  <c r="L458" i="59" s="1"/>
  <c r="M458" i="59" a="1"/>
  <c r="M458" i="59" s="1"/>
  <c r="Q458" i="59" a="1"/>
  <c r="Q458" i="59" s="1"/>
  <c r="N458" i="59" a="1"/>
  <c r="N458" i="59" s="1"/>
  <c r="Q504" i="59" a="1"/>
  <c r="Q504" i="59" s="1"/>
  <c r="L504" i="59" a="1"/>
  <c r="L504" i="59" s="1"/>
  <c r="M504" i="59" a="1"/>
  <c r="M504" i="59" s="1"/>
  <c r="P504" i="59" a="1"/>
  <c r="P504" i="59" s="1"/>
  <c r="N504" i="59" a="1"/>
  <c r="N504" i="59" s="1"/>
  <c r="O504" i="59" a="1"/>
  <c r="O504" i="59" s="1"/>
  <c r="N454" i="59" a="1"/>
  <c r="N454" i="59" s="1"/>
  <c r="M454" i="59" a="1"/>
  <c r="M454" i="59" s="1"/>
  <c r="Q454" i="59" a="1"/>
  <c r="Q454" i="59" s="1"/>
  <c r="O454" i="59" a="1"/>
  <c r="O454" i="59" s="1"/>
  <c r="P454" i="59" a="1"/>
  <c r="P454" i="59" s="1"/>
  <c r="L454" i="59" a="1"/>
  <c r="L454" i="59" s="1"/>
  <c r="Q444" i="59" a="1"/>
  <c r="Q444" i="59" s="1"/>
  <c r="N444" i="59" a="1"/>
  <c r="N444" i="59" s="1"/>
  <c r="M444" i="59" a="1"/>
  <c r="M444" i="59" s="1"/>
  <c r="P444" i="59" a="1"/>
  <c r="P444" i="59" s="1"/>
  <c r="L444" i="59" a="1"/>
  <c r="L444" i="59" s="1"/>
  <c r="O444" i="59" a="1"/>
  <c r="O444" i="59" s="1"/>
  <c r="P311" i="59" a="1"/>
  <c r="P311" i="59" s="1"/>
  <c r="M311" i="59" a="1"/>
  <c r="M311" i="59" s="1"/>
  <c r="L311" i="59" a="1"/>
  <c r="L311" i="59" s="1"/>
  <c r="Q311" i="59" a="1"/>
  <c r="Q311" i="59" s="1"/>
  <c r="N311" i="59" a="1"/>
  <c r="N311" i="59" s="1"/>
  <c r="O311" i="59" a="1"/>
  <c r="O311" i="59" s="1"/>
  <c r="M415" i="59" a="1"/>
  <c r="M415" i="59" s="1"/>
  <c r="Q415" i="59" a="1"/>
  <c r="Q415" i="59" s="1"/>
  <c r="N415" i="59" a="1"/>
  <c r="N415" i="59" s="1"/>
  <c r="L415" i="59" a="1"/>
  <c r="L415" i="59" s="1"/>
  <c r="O415" i="59" a="1"/>
  <c r="O415" i="59" s="1"/>
  <c r="P415" i="59" a="1"/>
  <c r="P415" i="59" s="1"/>
  <c r="M485" i="59" a="1"/>
  <c r="M485" i="59" s="1"/>
  <c r="O485" i="59" a="1"/>
  <c r="O485" i="59" s="1"/>
  <c r="L485" i="59" a="1"/>
  <c r="L485" i="59" s="1"/>
  <c r="P485" i="59" a="1"/>
  <c r="P485" i="59" s="1"/>
  <c r="N485" i="59" a="1"/>
  <c r="N485" i="59" s="1"/>
  <c r="Q485" i="59" a="1"/>
  <c r="Q485" i="59" s="1"/>
  <c r="L427" i="59" a="1"/>
  <c r="L427" i="59" s="1"/>
  <c r="P427" i="59" a="1"/>
  <c r="P427" i="59" s="1"/>
  <c r="M427" i="59" a="1"/>
  <c r="M427" i="59" s="1"/>
  <c r="O427" i="59" a="1"/>
  <c r="O427" i="59" s="1"/>
  <c r="N427" i="59" a="1"/>
  <c r="N427" i="59" s="1"/>
  <c r="Q427" i="59" a="1"/>
  <c r="Q427" i="59" s="1"/>
  <c r="Q480" i="59" a="1"/>
  <c r="Q480" i="59" s="1"/>
  <c r="L480" i="59" a="1"/>
  <c r="L480" i="59" s="1"/>
  <c r="N480" i="59" a="1"/>
  <c r="N480" i="59" s="1"/>
  <c r="P480" i="59" a="1"/>
  <c r="P480" i="59" s="1"/>
  <c r="M480" i="59" a="1"/>
  <c r="M480" i="59" s="1"/>
  <c r="O480" i="59" a="1"/>
  <c r="O480" i="59" s="1"/>
  <c r="P396" i="59" a="1"/>
  <c r="P396" i="59" s="1"/>
  <c r="N396" i="59" a="1"/>
  <c r="N396" i="59" s="1"/>
  <c r="L396" i="59" a="1"/>
  <c r="L396" i="59" s="1"/>
  <c r="M396" i="59" a="1"/>
  <c r="M396" i="59" s="1"/>
  <c r="Q396" i="59" a="1"/>
  <c r="Q396" i="59" s="1"/>
  <c r="O396" i="59" a="1"/>
  <c r="O396" i="59" s="1"/>
  <c r="O413" i="59" a="1"/>
  <c r="O413" i="59" s="1"/>
  <c r="N413" i="59" a="1"/>
  <c r="N413" i="59" s="1"/>
  <c r="Q413" i="59" a="1"/>
  <c r="Q413" i="59" s="1"/>
  <c r="P413" i="59" a="1"/>
  <c r="P413" i="59" s="1"/>
  <c r="L413" i="59" a="1"/>
  <c r="L413" i="59" s="1"/>
  <c r="M413" i="59" a="1"/>
  <c r="M413" i="59" s="1"/>
  <c r="Q333" i="59" a="1"/>
  <c r="Q333" i="59" s="1"/>
  <c r="M333" i="59" a="1"/>
  <c r="M333" i="59" s="1"/>
  <c r="N333" i="59" a="1"/>
  <c r="N333" i="59" s="1"/>
  <c r="O333" i="59" a="1"/>
  <c r="O333" i="59" s="1"/>
  <c r="P333" i="59" a="1"/>
  <c r="P333" i="59" s="1"/>
  <c r="L333" i="59" a="1"/>
  <c r="L333" i="59" s="1"/>
  <c r="N392" i="59" a="1"/>
  <c r="N392" i="59" s="1"/>
  <c r="L392" i="59" a="1"/>
  <c r="L392" i="59" s="1"/>
  <c r="P392" i="59" a="1"/>
  <c r="P392" i="59" s="1"/>
  <c r="O392" i="59" a="1"/>
  <c r="O392" i="59" s="1"/>
  <c r="Q392" i="59" a="1"/>
  <c r="Q392" i="59" s="1"/>
  <c r="M392" i="59" a="1"/>
  <c r="M392" i="59" s="1"/>
  <c r="M285" i="59" a="1"/>
  <c r="M285" i="59" s="1"/>
  <c r="N285" i="59" a="1"/>
  <c r="N285" i="59" s="1"/>
  <c r="Q285" i="59" a="1"/>
  <c r="Q285" i="59" s="1"/>
  <c r="O285" i="59" a="1"/>
  <c r="O285" i="59" s="1"/>
  <c r="L285" i="59" a="1"/>
  <c r="L285" i="59" s="1"/>
  <c r="P285" i="59" a="1"/>
  <c r="P285" i="59" s="1"/>
  <c r="O390" i="59" a="1"/>
  <c r="O390" i="59" s="1"/>
  <c r="M390" i="59" a="1"/>
  <c r="M390" i="59" s="1"/>
  <c r="Q390" i="59" a="1"/>
  <c r="Q390" i="59" s="1"/>
  <c r="N390" i="59" a="1"/>
  <c r="N390" i="59" s="1"/>
  <c r="P390" i="59" a="1"/>
  <c r="P390" i="59" s="1"/>
  <c r="L390" i="59" a="1"/>
  <c r="L390" i="59" s="1"/>
  <c r="P209" i="59" a="1"/>
  <c r="P209" i="59" s="1"/>
  <c r="Q209" i="59" a="1"/>
  <c r="Q209" i="59" s="1"/>
  <c r="O209" i="59" a="1"/>
  <c r="O209" i="59" s="1"/>
  <c r="L209" i="59" a="1"/>
  <c r="L209" i="59" s="1"/>
  <c r="M209" i="59" a="1"/>
  <c r="M209" i="59" s="1"/>
  <c r="N209" i="59" a="1"/>
  <c r="N209" i="59" s="1"/>
  <c r="Q369" i="59" a="1"/>
  <c r="Q369" i="59" s="1"/>
  <c r="P369" i="59" a="1"/>
  <c r="P369" i="59" s="1"/>
  <c r="M369" i="59" a="1"/>
  <c r="M369" i="59" s="1"/>
  <c r="N369" i="59" a="1"/>
  <c r="N369" i="59" s="1"/>
  <c r="O369" i="59" a="1"/>
  <c r="O369" i="59" s="1"/>
  <c r="L369" i="59" a="1"/>
  <c r="L369" i="59" s="1"/>
  <c r="P360" i="59" a="1"/>
  <c r="P360" i="59" s="1"/>
  <c r="L360" i="59" a="1"/>
  <c r="L360" i="59" s="1"/>
  <c r="M360" i="59" a="1"/>
  <c r="M360" i="59" s="1"/>
  <c r="O360" i="59" a="1"/>
  <c r="O360" i="59" s="1"/>
  <c r="N360" i="59" a="1"/>
  <c r="N360" i="59" s="1"/>
  <c r="Q360" i="59" a="1"/>
  <c r="Q360" i="59" s="1"/>
  <c r="N296" i="59" a="1"/>
  <c r="N296" i="59" s="1"/>
  <c r="O296" i="59" a="1"/>
  <c r="O296" i="59" s="1"/>
  <c r="M296" i="59" a="1"/>
  <c r="M296" i="59" s="1"/>
  <c r="Q296" i="59" a="1"/>
  <c r="Q296" i="59" s="1"/>
  <c r="L296" i="59" a="1"/>
  <c r="L296" i="59" s="1"/>
  <c r="P296" i="59" a="1"/>
  <c r="P296" i="59" s="1"/>
  <c r="N339" i="59" a="1"/>
  <c r="N339" i="59" s="1"/>
  <c r="O339" i="59" a="1"/>
  <c r="O339" i="59" s="1"/>
  <c r="L339" i="59" a="1"/>
  <c r="L339" i="59" s="1"/>
  <c r="P339" i="59" a="1"/>
  <c r="P339" i="59" s="1"/>
  <c r="Q339" i="59" a="1"/>
  <c r="Q339" i="59" s="1"/>
  <c r="M339" i="59" a="1"/>
  <c r="M339" i="59" s="1"/>
  <c r="M258" i="59" a="1"/>
  <c r="M258" i="59" s="1"/>
  <c r="N258" i="59" a="1"/>
  <c r="N258" i="59" s="1"/>
  <c r="O258" i="59" a="1"/>
  <c r="O258" i="59" s="1"/>
  <c r="Q258" i="59" a="1"/>
  <c r="Q258" i="59" s="1"/>
  <c r="P258" i="59" a="1"/>
  <c r="P258" i="59" s="1"/>
  <c r="L258" i="59" a="1"/>
  <c r="L258" i="59" s="1"/>
  <c r="L318" i="59" a="1"/>
  <c r="L318" i="59" s="1"/>
  <c r="P318" i="59" a="1"/>
  <c r="P318" i="59" s="1"/>
  <c r="O318" i="59" a="1"/>
  <c r="O318" i="59" s="1"/>
  <c r="M318" i="59" a="1"/>
  <c r="M318" i="59" s="1"/>
  <c r="Q318" i="59" a="1"/>
  <c r="Q318" i="59" s="1"/>
  <c r="N318" i="59" a="1"/>
  <c r="N318" i="59" s="1"/>
  <c r="Q186" i="59" a="1"/>
  <c r="Q186" i="59" s="1"/>
  <c r="N186" i="59" a="1"/>
  <c r="N186" i="59" s="1"/>
  <c r="O186" i="59" a="1"/>
  <c r="O186" i="59" s="1"/>
  <c r="M186" i="59" a="1"/>
  <c r="M186" i="59" s="1"/>
  <c r="L186" i="59" a="1"/>
  <c r="L186" i="59" s="1"/>
  <c r="P186" i="59" a="1"/>
  <c r="P186" i="59" s="1"/>
  <c r="P340" i="59" a="1"/>
  <c r="P340" i="59" s="1"/>
  <c r="M340" i="59" a="1"/>
  <c r="M340" i="59" s="1"/>
  <c r="Q340" i="59" a="1"/>
  <c r="Q340" i="59" s="1"/>
  <c r="L340" i="59" a="1"/>
  <c r="L340" i="59" s="1"/>
  <c r="N340" i="59" a="1"/>
  <c r="N340" i="59" s="1"/>
  <c r="O340" i="59" a="1"/>
  <c r="O340" i="59" s="1"/>
  <c r="O276" i="59" a="1"/>
  <c r="O276" i="59" s="1"/>
  <c r="L276" i="59" a="1"/>
  <c r="L276" i="59" s="1"/>
  <c r="P276" i="59" a="1"/>
  <c r="P276" i="59" s="1"/>
  <c r="M276" i="59" a="1"/>
  <c r="M276" i="59" s="1"/>
  <c r="N276" i="59" a="1"/>
  <c r="N276" i="59" s="1"/>
  <c r="Q276" i="59" a="1"/>
  <c r="Q276" i="59" s="1"/>
  <c r="M261" i="59" a="1"/>
  <c r="M261" i="59" s="1"/>
  <c r="P261" i="59" a="1"/>
  <c r="P261" i="59" s="1"/>
  <c r="Q261" i="59" a="1"/>
  <c r="Q261" i="59" s="1"/>
  <c r="N261" i="59" a="1"/>
  <c r="N261" i="59" s="1"/>
  <c r="O261" i="59" a="1"/>
  <c r="O261" i="59" s="1"/>
  <c r="L261" i="59" a="1"/>
  <c r="L261" i="59" s="1"/>
  <c r="M245" i="59" a="1"/>
  <c r="M245" i="59" s="1"/>
  <c r="P245" i="59" a="1"/>
  <c r="P245" i="59" s="1"/>
  <c r="N245" i="59" a="1"/>
  <c r="N245" i="59" s="1"/>
  <c r="O245" i="59" a="1"/>
  <c r="O245" i="59" s="1"/>
  <c r="L245" i="59" a="1"/>
  <c r="L245" i="59" s="1"/>
  <c r="Q245" i="59" a="1"/>
  <c r="Q245" i="59" s="1"/>
  <c r="P235" i="59" a="1"/>
  <c r="P235" i="59" s="1"/>
  <c r="Q235" i="59" a="1"/>
  <c r="Q235" i="59" s="1"/>
  <c r="M235" i="59" a="1"/>
  <c r="M235" i="59" s="1"/>
  <c r="N235" i="59" a="1"/>
  <c r="N235" i="59" s="1"/>
  <c r="O235" i="59" a="1"/>
  <c r="O235" i="59" s="1"/>
  <c r="L235" i="59" a="1"/>
  <c r="L235" i="59" s="1"/>
  <c r="O273" i="59" a="1"/>
  <c r="O273" i="59" s="1"/>
  <c r="P273" i="59" a="1"/>
  <c r="P273" i="59" s="1"/>
  <c r="N273" i="59" a="1"/>
  <c r="N273" i="59" s="1"/>
  <c r="M273" i="59" a="1"/>
  <c r="M273" i="59" s="1"/>
  <c r="Q273" i="59" a="1"/>
  <c r="Q273" i="59" s="1"/>
  <c r="L273" i="59" a="1"/>
  <c r="L273" i="59" s="1"/>
  <c r="L268" i="59" a="1"/>
  <c r="L268" i="59" s="1"/>
  <c r="M268" i="59" a="1"/>
  <c r="M268" i="59" s="1"/>
  <c r="Q268" i="59" a="1"/>
  <c r="Q268" i="59" s="1"/>
  <c r="N268" i="59" a="1"/>
  <c r="N268" i="59" s="1"/>
  <c r="P268" i="59" a="1"/>
  <c r="P268" i="59" s="1"/>
  <c r="O268" i="59" a="1"/>
  <c r="O268" i="59" s="1"/>
  <c r="N248" i="59" a="1"/>
  <c r="N248" i="59" s="1"/>
  <c r="O248" i="59" a="1"/>
  <c r="O248" i="59" s="1"/>
  <c r="M248" i="59" a="1"/>
  <c r="M248" i="59" s="1"/>
  <c r="L248" i="59" a="1"/>
  <c r="L248" i="59" s="1"/>
  <c r="Q248" i="59" a="1"/>
  <c r="Q248" i="59" s="1"/>
  <c r="P248" i="59" a="1"/>
  <c r="P248" i="59" s="1"/>
  <c r="Q227" i="59" a="1"/>
  <c r="Q227" i="59" s="1"/>
  <c r="P227" i="59" a="1"/>
  <c r="P227" i="59" s="1"/>
  <c r="M227" i="59" a="1"/>
  <c r="M227" i="59" s="1"/>
  <c r="N227" i="59" a="1"/>
  <c r="N227" i="59" s="1"/>
  <c r="O227" i="59" a="1"/>
  <c r="O227" i="59" s="1"/>
  <c r="L227" i="59" a="1"/>
  <c r="L227" i="59" s="1"/>
  <c r="Q222" i="59" a="1"/>
  <c r="Q222" i="59" s="1"/>
  <c r="O222" i="59" a="1"/>
  <c r="O222" i="59" s="1"/>
  <c r="L222" i="59" a="1"/>
  <c r="L222" i="59" s="1"/>
  <c r="P222" i="59" a="1"/>
  <c r="P222" i="59" s="1"/>
  <c r="N222" i="59" a="1"/>
  <c r="N222" i="59" s="1"/>
  <c r="M222" i="59" a="1"/>
  <c r="M222" i="59" s="1"/>
  <c r="Q220" i="59" a="1"/>
  <c r="Q220" i="59" s="1"/>
  <c r="M220" i="59" a="1"/>
  <c r="M220" i="59" s="1"/>
  <c r="L220" i="59" a="1"/>
  <c r="L220" i="59" s="1"/>
  <c r="N220" i="59" a="1"/>
  <c r="N220" i="59" s="1"/>
  <c r="O220" i="59" a="1"/>
  <c r="O220" i="59" s="1"/>
  <c r="P220" i="59" a="1"/>
  <c r="P220" i="59" s="1"/>
  <c r="P234" i="59" a="1"/>
  <c r="P234" i="59" s="1"/>
  <c r="O234" i="59" a="1"/>
  <c r="O234" i="59" s="1"/>
  <c r="Q234" i="59" a="1"/>
  <c r="Q234" i="59" s="1"/>
  <c r="L234" i="59" a="1"/>
  <c r="L234" i="59" s="1"/>
  <c r="N234" i="59" a="1"/>
  <c r="N234" i="59" s="1"/>
  <c r="M234" i="59" a="1"/>
  <c r="M234" i="59" s="1"/>
  <c r="N171" i="59" a="1"/>
  <c r="N171" i="59" s="1"/>
  <c r="O171" i="59" a="1"/>
  <c r="O171" i="59" s="1"/>
  <c r="Q171" i="59" a="1"/>
  <c r="Q171" i="59" s="1"/>
  <c r="L171" i="59" a="1"/>
  <c r="L171" i="59" s="1"/>
  <c r="M171" i="59" a="1"/>
  <c r="M171" i="59" s="1"/>
  <c r="P171" i="59" a="1"/>
  <c r="P171" i="59" s="1"/>
  <c r="Q158" i="59" a="1"/>
  <c r="Q158" i="59" s="1"/>
  <c r="L158" i="59" a="1"/>
  <c r="L158" i="59" s="1"/>
  <c r="N158" i="59" a="1"/>
  <c r="N158" i="59" s="1"/>
  <c r="P158" i="59" a="1"/>
  <c r="P158" i="59" s="1"/>
  <c r="M158" i="59" a="1"/>
  <c r="M158" i="59" s="1"/>
  <c r="O158" i="59" a="1"/>
  <c r="O158" i="59" s="1"/>
  <c r="L134" i="59" a="1"/>
  <c r="L134" i="59" s="1"/>
  <c r="O134" i="59" a="1"/>
  <c r="O134" i="59" s="1"/>
  <c r="P134" i="59" a="1"/>
  <c r="P134" i="59" s="1"/>
  <c r="N134" i="59" a="1"/>
  <c r="N134" i="59" s="1"/>
  <c r="M134" i="59" a="1"/>
  <c r="M134" i="59" s="1"/>
  <c r="Q134" i="59" a="1"/>
  <c r="Q134" i="59" s="1"/>
  <c r="M197" i="59" a="1"/>
  <c r="M197" i="59" s="1"/>
  <c r="O197" i="59" a="1"/>
  <c r="O197" i="59" s="1"/>
  <c r="P197" i="59" a="1"/>
  <c r="P197" i="59" s="1"/>
  <c r="Q197" i="59" a="1"/>
  <c r="Q197" i="59" s="1"/>
  <c r="N197" i="59" a="1"/>
  <c r="N197" i="59" s="1"/>
  <c r="L197" i="59" a="1"/>
  <c r="L197" i="59" s="1"/>
  <c r="Q155" i="59" a="1"/>
  <c r="Q155" i="59" s="1"/>
  <c r="O155" i="59" a="1"/>
  <c r="O155" i="59" s="1"/>
  <c r="N155" i="59" a="1"/>
  <c r="N155" i="59" s="1"/>
  <c r="P155" i="59" a="1"/>
  <c r="P155" i="59" s="1"/>
  <c r="M155" i="59" a="1"/>
  <c r="M155" i="59" s="1"/>
  <c r="L155" i="59" a="1"/>
  <c r="L155" i="59" s="1"/>
  <c r="N123" i="59" a="1"/>
  <c r="N123" i="59" s="1"/>
  <c r="P123" i="59" a="1"/>
  <c r="P123" i="59" s="1"/>
  <c r="M123" i="59" a="1"/>
  <c r="M123" i="59" s="1"/>
  <c r="L123" i="59" a="1"/>
  <c r="L123" i="59" s="1"/>
  <c r="O123" i="59" a="1"/>
  <c r="O123" i="59" s="1"/>
  <c r="Q123" i="59" a="1"/>
  <c r="Q123" i="59" s="1"/>
  <c r="L159" i="59" a="1"/>
  <c r="L159" i="59" s="1"/>
  <c r="P159" i="59" a="1"/>
  <c r="P159" i="59" s="1"/>
  <c r="M159" i="59" a="1"/>
  <c r="M159" i="59" s="1"/>
  <c r="N159" i="59" a="1"/>
  <c r="N159" i="59" s="1"/>
  <c r="Q159" i="59" a="1"/>
  <c r="Q159" i="59" s="1"/>
  <c r="O159" i="59" a="1"/>
  <c r="O159" i="59" s="1"/>
  <c r="M149" i="59" a="1"/>
  <c r="M149" i="59" s="1"/>
  <c r="L149" i="59" a="1"/>
  <c r="L149" i="59" s="1"/>
  <c r="Q149" i="59" a="1"/>
  <c r="Q149" i="59" s="1"/>
  <c r="P149" i="59" a="1"/>
  <c r="P149" i="59" s="1"/>
  <c r="O149" i="59" a="1"/>
  <c r="O149" i="59" s="1"/>
  <c r="N149" i="59" a="1"/>
  <c r="N149" i="59" s="1"/>
  <c r="M99" i="59" a="1"/>
  <c r="M99" i="59" s="1"/>
  <c r="N99" i="59" a="1"/>
  <c r="N99" i="59" s="1"/>
  <c r="O99" i="59" a="1"/>
  <c r="O99" i="59" s="1"/>
  <c r="L99" i="59" a="1"/>
  <c r="L99" i="59" s="1"/>
  <c r="P99" i="59" a="1"/>
  <c r="P99" i="59" s="1"/>
  <c r="Q99" i="59" a="1"/>
  <c r="Q99" i="59" s="1"/>
  <c r="M64" i="59" a="1"/>
  <c r="M64" i="59" s="1"/>
  <c r="N64" i="59" a="1"/>
  <c r="N64" i="59" s="1"/>
  <c r="P64" i="59" a="1"/>
  <c r="P64" i="59" s="1"/>
  <c r="L64" i="59" a="1"/>
  <c r="L64" i="59" s="1"/>
  <c r="O64" i="59" a="1"/>
  <c r="O64" i="59" s="1"/>
  <c r="Q64" i="59" a="1"/>
  <c r="Q64" i="59" s="1"/>
  <c r="L124" i="59" a="1"/>
  <c r="L124" i="59" s="1"/>
  <c r="M124" i="59" a="1"/>
  <c r="M124" i="59" s="1"/>
  <c r="O124" i="59" a="1"/>
  <c r="O124" i="59" s="1"/>
  <c r="Q124" i="59" a="1"/>
  <c r="Q124" i="59" s="1"/>
  <c r="N124" i="59" a="1"/>
  <c r="N124" i="59" s="1"/>
  <c r="P124" i="59" a="1"/>
  <c r="P124" i="59" s="1"/>
  <c r="M97" i="59" a="1"/>
  <c r="M97" i="59" s="1"/>
  <c r="O97" i="59" a="1"/>
  <c r="O97" i="59" s="1"/>
  <c r="P97" i="59" a="1"/>
  <c r="P97" i="59" s="1"/>
  <c r="N97" i="59" a="1"/>
  <c r="N97" i="59" s="1"/>
  <c r="L97" i="59" a="1"/>
  <c r="L97" i="59" s="1"/>
  <c r="Q97" i="59" a="1"/>
  <c r="Q97" i="59" s="1"/>
  <c r="N67" i="59" a="1"/>
  <c r="N67" i="59" s="1"/>
  <c r="Q67" i="59" a="1"/>
  <c r="Q67" i="59" s="1"/>
  <c r="L67" i="59" a="1"/>
  <c r="L67" i="59" s="1"/>
  <c r="O67" i="59" a="1"/>
  <c r="O67" i="59" s="1"/>
  <c r="P67" i="59" a="1"/>
  <c r="P67" i="59" s="1"/>
  <c r="M67" i="59" a="1"/>
  <c r="M67" i="59" s="1"/>
  <c r="M102" i="59" a="1"/>
  <c r="M102" i="59" s="1"/>
  <c r="L102" i="59" a="1"/>
  <c r="L102" i="59" s="1"/>
  <c r="Q102" i="59" a="1"/>
  <c r="Q102" i="59" s="1"/>
  <c r="N102" i="59" a="1"/>
  <c r="N102" i="59" s="1"/>
  <c r="P102" i="59" a="1"/>
  <c r="P102" i="59" s="1"/>
  <c r="O102" i="59" a="1"/>
  <c r="O102" i="59" s="1"/>
  <c r="Q95" i="59" a="1"/>
  <c r="Q95" i="59" s="1"/>
  <c r="O95" i="59" a="1"/>
  <c r="O95" i="59" s="1"/>
  <c r="N95" i="59" a="1"/>
  <c r="N95" i="59" s="1"/>
  <c r="P95" i="59" a="1"/>
  <c r="P95" i="59" s="1"/>
  <c r="L95" i="59" a="1"/>
  <c r="L95" i="59" s="1"/>
  <c r="M95" i="59" a="1"/>
  <c r="M95" i="59" s="1"/>
  <c r="P98" i="59" a="1"/>
  <c r="P98" i="59" s="1"/>
  <c r="M98" i="59" a="1"/>
  <c r="M98" i="59" s="1"/>
  <c r="L98" i="59" a="1"/>
  <c r="L98" i="59" s="1"/>
  <c r="O98" i="59" a="1"/>
  <c r="O98" i="59" s="1"/>
  <c r="Q98" i="59" a="1"/>
  <c r="Q98" i="59" s="1"/>
  <c r="N98" i="59" a="1"/>
  <c r="N98" i="59" s="1"/>
  <c r="N40" i="59" a="1"/>
  <c r="N40" i="59" s="1"/>
  <c r="M40" i="59" a="1"/>
  <c r="M40" i="59" s="1"/>
  <c r="Q40" i="59" a="1"/>
  <c r="Q40" i="59" s="1"/>
  <c r="L40" i="59" a="1"/>
  <c r="L40" i="59" s="1"/>
  <c r="P40" i="59" a="1"/>
  <c r="P40" i="59" s="1"/>
  <c r="O40" i="59" a="1"/>
  <c r="O40" i="59" s="1"/>
  <c r="O24" i="59" a="1"/>
  <c r="O24" i="59" s="1"/>
  <c r="Q24" i="59" a="1"/>
  <c r="Q24" i="59" s="1"/>
  <c r="M24" i="59" a="1"/>
  <c r="M24" i="59" s="1"/>
  <c r="P24" i="59" a="1"/>
  <c r="P24" i="59" s="1"/>
  <c r="N24" i="59" a="1"/>
  <c r="N24" i="59" s="1"/>
  <c r="L24" i="59" a="1"/>
  <c r="L24" i="59" s="1"/>
  <c r="P8" i="59" a="1"/>
  <c r="P8" i="59" s="1"/>
  <c r="Q8" i="59" a="1"/>
  <c r="Q8" i="59" s="1"/>
  <c r="O8" i="59" a="1"/>
  <c r="O8" i="59" s="1"/>
  <c r="L8" i="59" a="1"/>
  <c r="L8" i="59" s="1"/>
  <c r="M8" i="59" a="1"/>
  <c r="M8" i="59" s="1"/>
  <c r="N8" i="59" a="1"/>
  <c r="N8" i="59" s="1"/>
  <c r="N37" i="59" a="1"/>
  <c r="N37" i="59" s="1"/>
  <c r="O37" i="59" a="1"/>
  <c r="O37" i="59" s="1"/>
  <c r="M37" i="59" a="1"/>
  <c r="M37" i="59" s="1"/>
  <c r="P37" i="59" a="1"/>
  <c r="P37" i="59" s="1"/>
  <c r="Q37" i="59" a="1"/>
  <c r="Q37" i="59" s="1"/>
  <c r="L37" i="59" a="1"/>
  <c r="L37" i="59" s="1"/>
  <c r="O9" i="59" a="1"/>
  <c r="O9" i="59" s="1"/>
  <c r="N9" i="59" a="1"/>
  <c r="N9" i="59" s="1"/>
  <c r="L9" i="59" a="1"/>
  <c r="L9" i="59" s="1"/>
  <c r="P9" i="59" a="1"/>
  <c r="P9" i="59" s="1"/>
  <c r="M9" i="59" a="1"/>
  <c r="M9" i="59" s="1"/>
  <c r="Q9" i="59" a="1"/>
  <c r="Q9" i="59" s="1"/>
  <c r="N12" i="59" a="1"/>
  <c r="N12" i="59" s="1"/>
  <c r="M12" i="59" a="1"/>
  <c r="M12" i="59" s="1"/>
  <c r="Q12" i="59" a="1"/>
  <c r="Q12" i="59" s="1"/>
  <c r="L12" i="59" a="1"/>
  <c r="L12" i="59" s="1"/>
  <c r="P12" i="59" a="1"/>
  <c r="P12" i="59" s="1"/>
  <c r="O12" i="59" a="1"/>
  <c r="O12" i="59" s="1"/>
  <c r="N4" i="59" a="1"/>
  <c r="N4" i="59" s="1"/>
  <c r="M4" i="59" a="1"/>
  <c r="M4" i="59" s="1"/>
  <c r="Q4" i="59" a="1"/>
  <c r="Q4" i="59" s="1"/>
  <c r="L4" i="59" a="1"/>
  <c r="L4" i="59" s="1"/>
  <c r="P4" i="59" a="1"/>
  <c r="P4" i="59" s="1"/>
  <c r="O4" i="59" a="1"/>
  <c r="O4" i="59" s="1"/>
  <c r="Z13" i="43"/>
  <c r="X23" i="43"/>
  <c r="X35" i="43"/>
  <c r="Z25" i="43"/>
  <c r="Z37" i="43"/>
  <c r="Z21" i="43"/>
  <c r="Z24" i="43"/>
  <c r="Z36" i="43"/>
  <c r="AE12" i="43"/>
  <c r="AH12" i="43" s="1"/>
  <c r="AG13" i="43" s="1"/>
  <c r="AI13" i="43" s="1"/>
  <c r="AE36" i="43"/>
  <c r="Z33" i="43"/>
  <c r="AE24" i="43"/>
  <c r="X19" i="43"/>
  <c r="X31" i="43"/>
  <c r="Z20" i="43"/>
  <c r="Z32" i="43"/>
  <c r="AE20" i="43"/>
  <c r="AE32" i="43"/>
  <c r="X15" i="43"/>
  <c r="X27" i="43"/>
  <c r="X39" i="43"/>
  <c r="Z16" i="43"/>
  <c r="Z28" i="43"/>
  <c r="Z40" i="43"/>
  <c r="AE16" i="43"/>
  <c r="AE28" i="43"/>
  <c r="AE40" i="43"/>
  <c r="Z17" i="43"/>
  <c r="Z29" i="43"/>
  <c r="Z41" i="43"/>
  <c r="Z12" i="43"/>
  <c r="AC12" i="43" s="1"/>
  <c r="Z14" i="43"/>
  <c r="Z18" i="43"/>
  <c r="Z22" i="43"/>
  <c r="Z26" i="43"/>
  <c r="Z30" i="43"/>
  <c r="Z34" i="43"/>
  <c r="Z38" i="43"/>
  <c r="Z42" i="43"/>
  <c r="AE13" i="43"/>
  <c r="AE17" i="43"/>
  <c r="AE21" i="43"/>
  <c r="AE25" i="43"/>
  <c r="AE29" i="43"/>
  <c r="AE33" i="43"/>
  <c r="AE37" i="43"/>
  <c r="AE41" i="43"/>
  <c r="AJ12" i="43"/>
  <c r="AM12" i="43" s="1"/>
  <c r="Y15" i="43"/>
  <c r="AJ16" i="43"/>
  <c r="Y19" i="43"/>
  <c r="AJ20" i="43"/>
  <c r="Y23" i="43"/>
  <c r="AJ24" i="43"/>
  <c r="Y27" i="43"/>
  <c r="AJ28" i="43"/>
  <c r="Y31" i="43"/>
  <c r="AJ32" i="43"/>
  <c r="Y35" i="43"/>
  <c r="AJ36" i="43"/>
  <c r="Y39" i="43"/>
  <c r="AJ40" i="43"/>
  <c r="Z15" i="43"/>
  <c r="Z19" i="43"/>
  <c r="Z23" i="43"/>
  <c r="Z27" i="43"/>
  <c r="Z31" i="43"/>
  <c r="Z35" i="43"/>
  <c r="Z39" i="43"/>
  <c r="X12" i="43"/>
  <c r="AE14" i="43"/>
  <c r="X16" i="43"/>
  <c r="AE18" i="43"/>
  <c r="X20" i="43"/>
  <c r="AE22" i="43"/>
  <c r="X24" i="43"/>
  <c r="AE26" i="43"/>
  <c r="X28" i="43"/>
  <c r="AE30" i="43"/>
  <c r="X32" i="43"/>
  <c r="AE34" i="43"/>
  <c r="X36" i="43"/>
  <c r="AE38" i="43"/>
  <c r="X40" i="43"/>
  <c r="AE42" i="43"/>
  <c r="AJ13" i="43"/>
  <c r="AJ17" i="43"/>
  <c r="AJ21" i="43"/>
  <c r="AJ25" i="43"/>
  <c r="AJ29" i="43"/>
  <c r="AJ33" i="43"/>
  <c r="AJ37" i="43"/>
  <c r="AJ41" i="43"/>
  <c r="X13" i="43"/>
  <c r="AE15" i="43"/>
  <c r="X17" i="43"/>
  <c r="AE19" i="43"/>
  <c r="X21" i="43"/>
  <c r="AE23" i="43"/>
  <c r="X25" i="43"/>
  <c r="AE27" i="43"/>
  <c r="X29" i="43"/>
  <c r="AE31" i="43"/>
  <c r="X33" i="43"/>
  <c r="AE35" i="43"/>
  <c r="X37" i="43"/>
  <c r="AE39" i="43"/>
  <c r="X41" i="43"/>
  <c r="AJ14" i="43"/>
  <c r="AJ18" i="43"/>
  <c r="AJ22" i="43"/>
  <c r="AJ26" i="43"/>
  <c r="AJ30" i="43"/>
  <c r="AJ34" i="43"/>
  <c r="AJ38" i="43"/>
  <c r="AJ42" i="43"/>
  <c r="X14" i="43"/>
  <c r="X18" i="43"/>
  <c r="X22" i="43"/>
  <c r="X26" i="43"/>
  <c r="X30" i="43"/>
  <c r="X34" i="43"/>
  <c r="X38" i="43"/>
  <c r="X42" i="43"/>
  <c r="C13" i="41"/>
  <c r="D56" i="50"/>
  <c r="E67" i="50"/>
  <c r="D61" i="51"/>
  <c r="D60" i="49"/>
  <c r="D66" i="52"/>
  <c r="E75" i="47"/>
  <c r="E58" i="48"/>
  <c r="D80" i="47"/>
  <c r="D58" i="50"/>
  <c r="D86" i="47"/>
  <c r="E86" i="47"/>
  <c r="E55" i="49"/>
  <c r="E61" i="50"/>
  <c r="D58" i="52"/>
  <c r="D60" i="50"/>
  <c r="D59" i="47"/>
  <c r="E85" i="47"/>
  <c r="D61" i="50"/>
  <c r="D74" i="47"/>
  <c r="D90" i="47"/>
  <c r="D60" i="52"/>
  <c r="E65" i="50"/>
  <c r="D59" i="50"/>
  <c r="E63" i="49"/>
  <c r="E64" i="49"/>
  <c r="D78" i="47"/>
  <c r="D77" i="47"/>
  <c r="E66" i="48"/>
  <c r="D62" i="49"/>
  <c r="E59" i="50"/>
  <c r="E67" i="48"/>
  <c r="D55" i="50"/>
  <c r="E66" i="51"/>
  <c r="E90" i="47"/>
  <c r="E68" i="49"/>
  <c r="E65" i="51"/>
  <c r="D65" i="52"/>
  <c r="D67" i="47"/>
  <c r="D57" i="47"/>
  <c r="D57" i="51"/>
  <c r="D72" i="47"/>
  <c r="D64" i="51"/>
  <c r="D58" i="48"/>
  <c r="D88" i="47"/>
  <c r="E76" i="47"/>
  <c r="D65" i="51"/>
  <c r="E68" i="51"/>
  <c r="D56" i="47"/>
  <c r="D66" i="49"/>
  <c r="E83" i="47"/>
  <c r="D62" i="50"/>
  <c r="D64" i="47"/>
  <c r="D68" i="52"/>
  <c r="D55" i="47"/>
  <c r="D55" i="48"/>
  <c r="D64" i="52"/>
  <c r="E66" i="52"/>
  <c r="E60" i="50"/>
  <c r="E62" i="51"/>
  <c r="E59" i="47"/>
  <c r="D59" i="52"/>
  <c r="D57" i="52"/>
  <c r="E55" i="52"/>
  <c r="D67" i="49"/>
  <c r="E79" i="47"/>
  <c r="E63" i="52"/>
  <c r="D66" i="47"/>
  <c r="E56" i="47"/>
  <c r="E59" i="52"/>
  <c r="D59" i="51"/>
  <c r="D59" i="49"/>
  <c r="D76" i="47"/>
  <c r="D57" i="48"/>
  <c r="E63" i="48"/>
  <c r="E71" i="47"/>
  <c r="E56" i="51"/>
  <c r="D68" i="50"/>
  <c r="D57" i="50"/>
  <c r="D75" i="47"/>
  <c r="E58" i="52"/>
  <c r="D63" i="49"/>
  <c r="E91" i="47"/>
  <c r="D67" i="50"/>
  <c r="E80" i="47"/>
  <c r="D56" i="49"/>
  <c r="D66" i="51"/>
  <c r="E62" i="49"/>
  <c r="E67" i="47"/>
  <c r="D65" i="49"/>
  <c r="E73" i="47"/>
  <c r="E68" i="48"/>
  <c r="E61" i="49"/>
  <c r="E77" i="47"/>
  <c r="E65" i="48"/>
  <c r="E63" i="50"/>
  <c r="E57" i="50"/>
  <c r="D57" i="49"/>
  <c r="D63" i="47"/>
  <c r="E65" i="47"/>
  <c r="D62" i="47"/>
  <c r="E57" i="52"/>
  <c r="D61" i="52"/>
  <c r="D61" i="47"/>
  <c r="E55" i="51"/>
  <c r="E57" i="47"/>
  <c r="D56" i="51"/>
  <c r="D92" i="47"/>
  <c r="E62" i="50"/>
  <c r="E67" i="49"/>
  <c r="E60" i="51"/>
  <c r="E82" i="47"/>
  <c r="D68" i="49"/>
  <c r="E60" i="48"/>
  <c r="E89" i="47"/>
  <c r="E63" i="47"/>
  <c r="E66" i="49"/>
  <c r="E57" i="48"/>
  <c r="E64" i="50"/>
  <c r="E66" i="47"/>
  <c r="D84" i="47"/>
  <c r="E55" i="50"/>
  <c r="D66" i="50"/>
  <c r="E64" i="51"/>
  <c r="D67" i="52"/>
  <c r="D60" i="47"/>
  <c r="D67" i="51"/>
  <c r="E78" i="47"/>
  <c r="D59" i="48"/>
  <c r="D73" i="47"/>
  <c r="D63" i="52"/>
  <c r="D63" i="48"/>
  <c r="E60" i="47"/>
  <c r="D68" i="48"/>
  <c r="D62" i="51"/>
  <c r="D64" i="48"/>
  <c r="E57" i="49"/>
  <c r="E55" i="47"/>
  <c r="E81" i="47"/>
  <c r="D60" i="51"/>
  <c r="E74" i="47"/>
  <c r="D63" i="50"/>
  <c r="E60" i="52"/>
  <c r="D55" i="51"/>
  <c r="D62" i="52"/>
  <c r="E60" i="49"/>
  <c r="D68" i="47"/>
  <c r="E65" i="49"/>
  <c r="D58" i="51"/>
  <c r="D55" i="49"/>
  <c r="D89" i="47"/>
  <c r="E65" i="52"/>
  <c r="D66" i="48"/>
  <c r="E62" i="52"/>
  <c r="D68" i="51"/>
  <c r="E88" i="47"/>
  <c r="E61" i="47"/>
  <c r="E70" i="47"/>
  <c r="E68" i="50"/>
  <c r="D65" i="50"/>
  <c r="D71" i="47"/>
  <c r="E68" i="47"/>
  <c r="D64" i="50"/>
  <c r="D64" i="49"/>
  <c r="E59" i="48"/>
  <c r="E55" i="48"/>
  <c r="E69" i="47"/>
  <c r="D58" i="47"/>
  <c r="E87" i="47"/>
  <c r="E92" i="47"/>
  <c r="D85" i="47"/>
  <c r="E64" i="52"/>
  <c r="E61" i="52"/>
  <c r="D70" i="47"/>
  <c r="D69" i="47"/>
  <c r="E84" i="47"/>
  <c r="D65" i="47"/>
  <c r="E62" i="48"/>
  <c r="E67" i="51"/>
  <c r="D58" i="49"/>
  <c r="E56" i="52"/>
  <c r="E64" i="48"/>
  <c r="D91" i="47"/>
  <c r="E58" i="50"/>
  <c r="E56" i="48"/>
  <c r="E68" i="52"/>
  <c r="E56" i="50"/>
  <c r="D82" i="47"/>
  <c r="E56" i="49"/>
  <c r="D61" i="48"/>
  <c r="D55" i="52"/>
  <c r="D67" i="48"/>
  <c r="D87" i="47"/>
  <c r="E63" i="51"/>
  <c r="D56" i="48"/>
  <c r="E66" i="50"/>
  <c r="E64" i="47"/>
  <c r="D62" i="48"/>
  <c r="E59" i="51"/>
  <c r="D63" i="51"/>
  <c r="E58" i="51"/>
  <c r="D56" i="52"/>
  <c r="E57" i="51"/>
  <c r="E72" i="47"/>
  <c r="E59" i="49"/>
  <c r="D79" i="47"/>
  <c r="D81" i="47"/>
  <c r="E58" i="49"/>
  <c r="E62" i="47"/>
  <c r="E67" i="52"/>
  <c r="D61" i="49"/>
  <c r="D65" i="48"/>
  <c r="D83" i="47"/>
  <c r="E61" i="48"/>
  <c r="D60" i="48"/>
  <c r="E61" i="51"/>
  <c r="E58" i="47"/>
  <c r="A20" i="59" l="1"/>
  <c r="A14" i="59"/>
  <c r="A22" i="59" s="1" a="1"/>
  <c r="A22" i="59" s="1"/>
  <c r="AB13" i="43"/>
  <c r="AD13" i="43" s="1"/>
  <c r="AH13" i="43"/>
  <c r="AG14" i="43" s="1"/>
  <c r="AI14" i="43" s="1"/>
  <c r="AL13" i="43"/>
  <c r="AN13" i="43" s="1"/>
  <c r="C14" i="41"/>
  <c r="A24" i="59" l="1"/>
  <c r="A26" i="59"/>
  <c r="AC13" i="43"/>
  <c r="AB14" i="43" s="1"/>
  <c r="AD14" i="43" s="1"/>
  <c r="AH14" i="43"/>
  <c r="AG15" i="43" s="1"/>
  <c r="AH15" i="43" s="1"/>
  <c r="AG16" i="43" s="1"/>
  <c r="AH16" i="43" s="1"/>
  <c r="AG17" i="43" s="1"/>
  <c r="AH17" i="43" s="1"/>
  <c r="AG18" i="43" s="1"/>
  <c r="AH18" i="43" s="1"/>
  <c r="AG19" i="43" s="1"/>
  <c r="AH19" i="43" s="1"/>
  <c r="AG20" i="43" s="1"/>
  <c r="AH20" i="43" s="1"/>
  <c r="AG21" i="43" s="1"/>
  <c r="AH21" i="43" s="1"/>
  <c r="AG22" i="43" s="1"/>
  <c r="AH22" i="43" s="1"/>
  <c r="AG23" i="43" s="1"/>
  <c r="AH23" i="43" s="1"/>
  <c r="AG24" i="43" s="1"/>
  <c r="AH24" i="43" s="1"/>
  <c r="AG25" i="43" s="1"/>
  <c r="AH25" i="43" s="1"/>
  <c r="AG26" i="43" s="1"/>
  <c r="AH26" i="43" s="1"/>
  <c r="AG27" i="43" s="1"/>
  <c r="AH27" i="43" s="1"/>
  <c r="AG28" i="43" s="1"/>
  <c r="AH28" i="43" s="1"/>
  <c r="AG29" i="43" s="1"/>
  <c r="AH29" i="43" s="1"/>
  <c r="AG30" i="43" s="1"/>
  <c r="AH30" i="43" s="1"/>
  <c r="AG31" i="43" s="1"/>
  <c r="AH31" i="43" s="1"/>
  <c r="AG32" i="43" s="1"/>
  <c r="AH32" i="43" s="1"/>
  <c r="AG33" i="43" s="1"/>
  <c r="AH33" i="43" s="1"/>
  <c r="AG34" i="43" s="1"/>
  <c r="AH34" i="43" s="1"/>
  <c r="AG35" i="43" s="1"/>
  <c r="AH35" i="43" s="1"/>
  <c r="AG36" i="43" s="1"/>
  <c r="AH36" i="43" s="1"/>
  <c r="AG37" i="43" s="1"/>
  <c r="AH37" i="43" s="1"/>
  <c r="AG38" i="43" s="1"/>
  <c r="AH38" i="43" s="1"/>
  <c r="AG39" i="43" s="1"/>
  <c r="AH39" i="43" s="1"/>
  <c r="AG40" i="43" s="1"/>
  <c r="AH40" i="43" s="1"/>
  <c r="AG41" i="43" s="1"/>
  <c r="AH41" i="43" s="1"/>
  <c r="AG42" i="43" s="1"/>
  <c r="AH42" i="43" s="1"/>
  <c r="AM13" i="43"/>
  <c r="C15" i="41"/>
  <c r="AI15" i="43" l="1"/>
  <c r="AI16" i="43" s="1"/>
  <c r="AI17" i="43" s="1"/>
  <c r="AI18" i="43" s="1"/>
  <c r="AI19" i="43" s="1"/>
  <c r="AI20" i="43" s="1"/>
  <c r="AI21" i="43" s="1"/>
  <c r="AI22" i="43" s="1"/>
  <c r="AI23" i="43" s="1"/>
  <c r="AI24" i="43" s="1"/>
  <c r="AI25" i="43" s="1"/>
  <c r="AI26" i="43" s="1"/>
  <c r="AI27" i="43" s="1"/>
  <c r="AI28" i="43" s="1"/>
  <c r="AI29" i="43" s="1"/>
  <c r="AI30" i="43" s="1"/>
  <c r="AI31" i="43" s="1"/>
  <c r="AI32" i="43" s="1"/>
  <c r="AI33" i="43" s="1"/>
  <c r="AI34" i="43" s="1"/>
  <c r="AI35" i="43" s="1"/>
  <c r="AI36" i="43" s="1"/>
  <c r="AI37" i="43" s="1"/>
  <c r="AI38" i="43" s="1"/>
  <c r="AI39" i="43" s="1"/>
  <c r="AI40" i="43" s="1"/>
  <c r="AI41" i="43" s="1"/>
  <c r="AI42" i="43" s="1"/>
  <c r="AC14" i="43"/>
  <c r="AL14" i="43"/>
  <c r="AN14" i="43" s="1"/>
  <c r="C16" i="41"/>
  <c r="D12" i="40"/>
  <c r="B191" i="40" s="1"/>
  <c r="C191" i="40" s="1"/>
  <c r="AM14" i="43" l="1"/>
  <c r="AB15" i="43"/>
  <c r="AD15" i="43" s="1"/>
  <c r="B28" i="40"/>
  <c r="F28" i="40" s="1"/>
  <c r="B58" i="40"/>
  <c r="G58" i="40" s="1"/>
  <c r="B90" i="40"/>
  <c r="F90" i="40" s="1"/>
  <c r="B122" i="40"/>
  <c r="F122" i="40" s="1"/>
  <c r="B52" i="40"/>
  <c r="F52" i="40" s="1"/>
  <c r="B23" i="40"/>
  <c r="G23" i="40" s="1"/>
  <c r="B32" i="40"/>
  <c r="G32" i="40" s="1"/>
  <c r="B47" i="40"/>
  <c r="C47" i="40" s="1"/>
  <c r="B78" i="40"/>
  <c r="G78" i="40" s="1"/>
  <c r="B118" i="40"/>
  <c r="F118" i="40" s="1"/>
  <c r="B134" i="40"/>
  <c r="F134" i="40" s="1"/>
  <c r="B19" i="40"/>
  <c r="C19" i="40" s="1"/>
  <c r="B27" i="40"/>
  <c r="C27" i="40" s="1"/>
  <c r="B35" i="40"/>
  <c r="C35" i="40" s="1"/>
  <c r="B43" i="40"/>
  <c r="C43" i="40" s="1"/>
  <c r="B50" i="40"/>
  <c r="G50" i="40" s="1"/>
  <c r="B57" i="40"/>
  <c r="G57" i="40" s="1"/>
  <c r="B65" i="40"/>
  <c r="G65" i="40" s="1"/>
  <c r="B73" i="40"/>
  <c r="G73" i="40" s="1"/>
  <c r="B81" i="40"/>
  <c r="G81" i="40" s="1"/>
  <c r="B89" i="40"/>
  <c r="G89" i="40" s="1"/>
  <c r="B97" i="40"/>
  <c r="G97" i="40" s="1"/>
  <c r="B105" i="40"/>
  <c r="F105" i="40" s="1"/>
  <c r="B113" i="40"/>
  <c r="F113" i="40" s="1"/>
  <c r="B121" i="40"/>
  <c r="F121" i="40" s="1"/>
  <c r="B129" i="40"/>
  <c r="F129" i="40" s="1"/>
  <c r="B170" i="40"/>
  <c r="G170" i="40" s="1"/>
  <c r="B44" i="40"/>
  <c r="F44" i="40" s="1"/>
  <c r="B82" i="40"/>
  <c r="G82" i="40" s="1"/>
  <c r="B114" i="40"/>
  <c r="G114" i="40" s="1"/>
  <c r="B45" i="40"/>
  <c r="G45" i="40" s="1"/>
  <c r="B75" i="40"/>
  <c r="G75" i="40" s="1"/>
  <c r="B83" i="40"/>
  <c r="F83" i="40" s="1"/>
  <c r="B91" i="40"/>
  <c r="F91" i="40" s="1"/>
  <c r="B99" i="40"/>
  <c r="G99" i="40" s="1"/>
  <c r="B107" i="40"/>
  <c r="C107" i="40" s="1"/>
  <c r="B115" i="40"/>
  <c r="G115" i="40" s="1"/>
  <c r="B123" i="40"/>
  <c r="C123" i="40" s="1"/>
  <c r="B131" i="40"/>
  <c r="F131" i="40" s="1"/>
  <c r="B22" i="40"/>
  <c r="F22" i="40" s="1"/>
  <c r="B30" i="40"/>
  <c r="G30" i="40" s="1"/>
  <c r="B38" i="40"/>
  <c r="F38" i="40" s="1"/>
  <c r="B46" i="40"/>
  <c r="F46" i="40" s="1"/>
  <c r="B53" i="40"/>
  <c r="F53" i="40" s="1"/>
  <c r="B60" i="40"/>
  <c r="G60" i="40" s="1"/>
  <c r="B68" i="40"/>
  <c r="F68" i="40" s="1"/>
  <c r="B76" i="40"/>
  <c r="F76" i="40" s="1"/>
  <c r="B84" i="40"/>
  <c r="F84" i="40" s="1"/>
  <c r="B92" i="40"/>
  <c r="G92" i="40" s="1"/>
  <c r="B100" i="40"/>
  <c r="C100" i="40" s="1"/>
  <c r="B108" i="40"/>
  <c r="F108" i="40" s="1"/>
  <c r="B116" i="40"/>
  <c r="G116" i="40" s="1"/>
  <c r="B124" i="40"/>
  <c r="F124" i="40" s="1"/>
  <c r="B132" i="40"/>
  <c r="C132" i="40" s="1"/>
  <c r="B20" i="40"/>
  <c r="G20" i="40" s="1"/>
  <c r="B51" i="40"/>
  <c r="C51" i="40" s="1"/>
  <c r="B74" i="40"/>
  <c r="G74" i="40" s="1"/>
  <c r="B106" i="40"/>
  <c r="G106" i="40" s="1"/>
  <c r="B37" i="40"/>
  <c r="G37" i="40" s="1"/>
  <c r="B61" i="40"/>
  <c r="G61" i="40" s="1"/>
  <c r="B69" i="40"/>
  <c r="G69" i="40" s="1"/>
  <c r="B77" i="40"/>
  <c r="G77" i="40" s="1"/>
  <c r="B85" i="40"/>
  <c r="G85" i="40" s="1"/>
  <c r="B93" i="40"/>
  <c r="G93" i="40" s="1"/>
  <c r="B101" i="40"/>
  <c r="C101" i="40" s="1"/>
  <c r="B109" i="40"/>
  <c r="G109" i="40" s="1"/>
  <c r="B117" i="40"/>
  <c r="G117" i="40" s="1"/>
  <c r="B125" i="40"/>
  <c r="G125" i="40" s="1"/>
  <c r="B133" i="40"/>
  <c r="G133" i="40" s="1"/>
  <c r="B29" i="40"/>
  <c r="G29" i="40" s="1"/>
  <c r="B67" i="40"/>
  <c r="F67" i="40" s="1"/>
  <c r="B39" i="40"/>
  <c r="G39" i="40" s="1"/>
  <c r="B40" i="40"/>
  <c r="G40" i="40" s="1"/>
  <c r="B62" i="40"/>
  <c r="G62" i="40" s="1"/>
  <c r="B86" i="40"/>
  <c r="F86" i="40" s="1"/>
  <c r="B110" i="40"/>
  <c r="C110" i="40" s="1"/>
  <c r="B17" i="40"/>
  <c r="C17" i="40" s="1"/>
  <c r="B25" i="40"/>
  <c r="C25" i="40" s="1"/>
  <c r="B33" i="40"/>
  <c r="F33" i="40" s="1"/>
  <c r="B41" i="40"/>
  <c r="C41" i="40" s="1"/>
  <c r="B48" i="40"/>
  <c r="G48" i="40" s="1"/>
  <c r="B55" i="40"/>
  <c r="C55" i="40" s="1"/>
  <c r="B63" i="40"/>
  <c r="C63" i="40" s="1"/>
  <c r="B71" i="40"/>
  <c r="C71" i="40" s="1"/>
  <c r="B79" i="40"/>
  <c r="C79" i="40" s="1"/>
  <c r="B87" i="40"/>
  <c r="C87" i="40" s="1"/>
  <c r="B95" i="40"/>
  <c r="C95" i="40" s="1"/>
  <c r="B103" i="40"/>
  <c r="C103" i="40" s="1"/>
  <c r="B111" i="40"/>
  <c r="G111" i="40" s="1"/>
  <c r="B119" i="40"/>
  <c r="F119" i="40" s="1"/>
  <c r="B127" i="40"/>
  <c r="G127" i="40" s="1"/>
  <c r="B136" i="40"/>
  <c r="G136" i="40" s="1"/>
  <c r="B36" i="40"/>
  <c r="G36" i="40" s="1"/>
  <c r="B66" i="40"/>
  <c r="C66" i="40" s="1"/>
  <c r="B98" i="40"/>
  <c r="F98" i="40" s="1"/>
  <c r="B130" i="40"/>
  <c r="G130" i="40" s="1"/>
  <c r="B21" i="40"/>
  <c r="F21" i="40" s="1"/>
  <c r="B59" i="40"/>
  <c r="F59" i="40" s="1"/>
  <c r="B31" i="40"/>
  <c r="C31" i="40" s="1"/>
  <c r="B24" i="40"/>
  <c r="F24" i="40" s="1"/>
  <c r="B54" i="40"/>
  <c r="F54" i="40" s="1"/>
  <c r="B70" i="40"/>
  <c r="G70" i="40" s="1"/>
  <c r="B94" i="40"/>
  <c r="C94" i="40" s="1"/>
  <c r="B102" i="40"/>
  <c r="G102" i="40" s="1"/>
  <c r="B126" i="40"/>
  <c r="C126" i="40" s="1"/>
  <c r="B18" i="40"/>
  <c r="G18" i="40" s="1"/>
  <c r="B26" i="40"/>
  <c r="C26" i="40" s="1"/>
  <c r="B34" i="40"/>
  <c r="F34" i="40" s="1"/>
  <c r="B42" i="40"/>
  <c r="G42" i="40" s="1"/>
  <c r="B49" i="40"/>
  <c r="G49" i="40" s="1"/>
  <c r="B56" i="40"/>
  <c r="G56" i="40" s="1"/>
  <c r="B64" i="40"/>
  <c r="C64" i="40" s="1"/>
  <c r="B72" i="40"/>
  <c r="F72" i="40" s="1"/>
  <c r="B80" i="40"/>
  <c r="F80" i="40" s="1"/>
  <c r="B88" i="40"/>
  <c r="G88" i="40" s="1"/>
  <c r="B96" i="40"/>
  <c r="F96" i="40" s="1"/>
  <c r="B104" i="40"/>
  <c r="G104" i="40" s="1"/>
  <c r="B112" i="40"/>
  <c r="G112" i="40" s="1"/>
  <c r="B120" i="40"/>
  <c r="G120" i="40" s="1"/>
  <c r="B128" i="40"/>
  <c r="F128" i="40" s="1"/>
  <c r="B137" i="40"/>
  <c r="F137" i="40" s="1"/>
  <c r="B138" i="40"/>
  <c r="F138" i="40" s="1"/>
  <c r="B139" i="40"/>
  <c r="F139" i="40" s="1"/>
  <c r="B142" i="40"/>
  <c r="F142" i="40" s="1"/>
  <c r="B145" i="40"/>
  <c r="G145" i="40" s="1"/>
  <c r="B166" i="40"/>
  <c r="G166" i="40" s="1"/>
  <c r="B143" i="40"/>
  <c r="G143" i="40" s="1"/>
  <c r="B146" i="40"/>
  <c r="G146" i="40" s="1"/>
  <c r="B150" i="40"/>
  <c r="G150" i="40" s="1"/>
  <c r="B158" i="40"/>
  <c r="F158" i="40" s="1"/>
  <c r="B148" i="40"/>
  <c r="C148" i="40" s="1"/>
  <c r="B152" i="40"/>
  <c r="G152" i="40" s="1"/>
  <c r="B154" i="40"/>
  <c r="F154" i="40" s="1"/>
  <c r="C17" i="41"/>
  <c r="B159" i="40"/>
  <c r="B168" i="40"/>
  <c r="C168" i="40" s="1"/>
  <c r="B135" i="40"/>
  <c r="F135" i="40" s="1"/>
  <c r="B140" i="40"/>
  <c r="G140" i="40" s="1"/>
  <c r="B147" i="40"/>
  <c r="G147" i="40" s="1"/>
  <c r="B153" i="40"/>
  <c r="G153" i="40" s="1"/>
  <c r="B160" i="40"/>
  <c r="F160" i="40" s="1"/>
  <c r="B172" i="40"/>
  <c r="G172" i="40" s="1"/>
  <c r="B161" i="40"/>
  <c r="F161" i="40" s="1"/>
  <c r="B180" i="40"/>
  <c r="G180" i="40" s="1"/>
  <c r="B155" i="40"/>
  <c r="G155" i="40" s="1"/>
  <c r="B182" i="40"/>
  <c r="G182" i="40" s="1"/>
  <c r="B162" i="40"/>
  <c r="G162" i="40" s="1"/>
  <c r="B190" i="40"/>
  <c r="G190" i="40" s="1"/>
  <c r="B144" i="40"/>
  <c r="C144" i="40" s="1"/>
  <c r="B151" i="40"/>
  <c r="B156" i="40"/>
  <c r="F156" i="40" s="1"/>
  <c r="B164" i="40"/>
  <c r="G164" i="40" s="1"/>
  <c r="B192" i="40"/>
  <c r="G192" i="40" s="1"/>
  <c r="D11" i="40"/>
  <c r="B184" i="40"/>
  <c r="E184" i="40" s="1"/>
  <c r="B194" i="40"/>
  <c r="C194" i="40" s="1"/>
  <c r="B174" i="40"/>
  <c r="F174" i="40" s="1"/>
  <c r="B186" i="40"/>
  <c r="G186" i="40" s="1"/>
  <c r="B176" i="40"/>
  <c r="F176" i="40" s="1"/>
  <c r="B196" i="40"/>
  <c r="E196" i="40" s="1"/>
  <c r="B178" i="40"/>
  <c r="G178" i="40" s="1"/>
  <c r="B188" i="40"/>
  <c r="E188" i="40" s="1"/>
  <c r="B198" i="40"/>
  <c r="G198" i="40" s="1"/>
  <c r="F107" i="40"/>
  <c r="G191" i="40"/>
  <c r="F191" i="40"/>
  <c r="E191" i="40"/>
  <c r="B141" i="40"/>
  <c r="B149" i="40"/>
  <c r="B157" i="40"/>
  <c r="B165" i="40"/>
  <c r="B173" i="40"/>
  <c r="B181" i="40"/>
  <c r="B189" i="40"/>
  <c r="B197" i="40"/>
  <c r="B163" i="40"/>
  <c r="B171" i="40"/>
  <c r="B179" i="40"/>
  <c r="B187" i="40"/>
  <c r="B195" i="40"/>
  <c r="B169" i="40"/>
  <c r="B177" i="40"/>
  <c r="B185" i="40"/>
  <c r="B193" i="40"/>
  <c r="B167" i="40"/>
  <c r="B175" i="40"/>
  <c r="B183" i="40"/>
  <c r="G107" i="40" l="1"/>
  <c r="C81" i="40"/>
  <c r="G19" i="40"/>
  <c r="F81" i="40"/>
  <c r="G122" i="40"/>
  <c r="C61" i="40"/>
  <c r="C136" i="40"/>
  <c r="F19" i="40"/>
  <c r="F61" i="40"/>
  <c r="C116" i="40"/>
  <c r="G44" i="40"/>
  <c r="C125" i="40"/>
  <c r="C122" i="40"/>
  <c r="G108" i="40"/>
  <c r="G63" i="40"/>
  <c r="G26" i="40"/>
  <c r="C134" i="40"/>
  <c r="F99" i="40"/>
  <c r="G134" i="40"/>
  <c r="C90" i="40"/>
  <c r="G86" i="40"/>
  <c r="C170" i="40"/>
  <c r="F127" i="40"/>
  <c r="C99" i="40"/>
  <c r="C108" i="40"/>
  <c r="F31" i="40"/>
  <c r="F170" i="40"/>
  <c r="G90" i="40"/>
  <c r="C86" i="40"/>
  <c r="C117" i="40"/>
  <c r="C158" i="40"/>
  <c r="C118" i="40"/>
  <c r="C59" i="40"/>
  <c r="C28" i="40"/>
  <c r="G121" i="40"/>
  <c r="C83" i="40"/>
  <c r="C106" i="40"/>
  <c r="G138" i="40"/>
  <c r="C62" i="40"/>
  <c r="E150" i="40"/>
  <c r="G100" i="40"/>
  <c r="C121" i="40"/>
  <c r="G28" i="40"/>
  <c r="F190" i="40"/>
  <c r="E138" i="40"/>
  <c r="C138" i="40"/>
  <c r="F150" i="40"/>
  <c r="G91" i="40"/>
  <c r="G129" i="40"/>
  <c r="C150" i="40"/>
  <c r="G59" i="40"/>
  <c r="C18" i="40"/>
  <c r="F100" i="40"/>
  <c r="E164" i="40"/>
  <c r="E190" i="40"/>
  <c r="C129" i="40"/>
  <c r="C58" i="40"/>
  <c r="G118" i="40"/>
  <c r="F58" i="40"/>
  <c r="C91" i="40"/>
  <c r="G55" i="40"/>
  <c r="C36" i="40"/>
  <c r="C60" i="40"/>
  <c r="F36" i="40"/>
  <c r="G27" i="40"/>
  <c r="F79" i="40"/>
  <c r="F27" i="40"/>
  <c r="C115" i="40"/>
  <c r="C42" i="40"/>
  <c r="C82" i="40"/>
  <c r="F82" i="40"/>
  <c r="F89" i="40"/>
  <c r="F104" i="40"/>
  <c r="E115" i="40"/>
  <c r="C146" i="40"/>
  <c r="C21" i="40"/>
  <c r="C111" i="40"/>
  <c r="E146" i="40"/>
  <c r="F146" i="40"/>
  <c r="G126" i="40"/>
  <c r="G83" i="40"/>
  <c r="F74" i="40"/>
  <c r="F78" i="40"/>
  <c r="C74" i="40"/>
  <c r="C92" i="40"/>
  <c r="F126" i="40"/>
  <c r="F92" i="40"/>
  <c r="C188" i="40"/>
  <c r="C49" i="40"/>
  <c r="F29" i="40"/>
  <c r="G79" i="40"/>
  <c r="F60" i="40"/>
  <c r="F18" i="40"/>
  <c r="F55" i="40"/>
  <c r="F106" i="40"/>
  <c r="F115" i="40"/>
  <c r="F62" i="40"/>
  <c r="C192" i="40"/>
  <c r="C73" i="40"/>
  <c r="E192" i="40"/>
  <c r="F192" i="40"/>
  <c r="C127" i="40"/>
  <c r="AC15" i="43"/>
  <c r="C88" i="40"/>
  <c r="AL15" i="43"/>
  <c r="AN15" i="43" s="1"/>
  <c r="F65" i="40"/>
  <c r="C119" i="40"/>
  <c r="F111" i="40"/>
  <c r="C57" i="40"/>
  <c r="F63" i="40"/>
  <c r="C30" i="40"/>
  <c r="F37" i="40"/>
  <c r="F30" i="40"/>
  <c r="G38" i="40"/>
  <c r="C109" i="40"/>
  <c r="G119" i="40"/>
  <c r="C124" i="40"/>
  <c r="F17" i="40"/>
  <c r="C38" i="40"/>
  <c r="C80" i="40"/>
  <c r="C135" i="40"/>
  <c r="G17" i="40"/>
  <c r="C65" i="40"/>
  <c r="F116" i="40"/>
  <c r="C180" i="40"/>
  <c r="C44" i="40"/>
  <c r="G54" i="40"/>
  <c r="F109" i="40"/>
  <c r="G80" i="40"/>
  <c r="F145" i="40"/>
  <c r="C142" i="40"/>
  <c r="G142" i="40"/>
  <c r="C37" i="40"/>
  <c r="C23" i="40"/>
  <c r="F110" i="40"/>
  <c r="C52" i="40"/>
  <c r="G124" i="40"/>
  <c r="G87" i="40"/>
  <c r="E166" i="40"/>
  <c r="C112" i="40"/>
  <c r="C172" i="40"/>
  <c r="C114" i="40"/>
  <c r="F166" i="40"/>
  <c r="C97" i="40"/>
  <c r="E123" i="40"/>
  <c r="C131" i="40"/>
  <c r="F35" i="40"/>
  <c r="F123" i="40"/>
  <c r="G25" i="40"/>
  <c r="F132" i="40"/>
  <c r="G176" i="40"/>
  <c r="F66" i="40"/>
  <c r="F94" i="40"/>
  <c r="C176" i="40"/>
  <c r="G110" i="40"/>
  <c r="C34" i="40"/>
  <c r="F101" i="40"/>
  <c r="C137" i="40"/>
  <c r="C190" i="40"/>
  <c r="F40" i="40"/>
  <c r="F125" i="40"/>
  <c r="G34" i="40"/>
  <c r="G96" i="40"/>
  <c r="C184" i="40"/>
  <c r="F136" i="40"/>
  <c r="C96" i="40"/>
  <c r="F71" i="40"/>
  <c r="C162" i="40"/>
  <c r="F153" i="40"/>
  <c r="E182" i="40"/>
  <c r="G24" i="40"/>
  <c r="C24" i="40"/>
  <c r="G71" i="40"/>
  <c r="C78" i="40"/>
  <c r="G137" i="40"/>
  <c r="F182" i="40"/>
  <c r="G148" i="40"/>
  <c r="C75" i="40"/>
  <c r="F50" i="40"/>
  <c r="E168" i="40"/>
  <c r="F130" i="40"/>
  <c r="G47" i="40"/>
  <c r="E159" i="40"/>
  <c r="G22" i="40"/>
  <c r="F93" i="40"/>
  <c r="F75" i="40"/>
  <c r="G43" i="40"/>
  <c r="F69" i="40"/>
  <c r="C104" i="40"/>
  <c r="C93" i="40"/>
  <c r="C69" i="40"/>
  <c r="G64" i="40"/>
  <c r="F148" i="40"/>
  <c r="F47" i="40"/>
  <c r="C22" i="40"/>
  <c r="F51" i="40"/>
  <c r="C128" i="40"/>
  <c r="E158" i="40"/>
  <c r="E176" i="40"/>
  <c r="C102" i="40"/>
  <c r="G41" i="40"/>
  <c r="F39" i="40"/>
  <c r="F143" i="40"/>
  <c r="F133" i="40"/>
  <c r="C130" i="40"/>
  <c r="G156" i="40"/>
  <c r="F102" i="40"/>
  <c r="C76" i="40"/>
  <c r="C39" i="40"/>
  <c r="G84" i="40"/>
  <c r="G158" i="40"/>
  <c r="C89" i="40"/>
  <c r="F103" i="40"/>
  <c r="F42" i="40"/>
  <c r="C113" i="40"/>
  <c r="F41" i="40"/>
  <c r="G128" i="40"/>
  <c r="G103" i="40"/>
  <c r="G51" i="40"/>
  <c r="C50" i="40"/>
  <c r="G113" i="40"/>
  <c r="G52" i="40"/>
  <c r="F64" i="40"/>
  <c r="C145" i="40"/>
  <c r="E180" i="40"/>
  <c r="E148" i="40"/>
  <c r="C84" i="40"/>
  <c r="C54" i="40"/>
  <c r="C133" i="40"/>
  <c r="C45" i="40"/>
  <c r="G159" i="40"/>
  <c r="F147" i="40"/>
  <c r="F184" i="40"/>
  <c r="G95" i="40"/>
  <c r="C29" i="40"/>
  <c r="G98" i="40"/>
  <c r="G66" i="40"/>
  <c r="E114" i="40"/>
  <c r="C166" i="40"/>
  <c r="G184" i="40"/>
  <c r="F49" i="40"/>
  <c r="F85" i="40"/>
  <c r="G76" i="40"/>
  <c r="G35" i="40"/>
  <c r="G94" i="40"/>
  <c r="G131" i="40"/>
  <c r="C20" i="40"/>
  <c r="F43" i="40"/>
  <c r="F95" i="40"/>
  <c r="G33" i="40"/>
  <c r="F25" i="40"/>
  <c r="F70" i="40"/>
  <c r="F117" i="40"/>
  <c r="C40" i="40"/>
  <c r="C77" i="40"/>
  <c r="G21" i="40"/>
  <c r="F26" i="40"/>
  <c r="F88" i="40"/>
  <c r="F77" i="40"/>
  <c r="C48" i="40"/>
  <c r="G72" i="40"/>
  <c r="G67" i="40"/>
  <c r="F112" i="40"/>
  <c r="C33" i="40"/>
  <c r="C72" i="40"/>
  <c r="G101" i="40"/>
  <c r="F87" i="40"/>
  <c r="C67" i="40"/>
  <c r="G53" i="40"/>
  <c r="C53" i="40"/>
  <c r="F120" i="40"/>
  <c r="C98" i="40"/>
  <c r="C85" i="40"/>
  <c r="G46" i="40"/>
  <c r="C46" i="40"/>
  <c r="C120" i="40"/>
  <c r="C68" i="40"/>
  <c r="F23" i="40"/>
  <c r="C147" i="40"/>
  <c r="C105" i="40"/>
  <c r="F97" i="40"/>
  <c r="F32" i="40"/>
  <c r="G31" i="40"/>
  <c r="G132" i="40"/>
  <c r="C32" i="40"/>
  <c r="C70" i="40"/>
  <c r="F73" i="40"/>
  <c r="G123" i="40"/>
  <c r="F48" i="40"/>
  <c r="F57" i="40"/>
  <c r="G105" i="40"/>
  <c r="F56" i="40"/>
  <c r="C56" i="40"/>
  <c r="F20" i="40"/>
  <c r="F114" i="40"/>
  <c r="F45" i="40"/>
  <c r="G68" i="40"/>
  <c r="E160" i="40"/>
  <c r="C160" i="40"/>
  <c r="E152" i="40"/>
  <c r="C152" i="40"/>
  <c r="F152" i="40"/>
  <c r="G139" i="40"/>
  <c r="C139" i="40"/>
  <c r="G144" i="40"/>
  <c r="E143" i="40"/>
  <c r="C140" i="40"/>
  <c r="C143" i="40"/>
  <c r="F180" i="40"/>
  <c r="C156" i="40"/>
  <c r="C186" i="40"/>
  <c r="E156" i="40"/>
  <c r="F172" i="40"/>
  <c r="G154" i="40"/>
  <c r="C154" i="40"/>
  <c r="E154" i="40"/>
  <c r="E172" i="40"/>
  <c r="E198" i="40"/>
  <c r="F140" i="40"/>
  <c r="C182" i="40"/>
  <c r="G194" i="40"/>
  <c r="G160" i="40"/>
  <c r="G135" i="40"/>
  <c r="E144" i="40"/>
  <c r="C18" i="41"/>
  <c r="C174" i="40"/>
  <c r="F168" i="40"/>
  <c r="G174" i="40"/>
  <c r="G168" i="40"/>
  <c r="F198" i="40"/>
  <c r="F162" i="40"/>
  <c r="C161" i="40"/>
  <c r="G161" i="40"/>
  <c r="C164" i="40"/>
  <c r="E174" i="40"/>
  <c r="C196" i="40"/>
  <c r="F144" i="40"/>
  <c r="F164" i="40"/>
  <c r="C153" i="40"/>
  <c r="F151" i="40"/>
  <c r="C151" i="40"/>
  <c r="G151" i="40"/>
  <c r="C198" i="40"/>
  <c r="F155" i="40"/>
  <c r="C155" i="40"/>
  <c r="F159" i="40"/>
  <c r="C159" i="40"/>
  <c r="E161" i="40"/>
  <c r="E147" i="40"/>
  <c r="E155" i="40"/>
  <c r="E151" i="40"/>
  <c r="E162" i="40"/>
  <c r="E145" i="40"/>
  <c r="E142" i="40"/>
  <c r="E139" i="40"/>
  <c r="E140" i="40"/>
  <c r="E137" i="40"/>
  <c r="E133" i="40"/>
  <c r="E153" i="40"/>
  <c r="E170" i="40"/>
  <c r="C178" i="40"/>
  <c r="E129" i="40"/>
  <c r="E127" i="40"/>
  <c r="E132" i="40"/>
  <c r="E124" i="40"/>
  <c r="E121" i="40"/>
  <c r="E118" i="40"/>
  <c r="E125" i="40"/>
  <c r="E136" i="40"/>
  <c r="E194" i="40"/>
  <c r="F194" i="40"/>
  <c r="E120" i="40"/>
  <c r="E23" i="40"/>
  <c r="E113" i="40"/>
  <c r="E119" i="40"/>
  <c r="E117" i="40"/>
  <c r="E134" i="40"/>
  <c r="E126" i="40"/>
  <c r="G196" i="40"/>
  <c r="F196" i="40"/>
  <c r="E186" i="40"/>
  <c r="F186" i="40"/>
  <c r="E128" i="40"/>
  <c r="E130" i="40"/>
  <c r="E135" i="40"/>
  <c r="E178" i="40"/>
  <c r="F178" i="40"/>
  <c r="E122" i="40"/>
  <c r="E116" i="40"/>
  <c r="G188" i="40"/>
  <c r="F188" i="40"/>
  <c r="E131" i="40"/>
  <c r="F187" i="40"/>
  <c r="D187" i="40"/>
  <c r="C187" i="40"/>
  <c r="G187" i="40"/>
  <c r="E187" i="40"/>
  <c r="D127" i="40"/>
  <c r="D58" i="40"/>
  <c r="D50" i="40"/>
  <c r="E39" i="40"/>
  <c r="D193" i="40"/>
  <c r="G193" i="40"/>
  <c r="F193" i="40"/>
  <c r="E193" i="40"/>
  <c r="C193" i="40"/>
  <c r="D191" i="40"/>
  <c r="H191" i="40" s="1"/>
  <c r="E17" i="40"/>
  <c r="D72" i="40"/>
  <c r="H72" i="40" s="1"/>
  <c r="D169" i="40"/>
  <c r="G169" i="40"/>
  <c r="F169" i="40"/>
  <c r="E169" i="40"/>
  <c r="C169" i="40"/>
  <c r="D172" i="40"/>
  <c r="F179" i="40"/>
  <c r="D179" i="40"/>
  <c r="C179" i="40"/>
  <c r="G179" i="40"/>
  <c r="E179" i="40"/>
  <c r="F197" i="40"/>
  <c r="E197" i="40"/>
  <c r="D197" i="40"/>
  <c r="C197" i="40"/>
  <c r="G197" i="40"/>
  <c r="F165" i="40"/>
  <c r="E165" i="40"/>
  <c r="D165" i="40"/>
  <c r="C165" i="40"/>
  <c r="G165" i="40"/>
  <c r="F141" i="40"/>
  <c r="G141" i="40"/>
  <c r="E141" i="40"/>
  <c r="C141" i="40"/>
  <c r="D141" i="40"/>
  <c r="D111" i="40"/>
  <c r="E89" i="40"/>
  <c r="D96" i="40"/>
  <c r="H96" i="40" s="1"/>
  <c r="D80" i="40"/>
  <c r="H80" i="40" s="1"/>
  <c r="D64" i="40"/>
  <c r="D48" i="40"/>
  <c r="E59" i="40"/>
  <c r="D122" i="40"/>
  <c r="H122" i="40" s="1"/>
  <c r="D90" i="40"/>
  <c r="H90" i="40" s="1"/>
  <c r="D52" i="40"/>
  <c r="H52" i="40" s="1"/>
  <c r="D29" i="40"/>
  <c r="D99" i="40"/>
  <c r="E65" i="40"/>
  <c r="D38" i="40"/>
  <c r="H38" i="40" s="1"/>
  <c r="E69" i="40"/>
  <c r="E32" i="40"/>
  <c r="E82" i="40"/>
  <c r="D66" i="40"/>
  <c r="D31" i="40"/>
  <c r="E22" i="40"/>
  <c r="E30" i="40"/>
  <c r="E21" i="40"/>
  <c r="F173" i="40"/>
  <c r="E173" i="40"/>
  <c r="D173" i="40"/>
  <c r="C173" i="40"/>
  <c r="G173" i="40"/>
  <c r="D103" i="40"/>
  <c r="D102" i="40"/>
  <c r="D60" i="40"/>
  <c r="D180" i="40"/>
  <c r="D121" i="40"/>
  <c r="H121" i="40" s="1"/>
  <c r="E102" i="40"/>
  <c r="D164" i="40"/>
  <c r="D142" i="40"/>
  <c r="H142" i="40" s="1"/>
  <c r="D182" i="40"/>
  <c r="D120" i="40"/>
  <c r="D145" i="40"/>
  <c r="D192" i="40"/>
  <c r="D93" i="40"/>
  <c r="D77" i="40"/>
  <c r="D61" i="40"/>
  <c r="H61" i="40" s="1"/>
  <c r="D45" i="40"/>
  <c r="D118" i="40"/>
  <c r="H118" i="40" s="1"/>
  <c r="E75" i="40"/>
  <c r="D104" i="40"/>
  <c r="H104" i="40" s="1"/>
  <c r="D23" i="40"/>
  <c r="D116" i="40"/>
  <c r="D148" i="40"/>
  <c r="D135" i="40"/>
  <c r="H135" i="40" s="1"/>
  <c r="E37" i="40"/>
  <c r="G183" i="40"/>
  <c r="F183" i="40"/>
  <c r="E183" i="40"/>
  <c r="D183" i="40"/>
  <c r="C183" i="40"/>
  <c r="D185" i="40"/>
  <c r="G185" i="40"/>
  <c r="F185" i="40"/>
  <c r="E185" i="40"/>
  <c r="C185" i="40"/>
  <c r="F171" i="40"/>
  <c r="D171" i="40"/>
  <c r="C171" i="40"/>
  <c r="G171" i="40"/>
  <c r="E171" i="40"/>
  <c r="F189" i="40"/>
  <c r="E189" i="40"/>
  <c r="D189" i="40"/>
  <c r="C189" i="40"/>
  <c r="G189" i="40"/>
  <c r="D140" i="40"/>
  <c r="D119" i="40"/>
  <c r="H119" i="40" s="1"/>
  <c r="D184" i="40"/>
  <c r="E73" i="40"/>
  <c r="D17" i="40"/>
  <c r="D97" i="40"/>
  <c r="E81" i="40"/>
  <c r="D36" i="40"/>
  <c r="E31" i="40"/>
  <c r="D113" i="40"/>
  <c r="H113" i="40" s="1"/>
  <c r="D41" i="40"/>
  <c r="D43" i="40"/>
  <c r="D188" i="40"/>
  <c r="H188" i="40" s="1"/>
  <c r="F149" i="40"/>
  <c r="C149" i="40"/>
  <c r="G149" i="40"/>
  <c r="E149" i="40"/>
  <c r="D149" i="40"/>
  <c r="D147" i="40"/>
  <c r="D161" i="40"/>
  <c r="H161" i="40" s="1"/>
  <c r="D59" i="40"/>
  <c r="H59" i="40" s="1"/>
  <c r="E92" i="40"/>
  <c r="E44" i="40"/>
  <c r="G175" i="40"/>
  <c r="F175" i="40"/>
  <c r="E175" i="40"/>
  <c r="D175" i="40"/>
  <c r="C175" i="40"/>
  <c r="D155" i="40"/>
  <c r="D159" i="40"/>
  <c r="D139" i="40"/>
  <c r="H139" i="40" s="1"/>
  <c r="D166" i="40"/>
  <c r="D115" i="40"/>
  <c r="D176" i="40"/>
  <c r="H176" i="40" s="1"/>
  <c r="D131" i="40"/>
  <c r="H131" i="40" s="1"/>
  <c r="E87" i="40"/>
  <c r="E71" i="40"/>
  <c r="E55" i="40"/>
  <c r="E24" i="40"/>
  <c r="D112" i="40"/>
  <c r="D74" i="40"/>
  <c r="D42" i="40"/>
  <c r="D21" i="40"/>
  <c r="H21" i="40" s="1"/>
  <c r="D107" i="40"/>
  <c r="H107" i="40" s="1"/>
  <c r="E97" i="40"/>
  <c r="E53" i="40"/>
  <c r="D56" i="40"/>
  <c r="D82" i="40"/>
  <c r="E76" i="40"/>
  <c r="D28" i="40"/>
  <c r="H28" i="40" s="1"/>
  <c r="E60" i="40"/>
  <c r="D14" i="40"/>
  <c r="D13" i="40" s="1"/>
  <c r="D160" i="40"/>
  <c r="H160" i="40" s="1"/>
  <c r="D158" i="40"/>
  <c r="H158" i="40" s="1"/>
  <c r="D133" i="40"/>
  <c r="D101" i="40"/>
  <c r="D194" i="40"/>
  <c r="H194" i="40" s="1"/>
  <c r="D186" i="40"/>
  <c r="D178" i="40"/>
  <c r="D170" i="40"/>
  <c r="H170" i="40" s="1"/>
  <c r="D162" i="40"/>
  <c r="D137" i="40"/>
  <c r="H137" i="40" s="1"/>
  <c r="D125" i="40"/>
  <c r="H125" i="40" s="1"/>
  <c r="D109" i="40"/>
  <c r="E105" i="40"/>
  <c r="D128" i="40"/>
  <c r="H128" i="40" s="1"/>
  <c r="D123" i="40"/>
  <c r="E108" i="40"/>
  <c r="E103" i="40"/>
  <c r="D100" i="40"/>
  <c r="E96" i="40"/>
  <c r="D86" i="40"/>
  <c r="H86" i="40" s="1"/>
  <c r="D83" i="40"/>
  <c r="H83" i="40" s="1"/>
  <c r="E80" i="40"/>
  <c r="D70" i="40"/>
  <c r="D67" i="40"/>
  <c r="H67" i="40" s="1"/>
  <c r="E64" i="40"/>
  <c r="D54" i="40"/>
  <c r="H54" i="40" s="1"/>
  <c r="D51" i="40"/>
  <c r="E48" i="40"/>
  <c r="E35" i="40"/>
  <c r="D34" i="40"/>
  <c r="H34" i="40" s="1"/>
  <c r="E27" i="40"/>
  <c r="D26" i="40"/>
  <c r="E19" i="40"/>
  <c r="D18" i="40"/>
  <c r="D154" i="40"/>
  <c r="H154" i="40" s="1"/>
  <c r="D156" i="40"/>
  <c r="H156" i="40" s="1"/>
  <c r="D117" i="40"/>
  <c r="E46" i="40"/>
  <c r="D136" i="40"/>
  <c r="H136" i="40" s="1"/>
  <c r="D85" i="40"/>
  <c r="E79" i="40"/>
  <c r="E63" i="40"/>
  <c r="E94" i="40"/>
  <c r="D87" i="40"/>
  <c r="D84" i="40"/>
  <c r="H84" i="40" s="1"/>
  <c r="D81" i="40"/>
  <c r="H81" i="40" s="1"/>
  <c r="E78" i="40"/>
  <c r="D71" i="40"/>
  <c r="D65" i="40"/>
  <c r="E62" i="40"/>
  <c r="D55" i="40"/>
  <c r="D126" i="40"/>
  <c r="D94" i="40"/>
  <c r="E88" i="40"/>
  <c r="D78" i="40"/>
  <c r="E72" i="40"/>
  <c r="D62" i="40"/>
  <c r="E56" i="40"/>
  <c r="D46" i="40"/>
  <c r="H46" i="40" s="1"/>
  <c r="E95" i="40"/>
  <c r="D146" i="40"/>
  <c r="D138" i="40"/>
  <c r="H138" i="40" s="1"/>
  <c r="D132" i="40"/>
  <c r="D114" i="40"/>
  <c r="E109" i="40"/>
  <c r="D69" i="40"/>
  <c r="D53" i="40"/>
  <c r="H53" i="40" s="1"/>
  <c r="E47" i="40"/>
  <c r="D40" i="40"/>
  <c r="D63" i="40"/>
  <c r="E61" i="40"/>
  <c r="E58" i="40"/>
  <c r="E54" i="40"/>
  <c r="E42" i="40"/>
  <c r="E36" i="40"/>
  <c r="E34" i="40"/>
  <c r="D27" i="40"/>
  <c r="H27" i="40" s="1"/>
  <c r="E110" i="40"/>
  <c r="D89" i="40"/>
  <c r="D47" i="40"/>
  <c r="E45" i="40"/>
  <c r="D92" i="40"/>
  <c r="D76" i="40"/>
  <c r="H76" i="40" s="1"/>
  <c r="D73" i="40"/>
  <c r="E41" i="40"/>
  <c r="D24" i="40"/>
  <c r="H24" i="40" s="1"/>
  <c r="D57" i="40"/>
  <c r="D35" i="40"/>
  <c r="E28" i="40"/>
  <c r="D32" i="40"/>
  <c r="D19" i="40"/>
  <c r="E20" i="40"/>
  <c r="E100" i="40"/>
  <c r="E26" i="40"/>
  <c r="E90" i="40"/>
  <c r="E86" i="40"/>
  <c r="D108" i="40"/>
  <c r="H108" i="40" s="1"/>
  <c r="D105" i="40"/>
  <c r="H105" i="40" s="1"/>
  <c r="E101" i="40"/>
  <c r="D95" i="40"/>
  <c r="E93" i="40"/>
  <c r="D79" i="40"/>
  <c r="H79" i="40" s="1"/>
  <c r="E77" i="40"/>
  <c r="E74" i="40"/>
  <c r="E70" i="40"/>
  <c r="E18" i="40"/>
  <c r="D30" i="40"/>
  <c r="H30" i="40" s="1"/>
  <c r="G167" i="40"/>
  <c r="F167" i="40"/>
  <c r="E167" i="40"/>
  <c r="D167" i="40"/>
  <c r="C167" i="40"/>
  <c r="G195" i="40"/>
  <c r="F195" i="40"/>
  <c r="D195" i="40"/>
  <c r="C195" i="40"/>
  <c r="E195" i="40"/>
  <c r="F163" i="40"/>
  <c r="D163" i="40"/>
  <c r="C163" i="40"/>
  <c r="G163" i="40"/>
  <c r="E163" i="40"/>
  <c r="F181" i="40"/>
  <c r="E181" i="40"/>
  <c r="D181" i="40"/>
  <c r="C181" i="40"/>
  <c r="G181" i="40"/>
  <c r="F157" i="40"/>
  <c r="D157" i="40"/>
  <c r="G157" i="40"/>
  <c r="E157" i="40"/>
  <c r="C157" i="40"/>
  <c r="D110" i="40"/>
  <c r="D190" i="40"/>
  <c r="H190" i="40" s="1"/>
  <c r="E111" i="40"/>
  <c r="D168" i="40"/>
  <c r="E57" i="40"/>
  <c r="E84" i="40"/>
  <c r="E68" i="40"/>
  <c r="E52" i="40"/>
  <c r="D49" i="40"/>
  <c r="D150" i="40"/>
  <c r="E107" i="40"/>
  <c r="D75" i="40"/>
  <c r="D88" i="40"/>
  <c r="E104" i="40"/>
  <c r="E50" i="40"/>
  <c r="D20" i="40"/>
  <c r="D33" i="40"/>
  <c r="H33" i="40" s="1"/>
  <c r="E25" i="40"/>
  <c r="E33" i="40"/>
  <c r="D174" i="40"/>
  <c r="H174" i="40" s="1"/>
  <c r="E112" i="40"/>
  <c r="D37" i="40"/>
  <c r="H37" i="40" s="1"/>
  <c r="D91" i="40"/>
  <c r="H91" i="40" s="1"/>
  <c r="E40" i="40"/>
  <c r="D25" i="40"/>
  <c r="D124" i="40"/>
  <c r="H124" i="40" s="1"/>
  <c r="E99" i="40"/>
  <c r="D144" i="40"/>
  <c r="D22" i="40"/>
  <c r="H22" i="40" s="1"/>
  <c r="D44" i="40"/>
  <c r="H44" i="40" s="1"/>
  <c r="D177" i="40"/>
  <c r="G177" i="40"/>
  <c r="F177" i="40"/>
  <c r="E177" i="40"/>
  <c r="C177" i="40"/>
  <c r="D196" i="40"/>
  <c r="D198" i="40"/>
  <c r="E106" i="40"/>
  <c r="D152" i="40"/>
  <c r="D129" i="40"/>
  <c r="H129" i="40" s="1"/>
  <c r="D106" i="40"/>
  <c r="D134" i="40"/>
  <c r="H134" i="40" s="1"/>
  <c r="D130" i="40"/>
  <c r="H130" i="40" s="1"/>
  <c r="D153" i="40"/>
  <c r="D143" i="40"/>
  <c r="E83" i="40"/>
  <c r="E67" i="40"/>
  <c r="E51" i="40"/>
  <c r="E91" i="40"/>
  <c r="D68" i="40"/>
  <c r="H68" i="40" s="1"/>
  <c r="E38" i="40"/>
  <c r="E43" i="40"/>
  <c r="E49" i="40"/>
  <c r="D151" i="40"/>
  <c r="E85" i="40"/>
  <c r="E98" i="40"/>
  <c r="E29" i="40"/>
  <c r="E66" i="40"/>
  <c r="D39" i="40"/>
  <c r="D98" i="40"/>
  <c r="H98" i="40" s="1"/>
  <c r="H132" i="40" l="1"/>
  <c r="H63" i="40"/>
  <c r="H126" i="40"/>
  <c r="H55" i="40"/>
  <c r="H19" i="40"/>
  <c r="H99" i="40"/>
  <c r="H31" i="40"/>
  <c r="H100" i="40"/>
  <c r="H127" i="40"/>
  <c r="H146" i="40"/>
  <c r="H82" i="40"/>
  <c r="H150" i="40"/>
  <c r="H92" i="40"/>
  <c r="H89" i="40"/>
  <c r="H87" i="40"/>
  <c r="H162" i="40"/>
  <c r="H58" i="40"/>
  <c r="H35" i="40"/>
  <c r="H78" i="40"/>
  <c r="H111" i="40"/>
  <c r="H115" i="40"/>
  <c r="H109" i="40"/>
  <c r="H36" i="40"/>
  <c r="H77" i="40"/>
  <c r="H117" i="40"/>
  <c r="H101" i="40"/>
  <c r="H192" i="40"/>
  <c r="H18" i="40"/>
  <c r="H103" i="40"/>
  <c r="H116" i="40"/>
  <c r="H60" i="40"/>
  <c r="H29" i="40"/>
  <c r="H74" i="40"/>
  <c r="H62" i="40"/>
  <c r="H106" i="40"/>
  <c r="H110" i="40"/>
  <c r="AM15" i="43"/>
  <c r="H25" i="40"/>
  <c r="H65" i="40"/>
  <c r="H17" i="40"/>
  <c r="H71" i="40"/>
  <c r="AB16" i="43"/>
  <c r="AD16" i="43" s="1"/>
  <c r="H145" i="40"/>
  <c r="H50" i="40"/>
  <c r="H166" i="40"/>
  <c r="H143" i="40"/>
  <c r="H48" i="40"/>
  <c r="H42" i="40"/>
  <c r="H148" i="40"/>
  <c r="H182" i="40"/>
  <c r="H43" i="40"/>
  <c r="H45" i="40"/>
  <c r="H147" i="40"/>
  <c r="H41" i="40"/>
  <c r="H66" i="40"/>
  <c r="H40" i="40"/>
  <c r="H49" i="40"/>
  <c r="H94" i="40"/>
  <c r="H93" i="40"/>
  <c r="H95" i="40"/>
  <c r="H97" i="40"/>
  <c r="H153" i="40"/>
  <c r="H26" i="40"/>
  <c r="H123" i="40"/>
  <c r="H184" i="40"/>
  <c r="H32" i="40"/>
  <c r="H198" i="40"/>
  <c r="H88" i="40"/>
  <c r="H75" i="40"/>
  <c r="H47" i="40"/>
  <c r="H57" i="40"/>
  <c r="H85" i="40"/>
  <c r="H39" i="40"/>
  <c r="H114" i="40"/>
  <c r="H20" i="40"/>
  <c r="H73" i="40"/>
  <c r="H112" i="40"/>
  <c r="H23" i="40"/>
  <c r="H152" i="40"/>
  <c r="H51" i="40"/>
  <c r="H133" i="40"/>
  <c r="H69" i="40"/>
  <c r="H120" i="40"/>
  <c r="H102" i="40"/>
  <c r="H64" i="40"/>
  <c r="H70" i="40"/>
  <c r="H56" i="40"/>
  <c r="H151" i="40"/>
  <c r="H159" i="40"/>
  <c r="H172" i="40"/>
  <c r="H168" i="40"/>
  <c r="H180" i="40"/>
  <c r="D16" i="41"/>
  <c r="D11" i="41"/>
  <c r="D15" i="41"/>
  <c r="H196" i="40"/>
  <c r="D13" i="41"/>
  <c r="D10" i="41"/>
  <c r="E10" i="41" s="1"/>
  <c r="D18" i="41"/>
  <c r="D14" i="41"/>
  <c r="D17" i="41"/>
  <c r="D12" i="41"/>
  <c r="H197" i="40"/>
  <c r="H144" i="40"/>
  <c r="H140" i="40"/>
  <c r="C19" i="41"/>
  <c r="D19" i="41" s="1"/>
  <c r="H155" i="40"/>
  <c r="H163" i="40"/>
  <c r="H164" i="40"/>
  <c r="H186" i="40"/>
  <c r="H167" i="40"/>
  <c r="H178" i="40"/>
  <c r="H175" i="40"/>
  <c r="H149" i="40"/>
  <c r="H183" i="40"/>
  <c r="H169" i="40"/>
  <c r="H193" i="40"/>
  <c r="H187" i="40"/>
  <c r="H177" i="40"/>
  <c r="H195" i="40"/>
  <c r="H157" i="40"/>
  <c r="H185" i="40"/>
  <c r="H181" i="40"/>
  <c r="H173" i="40"/>
  <c r="H165" i="40"/>
  <c r="H171" i="40"/>
  <c r="H141" i="40"/>
  <c r="H189" i="40"/>
  <c r="H179" i="40"/>
  <c r="G11" i="41" l="1"/>
  <c r="G15" i="41"/>
  <c r="AC16" i="43"/>
  <c r="AL16" i="43"/>
  <c r="AN16" i="43" s="1"/>
  <c r="E16" i="41"/>
  <c r="G16" i="41"/>
  <c r="E15" i="41"/>
  <c r="F16" i="41"/>
  <c r="F10" i="41"/>
  <c r="G12" i="41"/>
  <c r="F12" i="41"/>
  <c r="E12" i="41"/>
  <c r="F14" i="41"/>
  <c r="E14" i="41"/>
  <c r="G14" i="41"/>
  <c r="F15" i="41"/>
  <c r="G19" i="41"/>
  <c r="F19" i="41"/>
  <c r="E19" i="41"/>
  <c r="E11" i="41"/>
  <c r="E17" i="41"/>
  <c r="G17" i="41"/>
  <c r="F17" i="41"/>
  <c r="F18" i="41"/>
  <c r="G18" i="41"/>
  <c r="E18" i="41"/>
  <c r="G10" i="41"/>
  <c r="G13" i="41"/>
  <c r="E13" i="41"/>
  <c r="F13" i="41"/>
  <c r="F11" i="41"/>
  <c r="C8" i="37"/>
  <c r="E31" i="16"/>
  <c r="AM16" i="43" l="1"/>
  <c r="AB17" i="43"/>
  <c r="AD17" i="43" s="1"/>
  <c r="C16" i="38"/>
  <c r="C48" i="38"/>
  <c r="C80" i="38"/>
  <c r="C112" i="38"/>
  <c r="C333" i="38"/>
  <c r="C21" i="38"/>
  <c r="C53" i="38"/>
  <c r="C85" i="38"/>
  <c r="C301" i="38"/>
  <c r="C24" i="38"/>
  <c r="C56" i="38"/>
  <c r="C88" i="38"/>
  <c r="C120" i="38"/>
  <c r="C45" i="38"/>
  <c r="C29" i="38"/>
  <c r="C61" i="38"/>
  <c r="C93" i="38"/>
  <c r="C32" i="38"/>
  <c r="C64" i="38"/>
  <c r="C96" i="38"/>
  <c r="C77" i="38"/>
  <c r="C141" i="38"/>
  <c r="C237" i="38"/>
  <c r="C5" i="38"/>
  <c r="C37" i="38"/>
  <c r="C69" i="38"/>
  <c r="C101" i="38"/>
  <c r="C13" i="38"/>
  <c r="C109" i="38"/>
  <c r="C173" i="38"/>
  <c r="C205" i="38"/>
  <c r="C8" i="38"/>
  <c r="C40" i="38"/>
  <c r="C72" i="38"/>
  <c r="C104" i="38"/>
  <c r="C269" i="38"/>
  <c r="C360" i="38"/>
  <c r="C285" i="38"/>
  <c r="C181" i="38"/>
  <c r="C288" i="38"/>
  <c r="C293" i="38"/>
  <c r="C363" i="38"/>
  <c r="C339" i="38"/>
  <c r="C315" i="38"/>
  <c r="C219" i="38"/>
  <c r="C203" i="38"/>
  <c r="C140" i="38"/>
  <c r="C345" i="38"/>
  <c r="C329" i="38"/>
  <c r="C313" i="38"/>
  <c r="C297" i="38"/>
  <c r="C281" i="38"/>
  <c r="C265" i="38"/>
  <c r="C249" i="38"/>
  <c r="C233" i="38"/>
  <c r="C217" i="38"/>
  <c r="C201" i="38"/>
  <c r="C185" i="38"/>
  <c r="C169" i="38"/>
  <c r="C153" i="38"/>
  <c r="C137" i="38"/>
  <c r="C164" i="38"/>
  <c r="C215" i="38"/>
  <c r="C191" i="38"/>
  <c r="C103" i="38"/>
  <c r="C87" i="38"/>
  <c r="C71" i="38"/>
  <c r="C248" i="38"/>
  <c r="C324" i="38"/>
  <c r="C212" i="38"/>
  <c r="C100" i="38"/>
  <c r="C199" i="38"/>
  <c r="C350" i="38"/>
  <c r="C334" i="38"/>
  <c r="C318" i="38"/>
  <c r="C302" i="38"/>
  <c r="C286" i="38"/>
  <c r="C270" i="38"/>
  <c r="C254" i="38"/>
  <c r="C238" i="38"/>
  <c r="C222" i="38"/>
  <c r="C206" i="38"/>
  <c r="C190" i="38"/>
  <c r="C174" i="38"/>
  <c r="C158" i="38"/>
  <c r="C142" i="38"/>
  <c r="C204" i="38"/>
  <c r="C108" i="38"/>
  <c r="C336" i="38"/>
  <c r="C102" i="38"/>
  <c r="C38" i="38"/>
  <c r="C51" i="38"/>
  <c r="C106" i="38"/>
  <c r="C42" i="38"/>
  <c r="C105" i="38"/>
  <c r="C41" i="38"/>
  <c r="C296" i="38"/>
  <c r="C328" i="38"/>
  <c r="C261" i="38"/>
  <c r="C165" i="38"/>
  <c r="C232" i="38"/>
  <c r="C253" i="38"/>
  <c r="C341" i="38"/>
  <c r="C340" i="38"/>
  <c r="C84" i="38"/>
  <c r="C275" i="38"/>
  <c r="C187" i="38"/>
  <c r="C171" i="38"/>
  <c r="C292" i="38"/>
  <c r="C4" i="38"/>
  <c r="C247" i="38"/>
  <c r="C119" i="38"/>
  <c r="C15" i="38"/>
  <c r="C216" i="38"/>
  <c r="C316" i="38"/>
  <c r="C279" i="38"/>
  <c r="C304" i="38"/>
  <c r="C94" i="38"/>
  <c r="C30" i="38"/>
  <c r="C43" i="38"/>
  <c r="C98" i="38"/>
  <c r="C34" i="38"/>
  <c r="C97" i="38"/>
  <c r="C33" i="38"/>
  <c r="C78" i="38"/>
  <c r="C91" i="38"/>
  <c r="C241" i="38"/>
  <c r="C236" i="38"/>
  <c r="C358" i="38"/>
  <c r="C264" i="38"/>
  <c r="C256" i="38"/>
  <c r="C245" i="38"/>
  <c r="C157" i="38"/>
  <c r="C192" i="38"/>
  <c r="C309" i="38"/>
  <c r="C188" i="38"/>
  <c r="C331" i="38"/>
  <c r="C307" i="38"/>
  <c r="C291" i="38"/>
  <c r="C235" i="38"/>
  <c r="C131" i="38"/>
  <c r="C115" i="38"/>
  <c r="C99" i="38"/>
  <c r="C252" i="38"/>
  <c r="C355" i="38"/>
  <c r="C354" i="38"/>
  <c r="C338" i="38"/>
  <c r="C322" i="38"/>
  <c r="C306" i="38"/>
  <c r="C290" i="38"/>
  <c r="C274" i="38"/>
  <c r="C258" i="38"/>
  <c r="C242" i="38"/>
  <c r="C226" i="38"/>
  <c r="C210" i="38"/>
  <c r="C194" i="38"/>
  <c r="C178" i="38"/>
  <c r="C162" i="38"/>
  <c r="C146" i="38"/>
  <c r="C276" i="38"/>
  <c r="C172" i="38"/>
  <c r="C60" i="38"/>
  <c r="C295" i="38"/>
  <c r="C167" i="38"/>
  <c r="C151" i="38"/>
  <c r="C135" i="38"/>
  <c r="C47" i="38"/>
  <c r="C31" i="38"/>
  <c r="C184" i="38"/>
  <c r="C327" i="38"/>
  <c r="C239" i="38"/>
  <c r="C335" i="38"/>
  <c r="C272" i="38"/>
  <c r="C86" i="38"/>
  <c r="C22" i="38"/>
  <c r="C35" i="38"/>
  <c r="C90" i="38"/>
  <c r="C26" i="38"/>
  <c r="C89" i="38"/>
  <c r="C25" i="38"/>
  <c r="C27" i="38"/>
  <c r="C82" i="38"/>
  <c r="C18" i="38"/>
  <c r="C193" i="38"/>
  <c r="C207" i="38"/>
  <c r="C95" i="38"/>
  <c r="C7" i="38"/>
  <c r="C148" i="38"/>
  <c r="C200" i="38"/>
  <c r="C224" i="38"/>
  <c r="C229" i="38"/>
  <c r="C149" i="38"/>
  <c r="C136" i="38"/>
  <c r="C277" i="38"/>
  <c r="C300" i="38"/>
  <c r="C347" i="38"/>
  <c r="C267" i="38"/>
  <c r="C251" i="38"/>
  <c r="C179" i="38"/>
  <c r="C147" i="38"/>
  <c r="C356" i="38"/>
  <c r="C76" i="38"/>
  <c r="C348" i="38"/>
  <c r="C124" i="38"/>
  <c r="C92" i="38"/>
  <c r="C343" i="38"/>
  <c r="C183" i="38"/>
  <c r="C152" i="38"/>
  <c r="C263" i="38"/>
  <c r="C156" i="38"/>
  <c r="C52" i="38"/>
  <c r="C240" i="38"/>
  <c r="C14" i="38"/>
  <c r="C81" i="38"/>
  <c r="C17" i="38"/>
  <c r="C209" i="38"/>
  <c r="C111" i="38"/>
  <c r="C79" i="38"/>
  <c r="C44" i="38"/>
  <c r="C168" i="38"/>
  <c r="C160" i="38"/>
  <c r="C221" i="38"/>
  <c r="C133" i="38"/>
  <c r="C283" i="38"/>
  <c r="C211" i="38"/>
  <c r="C195" i="38"/>
  <c r="C163" i="38"/>
  <c r="C220" i="38"/>
  <c r="C12" i="38"/>
  <c r="C353" i="38"/>
  <c r="C337" i="38"/>
  <c r="C321" i="38"/>
  <c r="C305" i="38"/>
  <c r="C289" i="38"/>
  <c r="C273" i="38"/>
  <c r="C257" i="38"/>
  <c r="C225" i="38"/>
  <c r="C177" i="38"/>
  <c r="C161" i="38"/>
  <c r="C145" i="38"/>
  <c r="C129" i="38"/>
  <c r="C228" i="38"/>
  <c r="C63" i="38"/>
  <c r="C268" i="38"/>
  <c r="C213" i="38"/>
  <c r="C125" i="38"/>
  <c r="C320" i="38"/>
  <c r="C132" i="38"/>
  <c r="C36" i="38"/>
  <c r="C323" i="38"/>
  <c r="C299" i="38"/>
  <c r="C243" i="38"/>
  <c r="C196" i="38"/>
  <c r="C332" i="38"/>
  <c r="C116" i="38"/>
  <c r="C231" i="38"/>
  <c r="C344" i="38"/>
  <c r="C303" i="38"/>
  <c r="C223" i="38"/>
  <c r="C176" i="38"/>
  <c r="C126" i="38"/>
  <c r="C62" i="38"/>
  <c r="C75" i="38"/>
  <c r="C11" i="38"/>
  <c r="C130" i="38"/>
  <c r="C66" i="38"/>
  <c r="C65" i="38"/>
  <c r="C122" i="38"/>
  <c r="C58" i="38"/>
  <c r="C121" i="38"/>
  <c r="C317" i="38"/>
  <c r="C189" i="38"/>
  <c r="C352" i="38"/>
  <c r="C325" i="38"/>
  <c r="C349" i="38"/>
  <c r="C197" i="38"/>
  <c r="C117" i="38"/>
  <c r="C357" i="38"/>
  <c r="C128" i="38"/>
  <c r="C244" i="38"/>
  <c r="C259" i="38"/>
  <c r="C227" i="38"/>
  <c r="C139" i="38"/>
  <c r="C308" i="38"/>
  <c r="C362" i="38"/>
  <c r="C346" i="38"/>
  <c r="C330" i="38"/>
  <c r="C314" i="38"/>
  <c r="C298" i="38"/>
  <c r="C282" i="38"/>
  <c r="C266" i="38"/>
  <c r="C250" i="38"/>
  <c r="C234" i="38"/>
  <c r="C218" i="38"/>
  <c r="C202" i="38"/>
  <c r="C186" i="38"/>
  <c r="C170" i="38"/>
  <c r="C154" i="38"/>
  <c r="C138" i="38"/>
  <c r="C284" i="38"/>
  <c r="C319" i="38"/>
  <c r="C271" i="38"/>
  <c r="C175" i="38"/>
  <c r="C159" i="38"/>
  <c r="C143" i="38"/>
  <c r="C127" i="38"/>
  <c r="C39" i="38"/>
  <c r="C23" i="38"/>
  <c r="C312" i="38"/>
  <c r="C351" i="38"/>
  <c r="C311" i="38"/>
  <c r="C144" i="38"/>
  <c r="C118" i="38"/>
  <c r="C54" i="38"/>
  <c r="C67" i="38"/>
  <c r="C57" i="38"/>
  <c r="C342" i="38"/>
  <c r="C9" i="38"/>
  <c r="C107" i="38"/>
  <c r="C278" i="38"/>
  <c r="C155" i="38"/>
  <c r="C359" i="38"/>
  <c r="C134" i="38"/>
  <c r="C361" i="38"/>
  <c r="C68" i="38"/>
  <c r="C294" i="38"/>
  <c r="C230" i="38"/>
  <c r="C166" i="38"/>
  <c r="C260" i="38"/>
  <c r="C110" i="38"/>
  <c r="C123" i="38"/>
  <c r="C20" i="38"/>
  <c r="C255" i="38"/>
  <c r="C70" i="38"/>
  <c r="C113" i="38"/>
  <c r="C280" i="38"/>
  <c r="C10" i="38"/>
  <c r="C28" i="38"/>
  <c r="C55" i="38"/>
  <c r="C310" i="38"/>
  <c r="C246" i="38"/>
  <c r="C182" i="38"/>
  <c r="C46" i="38"/>
  <c r="C214" i="38"/>
  <c r="C19" i="38"/>
  <c r="C180" i="38"/>
  <c r="C208" i="38"/>
  <c r="C6" i="38"/>
  <c r="C114" i="38"/>
  <c r="C59" i="38"/>
  <c r="C50" i="38"/>
  <c r="C49" i="38"/>
  <c r="C150" i="38"/>
  <c r="C287" i="38"/>
  <c r="C326" i="38"/>
  <c r="C262" i="38"/>
  <c r="C198" i="38"/>
  <c r="C83" i="38"/>
  <c r="C74" i="38"/>
  <c r="C73" i="38"/>
  <c r="E26" i="16"/>
  <c r="E24" i="16"/>
  <c r="AA11" i="25"/>
  <c r="AA12" i="25" s="1"/>
  <c r="V12" i="25"/>
  <c r="V13" i="25"/>
  <c r="V14" i="25"/>
  <c r="V15" i="25"/>
  <c r="V16" i="25"/>
  <c r="V17" i="25"/>
  <c r="V18" i="25"/>
  <c r="V19" i="25"/>
  <c r="V20" i="25"/>
  <c r="V21" i="25"/>
  <c r="V22" i="25"/>
  <c r="V23" i="25"/>
  <c r="V24" i="25"/>
  <c r="V25" i="25"/>
  <c r="V26" i="25"/>
  <c r="V27" i="25"/>
  <c r="V28" i="25"/>
  <c r="V29" i="25"/>
  <c r="V30" i="25"/>
  <c r="V31" i="25"/>
  <c r="V32" i="25"/>
  <c r="V33" i="25"/>
  <c r="V34" i="25"/>
  <c r="V35" i="25"/>
  <c r="V36" i="25"/>
  <c r="V37" i="25"/>
  <c r="V38" i="25"/>
  <c r="V39" i="25"/>
  <c r="V40" i="25"/>
  <c r="V41" i="25"/>
  <c r="V11" i="25"/>
  <c r="U12" i="25"/>
  <c r="U13" i="25"/>
  <c r="U14" i="25"/>
  <c r="Z14" i="25" s="1" a="1"/>
  <c r="Z14" i="25" s="1"/>
  <c r="U15" i="25"/>
  <c r="U16" i="25"/>
  <c r="U17" i="25"/>
  <c r="U18" i="25"/>
  <c r="U19" i="25"/>
  <c r="Y19" i="25" s="1" a="1"/>
  <c r="Y19" i="25" s="1"/>
  <c r="U20" i="25"/>
  <c r="U21" i="25"/>
  <c r="Z21" i="25" s="1" a="1"/>
  <c r="Z21" i="25" s="1"/>
  <c r="U22" i="25"/>
  <c r="U23" i="25"/>
  <c r="U24" i="25"/>
  <c r="U25" i="25"/>
  <c r="U26" i="25"/>
  <c r="Z26" i="25" s="1" a="1"/>
  <c r="Z26" i="25" s="1"/>
  <c r="U27" i="25"/>
  <c r="U28" i="25"/>
  <c r="U29" i="25"/>
  <c r="U30" i="25"/>
  <c r="U31" i="25"/>
  <c r="Y31" i="25" s="1" a="1"/>
  <c r="Y31" i="25" s="1"/>
  <c r="U32" i="25"/>
  <c r="U33" i="25"/>
  <c r="Z33" i="25" s="1" a="1"/>
  <c r="Z33" i="25" s="1"/>
  <c r="U34" i="25"/>
  <c r="U35" i="25"/>
  <c r="U36" i="25"/>
  <c r="U37" i="25"/>
  <c r="U38" i="25"/>
  <c r="Z38" i="25" s="1" a="1"/>
  <c r="Z38" i="25" s="1"/>
  <c r="U39" i="25"/>
  <c r="U40" i="25"/>
  <c r="U41" i="25"/>
  <c r="U11" i="25"/>
  <c r="J65" i="15"/>
  <c r="J45" i="15"/>
  <c r="J25" i="15"/>
  <c r="E4" i="37"/>
  <c r="AC17" i="43" l="1"/>
  <c r="AL17" i="43"/>
  <c r="AN17" i="43" s="1"/>
  <c r="G73" i="38"/>
  <c r="G74" i="38"/>
  <c r="G83" i="38"/>
  <c r="G198" i="38"/>
  <c r="G262" i="38"/>
  <c r="G326" i="38"/>
  <c r="G287" i="38"/>
  <c r="G150" i="38"/>
  <c r="G49" i="38"/>
  <c r="G50" i="38"/>
  <c r="G114" i="38"/>
  <c r="G208" i="38"/>
  <c r="G180" i="38"/>
  <c r="G214" i="38"/>
  <c r="G46" i="38"/>
  <c r="G182" i="38"/>
  <c r="G246" i="38"/>
  <c r="G310" i="38"/>
  <c r="G28" i="38"/>
  <c r="G280" i="38"/>
  <c r="G113" i="38"/>
  <c r="G70" i="38"/>
  <c r="G255" i="38"/>
  <c r="G20" i="38"/>
  <c r="G123" i="38"/>
  <c r="G110" i="38"/>
  <c r="G260" i="38"/>
  <c r="G166" i="38"/>
  <c r="G230" i="38"/>
  <c r="G294" i="38"/>
  <c r="G68" i="38"/>
  <c r="G361" i="38"/>
  <c r="G134" i="38"/>
  <c r="G359" i="38"/>
  <c r="G155" i="38"/>
  <c r="G278" i="38"/>
  <c r="G107" i="38"/>
  <c r="G342" i="38"/>
  <c r="G67" i="38"/>
  <c r="G118" i="38"/>
  <c r="G144" i="38"/>
  <c r="G311" i="38"/>
  <c r="G351" i="38"/>
  <c r="G312" i="38"/>
  <c r="G23" i="38"/>
  <c r="G39" i="38"/>
  <c r="G127" i="38"/>
  <c r="G143" i="38"/>
  <c r="G159" i="38"/>
  <c r="G175" i="38"/>
  <c r="G271" i="38"/>
  <c r="G319" i="38"/>
  <c r="G284" i="38"/>
  <c r="G138" i="38"/>
  <c r="G154" i="38"/>
  <c r="G170" i="38"/>
  <c r="G186" i="38"/>
  <c r="G202" i="38"/>
  <c r="G218" i="38"/>
  <c r="G234" i="38"/>
  <c r="G250" i="38"/>
  <c r="G266" i="38"/>
  <c r="G282" i="38"/>
  <c r="G298" i="38"/>
  <c r="G314" i="38"/>
  <c r="G330" i="38"/>
  <c r="G346" i="38"/>
  <c r="G362" i="38"/>
  <c r="G308" i="38"/>
  <c r="G139" i="38"/>
  <c r="G227" i="38"/>
  <c r="G259" i="38"/>
  <c r="G244" i="38"/>
  <c r="G128" i="38"/>
  <c r="G357" i="38"/>
  <c r="G117" i="38"/>
  <c r="G197" i="38"/>
  <c r="G349" i="38"/>
  <c r="G325" i="38"/>
  <c r="G352" i="38"/>
  <c r="G189" i="38"/>
  <c r="G317" i="38"/>
  <c r="G121" i="38"/>
  <c r="G122" i="38"/>
  <c r="G65" i="38"/>
  <c r="G66" i="38"/>
  <c r="G130" i="38"/>
  <c r="G75" i="38"/>
  <c r="G126" i="38"/>
  <c r="G176" i="38"/>
  <c r="G223" i="38"/>
  <c r="G303" i="38"/>
  <c r="G344" i="38"/>
  <c r="G231" i="38"/>
  <c r="G116" i="38"/>
  <c r="G332" i="38"/>
  <c r="G196" i="38"/>
  <c r="G243" i="38"/>
  <c r="G299" i="38"/>
  <c r="G323" i="38"/>
  <c r="G36" i="38"/>
  <c r="G132" i="38"/>
  <c r="G320" i="38"/>
  <c r="G125" i="38"/>
  <c r="G213" i="38"/>
  <c r="G268" i="38"/>
  <c r="G228" i="38"/>
  <c r="G129" i="38"/>
  <c r="G145" i="38"/>
  <c r="G161" i="38"/>
  <c r="G177" i="38"/>
  <c r="G225" i="38"/>
  <c r="G257" i="38"/>
  <c r="G273" i="38"/>
  <c r="G289" i="38"/>
  <c r="G305" i="38"/>
  <c r="G321" i="38"/>
  <c r="G337" i="38"/>
  <c r="G353" i="38"/>
  <c r="G220" i="38"/>
  <c r="G163" i="38"/>
  <c r="G195" i="38"/>
  <c r="G211" i="38"/>
  <c r="G283" i="38"/>
  <c r="G133" i="38"/>
  <c r="G221" i="38"/>
  <c r="G160" i="38"/>
  <c r="G168" i="38"/>
  <c r="G44" i="38"/>
  <c r="G79" i="38"/>
  <c r="G111" i="38"/>
  <c r="G209" i="38"/>
  <c r="G81" i="38"/>
  <c r="G240" i="38"/>
  <c r="G156" i="38"/>
  <c r="G263" i="38"/>
  <c r="G152" i="38"/>
  <c r="G183" i="38"/>
  <c r="G343" i="38"/>
  <c r="G92" i="38"/>
  <c r="G124" i="38"/>
  <c r="G348" i="38"/>
  <c r="G76" i="38"/>
  <c r="G356" i="38"/>
  <c r="G147" i="38"/>
  <c r="G179" i="38"/>
  <c r="G251" i="38"/>
  <c r="G267" i="38"/>
  <c r="G347" i="38"/>
  <c r="G300" i="38"/>
  <c r="G277" i="38"/>
  <c r="G136" i="38"/>
  <c r="G149" i="38"/>
  <c r="G229" i="38"/>
  <c r="G224" i="38"/>
  <c r="G200" i="38"/>
  <c r="G148" i="38"/>
  <c r="G95" i="38"/>
  <c r="G207" i="38"/>
  <c r="G193" i="38"/>
  <c r="G82" i="38"/>
  <c r="G27" i="38"/>
  <c r="G25" i="38"/>
  <c r="G89" i="38"/>
  <c r="G26" i="38"/>
  <c r="G90" i="38"/>
  <c r="G35" i="38"/>
  <c r="G22" i="38"/>
  <c r="G86" i="38"/>
  <c r="G272" i="38"/>
  <c r="G335" i="38"/>
  <c r="G239" i="38"/>
  <c r="G327" i="38"/>
  <c r="G184" i="38"/>
  <c r="G31" i="38"/>
  <c r="G47" i="38"/>
  <c r="G135" i="38"/>
  <c r="G151" i="38"/>
  <c r="G167" i="38"/>
  <c r="G295" i="38"/>
  <c r="G172" i="38"/>
  <c r="G276" i="38"/>
  <c r="G146" i="38"/>
  <c r="G162" i="38"/>
  <c r="G178" i="38"/>
  <c r="G194" i="38"/>
  <c r="G210" i="38"/>
  <c r="G226" i="38"/>
  <c r="G242" i="38"/>
  <c r="G258" i="38"/>
  <c r="G274" i="38"/>
  <c r="G290" i="38"/>
  <c r="G306" i="38"/>
  <c r="G322" i="38"/>
  <c r="G338" i="38"/>
  <c r="G354" i="38"/>
  <c r="G355" i="38"/>
  <c r="G252" i="38"/>
  <c r="G99" i="38"/>
  <c r="G115" i="38"/>
  <c r="G131" i="38"/>
  <c r="G235" i="38"/>
  <c r="G291" i="38"/>
  <c r="G307" i="38"/>
  <c r="G331" i="38"/>
  <c r="G188" i="38"/>
  <c r="G309" i="38"/>
  <c r="G192" i="38"/>
  <c r="G157" i="38"/>
  <c r="G245" i="38"/>
  <c r="G256" i="38"/>
  <c r="G264" i="38"/>
  <c r="G358" i="38"/>
  <c r="G236" i="38"/>
  <c r="G241" i="38"/>
  <c r="G91" i="38"/>
  <c r="G78" i="38"/>
  <c r="G33" i="38"/>
  <c r="G97" i="38"/>
  <c r="G34" i="38"/>
  <c r="G98" i="38"/>
  <c r="G43" i="38"/>
  <c r="G30" i="38"/>
  <c r="G94" i="38"/>
  <c r="G304" i="38"/>
  <c r="G279" i="38"/>
  <c r="G316" i="38"/>
  <c r="G216" i="38"/>
  <c r="G119" i="38"/>
  <c r="G247" i="38"/>
  <c r="G292" i="38"/>
  <c r="G171" i="38"/>
  <c r="G187" i="38"/>
  <c r="G275" i="38"/>
  <c r="G84" i="38"/>
  <c r="G340" i="38"/>
  <c r="G341" i="38"/>
  <c r="G253" i="38"/>
  <c r="G232" i="38"/>
  <c r="G165" i="38"/>
  <c r="G261" i="38"/>
  <c r="G328" i="38"/>
  <c r="G296" i="38"/>
  <c r="G41" i="38"/>
  <c r="G105" i="38"/>
  <c r="G42" i="38"/>
  <c r="G106" i="38"/>
  <c r="G51" i="38"/>
  <c r="G38" i="38"/>
  <c r="G102" i="38"/>
  <c r="G336" i="38"/>
  <c r="G108" i="38"/>
  <c r="G204" i="38"/>
  <c r="G142" i="38"/>
  <c r="G158" i="38"/>
  <c r="G174" i="38"/>
  <c r="G190" i="38"/>
  <c r="G206" i="38"/>
  <c r="G222" i="38"/>
  <c r="G238" i="38"/>
  <c r="G254" i="38"/>
  <c r="G270" i="38"/>
  <c r="G286" i="38"/>
  <c r="G302" i="38"/>
  <c r="G318" i="38"/>
  <c r="G334" i="38"/>
  <c r="G350" i="38"/>
  <c r="G199" i="38"/>
  <c r="G100" i="38"/>
  <c r="G212" i="38"/>
  <c r="G324" i="38"/>
  <c r="G248" i="38"/>
  <c r="G71" i="38"/>
  <c r="G87" i="38"/>
  <c r="G103" i="38"/>
  <c r="G191" i="38"/>
  <c r="G215" i="38"/>
  <c r="G164" i="38"/>
  <c r="G137" i="38"/>
  <c r="G153" i="38"/>
  <c r="G169" i="38"/>
  <c r="G185" i="38"/>
  <c r="G201" i="38"/>
  <c r="G217" i="38"/>
  <c r="G233" i="38"/>
  <c r="G249" i="38"/>
  <c r="G265" i="38"/>
  <c r="G281" i="38"/>
  <c r="G297" i="38"/>
  <c r="G313" i="38"/>
  <c r="G329" i="38"/>
  <c r="G345" i="38"/>
  <c r="G140" i="38"/>
  <c r="G203" i="38"/>
  <c r="G219" i="38"/>
  <c r="G315" i="38"/>
  <c r="G339" i="38"/>
  <c r="G363" i="38"/>
  <c r="G293" i="38"/>
  <c r="G288" i="38"/>
  <c r="G181" i="38"/>
  <c r="G285" i="38"/>
  <c r="G360" i="38"/>
  <c r="G269" i="38"/>
  <c r="G104" i="38"/>
  <c r="G72" i="38"/>
  <c r="G40" i="38"/>
  <c r="G205" i="38"/>
  <c r="G173" i="38"/>
  <c r="G109" i="38"/>
  <c r="G101" i="38"/>
  <c r="G69" i="38"/>
  <c r="G37" i="38"/>
  <c r="G237" i="38"/>
  <c r="G141" i="38"/>
  <c r="G77" i="38"/>
  <c r="G96" i="38"/>
  <c r="G32" i="38"/>
  <c r="G93" i="38"/>
  <c r="G29" i="38"/>
  <c r="G45" i="38"/>
  <c r="G120" i="38"/>
  <c r="G88" i="38"/>
  <c r="G24" i="38"/>
  <c r="G301" i="38"/>
  <c r="G85" i="38"/>
  <c r="G21" i="38"/>
  <c r="G333" i="38"/>
  <c r="G112" i="38"/>
  <c r="G80" i="38"/>
  <c r="G48" i="38"/>
  <c r="G19" i="38"/>
  <c r="G10" i="38"/>
  <c r="G15" i="38"/>
  <c r="G16" i="38"/>
  <c r="G11" i="38"/>
  <c r="G8" i="38"/>
  <c r="G17" i="38"/>
  <c r="G18" i="38"/>
  <c r="G12" i="38"/>
  <c r="G14" i="38"/>
  <c r="G9" i="38"/>
  <c r="G13" i="38"/>
  <c r="G7" i="38"/>
  <c r="G6" i="38"/>
  <c r="G4" i="38"/>
  <c r="G62" i="38"/>
  <c r="G58" i="38"/>
  <c r="G63" i="38"/>
  <c r="G64" i="38"/>
  <c r="G56" i="38"/>
  <c r="G55" i="38"/>
  <c r="G52" i="38"/>
  <c r="G54" i="38"/>
  <c r="G60" i="38"/>
  <c r="G61" i="38"/>
  <c r="G53" i="38"/>
  <c r="G57" i="38"/>
  <c r="G59" i="38"/>
  <c r="G5" i="38"/>
  <c r="D2" i="37"/>
  <c r="D175" i="38"/>
  <c r="D27" i="38"/>
  <c r="D91" i="38"/>
  <c r="D35" i="38"/>
  <c r="D331" i="38"/>
  <c r="D47" i="38"/>
  <c r="D239" i="38"/>
  <c r="D84" i="38"/>
  <c r="D187" i="38"/>
  <c r="D171" i="38"/>
  <c r="D252" i="38"/>
  <c r="D155" i="38"/>
  <c r="D276" i="38"/>
  <c r="D361" i="38"/>
  <c r="D292" i="38"/>
  <c r="D180" i="38"/>
  <c r="D328" i="38"/>
  <c r="D264" i="38"/>
  <c r="D200" i="38"/>
  <c r="D176" i="38"/>
  <c r="D136" i="38"/>
  <c r="D28" i="38"/>
  <c r="D151" i="38"/>
  <c r="D15" i="38"/>
  <c r="D327" i="38"/>
  <c r="D279" i="38"/>
  <c r="D325" i="38"/>
  <c r="D261" i="38"/>
  <c r="D173" i="38"/>
  <c r="D268" i="38"/>
  <c r="D134" i="38"/>
  <c r="D110" i="38"/>
  <c r="D22" i="38"/>
  <c r="D21" i="38"/>
  <c r="D82" i="38"/>
  <c r="D18" i="38"/>
  <c r="D65" i="38"/>
  <c r="D96" i="38"/>
  <c r="D360" i="38"/>
  <c r="D23" i="38"/>
  <c r="D223" i="38"/>
  <c r="D188" i="38"/>
  <c r="D307" i="38"/>
  <c r="D291" i="38"/>
  <c r="D251" i="38"/>
  <c r="D235" i="38"/>
  <c r="D203" i="38"/>
  <c r="D355" i="38"/>
  <c r="D354" i="38"/>
  <c r="D338" i="38"/>
  <c r="D322" i="38"/>
  <c r="D306" i="38"/>
  <c r="D290" i="38"/>
  <c r="D274" i="38"/>
  <c r="D258" i="38"/>
  <c r="D242" i="38"/>
  <c r="D226" i="38"/>
  <c r="D210" i="38"/>
  <c r="D194" i="38"/>
  <c r="D178" i="38"/>
  <c r="D162" i="38"/>
  <c r="D146" i="38"/>
  <c r="D172" i="38"/>
  <c r="D60" i="38"/>
  <c r="D304" i="38"/>
  <c r="D240" i="38"/>
  <c r="D192" i="38"/>
  <c r="D152" i="38"/>
  <c r="D295" i="38"/>
  <c r="D167" i="38"/>
  <c r="D135" i="38"/>
  <c r="D31" i="38"/>
  <c r="D263" i="38"/>
  <c r="D347" i="38"/>
  <c r="D301" i="38"/>
  <c r="D237" i="38"/>
  <c r="D213" i="38"/>
  <c r="D149" i="38"/>
  <c r="D125" i="38"/>
  <c r="D183" i="38"/>
  <c r="D86" i="38"/>
  <c r="D69" i="38"/>
  <c r="D45" i="38"/>
  <c r="D67" i="38"/>
  <c r="D122" i="38"/>
  <c r="D58" i="38"/>
  <c r="D105" i="38"/>
  <c r="D41" i="38"/>
  <c r="D120" i="38"/>
  <c r="D72" i="38"/>
  <c r="D48" i="38"/>
  <c r="D121" i="38"/>
  <c r="D57" i="38"/>
  <c r="D16" i="38"/>
  <c r="D144" i="38"/>
  <c r="D204" i="38"/>
  <c r="D147" i="38"/>
  <c r="D356" i="38"/>
  <c r="D124" i="38"/>
  <c r="D344" i="38"/>
  <c r="D280" i="38"/>
  <c r="D256" i="38"/>
  <c r="D216" i="38"/>
  <c r="D128" i="38"/>
  <c r="D228" i="38"/>
  <c r="D343" i="38"/>
  <c r="D358" i="38"/>
  <c r="D326" i="38"/>
  <c r="D246" i="38"/>
  <c r="D283" i="38"/>
  <c r="D316" i="38"/>
  <c r="D341" i="38"/>
  <c r="D277" i="38"/>
  <c r="D189" i="38"/>
  <c r="D99" i="38"/>
  <c r="D126" i="38"/>
  <c r="D62" i="38"/>
  <c r="D38" i="38"/>
  <c r="D14" i="38"/>
  <c r="D93" i="38"/>
  <c r="D13" i="38"/>
  <c r="D98" i="38"/>
  <c r="D34" i="38"/>
  <c r="D10" i="38"/>
  <c r="D81" i="38"/>
  <c r="D17" i="38"/>
  <c r="D24" i="38"/>
  <c r="D5" i="38"/>
  <c r="D64" i="38"/>
  <c r="D208" i="38"/>
  <c r="D299" i="38"/>
  <c r="D92" i="38"/>
  <c r="D76" i="38"/>
  <c r="D211" i="38"/>
  <c r="D131" i="38"/>
  <c r="D115" i="38"/>
  <c r="D75" i="38"/>
  <c r="D353" i="38"/>
  <c r="D337" i="38"/>
  <c r="D321" i="38"/>
  <c r="D305" i="38"/>
  <c r="D289" i="38"/>
  <c r="D273" i="38"/>
  <c r="D257" i="38"/>
  <c r="D241" i="38"/>
  <c r="D225" i="38"/>
  <c r="D209" i="38"/>
  <c r="D193" i="38"/>
  <c r="D177" i="38"/>
  <c r="D161" i="38"/>
  <c r="D145" i="38"/>
  <c r="D129" i="38"/>
  <c r="D236" i="38"/>
  <c r="D320" i="38"/>
  <c r="D168" i="38"/>
  <c r="D231" i="38"/>
  <c r="D207" i="38"/>
  <c r="D95" i="38"/>
  <c r="D79" i="38"/>
  <c r="D63" i="38"/>
  <c r="D7" i="38"/>
  <c r="D148" i="38"/>
  <c r="D44" i="38"/>
  <c r="D342" i="38"/>
  <c r="D310" i="38"/>
  <c r="D294" i="38"/>
  <c r="D278" i="38"/>
  <c r="D262" i="38"/>
  <c r="D230" i="38"/>
  <c r="D214" i="38"/>
  <c r="D198" i="38"/>
  <c r="D182" i="38"/>
  <c r="D166" i="38"/>
  <c r="D150" i="38"/>
  <c r="D196" i="38"/>
  <c r="D317" i="38"/>
  <c r="D253" i="38"/>
  <c r="D165" i="38"/>
  <c r="D12" i="38"/>
  <c r="D102" i="38"/>
  <c r="D37" i="38"/>
  <c r="D74" i="38"/>
  <c r="D296" i="38"/>
  <c r="D232" i="38"/>
  <c r="D271" i="38"/>
  <c r="D119" i="38"/>
  <c r="D351" i="38"/>
  <c r="D4" i="38"/>
  <c r="D260" i="38"/>
  <c r="D300" i="38"/>
  <c r="D36" i="38"/>
  <c r="D323" i="38"/>
  <c r="D267" i="38"/>
  <c r="D179" i="38"/>
  <c r="D163" i="38"/>
  <c r="D348" i="38"/>
  <c r="D359" i="38"/>
  <c r="D247" i="38"/>
  <c r="D287" i="38"/>
  <c r="D68" i="38"/>
  <c r="D339" i="38"/>
  <c r="D195" i="38"/>
  <c r="D308" i="38"/>
  <c r="D346" i="38"/>
  <c r="D330" i="38"/>
  <c r="D314" i="38"/>
  <c r="D298" i="38"/>
  <c r="D282" i="38"/>
  <c r="D266" i="38"/>
  <c r="D250" i="38"/>
  <c r="D234" i="38"/>
  <c r="D218" i="38"/>
  <c r="D202" i="38"/>
  <c r="D186" i="38"/>
  <c r="D170" i="38"/>
  <c r="D154" i="38"/>
  <c r="D138" i="38"/>
  <c r="D220" i="38"/>
  <c r="D362" i="38"/>
  <c r="D336" i="38"/>
  <c r="D272" i="38"/>
  <c r="D184" i="38"/>
  <c r="D219" i="38"/>
  <c r="D159" i="38"/>
  <c r="D143" i="38"/>
  <c r="D127" i="38"/>
  <c r="D39" i="38"/>
  <c r="D255" i="38"/>
  <c r="D311" i="38"/>
  <c r="D333" i="38"/>
  <c r="D269" i="38"/>
  <c r="D205" i="38"/>
  <c r="D157" i="38"/>
  <c r="D118" i="38"/>
  <c r="D30" i="38"/>
  <c r="D11" i="38"/>
  <c r="D51" i="38"/>
  <c r="D90" i="38"/>
  <c r="D26" i="38"/>
  <c r="D73" i="38"/>
  <c r="D83" i="38"/>
  <c r="D8" i="38"/>
  <c r="D59" i="38"/>
  <c r="D49" i="38"/>
  <c r="D19" i="38"/>
  <c r="D80" i="38"/>
  <c r="D340" i="38"/>
  <c r="D319" i="38"/>
  <c r="D243" i="38"/>
  <c r="D123" i="38"/>
  <c r="D107" i="38"/>
  <c r="D20" i="38"/>
  <c r="D332" i="38"/>
  <c r="D116" i="38"/>
  <c r="D227" i="38"/>
  <c r="D312" i="38"/>
  <c r="D288" i="38"/>
  <c r="D248" i="38"/>
  <c r="D160" i="38"/>
  <c r="D132" i="38"/>
  <c r="D309" i="38"/>
  <c r="D245" i="38"/>
  <c r="D221" i="38"/>
  <c r="D181" i="38"/>
  <c r="D133" i="38"/>
  <c r="D109" i="38"/>
  <c r="D94" i="38"/>
  <c r="D53" i="38"/>
  <c r="D29" i="38"/>
  <c r="D130" i="38"/>
  <c r="D66" i="38"/>
  <c r="D43" i="38"/>
  <c r="D113" i="38"/>
  <c r="D104" i="38"/>
  <c r="D32" i="38"/>
  <c r="D55" i="38"/>
  <c r="D303" i="38"/>
  <c r="D244" i="38"/>
  <c r="D363" i="38"/>
  <c r="D275" i="38"/>
  <c r="D259" i="38"/>
  <c r="D345" i="38"/>
  <c r="D217" i="38"/>
  <c r="D302" i="38"/>
  <c r="D265" i="38"/>
  <c r="D137" i="38"/>
  <c r="D78" i="38"/>
  <c r="D313" i="38"/>
  <c r="D185" i="38"/>
  <c r="D224" i="38"/>
  <c r="D284" i="38"/>
  <c r="D215" i="38"/>
  <c r="D318" i="38"/>
  <c r="D254" i="38"/>
  <c r="D190" i="38"/>
  <c r="D357" i="38"/>
  <c r="D85" i="38"/>
  <c r="D114" i="38"/>
  <c r="D174" i="38"/>
  <c r="D25" i="38"/>
  <c r="D233" i="38"/>
  <c r="D87" i="38"/>
  <c r="D324" i="38"/>
  <c r="D117" i="38"/>
  <c r="D46" i="38"/>
  <c r="D50" i="38"/>
  <c r="D88" i="38"/>
  <c r="D71" i="38"/>
  <c r="D281" i="38"/>
  <c r="D153" i="38"/>
  <c r="D140" i="38"/>
  <c r="D334" i="38"/>
  <c r="D270" i="38"/>
  <c r="D206" i="38"/>
  <c r="D142" i="38"/>
  <c r="D108" i="38"/>
  <c r="D293" i="38"/>
  <c r="D70" i="38"/>
  <c r="D6" i="38"/>
  <c r="D97" i="38"/>
  <c r="D56" i="38"/>
  <c r="D106" i="38"/>
  <c r="D9" i="38"/>
  <c r="D315" i="38"/>
  <c r="D156" i="38"/>
  <c r="D61" i="38"/>
  <c r="D329" i="38"/>
  <c r="D201" i="38"/>
  <c r="D111" i="38"/>
  <c r="D349" i="38"/>
  <c r="D141" i="38"/>
  <c r="D77" i="38"/>
  <c r="D352" i="38"/>
  <c r="D249" i="38"/>
  <c r="D103" i="38"/>
  <c r="D100" i="38"/>
  <c r="D350" i="38"/>
  <c r="D286" i="38"/>
  <c r="D222" i="38"/>
  <c r="D158" i="38"/>
  <c r="D229" i="38"/>
  <c r="D197" i="38"/>
  <c r="D101" i="38"/>
  <c r="D33" i="38"/>
  <c r="D112" i="38"/>
  <c r="D54" i="38"/>
  <c r="D199" i="38"/>
  <c r="D139" i="38"/>
  <c r="D297" i="38"/>
  <c r="D169" i="38"/>
  <c r="D191" i="38"/>
  <c r="D52" i="38"/>
  <c r="D285" i="38"/>
  <c r="D335" i="38"/>
  <c r="D42" i="38"/>
  <c r="D89" i="38"/>
  <c r="D164" i="38"/>
  <c r="D238" i="38"/>
  <c r="D40" i="38"/>
  <c r="D212" i="38"/>
  <c r="AD12" i="25" a="1"/>
  <c r="AD12" i="25" s="1"/>
  <c r="AH12" i="25" s="1"/>
  <c r="AC11" i="25" a="1"/>
  <c r="AC11" i="25" s="1"/>
  <c r="AG11" i="25" s="1"/>
  <c r="Y38" i="25" a="1"/>
  <c r="Y38" i="25" s="1"/>
  <c r="Y26" i="25" a="1"/>
  <c r="Y26" i="25" s="1"/>
  <c r="Y14" i="25" a="1"/>
  <c r="Y14" i="25" s="1"/>
  <c r="AB12" i="25" a="1"/>
  <c r="AB12" i="25" s="1"/>
  <c r="AF12" i="25" s="1"/>
  <c r="AA13" i="25"/>
  <c r="AA14" i="25" s="1"/>
  <c r="Y40" i="25" a="1"/>
  <c r="Y40" i="25" s="1"/>
  <c r="Y28" i="25" a="1"/>
  <c r="Y28" i="25" s="1"/>
  <c r="Y16" i="25" a="1"/>
  <c r="Y16" i="25" s="1"/>
  <c r="Z35" i="25" a="1"/>
  <c r="Z35" i="25" s="1"/>
  <c r="Z23" i="25" a="1"/>
  <c r="Z23" i="25" s="1"/>
  <c r="Y39" i="25" a="1"/>
  <c r="Y39" i="25" s="1"/>
  <c r="Y27" i="25" a="1"/>
  <c r="Y27" i="25" s="1"/>
  <c r="Y15" i="25" a="1"/>
  <c r="Y15" i="25" s="1"/>
  <c r="Z34" i="25" a="1"/>
  <c r="Z34" i="25" s="1"/>
  <c r="Z22" i="25" a="1"/>
  <c r="Z22" i="25" s="1"/>
  <c r="Y37" i="25" a="1"/>
  <c r="Y37" i="25" s="1"/>
  <c r="Y25" i="25" a="1"/>
  <c r="Y25" i="25" s="1"/>
  <c r="Y13" i="25" a="1"/>
  <c r="Y13" i="25" s="1"/>
  <c r="Z32" i="25" a="1"/>
  <c r="Z32" i="25" s="1"/>
  <c r="Z20" i="25" a="1"/>
  <c r="Z20" i="25" s="1"/>
  <c r="AB11" i="25" a="1"/>
  <c r="AB11" i="25" s="1"/>
  <c r="AF11" i="25" s="1"/>
  <c r="Y36" i="25" a="1"/>
  <c r="Y36" i="25" s="1"/>
  <c r="Y24" i="25" a="1"/>
  <c r="Y24" i="25" s="1"/>
  <c r="Y12" i="25" a="1"/>
  <c r="Y12" i="25" s="1"/>
  <c r="Z31" i="25" a="1"/>
  <c r="Z31" i="25" s="1"/>
  <c r="Z19" i="25" a="1"/>
  <c r="Z19" i="25" s="1"/>
  <c r="AC12" i="25" a="1"/>
  <c r="AC12" i="25" s="1"/>
  <c r="AG12" i="25" s="1"/>
  <c r="Y35" i="25" a="1"/>
  <c r="Y35" i="25" s="1"/>
  <c r="Y23" i="25" a="1"/>
  <c r="Y23" i="25" s="1"/>
  <c r="Z11" i="25" a="1"/>
  <c r="Z11" i="25" s="1"/>
  <c r="Z30" i="25" a="1"/>
  <c r="Z30" i="25" s="1"/>
  <c r="Z18" i="25" a="1"/>
  <c r="Z18" i="25" s="1"/>
  <c r="AD11" i="25" a="1"/>
  <c r="AD11" i="25" s="1"/>
  <c r="AH11" i="25" s="1"/>
  <c r="Y34" i="25" a="1"/>
  <c r="Y34" i="25" s="1"/>
  <c r="Y22" i="25" a="1"/>
  <c r="Y22" i="25" s="1"/>
  <c r="Z41" i="25" a="1"/>
  <c r="Z41" i="25" s="1"/>
  <c r="Z29" i="25" a="1"/>
  <c r="Z29" i="25" s="1"/>
  <c r="Z17" i="25" a="1"/>
  <c r="Z17" i="25" s="1"/>
  <c r="Y33" i="25" a="1"/>
  <c r="Y33" i="25" s="1"/>
  <c r="Y21" i="25" a="1"/>
  <c r="Y21" i="25" s="1"/>
  <c r="Z40" i="25" a="1"/>
  <c r="Z40" i="25" s="1"/>
  <c r="Z28" i="25" a="1"/>
  <c r="Z28" i="25" s="1"/>
  <c r="Z16" i="25" a="1"/>
  <c r="Z16" i="25" s="1"/>
  <c r="Y32" i="25" a="1"/>
  <c r="Y32" i="25" s="1"/>
  <c r="Y20" i="25" a="1"/>
  <c r="Y20" i="25" s="1"/>
  <c r="Z39" i="25" a="1"/>
  <c r="Z39" i="25" s="1"/>
  <c r="Z27" i="25" a="1"/>
  <c r="Z27" i="25" s="1"/>
  <c r="Z15" i="25" a="1"/>
  <c r="Z15" i="25" s="1"/>
  <c r="Y11" i="25" a="1"/>
  <c r="Y11" i="25" s="1"/>
  <c r="Y30" i="25" a="1"/>
  <c r="Y30" i="25" s="1"/>
  <c r="Y18" i="25" a="1"/>
  <c r="Y18" i="25" s="1"/>
  <c r="Z37" i="25" a="1"/>
  <c r="Z37" i="25" s="1"/>
  <c r="Z25" i="25" a="1"/>
  <c r="Z25" i="25" s="1"/>
  <c r="Z13" i="25" a="1"/>
  <c r="Z13" i="25" s="1"/>
  <c r="Y41" i="25" a="1"/>
  <c r="Y41" i="25" s="1"/>
  <c r="Y29" i="25" a="1"/>
  <c r="Y29" i="25" s="1"/>
  <c r="Y17" i="25" a="1"/>
  <c r="Y17" i="25" s="1"/>
  <c r="Z36" i="25" a="1"/>
  <c r="Z36" i="25" s="1"/>
  <c r="Z24" i="25" a="1"/>
  <c r="Z24" i="25" s="1"/>
  <c r="Z12" i="25" a="1"/>
  <c r="Z12" i="25" s="1"/>
  <c r="AM17" i="43" l="1"/>
  <c r="AB18" i="43"/>
  <c r="AD18" i="43" s="1"/>
  <c r="I4" i="38"/>
  <c r="J4" i="38" s="1"/>
  <c r="AC13" i="25" a="1"/>
  <c r="AC13" i="25" s="1"/>
  <c r="AG13" i="25" s="1"/>
  <c r="AB13" i="25" a="1"/>
  <c r="AB13" i="25" s="1"/>
  <c r="AF13" i="25" s="1"/>
  <c r="AD13" i="25" a="1"/>
  <c r="AD13" i="25" s="1"/>
  <c r="AH13" i="25" s="1"/>
  <c r="AA15" i="25"/>
  <c r="AD14" i="25" a="1"/>
  <c r="AD14" i="25" s="1"/>
  <c r="AH14" i="25" s="1"/>
  <c r="AC14" i="25" a="1"/>
  <c r="AC14" i="25" s="1"/>
  <c r="AG14" i="25" s="1"/>
  <c r="AB14" i="25" a="1"/>
  <c r="AB14" i="25" s="1"/>
  <c r="AF14" i="25" s="1"/>
  <c r="AC18" i="43" l="1"/>
  <c r="AL18" i="43"/>
  <c r="AN18" i="43" s="1"/>
  <c r="H4" i="38"/>
  <c r="AA16" i="25"/>
  <c r="AD15" i="25" a="1"/>
  <c r="AD15" i="25" s="1"/>
  <c r="AH15" i="25" s="1"/>
  <c r="AB15" i="25" a="1"/>
  <c r="AB15" i="25" s="1"/>
  <c r="AF15" i="25" s="1"/>
  <c r="AC15" i="25" a="1"/>
  <c r="AC15" i="25" s="1"/>
  <c r="AG15" i="25" s="1"/>
  <c r="AM18" i="43" l="1"/>
  <c r="AB19" i="43"/>
  <c r="AD19" i="43" s="1"/>
  <c r="AA17" i="25"/>
  <c r="AD16" i="25" a="1"/>
  <c r="AD16" i="25" s="1"/>
  <c r="AH16" i="25" s="1"/>
  <c r="AC16" i="25" a="1"/>
  <c r="AC16" i="25" s="1"/>
  <c r="AG16" i="25" s="1"/>
  <c r="AB16" i="25" a="1"/>
  <c r="AB16" i="25" s="1"/>
  <c r="AF16" i="25" s="1"/>
  <c r="AC19" i="43" l="1"/>
  <c r="AL19" i="43"/>
  <c r="AN19" i="43" s="1"/>
  <c r="AA18" i="25"/>
  <c r="AB17" i="25" a="1"/>
  <c r="AB17" i="25" s="1"/>
  <c r="AF17" i="25" s="1"/>
  <c r="AC17" i="25" a="1"/>
  <c r="AC17" i="25" s="1"/>
  <c r="AG17" i="25" s="1"/>
  <c r="AD17" i="25" a="1"/>
  <c r="AD17" i="25" s="1"/>
  <c r="AH17" i="25" s="1"/>
  <c r="AM19" i="43" l="1"/>
  <c r="AB20" i="43"/>
  <c r="AD20" i="43" s="1"/>
  <c r="AA19" i="25"/>
  <c r="AC18" i="25" a="1"/>
  <c r="AC18" i="25" s="1"/>
  <c r="AG18" i="25" s="1"/>
  <c r="AB18" i="25" a="1"/>
  <c r="AB18" i="25" s="1"/>
  <c r="AF18" i="25" s="1"/>
  <c r="AD18" i="25" a="1"/>
  <c r="AD18" i="25" s="1"/>
  <c r="AH18" i="25" s="1"/>
  <c r="AC20" i="43" l="1"/>
  <c r="AL20" i="43"/>
  <c r="AN20" i="43" s="1"/>
  <c r="AA20" i="25"/>
  <c r="AC19" i="25" a="1"/>
  <c r="AC19" i="25" s="1"/>
  <c r="AG19" i="25" s="1"/>
  <c r="AB19" i="25" a="1"/>
  <c r="AB19" i="25" s="1"/>
  <c r="AF19" i="25" s="1"/>
  <c r="AD19" i="25" a="1"/>
  <c r="AD19" i="25" s="1"/>
  <c r="AH19" i="25" s="1"/>
  <c r="AM20" i="43" l="1"/>
  <c r="AB21" i="43"/>
  <c r="AD21" i="43" s="1"/>
  <c r="AA21" i="25"/>
  <c r="AD20" i="25" a="1"/>
  <c r="AD20" i="25" s="1"/>
  <c r="AH20" i="25" s="1"/>
  <c r="AC20" i="25" a="1"/>
  <c r="AC20" i="25" s="1"/>
  <c r="AG20" i="25" s="1"/>
  <c r="AB20" i="25" a="1"/>
  <c r="AB20" i="25" s="1"/>
  <c r="AF20" i="25" s="1"/>
  <c r="AC21" i="43" l="1"/>
  <c r="AL21" i="43"/>
  <c r="AN21" i="43" s="1"/>
  <c r="AA22" i="25"/>
  <c r="AD21" i="25" a="1"/>
  <c r="AD21" i="25" s="1"/>
  <c r="AH21" i="25" s="1"/>
  <c r="AB21" i="25" a="1"/>
  <c r="AB21" i="25" s="1"/>
  <c r="AF21" i="25" s="1"/>
  <c r="AC21" i="25" a="1"/>
  <c r="AC21" i="25" s="1"/>
  <c r="AG21" i="25" s="1"/>
  <c r="AM21" i="43" l="1"/>
  <c r="AB22" i="43"/>
  <c r="AD22" i="43" s="1"/>
  <c r="AA23" i="25"/>
  <c r="AC22" i="25" a="1"/>
  <c r="AC22" i="25" s="1"/>
  <c r="AG22" i="25" s="1"/>
  <c r="AB22" i="25" a="1"/>
  <c r="AB22" i="25" s="1"/>
  <c r="AF22" i="25" s="1"/>
  <c r="AD22" i="25" a="1"/>
  <c r="AD22" i="25" s="1"/>
  <c r="AH22" i="25" s="1"/>
  <c r="AC22" i="43" l="1"/>
  <c r="AL22" i="43"/>
  <c r="AN22" i="43" s="1"/>
  <c r="AA24" i="25"/>
  <c r="AC23" i="25" a="1"/>
  <c r="AC23" i="25" s="1"/>
  <c r="AG23" i="25" s="1"/>
  <c r="AD23" i="25" a="1"/>
  <c r="AD23" i="25" s="1"/>
  <c r="AH23" i="25" s="1"/>
  <c r="AB23" i="25" a="1"/>
  <c r="AB23" i="25" s="1"/>
  <c r="AF23" i="25" s="1"/>
  <c r="AM22" i="43" l="1"/>
  <c r="AB23" i="43"/>
  <c r="AD23" i="43" s="1"/>
  <c r="AA25" i="25"/>
  <c r="AB24" i="25" a="1"/>
  <c r="AB24" i="25" s="1"/>
  <c r="AF24" i="25" s="1"/>
  <c r="AC24" i="25" a="1"/>
  <c r="AC24" i="25" s="1"/>
  <c r="AG24" i="25" s="1"/>
  <c r="AD24" i="25" a="1"/>
  <c r="AD24" i="25" s="1"/>
  <c r="AH24" i="25" s="1"/>
  <c r="AC23" i="43" l="1"/>
  <c r="AL23" i="43"/>
  <c r="AN23" i="43" s="1"/>
  <c r="AA26" i="25"/>
  <c r="AC25" i="25" a="1"/>
  <c r="AC25" i="25" s="1"/>
  <c r="AG25" i="25" s="1"/>
  <c r="AB25" i="25" a="1"/>
  <c r="AB25" i="25" s="1"/>
  <c r="AF25" i="25" s="1"/>
  <c r="AD25" i="25" a="1"/>
  <c r="AD25" i="25" s="1"/>
  <c r="AH25" i="25" s="1"/>
  <c r="AM23" i="43" l="1"/>
  <c r="AB24" i="43"/>
  <c r="AD24" i="43" s="1"/>
  <c r="AA27" i="25"/>
  <c r="AD26" i="25" a="1"/>
  <c r="AD26" i="25" s="1"/>
  <c r="AH26" i="25" s="1"/>
  <c r="AC26" i="25" a="1"/>
  <c r="AC26" i="25" s="1"/>
  <c r="AG26" i="25" s="1"/>
  <c r="AB26" i="25" a="1"/>
  <c r="AB26" i="25" s="1"/>
  <c r="AF26" i="25" s="1"/>
  <c r="AC24" i="43" l="1"/>
  <c r="AL24" i="43"/>
  <c r="AN24" i="43" s="1"/>
  <c r="AA28" i="25"/>
  <c r="AB27" i="25" a="1"/>
  <c r="AB27" i="25" s="1"/>
  <c r="AF27" i="25" s="1"/>
  <c r="AC27" i="25" a="1"/>
  <c r="AC27" i="25" s="1"/>
  <c r="AG27" i="25" s="1"/>
  <c r="AD27" i="25" a="1"/>
  <c r="AD27" i="25" s="1"/>
  <c r="AH27" i="25" s="1"/>
  <c r="AM24" i="43" l="1"/>
  <c r="AB25" i="43"/>
  <c r="AD25" i="43" s="1"/>
  <c r="AA29" i="25"/>
  <c r="AD28" i="25" a="1"/>
  <c r="AD28" i="25" s="1"/>
  <c r="AH28" i="25" s="1"/>
  <c r="AC28" i="25" a="1"/>
  <c r="AC28" i="25" s="1"/>
  <c r="AG28" i="25" s="1"/>
  <c r="AB28" i="25" a="1"/>
  <c r="AB28" i="25" s="1"/>
  <c r="AF28" i="25" s="1"/>
  <c r="AC25" i="43" l="1"/>
  <c r="AL25" i="43"/>
  <c r="AN25" i="43" s="1"/>
  <c r="AA30" i="25"/>
  <c r="AB29" i="25" a="1"/>
  <c r="AB29" i="25" s="1"/>
  <c r="AF29" i="25" s="1"/>
  <c r="AC29" i="25" a="1"/>
  <c r="AC29" i="25" s="1"/>
  <c r="AG29" i="25" s="1"/>
  <c r="AD29" i="25" a="1"/>
  <c r="AD29" i="25" s="1"/>
  <c r="AH29" i="25" s="1"/>
  <c r="AM25" i="43" l="1"/>
  <c r="AB26" i="43"/>
  <c r="AD26" i="43" s="1"/>
  <c r="AA31" i="25"/>
  <c r="AD30" i="25" a="1"/>
  <c r="AD30" i="25" s="1"/>
  <c r="AH30" i="25" s="1"/>
  <c r="AC30" i="25" a="1"/>
  <c r="AC30" i="25" s="1"/>
  <c r="AG30" i="25" s="1"/>
  <c r="AB30" i="25" a="1"/>
  <c r="AB30" i="25" s="1"/>
  <c r="AF30" i="25" s="1"/>
  <c r="AC26" i="43" l="1"/>
  <c r="AL26" i="43"/>
  <c r="AN26" i="43" s="1"/>
  <c r="AA32" i="25"/>
  <c r="AC31" i="25" a="1"/>
  <c r="AC31" i="25" s="1"/>
  <c r="AG31" i="25" s="1"/>
  <c r="AB31" i="25" a="1"/>
  <c r="AB31" i="25" s="1"/>
  <c r="AF31" i="25" s="1"/>
  <c r="AD31" i="25" a="1"/>
  <c r="AD31" i="25" s="1"/>
  <c r="AH31" i="25" s="1"/>
  <c r="AM26" i="43" l="1"/>
  <c r="AB27" i="43"/>
  <c r="AD27" i="43" s="1"/>
  <c r="AA33" i="25"/>
  <c r="AD32" i="25" a="1"/>
  <c r="AD32" i="25" s="1"/>
  <c r="AH32" i="25" s="1"/>
  <c r="AC32" i="25" a="1"/>
  <c r="AC32" i="25" s="1"/>
  <c r="AG32" i="25" s="1"/>
  <c r="AB32" i="25" a="1"/>
  <c r="AB32" i="25" s="1"/>
  <c r="AF32" i="25" s="1"/>
  <c r="AC27" i="43" l="1"/>
  <c r="AL27" i="43"/>
  <c r="AN27" i="43" s="1"/>
  <c r="AA34" i="25"/>
  <c r="AD33" i="25" a="1"/>
  <c r="AD33" i="25" s="1"/>
  <c r="AH33" i="25" s="1"/>
  <c r="AB33" i="25" a="1"/>
  <c r="AB33" i="25" s="1"/>
  <c r="AF33" i="25" s="1"/>
  <c r="AC33" i="25" a="1"/>
  <c r="AC33" i="25" s="1"/>
  <c r="AG33" i="25" s="1"/>
  <c r="AM27" i="43" l="1"/>
  <c r="AB28" i="43"/>
  <c r="AD28" i="43" s="1"/>
  <c r="AA35" i="25"/>
  <c r="AB34" i="25" a="1"/>
  <c r="AB34" i="25" s="1"/>
  <c r="AF34" i="25" s="1"/>
  <c r="AC34" i="25" a="1"/>
  <c r="AC34" i="25" s="1"/>
  <c r="AG34" i="25" s="1"/>
  <c r="AD34" i="25" a="1"/>
  <c r="AD34" i="25" s="1"/>
  <c r="AH34" i="25" s="1"/>
  <c r="AC28" i="43" l="1"/>
  <c r="AL28" i="43"/>
  <c r="AN28" i="43" s="1"/>
  <c r="AA36" i="25"/>
  <c r="AB35" i="25" a="1"/>
  <c r="AB35" i="25" s="1"/>
  <c r="AF35" i="25" s="1"/>
  <c r="AC35" i="25" a="1"/>
  <c r="AC35" i="25" s="1"/>
  <c r="AG35" i="25" s="1"/>
  <c r="AD35" i="25" a="1"/>
  <c r="AD35" i="25" s="1"/>
  <c r="AH35" i="25" s="1"/>
  <c r="AM28" i="43" l="1"/>
  <c r="AB29" i="43"/>
  <c r="AD29" i="43" s="1"/>
  <c r="AA37" i="25"/>
  <c r="AB36" i="25" a="1"/>
  <c r="AB36" i="25" s="1"/>
  <c r="AF36" i="25" s="1"/>
  <c r="AC36" i="25" a="1"/>
  <c r="AC36" i="25" s="1"/>
  <c r="AG36" i="25" s="1"/>
  <c r="AD36" i="25" a="1"/>
  <c r="AD36" i="25" s="1"/>
  <c r="AH36" i="25" s="1"/>
  <c r="AC29" i="43" l="1"/>
  <c r="AL29" i="43"/>
  <c r="AN29" i="43" s="1"/>
  <c r="AA38" i="25"/>
  <c r="AC37" i="25" a="1"/>
  <c r="AC37" i="25" s="1"/>
  <c r="AG37" i="25" s="1"/>
  <c r="AB37" i="25" a="1"/>
  <c r="AB37" i="25" s="1"/>
  <c r="AF37" i="25" s="1"/>
  <c r="AD37" i="25" a="1"/>
  <c r="AD37" i="25" s="1"/>
  <c r="AH37" i="25" s="1"/>
  <c r="AM29" i="43" l="1"/>
  <c r="AB30" i="43"/>
  <c r="AD30" i="43" s="1"/>
  <c r="AA39" i="25"/>
  <c r="AD38" i="25" a="1"/>
  <c r="AD38" i="25" s="1"/>
  <c r="AH38" i="25" s="1"/>
  <c r="AC38" i="25" a="1"/>
  <c r="AC38" i="25" s="1"/>
  <c r="AG38" i="25" s="1"/>
  <c r="AB38" i="25" a="1"/>
  <c r="AB38" i="25" s="1"/>
  <c r="AF38" i="25" s="1"/>
  <c r="AC30" i="43" l="1"/>
  <c r="AL30" i="43"/>
  <c r="AN30" i="43" s="1"/>
  <c r="AA40" i="25"/>
  <c r="AD39" i="25" a="1"/>
  <c r="AD39" i="25" s="1"/>
  <c r="AH39" i="25" s="1"/>
  <c r="AC39" i="25" a="1"/>
  <c r="AC39" i="25" s="1"/>
  <c r="AG39" i="25" s="1"/>
  <c r="AB39" i="25" a="1"/>
  <c r="AB39" i="25" s="1"/>
  <c r="AF39" i="25" s="1"/>
  <c r="AM30" i="43" l="1"/>
  <c r="AB31" i="43"/>
  <c r="AD31" i="43" s="1"/>
  <c r="AA41" i="25"/>
  <c r="AD40" i="25" a="1"/>
  <c r="AD40" i="25" s="1"/>
  <c r="AH40" i="25" s="1"/>
  <c r="AC40" i="25" a="1"/>
  <c r="AC40" i="25" s="1"/>
  <c r="AG40" i="25" s="1"/>
  <c r="AB40" i="25" a="1"/>
  <c r="AB40" i="25" s="1"/>
  <c r="AF40" i="25" s="1"/>
  <c r="AC31" i="43" l="1"/>
  <c r="AL31" i="43"/>
  <c r="AN31" i="43" s="1"/>
  <c r="AC41" i="25" a="1"/>
  <c r="AC41" i="25" s="1"/>
  <c r="AG41" i="25" s="1"/>
  <c r="AD41" i="25" a="1"/>
  <c r="AD41" i="25" s="1"/>
  <c r="AH41" i="25" s="1"/>
  <c r="AB41" i="25" a="1"/>
  <c r="AB41" i="25" s="1"/>
  <c r="AF41" i="25" s="1"/>
  <c r="AM31" i="43" l="1"/>
  <c r="AB32" i="43"/>
  <c r="AD32" i="43" s="1"/>
  <c r="I64" i="38"/>
  <c r="AC32" i="43" l="1"/>
  <c r="AL32" i="43"/>
  <c r="AN32" i="43" s="1"/>
  <c r="I65" i="38"/>
  <c r="AM32" i="43" l="1"/>
  <c r="AB33" i="43"/>
  <c r="AD33" i="43" s="1"/>
  <c r="I66" i="38"/>
  <c r="AC33" i="43" l="1"/>
  <c r="AL33" i="43"/>
  <c r="AN33" i="43" s="1"/>
  <c r="I67" i="38"/>
  <c r="AM33" i="43" l="1"/>
  <c r="AB34" i="43"/>
  <c r="AD34" i="43" s="1"/>
  <c r="I68" i="38"/>
  <c r="AC34" i="43" l="1"/>
  <c r="AL34" i="43"/>
  <c r="AN34" i="43" s="1"/>
  <c r="I69" i="38"/>
  <c r="AM34" i="43" l="1"/>
  <c r="AB35" i="43"/>
  <c r="AD35" i="43" s="1"/>
  <c r="I70" i="38"/>
  <c r="AC35" i="43" l="1"/>
  <c r="AL35" i="43"/>
  <c r="AN35" i="43" s="1"/>
  <c r="I71" i="38"/>
  <c r="AM35" i="43" l="1"/>
  <c r="AB36" i="43"/>
  <c r="AD36" i="43" s="1"/>
  <c r="I72" i="38"/>
  <c r="AC36" i="43" l="1"/>
  <c r="AL36" i="43"/>
  <c r="AN36" i="43" s="1"/>
  <c r="I73" i="38"/>
  <c r="AM36" i="43" l="1"/>
  <c r="AB37" i="43"/>
  <c r="AD37" i="43" s="1"/>
  <c r="I74" i="38"/>
  <c r="AC37" i="43" l="1"/>
  <c r="AL37" i="43"/>
  <c r="AN37" i="43" s="1"/>
  <c r="I75" i="38"/>
  <c r="AM37" i="43" l="1"/>
  <c r="AB38" i="43"/>
  <c r="AD38" i="43" s="1"/>
  <c r="I76" i="38"/>
  <c r="AC38" i="43" l="1"/>
  <c r="AL38" i="43"/>
  <c r="AN38" i="43" s="1"/>
  <c r="I77" i="38"/>
  <c r="AM38" i="43" l="1"/>
  <c r="AB39" i="43"/>
  <c r="AD39" i="43" s="1"/>
  <c r="I78" i="38"/>
  <c r="AC39" i="43" l="1"/>
  <c r="AL39" i="43"/>
  <c r="AN39" i="43" s="1"/>
  <c r="I79" i="38"/>
  <c r="AM39" i="43" l="1"/>
  <c r="AB40" i="43"/>
  <c r="AD40" i="43" s="1"/>
  <c r="I80" i="38"/>
  <c r="AC40" i="43" l="1"/>
  <c r="AL40" i="43"/>
  <c r="AN40" i="43" s="1"/>
  <c r="I81" i="38"/>
  <c r="AM40" i="43" l="1"/>
  <c r="AB41" i="43"/>
  <c r="AD41" i="43" s="1"/>
  <c r="I82" i="38"/>
  <c r="AC41" i="43" l="1"/>
  <c r="AL41" i="43"/>
  <c r="AN41" i="43" s="1"/>
  <c r="I83" i="38"/>
  <c r="AM41" i="43" l="1"/>
  <c r="AB42" i="43"/>
  <c r="AD42" i="43" s="1"/>
  <c r="I84" i="38"/>
  <c r="AC42" i="43" l="1"/>
  <c r="AL42" i="43"/>
  <c r="AN42" i="43" s="1"/>
  <c r="I85" i="38"/>
  <c r="AM42" i="43" l="1"/>
  <c r="I86" i="38"/>
  <c r="I87" i="38" l="1"/>
  <c r="I88" i="38" l="1"/>
  <c r="I89" i="38" l="1"/>
  <c r="I90" i="38" l="1"/>
  <c r="I91" i="38" l="1"/>
  <c r="I92" i="38" l="1"/>
  <c r="I93" i="38" l="1"/>
  <c r="I94" i="38" l="1"/>
  <c r="I95" i="38" l="1"/>
  <c r="I96" i="38" l="1"/>
  <c r="I97" i="38" l="1"/>
  <c r="I98" i="38" l="1"/>
  <c r="I99" i="38" l="1"/>
  <c r="I100" i="38" l="1"/>
  <c r="I101" i="38" l="1"/>
  <c r="I102" i="38" l="1"/>
  <c r="I103" i="38" l="1"/>
  <c r="I104" i="38" l="1"/>
  <c r="I105" i="38" l="1"/>
  <c r="I106" i="38" l="1"/>
  <c r="I107" i="38" l="1"/>
  <c r="I108" i="38" l="1"/>
  <c r="I109" i="38" l="1"/>
  <c r="I110" i="38" l="1"/>
  <c r="I111" i="38" l="1"/>
  <c r="I112" i="38" l="1"/>
  <c r="I113" i="38" l="1"/>
  <c r="I114" i="38" l="1"/>
  <c r="I115" i="38" l="1"/>
  <c r="I116" i="38" l="1"/>
  <c r="I117" i="38" l="1"/>
  <c r="I118" i="38" l="1"/>
  <c r="I119" i="38" l="1"/>
  <c r="I120" i="38" l="1"/>
  <c r="I121" i="38" l="1"/>
  <c r="I122" i="38" l="1"/>
  <c r="I123" i="38" l="1"/>
  <c r="B6" i="34" l="1"/>
  <c r="F18" i="34" s="1"/>
  <c r="B4" i="34"/>
  <c r="E18" i="34" s="1"/>
  <c r="H63" i="33"/>
  <c r="G63" i="33"/>
  <c r="H62" i="33"/>
  <c r="G62" i="33"/>
  <c r="H61" i="33"/>
  <c r="G61" i="33"/>
  <c r="H60" i="33"/>
  <c r="G60" i="33"/>
  <c r="H59" i="33"/>
  <c r="G59" i="33"/>
  <c r="H58" i="33"/>
  <c r="G58" i="33"/>
  <c r="H57" i="33"/>
  <c r="G57" i="33"/>
  <c r="H56" i="33"/>
  <c r="G56" i="33"/>
  <c r="H55" i="33"/>
  <c r="G55" i="33"/>
  <c r="H54" i="33"/>
  <c r="G54" i="33"/>
  <c r="H53" i="33"/>
  <c r="G53" i="33"/>
  <c r="H52" i="33"/>
  <c r="G52" i="33"/>
  <c r="H51" i="33"/>
  <c r="G51" i="33"/>
  <c r="H50" i="33"/>
  <c r="G50" i="33"/>
  <c r="H49" i="33"/>
  <c r="G49" i="33"/>
  <c r="H48" i="33"/>
  <c r="G48" i="33"/>
  <c r="H47" i="33"/>
  <c r="G47" i="33"/>
  <c r="H46" i="33"/>
  <c r="G46" i="33"/>
  <c r="H45" i="33"/>
  <c r="G45" i="33"/>
  <c r="H44" i="33"/>
  <c r="H43" i="33"/>
  <c r="G43" i="33"/>
  <c r="H42" i="33"/>
  <c r="G42" i="33"/>
  <c r="H41" i="33"/>
  <c r="G41" i="33"/>
  <c r="H40" i="33"/>
  <c r="G40" i="33"/>
  <c r="H39" i="33"/>
  <c r="G39" i="33"/>
  <c r="H38" i="33"/>
  <c r="G38" i="33"/>
  <c r="H37" i="33"/>
  <c r="G37" i="33"/>
  <c r="H36" i="33"/>
  <c r="G36" i="33"/>
  <c r="H35" i="33"/>
  <c r="G35" i="33"/>
  <c r="H34" i="33"/>
  <c r="G34" i="33"/>
  <c r="H33" i="33"/>
  <c r="G33" i="33"/>
  <c r="H32" i="33"/>
  <c r="G32" i="33"/>
  <c r="H31" i="33"/>
  <c r="G31" i="33"/>
  <c r="H30" i="33"/>
  <c r="G30" i="33"/>
  <c r="H29" i="33"/>
  <c r="G29" i="33"/>
  <c r="J28" i="33"/>
  <c r="H28" i="33"/>
  <c r="G28" i="33"/>
  <c r="J27" i="33"/>
  <c r="H27" i="33"/>
  <c r="G27" i="33"/>
  <c r="J26" i="33"/>
  <c r="H26" i="33"/>
  <c r="G26" i="33"/>
  <c r="J25" i="33"/>
  <c r="H25" i="33"/>
  <c r="G25" i="33"/>
  <c r="J24" i="33"/>
  <c r="H24" i="33"/>
  <c r="G24" i="33"/>
  <c r="J23" i="33"/>
  <c r="H23" i="33"/>
  <c r="G23" i="33"/>
  <c r="J22" i="33"/>
  <c r="H22" i="33"/>
  <c r="G22" i="33"/>
  <c r="J21" i="33"/>
  <c r="H21" i="33"/>
  <c r="G21" i="33"/>
  <c r="J20" i="33"/>
  <c r="H20" i="33"/>
  <c r="G20" i="33"/>
  <c r="J19" i="33"/>
  <c r="H19" i="33"/>
  <c r="G19" i="33"/>
  <c r="J18" i="33"/>
  <c r="H18" i="33"/>
  <c r="G18" i="33"/>
  <c r="J17" i="33"/>
  <c r="H17" i="33"/>
  <c r="G17" i="33"/>
  <c r="J16" i="33"/>
  <c r="H16" i="33"/>
  <c r="G16" i="33"/>
  <c r="J15" i="33"/>
  <c r="H15" i="33"/>
  <c r="G15" i="33"/>
  <c r="J14" i="33"/>
  <c r="H14" i="33"/>
  <c r="G14" i="33"/>
  <c r="J13" i="33"/>
  <c r="H13" i="33"/>
  <c r="G13" i="33"/>
  <c r="J12" i="33"/>
  <c r="H12" i="33"/>
  <c r="G12" i="33"/>
  <c r="J11" i="33"/>
  <c r="H11" i="33"/>
  <c r="G11" i="33"/>
  <c r="J10" i="33"/>
  <c r="H10" i="33"/>
  <c r="G10" i="33"/>
  <c r="J9" i="33"/>
  <c r="H9" i="33"/>
  <c r="G9" i="33"/>
  <c r="H8" i="33"/>
  <c r="G8" i="33"/>
  <c r="H7" i="33"/>
  <c r="G7" i="33"/>
  <c r="H6" i="33"/>
  <c r="G6" i="33"/>
  <c r="H5" i="33"/>
  <c r="G5" i="33"/>
  <c r="H6" i="30"/>
  <c r="H7" i="30"/>
  <c r="H8" i="30"/>
  <c r="H9" i="30"/>
  <c r="H10" i="30"/>
  <c r="H11" i="30"/>
  <c r="H12" i="30"/>
  <c r="H13" i="30"/>
  <c r="I6" i="30"/>
  <c r="E6" i="30" s="1"/>
  <c r="F6" i="30" s="1"/>
  <c r="G6" i="30" s="1"/>
  <c r="I7" i="30"/>
  <c r="E7" i="30" s="1"/>
  <c r="F7" i="30" s="1"/>
  <c r="I8" i="30"/>
  <c r="E8" i="30" s="1"/>
  <c r="F8" i="30" s="1"/>
  <c r="G8" i="30" s="1"/>
  <c r="J8" i="30" s="1"/>
  <c r="I9" i="30"/>
  <c r="E9" i="30" s="1"/>
  <c r="F9" i="30" s="1"/>
  <c r="G9" i="30" s="1"/>
  <c r="J9" i="30" s="1"/>
  <c r="I10" i="30"/>
  <c r="E10" i="30" s="1"/>
  <c r="F10" i="30" s="1"/>
  <c r="G10" i="30" s="1"/>
  <c r="J10" i="30" s="1"/>
  <c r="I11" i="30"/>
  <c r="E11" i="30" s="1"/>
  <c r="F11" i="30" s="1"/>
  <c r="G11" i="30" s="1"/>
  <c r="J11" i="30" s="1"/>
  <c r="I12" i="30"/>
  <c r="E12" i="30" s="1"/>
  <c r="F12" i="30" s="1"/>
  <c r="G12" i="30" s="1"/>
  <c r="J12" i="30" s="1"/>
  <c r="I13" i="30"/>
  <c r="E13" i="30" s="1"/>
  <c r="F13" i="30" s="1"/>
  <c r="G13" i="30" s="1"/>
  <c r="J13" i="30" s="1"/>
  <c r="A15" i="30"/>
  <c r="C7" i="28" a="1"/>
  <c r="C7" i="28" s="1"/>
  <c r="M6" i="28" a="1"/>
  <c r="G18" i="34" l="1"/>
  <c r="B32" i="34" s="1"/>
  <c r="B8" i="34"/>
  <c r="I3" i="30"/>
  <c r="J6" i="30"/>
  <c r="C15" i="30"/>
  <c r="A17" i="30" s="1"/>
  <c r="G3" i="30"/>
  <c r="G7" i="30"/>
  <c r="J7" i="30" s="1"/>
  <c r="M6" i="28"/>
  <c r="E7" i="28" a="1"/>
  <c r="E7" i="28" s="1"/>
  <c r="D7" i="28" a="1"/>
  <c r="D7" i="28" s="1"/>
  <c r="F7" i="28" a="1"/>
  <c r="F7" i="28" s="1"/>
  <c r="M9" i="28" a="1"/>
  <c r="M8" i="28" a="1"/>
  <c r="I124" i="38" l="1"/>
  <c r="G19" i="30"/>
  <c r="E19" i="30" s="1"/>
  <c r="G16" i="30"/>
  <c r="E16" i="30" s="1"/>
  <c r="G7" i="28" a="1"/>
  <c r="G7" i="28" s="1"/>
  <c r="G3" i="28" s="1"/>
  <c r="M8" i="28"/>
  <c r="J7" i="28" a="1"/>
  <c r="J7" i="28" s="1"/>
  <c r="J3" i="28" s="1"/>
  <c r="H7" i="28" a="1"/>
  <c r="H7" i="28" s="1"/>
  <c r="M9" i="28"/>
  <c r="M10" i="28" a="1"/>
  <c r="J19" i="30" l="1"/>
  <c r="H19" i="30"/>
  <c r="I19" i="30"/>
  <c r="J16" i="30"/>
  <c r="I16" i="30"/>
  <c r="H16" i="30"/>
  <c r="H3" i="28"/>
  <c r="I3" i="28" s="1"/>
  <c r="I7" i="28" a="1"/>
  <c r="I7" i="28" s="1"/>
  <c r="M10" i="28"/>
  <c r="C16" i="28" a="1"/>
  <c r="C16" i="28" s="1"/>
  <c r="D16" i="28" s="1" a="1"/>
  <c r="D16" i="28" s="1"/>
  <c r="M12" i="28" a="1"/>
  <c r="M11" i="28" a="1"/>
  <c r="M12" i="28" l="1"/>
  <c r="M11" i="28"/>
  <c r="B4" i="15"/>
  <c r="G11" i="24"/>
  <c r="H11" i="24"/>
  <c r="D23" i="24" l="1"/>
  <c r="E23" i="24"/>
  <c r="I125" i="38"/>
  <c r="I126" i="38" l="1"/>
  <c r="E27" i="16"/>
  <c r="E25" i="16"/>
  <c r="C4" i="15"/>
  <c r="K13" i="5"/>
  <c r="K14" i="5" s="1"/>
  <c r="K15" i="5" s="1"/>
  <c r="K16" i="5" s="1"/>
  <c r="K17" i="5" s="1"/>
  <c r="K18" i="5" s="1"/>
  <c r="K19" i="5" s="1"/>
  <c r="K20" i="5" s="1"/>
  <c r="K21" i="5" s="1"/>
  <c r="H5" i="11" a="1"/>
  <c r="H5" i="11" s="1"/>
  <c r="H6" i="11" a="1"/>
  <c r="H6" i="11" s="1"/>
  <c r="G5" i="11" a="1"/>
  <c r="G5" i="11" s="1"/>
  <c r="G6" i="11" a="1"/>
  <c r="G6" i="11" s="1"/>
  <c r="F5" i="11" a="1"/>
  <c r="F5" i="11" s="1"/>
  <c r="F6" i="11" a="1"/>
  <c r="F6" i="11" s="1"/>
  <c r="E5" i="11" a="1"/>
  <c r="E5" i="11" s="1"/>
  <c r="E6" i="11" a="1"/>
  <c r="E6" i="11" s="1"/>
  <c r="D5" i="11" a="1"/>
  <c r="D5" i="11" s="1"/>
  <c r="D6" i="11" a="1"/>
  <c r="D6" i="11" s="1"/>
  <c r="C5" i="11" a="1"/>
  <c r="C5" i="11" s="1"/>
  <c r="C6" i="11" a="1"/>
  <c r="C6" i="11" s="1"/>
  <c r="B5" i="11" a="1"/>
  <c r="B5" i="11" s="1"/>
  <c r="B6" i="11" a="1"/>
  <c r="B6" i="11" s="1"/>
  <c r="G19" i="5"/>
  <c r="I19" i="5" s="1"/>
  <c r="J19" i="5" s="1"/>
  <c r="G20" i="5"/>
  <c r="I20" i="5" s="1"/>
  <c r="J20" i="5" s="1"/>
  <c r="G21" i="5"/>
  <c r="I21" i="5" s="1"/>
  <c r="J21" i="5" s="1"/>
  <c r="A6" i="13" a="1"/>
  <c r="C4" i="12" a="1"/>
  <c r="A6" i="12" a="1"/>
  <c r="C4" i="13" a="1"/>
  <c r="A7" i="15" l="1"/>
  <c r="D7" i="15" s="1"/>
  <c r="L21" i="5"/>
  <c r="M21" i="5" s="1"/>
  <c r="L20" i="5"/>
  <c r="M20" i="5" s="1"/>
  <c r="L19" i="5"/>
  <c r="M19" i="5" s="1"/>
  <c r="C4" i="12"/>
  <c r="A6" i="13"/>
  <c r="C4" i="13"/>
  <c r="A6" i="12"/>
  <c r="N21" i="5"/>
  <c r="H21" i="5"/>
  <c r="N20" i="5"/>
  <c r="H20" i="5"/>
  <c r="N19" i="5"/>
  <c r="H19" i="5"/>
  <c r="L12" i="5"/>
  <c r="M12" i="5" s="1"/>
  <c r="D6" i="10"/>
  <c r="G15" i="10"/>
  <c r="F15" i="10"/>
  <c r="D15" i="10"/>
  <c r="E15" i="10" s="1"/>
  <c r="I127" i="38" l="1"/>
  <c r="F4" i="15"/>
  <c r="F7" i="15"/>
  <c r="J46" i="15" s="1"/>
  <c r="G7" i="15"/>
  <c r="J66" i="15" s="1"/>
  <c r="E7" i="15"/>
  <c r="J26" i="15" s="1"/>
  <c r="J28" i="15" s="1"/>
  <c r="B7" i="15"/>
  <c r="C7" i="15"/>
  <c r="D13" i="10"/>
  <c r="G18" i="5"/>
  <c r="I18" i="5" s="1"/>
  <c r="J18" i="5" s="1"/>
  <c r="L18" i="5"/>
  <c r="M18" i="5" s="1"/>
  <c r="G17" i="5"/>
  <c r="I17" i="5" s="1"/>
  <c r="J17" i="5" s="1"/>
  <c r="L17" i="5"/>
  <c r="M17" i="5" s="1"/>
  <c r="G16" i="5"/>
  <c r="I16" i="5" s="1"/>
  <c r="J16" i="5" s="1"/>
  <c r="L16" i="5"/>
  <c r="M16" i="5" s="1"/>
  <c r="G15" i="5"/>
  <c r="I15" i="5" s="1"/>
  <c r="J15" i="5" s="1"/>
  <c r="L15" i="5"/>
  <c r="M15" i="5" s="1"/>
  <c r="G14" i="5"/>
  <c r="I14" i="5" s="1"/>
  <c r="J14" i="5" s="1"/>
  <c r="L14" i="5"/>
  <c r="M14" i="5" s="1"/>
  <c r="G13" i="5"/>
  <c r="I13" i="5" s="1"/>
  <c r="J13" i="5" s="1"/>
  <c r="L13" i="5"/>
  <c r="M13" i="5" s="1"/>
  <c r="G13" i="10"/>
  <c r="F13" i="10"/>
  <c r="E13" i="10"/>
  <c r="G12" i="5"/>
  <c r="J30" i="15" l="1"/>
  <c r="J38" i="15"/>
  <c r="J32" i="15"/>
  <c r="J33" i="15"/>
  <c r="J41" i="15"/>
  <c r="J37" i="15"/>
  <c r="J31" i="15"/>
  <c r="J39" i="15"/>
  <c r="J40" i="15"/>
  <c r="J36" i="15"/>
  <c r="J34" i="15"/>
  <c r="J42" i="15"/>
  <c r="J35" i="15"/>
  <c r="J29" i="15"/>
  <c r="K36" i="15"/>
  <c r="K40" i="15"/>
  <c r="K37" i="15"/>
  <c r="K41" i="15"/>
  <c r="K42" i="15"/>
  <c r="I86" i="15" s="1"/>
  <c r="K38" i="15"/>
  <c r="K39" i="15"/>
  <c r="J58" i="15"/>
  <c r="J62" i="15"/>
  <c r="K60" i="15"/>
  <c r="J59" i="15"/>
  <c r="J60" i="15"/>
  <c r="J61" i="15"/>
  <c r="K61" i="15"/>
  <c r="K58" i="15"/>
  <c r="K59" i="15"/>
  <c r="K62" i="15"/>
  <c r="J86" i="15" s="1"/>
  <c r="K68" i="15"/>
  <c r="K69" i="15"/>
  <c r="K70" i="15"/>
  <c r="K71" i="15"/>
  <c r="K72" i="15"/>
  <c r="K73" i="15"/>
  <c r="K74" i="15"/>
  <c r="K75" i="15"/>
  <c r="K76" i="15"/>
  <c r="K77" i="15"/>
  <c r="K78" i="15"/>
  <c r="K79" i="15"/>
  <c r="K80" i="15"/>
  <c r="K81" i="15"/>
  <c r="K82" i="15"/>
  <c r="K86" i="15" s="1"/>
  <c r="J68" i="15"/>
  <c r="J69" i="15"/>
  <c r="J70" i="15"/>
  <c r="J71" i="15"/>
  <c r="J72" i="15"/>
  <c r="J73" i="15"/>
  <c r="J74" i="15"/>
  <c r="J75" i="15"/>
  <c r="J76" i="15"/>
  <c r="J77" i="15"/>
  <c r="J78" i="15"/>
  <c r="J79" i="15"/>
  <c r="J80" i="15"/>
  <c r="J81" i="15"/>
  <c r="J82" i="15"/>
  <c r="K49" i="15"/>
  <c r="D8" i="10"/>
  <c r="D9" i="10" s="1"/>
  <c r="C7" i="10"/>
  <c r="I12" i="5"/>
  <c r="N13" i="5"/>
  <c r="N14" i="5"/>
  <c r="N15" i="5"/>
  <c r="N16" i="5"/>
  <c r="H17" i="5"/>
  <c r="N17" i="5"/>
  <c r="H18" i="5"/>
  <c r="N18" i="5"/>
  <c r="H13" i="5"/>
  <c r="H14" i="5"/>
  <c r="H15" i="5"/>
  <c r="H16" i="5"/>
  <c r="J12" i="5" l="1"/>
  <c r="H8" i="5"/>
  <c r="I128" i="38"/>
  <c r="K55" i="15"/>
  <c r="J56" i="15"/>
  <c r="K51" i="15"/>
  <c r="J52" i="15"/>
  <c r="J48" i="15"/>
  <c r="J57" i="15"/>
  <c r="J49" i="15"/>
  <c r="K56" i="15"/>
  <c r="K48" i="15"/>
  <c r="J55" i="15"/>
  <c r="K54" i="15"/>
  <c r="J54" i="15"/>
  <c r="K53" i="15"/>
  <c r="J53" i="15"/>
  <c r="K52" i="15"/>
  <c r="J51" i="15"/>
  <c r="K50" i="15"/>
  <c r="J50" i="15"/>
  <c r="K57" i="15"/>
  <c r="K29" i="15"/>
  <c r="K30" i="15"/>
  <c r="K31" i="15"/>
  <c r="K32" i="15"/>
  <c r="K33" i="15"/>
  <c r="K34" i="15"/>
  <c r="K35" i="15"/>
  <c r="K28" i="15"/>
  <c r="H12" i="5"/>
  <c r="N12" i="5"/>
  <c r="J8" i="5" s="1"/>
  <c r="K8" i="5" l="1"/>
  <c r="G8" i="5"/>
  <c r="I129" i="38" l="1"/>
  <c r="I130" i="38" l="1"/>
  <c r="I131" i="38" l="1"/>
  <c r="I132" i="38" l="1"/>
  <c r="I133" i="38" l="1"/>
  <c r="I134" i="38" l="1"/>
  <c r="I135" i="38" l="1"/>
  <c r="I136" i="38" l="1"/>
  <c r="I137" i="38" l="1"/>
  <c r="I138" i="38" l="1"/>
  <c r="I139" i="38" l="1"/>
  <c r="I140" i="38" l="1"/>
  <c r="I141" i="38" l="1"/>
  <c r="I142" i="38" l="1"/>
  <c r="I143" i="38" l="1"/>
  <c r="I144" i="38" l="1"/>
  <c r="I145" i="38" l="1"/>
  <c r="I146" i="38" l="1"/>
  <c r="I147" i="38" l="1"/>
  <c r="I148" i="38" l="1"/>
  <c r="I149" i="38" l="1"/>
  <c r="I150" i="38" l="1"/>
  <c r="I151" i="38" l="1"/>
  <c r="I152" i="38" l="1"/>
  <c r="I153" i="38" l="1"/>
  <c r="I154" i="38" l="1"/>
  <c r="I155" i="38" l="1"/>
  <c r="I156" i="38" l="1"/>
  <c r="I157" i="38" l="1"/>
  <c r="I158" i="38" l="1"/>
  <c r="I159" i="38" l="1"/>
  <c r="I160" i="38" l="1"/>
  <c r="I161" i="38" l="1"/>
  <c r="I162" i="38" l="1"/>
  <c r="I163" i="38" l="1"/>
  <c r="I164" i="38" l="1"/>
  <c r="I165" i="38" l="1"/>
  <c r="I166" i="38" l="1"/>
  <c r="I167" i="38" l="1"/>
  <c r="I168" i="38" l="1"/>
  <c r="I169" i="38" l="1"/>
  <c r="I170" i="38" l="1"/>
  <c r="I171" i="38" l="1"/>
  <c r="I172" i="38" l="1"/>
  <c r="I173" i="38" l="1"/>
  <c r="I174" i="38" l="1"/>
  <c r="I175" i="38" l="1"/>
  <c r="I176" i="38" l="1"/>
  <c r="I177" i="38" l="1"/>
  <c r="I178" i="38" l="1"/>
  <c r="I179" i="38" l="1"/>
  <c r="I180" i="38" l="1"/>
  <c r="I181" i="38" l="1"/>
  <c r="I182" i="38" l="1"/>
  <c r="I183" i="38" l="1"/>
  <c r="I184" i="38" l="1"/>
  <c r="I185" i="38" l="1"/>
  <c r="I186" i="38" l="1"/>
  <c r="I187" i="38" l="1"/>
  <c r="I188" i="38" l="1"/>
  <c r="I189" i="38" l="1"/>
  <c r="I190" i="38" l="1"/>
  <c r="I191" i="38" l="1"/>
  <c r="I192" i="38" l="1"/>
  <c r="I193" i="38" l="1"/>
  <c r="I194" i="38" l="1"/>
  <c r="I195" i="38" l="1"/>
  <c r="I196" i="38" l="1"/>
  <c r="I197" i="38" l="1"/>
  <c r="I198" i="38" l="1"/>
  <c r="I199" i="38" l="1"/>
  <c r="I200" i="38" l="1"/>
  <c r="I201" i="38" l="1"/>
  <c r="I202" i="38" l="1"/>
  <c r="I203" i="38" l="1"/>
  <c r="I204" i="38" l="1"/>
  <c r="I205" i="38" l="1"/>
  <c r="I206" i="38" l="1"/>
  <c r="I207" i="38" l="1"/>
  <c r="I208" i="38" l="1"/>
  <c r="I209" i="38" l="1"/>
  <c r="I210" i="38" l="1"/>
  <c r="I211" i="38" l="1"/>
  <c r="I212" i="38" l="1"/>
  <c r="I213" i="38" l="1"/>
  <c r="I214" i="38" l="1"/>
  <c r="I215" i="38" l="1"/>
  <c r="I216" i="38" l="1"/>
  <c r="I217" i="38" l="1"/>
  <c r="I218" i="38" l="1"/>
  <c r="I219" i="38" l="1"/>
  <c r="I220" i="38" l="1"/>
  <c r="I221" i="38" l="1"/>
  <c r="I222" i="38" l="1"/>
  <c r="I223" i="38" l="1"/>
  <c r="I224" i="38" l="1"/>
  <c r="I225" i="38" l="1"/>
  <c r="I226" i="38" l="1"/>
  <c r="I227" i="38" l="1"/>
  <c r="I228" i="38" l="1"/>
  <c r="I229" i="38" l="1"/>
  <c r="I230" i="38" l="1"/>
  <c r="I231" i="38" l="1"/>
  <c r="I232" i="38" l="1"/>
  <c r="I233" i="38" l="1"/>
  <c r="I234" i="38" l="1"/>
  <c r="I235" i="38" l="1"/>
  <c r="I236" i="38" l="1"/>
  <c r="I237" i="38" l="1"/>
  <c r="I238" i="38" l="1"/>
  <c r="I239" i="38" l="1"/>
  <c r="I240" i="38" l="1"/>
  <c r="I241" i="38" l="1"/>
  <c r="I242" i="38" l="1"/>
  <c r="I243" i="38" l="1"/>
  <c r="I244" i="38" l="1"/>
  <c r="I245" i="38" l="1"/>
  <c r="I246" i="38" l="1"/>
  <c r="I247" i="38" l="1"/>
  <c r="I248" i="38" l="1"/>
  <c r="I249" i="38" l="1"/>
  <c r="I250" i="38" l="1"/>
  <c r="I251" i="38" l="1"/>
  <c r="I252" i="38" l="1"/>
  <c r="I253" i="38" l="1"/>
  <c r="I254" i="38" l="1"/>
  <c r="I255" i="38" l="1"/>
  <c r="I256" i="38" l="1"/>
  <c r="I257" i="38" l="1"/>
  <c r="I258" i="38" l="1"/>
  <c r="I259" i="38" l="1"/>
  <c r="I260" i="38" l="1"/>
  <c r="I261" i="38" l="1"/>
  <c r="I262" i="38" l="1"/>
  <c r="I263" i="38" l="1"/>
  <c r="I264" i="38" l="1"/>
  <c r="I265" i="38" l="1"/>
  <c r="I266" i="38" l="1"/>
  <c r="I267" i="38" l="1"/>
  <c r="I268" i="38" l="1"/>
  <c r="I269" i="38" l="1"/>
  <c r="I270" i="38" l="1"/>
  <c r="I271" i="38" l="1"/>
  <c r="I272" i="38" l="1"/>
  <c r="I273" i="38" l="1"/>
  <c r="I274" i="38" l="1"/>
  <c r="I275" i="38" l="1"/>
  <c r="I276" i="38" l="1"/>
  <c r="I277" i="38" l="1"/>
  <c r="I278" i="38" l="1"/>
  <c r="I279" i="38" l="1"/>
  <c r="I280" i="38" l="1"/>
  <c r="I281" i="38" l="1"/>
  <c r="I282" i="38" l="1"/>
  <c r="I283" i="38" l="1"/>
  <c r="I284" i="38" l="1"/>
  <c r="I285" i="38" l="1"/>
  <c r="I286" i="38" l="1"/>
  <c r="I287" i="38" l="1"/>
  <c r="I288" i="38" l="1"/>
  <c r="I289" i="38" l="1"/>
  <c r="I290" i="38" l="1"/>
  <c r="I291" i="38" l="1"/>
  <c r="I292" i="38" l="1"/>
  <c r="I293" i="38" l="1"/>
  <c r="I294" i="38" l="1"/>
  <c r="I295" i="38" l="1"/>
  <c r="I296" i="38" l="1"/>
  <c r="I297" i="38" l="1"/>
  <c r="I298" i="38" l="1"/>
  <c r="I299" i="38" l="1"/>
  <c r="I300" i="38" l="1"/>
  <c r="I301" i="38" l="1"/>
  <c r="I302" i="38" l="1"/>
  <c r="I303" i="38" l="1"/>
  <c r="I304" i="38" l="1"/>
  <c r="I305" i="38" l="1"/>
  <c r="I306" i="38" l="1"/>
  <c r="I307" i="38" l="1"/>
  <c r="I308" i="38" l="1"/>
  <c r="I309" i="38" l="1"/>
  <c r="I310" i="38" l="1"/>
  <c r="I311" i="38" l="1"/>
  <c r="I312" i="38" l="1"/>
  <c r="I313" i="38" l="1"/>
  <c r="I314" i="38" l="1"/>
  <c r="I315" i="38" l="1"/>
  <c r="I316" i="38" l="1"/>
  <c r="I317" i="38" l="1"/>
  <c r="I318" i="38" l="1"/>
  <c r="I319" i="38" l="1"/>
  <c r="I320" i="38" l="1"/>
  <c r="I321" i="38" l="1"/>
  <c r="I322" i="38" l="1"/>
  <c r="I323" i="38" l="1"/>
  <c r="I324" i="38" l="1"/>
  <c r="I325" i="38" l="1"/>
  <c r="I326" i="38" l="1"/>
  <c r="I327" i="38" l="1"/>
  <c r="I328" i="38" l="1"/>
  <c r="I329" i="38" l="1"/>
  <c r="I330" i="38" l="1"/>
  <c r="I331" i="38" l="1"/>
  <c r="I332" i="38" l="1"/>
  <c r="I333" i="38" l="1"/>
  <c r="I334" i="38" l="1"/>
  <c r="I335" i="38" l="1"/>
  <c r="I336" i="38" l="1"/>
  <c r="I337" i="38" l="1"/>
  <c r="I338" i="38" l="1"/>
  <c r="I339" i="38" l="1"/>
  <c r="I340" i="38" l="1"/>
  <c r="I341" i="38" l="1"/>
  <c r="I342" i="38" l="1"/>
  <c r="I343" i="38" l="1"/>
  <c r="I344" i="38" l="1"/>
  <c r="I345" i="38" l="1"/>
  <c r="I346" i="38" l="1"/>
  <c r="I347" i="38" l="1"/>
  <c r="I348" i="38" l="1"/>
  <c r="I349" i="38" l="1"/>
  <c r="I350" i="38" l="1"/>
  <c r="I351" i="38" l="1"/>
  <c r="I352" i="38" l="1"/>
  <c r="I353" i="38" l="1"/>
  <c r="I354" i="38" l="1"/>
  <c r="I355" i="38" l="1"/>
  <c r="I356" i="38" l="1"/>
  <c r="I357" i="38" l="1"/>
  <c r="I358" i="38" l="1"/>
  <c r="I359" i="38" l="1"/>
  <c r="I360" i="38" l="1"/>
  <c r="I361" i="38" l="1"/>
  <c r="I362" i="38" l="1"/>
  <c r="J362" i="38" l="1"/>
  <c r="J74" i="38"/>
  <c r="J71" i="38"/>
  <c r="J79" i="38"/>
  <c r="J121" i="38"/>
  <c r="J114" i="38"/>
  <c r="J91" i="38"/>
  <c r="J89" i="38"/>
  <c r="J72" i="38"/>
  <c r="J86" i="38"/>
  <c r="J122" i="38"/>
  <c r="J111" i="38"/>
  <c r="J101" i="38"/>
  <c r="J76" i="38"/>
  <c r="J92" i="38"/>
  <c r="J73" i="38"/>
  <c r="J96" i="38"/>
  <c r="J70" i="38"/>
  <c r="J99" i="38"/>
  <c r="J88" i="38"/>
  <c r="J115" i="38"/>
  <c r="J97" i="38"/>
  <c r="J75" i="38"/>
  <c r="J102" i="38"/>
  <c r="J112" i="38"/>
  <c r="J67" i="38"/>
  <c r="J100" i="38"/>
  <c r="J80" i="38"/>
  <c r="J68" i="38"/>
  <c r="J87" i="38"/>
  <c r="J78" i="38"/>
  <c r="J113" i="38"/>
  <c r="J105" i="38"/>
  <c r="J106" i="38"/>
  <c r="J90" i="38"/>
  <c r="J77" i="38"/>
  <c r="J84" i="38"/>
  <c r="J118" i="38"/>
  <c r="J116" i="38"/>
  <c r="J98" i="38"/>
  <c r="J119" i="38"/>
  <c r="J93" i="38"/>
  <c r="J104" i="38"/>
  <c r="J110" i="38"/>
  <c r="J94" i="38"/>
  <c r="J65" i="38"/>
  <c r="J69" i="38"/>
  <c r="J85" i="38"/>
  <c r="J107" i="38"/>
  <c r="J83" i="38"/>
  <c r="J81" i="38"/>
  <c r="J66" i="38"/>
  <c r="J123" i="38"/>
  <c r="J95" i="38"/>
  <c r="J117" i="38"/>
  <c r="J109" i="38"/>
  <c r="J108" i="38"/>
  <c r="J120" i="38"/>
  <c r="J103" i="38"/>
  <c r="J82" i="38"/>
  <c r="J64" i="38"/>
  <c r="H64" i="38" s="1"/>
  <c r="J124" i="38"/>
  <c r="J125" i="38"/>
  <c r="J126" i="38"/>
  <c r="J127" i="38"/>
  <c r="J128" i="38"/>
  <c r="J129" i="38"/>
  <c r="J130" i="38"/>
  <c r="J131" i="38"/>
  <c r="J132" i="38"/>
  <c r="J133" i="38"/>
  <c r="J134" i="38"/>
  <c r="J135" i="38"/>
  <c r="J136" i="38"/>
  <c r="J137" i="38"/>
  <c r="J138" i="38"/>
  <c r="J139" i="38"/>
  <c r="J140" i="38"/>
  <c r="J141" i="38"/>
  <c r="J142" i="38"/>
  <c r="J143" i="38"/>
  <c r="J144" i="38"/>
  <c r="J145" i="38"/>
  <c r="J146" i="38"/>
  <c r="J147" i="38"/>
  <c r="J148" i="38"/>
  <c r="J149" i="38"/>
  <c r="J150" i="38"/>
  <c r="J151" i="38"/>
  <c r="J152" i="38"/>
  <c r="J153" i="38"/>
  <c r="J154" i="38"/>
  <c r="J155" i="38"/>
  <c r="J156" i="38"/>
  <c r="J157" i="38"/>
  <c r="J158" i="38"/>
  <c r="J159" i="38"/>
  <c r="J160" i="38"/>
  <c r="J161" i="38"/>
  <c r="J162" i="38"/>
  <c r="J163" i="38"/>
  <c r="J164" i="38"/>
  <c r="J165" i="38"/>
  <c r="J166" i="38"/>
  <c r="J167" i="38"/>
  <c r="J168" i="38"/>
  <c r="J169" i="38"/>
  <c r="J170" i="38"/>
  <c r="J171" i="38"/>
  <c r="J172" i="38"/>
  <c r="J173" i="38"/>
  <c r="J174" i="38"/>
  <c r="J175" i="38"/>
  <c r="J176" i="38"/>
  <c r="J177" i="38"/>
  <c r="J178" i="38"/>
  <c r="J179" i="38"/>
  <c r="J180" i="38"/>
  <c r="J181" i="38"/>
  <c r="J182" i="38"/>
  <c r="J183" i="38"/>
  <c r="J184" i="38"/>
  <c r="J185" i="38"/>
  <c r="J186" i="38"/>
  <c r="J187" i="38"/>
  <c r="J188" i="38"/>
  <c r="J189" i="38"/>
  <c r="J190" i="38"/>
  <c r="J191" i="38"/>
  <c r="J192" i="38"/>
  <c r="J193" i="38"/>
  <c r="J194" i="38"/>
  <c r="J195" i="38"/>
  <c r="J196" i="38"/>
  <c r="J197" i="38"/>
  <c r="J198" i="38"/>
  <c r="J199" i="38"/>
  <c r="J200" i="38"/>
  <c r="J201" i="38"/>
  <c r="J202" i="38"/>
  <c r="J203" i="38"/>
  <c r="J204" i="38"/>
  <c r="J205" i="38"/>
  <c r="J206" i="38"/>
  <c r="J207" i="38"/>
  <c r="J208" i="38"/>
  <c r="J209" i="38"/>
  <c r="J210" i="38"/>
  <c r="J211" i="38"/>
  <c r="J212" i="38"/>
  <c r="J213" i="38"/>
  <c r="J214" i="38"/>
  <c r="J215" i="38"/>
  <c r="J216" i="38"/>
  <c r="J217" i="38"/>
  <c r="J218" i="38"/>
  <c r="J219" i="38"/>
  <c r="J220" i="38"/>
  <c r="J221" i="38"/>
  <c r="J222" i="38"/>
  <c r="J223" i="38"/>
  <c r="J224" i="38"/>
  <c r="J225" i="38"/>
  <c r="J226" i="38"/>
  <c r="J227" i="38"/>
  <c r="J228" i="38"/>
  <c r="J229" i="38"/>
  <c r="J230" i="38"/>
  <c r="J231" i="38"/>
  <c r="J232" i="38"/>
  <c r="J233" i="38"/>
  <c r="J234" i="38"/>
  <c r="J235" i="38"/>
  <c r="J236" i="38"/>
  <c r="J237" i="38"/>
  <c r="J238" i="38"/>
  <c r="J239" i="38"/>
  <c r="J240" i="38"/>
  <c r="J241" i="38"/>
  <c r="J242" i="38"/>
  <c r="J243" i="38"/>
  <c r="J244" i="38"/>
  <c r="J245" i="38"/>
  <c r="J246" i="38"/>
  <c r="J247" i="38"/>
  <c r="J248" i="38"/>
  <c r="J249" i="38"/>
  <c r="J250" i="38"/>
  <c r="J251" i="38"/>
  <c r="J252" i="38"/>
  <c r="J253" i="38"/>
  <c r="J254" i="38"/>
  <c r="J255" i="38"/>
  <c r="J256" i="38"/>
  <c r="J257" i="38"/>
  <c r="J259" i="38"/>
  <c r="J258" i="38"/>
  <c r="J260" i="38"/>
  <c r="J261" i="38"/>
  <c r="J262" i="38"/>
  <c r="J263" i="38"/>
  <c r="J264" i="38"/>
  <c r="J266" i="38"/>
  <c r="J265" i="38"/>
  <c r="J267" i="38"/>
  <c r="J268" i="38"/>
  <c r="J269" i="38"/>
  <c r="J270" i="38"/>
  <c r="J271" i="38"/>
  <c r="J272" i="38"/>
  <c r="J273" i="38"/>
  <c r="J274" i="38"/>
  <c r="J275" i="38"/>
  <c r="J276" i="38"/>
  <c r="J277" i="38"/>
  <c r="J278" i="38"/>
  <c r="J279" i="38"/>
  <c r="J280" i="38"/>
  <c r="J281" i="38"/>
  <c r="J282" i="38"/>
  <c r="J283" i="38"/>
  <c r="J284" i="38"/>
  <c r="J285" i="38"/>
  <c r="J286" i="38"/>
  <c r="J287" i="38"/>
  <c r="J288" i="38"/>
  <c r="J289" i="38"/>
  <c r="J290" i="38"/>
  <c r="J291" i="38"/>
  <c r="J292" i="38"/>
  <c r="J293" i="38"/>
  <c r="J294" i="38"/>
  <c r="J295" i="38"/>
  <c r="J296" i="38"/>
  <c r="J297" i="38"/>
  <c r="J298" i="38"/>
  <c r="J299" i="38"/>
  <c r="J300" i="38"/>
  <c r="J301" i="38"/>
  <c r="J302" i="38"/>
  <c r="J303" i="38"/>
  <c r="J304" i="38"/>
  <c r="J306" i="38"/>
  <c r="J305" i="38"/>
  <c r="J307" i="38"/>
  <c r="J308" i="38"/>
  <c r="J309" i="38"/>
  <c r="J310" i="38"/>
  <c r="J311" i="38"/>
  <c r="J312" i="38"/>
  <c r="J313" i="38"/>
  <c r="J314" i="38"/>
  <c r="J315" i="38"/>
  <c r="J316" i="38"/>
  <c r="J317" i="38"/>
  <c r="J318" i="38"/>
  <c r="J319" i="38"/>
  <c r="J320" i="38"/>
  <c r="J321" i="38"/>
  <c r="J322" i="38"/>
  <c r="J323" i="38"/>
  <c r="J324" i="38"/>
  <c r="J325" i="38"/>
  <c r="J326" i="38"/>
  <c r="J327" i="38"/>
  <c r="J328" i="38"/>
  <c r="J329" i="38"/>
  <c r="J330" i="38"/>
  <c r="J331" i="38"/>
  <c r="J332" i="38"/>
  <c r="J333" i="38"/>
  <c r="J334" i="38"/>
  <c r="J335" i="38"/>
  <c r="J336" i="38"/>
  <c r="J337" i="38"/>
  <c r="J338" i="38"/>
  <c r="J339" i="38"/>
  <c r="J340" i="38"/>
  <c r="J342" i="38"/>
  <c r="J341" i="38"/>
  <c r="J343" i="38"/>
  <c r="J344" i="38"/>
  <c r="J346" i="38"/>
  <c r="J345" i="38"/>
  <c r="J347" i="38"/>
  <c r="J348" i="38"/>
  <c r="J349" i="38"/>
  <c r="J350" i="38"/>
  <c r="J351" i="38"/>
  <c r="J352" i="38"/>
  <c r="J353" i="38"/>
  <c r="J354" i="38"/>
  <c r="J355" i="38"/>
  <c r="J361" i="38"/>
  <c r="J356" i="38"/>
  <c r="J357" i="38"/>
  <c r="J360" i="38"/>
  <c r="J358" i="38"/>
  <c r="J359" i="38"/>
  <c r="H362" i="38"/>
  <c r="H342" i="38" l="1"/>
  <c r="H301" i="38"/>
  <c r="H269" i="38"/>
  <c r="H237" i="38"/>
  <c r="H205" i="38"/>
  <c r="H173" i="38"/>
  <c r="H125" i="38"/>
  <c r="H235" i="38"/>
  <c r="H227" i="38"/>
  <c r="H219" i="38"/>
  <c r="H211" i="38"/>
  <c r="H203" i="38"/>
  <c r="H195" i="38"/>
  <c r="H187" i="38"/>
  <c r="H179" i="38"/>
  <c r="H171" i="38"/>
  <c r="H163" i="38"/>
  <c r="H155" i="38"/>
  <c r="H147" i="38"/>
  <c r="H139" i="38"/>
  <c r="H131" i="38"/>
  <c r="H120" i="38"/>
  <c r="H83" i="38"/>
  <c r="H94" i="38"/>
  <c r="H118" i="38"/>
  <c r="H68" i="38"/>
  <c r="H102" i="38"/>
  <c r="H70" i="38"/>
  <c r="H79" i="38"/>
  <c r="H355" i="38"/>
  <c r="H339" i="38"/>
  <c r="H323" i="38"/>
  <c r="H307" i="38"/>
  <c r="H299" i="38"/>
  <c r="H283" i="38"/>
  <c r="H267" i="38"/>
  <c r="H251" i="38"/>
  <c r="H345" i="38"/>
  <c r="H338" i="38"/>
  <c r="H330" i="38"/>
  <c r="H322" i="38"/>
  <c r="H314" i="38"/>
  <c r="H305" i="38"/>
  <c r="H298" i="38"/>
  <c r="H282" i="38"/>
  <c r="H274" i="38"/>
  <c r="H265" i="38"/>
  <c r="H259" i="38"/>
  <c r="H250" i="38"/>
  <c r="H242" i="38"/>
  <c r="H234" i="38"/>
  <c r="H226" i="38"/>
  <c r="H218" i="38"/>
  <c r="H210" i="38"/>
  <c r="H202" i="38"/>
  <c r="H194" i="38"/>
  <c r="H186" i="38"/>
  <c r="H178" i="38"/>
  <c r="H170" i="38"/>
  <c r="H162" i="38"/>
  <c r="H154" i="38"/>
  <c r="H146" i="38"/>
  <c r="H138" i="38"/>
  <c r="H130" i="38"/>
  <c r="H110" i="38"/>
  <c r="H106" i="38"/>
  <c r="H75" i="38"/>
  <c r="H96" i="38"/>
  <c r="H89" i="38"/>
  <c r="H78" i="38"/>
  <c r="H347" i="38"/>
  <c r="H331" i="38"/>
  <c r="H315" i="38"/>
  <c r="H291" i="38"/>
  <c r="H275" i="38"/>
  <c r="H258" i="38"/>
  <c r="H243" i="38"/>
  <c r="H354" i="38"/>
  <c r="H290" i="38"/>
  <c r="H108" i="38"/>
  <c r="H359" i="38"/>
  <c r="H353" i="38"/>
  <c r="H346" i="38"/>
  <c r="H337" i="38"/>
  <c r="H329" i="38"/>
  <c r="H321" i="38"/>
  <c r="H313" i="38"/>
  <c r="H306" i="38"/>
  <c r="H297" i="38"/>
  <c r="H289" i="38"/>
  <c r="H281" i="38"/>
  <c r="H273" i="38"/>
  <c r="H266" i="38"/>
  <c r="H257" i="38"/>
  <c r="H249" i="38"/>
  <c r="H241" i="38"/>
  <c r="H233" i="38"/>
  <c r="H225" i="38"/>
  <c r="H217" i="38"/>
  <c r="H209" i="38"/>
  <c r="H201" i="38"/>
  <c r="H193" i="38"/>
  <c r="H185" i="38"/>
  <c r="H177" i="38"/>
  <c r="H169" i="38"/>
  <c r="H161" i="38"/>
  <c r="H153" i="38"/>
  <c r="H145" i="38"/>
  <c r="H137" i="38"/>
  <c r="H129" i="38"/>
  <c r="H109" i="38"/>
  <c r="H107" i="38"/>
  <c r="H119" i="38"/>
  <c r="H105" i="38"/>
  <c r="H80" i="38"/>
  <c r="H97" i="38"/>
  <c r="H73" i="38"/>
  <c r="H86" i="38"/>
  <c r="H349" i="38"/>
  <c r="H325" i="38"/>
  <c r="H277" i="38"/>
  <c r="H221" i="38"/>
  <c r="H352" i="38"/>
  <c r="H320" i="38"/>
  <c r="H288" i="38"/>
  <c r="H264" i="38"/>
  <c r="H240" i="38"/>
  <c r="H224" i="38"/>
  <c r="H216" i="38"/>
  <c r="H200" i="38"/>
  <c r="H192" i="38"/>
  <c r="H184" i="38"/>
  <c r="H176" i="38"/>
  <c r="H168" i="38"/>
  <c r="H160" i="38"/>
  <c r="H152" i="38"/>
  <c r="H144" i="38"/>
  <c r="H136" i="38"/>
  <c r="H128" i="38"/>
  <c r="H100" i="38"/>
  <c r="H72" i="38"/>
  <c r="H333" i="38"/>
  <c r="H293" i="38"/>
  <c r="H253" i="38"/>
  <c r="H229" i="38"/>
  <c r="H181" i="38"/>
  <c r="H344" i="38"/>
  <c r="H328" i="38"/>
  <c r="H304" i="38"/>
  <c r="H280" i="38"/>
  <c r="H256" i="38"/>
  <c r="H208" i="38"/>
  <c r="H360" i="38"/>
  <c r="H351" i="38"/>
  <c r="H343" i="38"/>
  <c r="H335" i="38"/>
  <c r="H327" i="38"/>
  <c r="H319" i="38"/>
  <c r="H311" i="38"/>
  <c r="H303" i="38"/>
  <c r="H295" i="38"/>
  <c r="H287" i="38"/>
  <c r="H279" i="38"/>
  <c r="H271" i="38"/>
  <c r="H263" i="38"/>
  <c r="H255" i="38"/>
  <c r="H247" i="38"/>
  <c r="H239" i="38"/>
  <c r="H231" i="38"/>
  <c r="H223" i="38"/>
  <c r="H215" i="38"/>
  <c r="H207" i="38"/>
  <c r="H199" i="38"/>
  <c r="H191" i="38"/>
  <c r="H183" i="38"/>
  <c r="H175" i="38"/>
  <c r="H167" i="38"/>
  <c r="H159" i="38"/>
  <c r="H151" i="38"/>
  <c r="H143" i="38"/>
  <c r="H135" i="38"/>
  <c r="H127" i="38"/>
  <c r="H98" i="38"/>
  <c r="H84" i="38"/>
  <c r="H113" i="38"/>
  <c r="H115" i="38"/>
  <c r="H92" i="38"/>
  <c r="H101" i="38"/>
  <c r="H91" i="38"/>
  <c r="H71" i="38"/>
  <c r="H309" i="38"/>
  <c r="H261" i="38"/>
  <c r="H197" i="38"/>
  <c r="H358" i="38"/>
  <c r="H336" i="38"/>
  <c r="H312" i="38"/>
  <c r="H296" i="38"/>
  <c r="H272" i="38"/>
  <c r="H248" i="38"/>
  <c r="H232" i="38"/>
  <c r="H117" i="38"/>
  <c r="H123" i="38"/>
  <c r="H357" i="38"/>
  <c r="H350" i="38"/>
  <c r="H341" i="38"/>
  <c r="H334" i="38"/>
  <c r="H326" i="38"/>
  <c r="H318" i="38"/>
  <c r="H310" i="38"/>
  <c r="H302" i="38"/>
  <c r="H294" i="38"/>
  <c r="H286" i="38"/>
  <c r="H278" i="38"/>
  <c r="H270" i="38"/>
  <c r="H262" i="38"/>
  <c r="H254" i="38"/>
  <c r="H246" i="38"/>
  <c r="H238" i="38"/>
  <c r="H230" i="38"/>
  <c r="H222" i="38"/>
  <c r="H214" i="38"/>
  <c r="H206" i="38"/>
  <c r="H198" i="38"/>
  <c r="H190" i="38"/>
  <c r="H182" i="38"/>
  <c r="H174" i="38"/>
  <c r="H166" i="38"/>
  <c r="H158" i="38"/>
  <c r="H150" i="38"/>
  <c r="H142" i="38"/>
  <c r="H134" i="38"/>
  <c r="H126" i="38"/>
  <c r="H66" i="38"/>
  <c r="H85" i="38"/>
  <c r="H104" i="38"/>
  <c r="H77" i="38"/>
  <c r="H67" i="38"/>
  <c r="H76" i="38"/>
  <c r="H111" i="38"/>
  <c r="H114" i="38"/>
  <c r="H88" i="38"/>
  <c r="H121" i="38"/>
  <c r="H74" i="38"/>
  <c r="H356" i="38"/>
  <c r="H317" i="38"/>
  <c r="H285" i="38"/>
  <c r="H245" i="38"/>
  <c r="H213" i="38"/>
  <c r="H189" i="38"/>
  <c r="H165" i="38"/>
  <c r="H157" i="38"/>
  <c r="H149" i="38"/>
  <c r="H141" i="38"/>
  <c r="H133" i="38"/>
  <c r="H82" i="38"/>
  <c r="H81" i="38"/>
  <c r="H69" i="38"/>
  <c r="H93" i="38"/>
  <c r="H116" i="38"/>
  <c r="H361" i="38"/>
  <c r="H348" i="38"/>
  <c r="H340" i="38"/>
  <c r="H332" i="38"/>
  <c r="H324" i="38"/>
  <c r="H316" i="38"/>
  <c r="H308" i="38"/>
  <c r="H300" i="38"/>
  <c r="H292" i="38"/>
  <c r="H284" i="38"/>
  <c r="H276" i="38"/>
  <c r="H268" i="38"/>
  <c r="H260" i="38"/>
  <c r="H252" i="38"/>
  <c r="H244" i="38"/>
  <c r="H236" i="38"/>
  <c r="H228" i="38"/>
  <c r="H220" i="38"/>
  <c r="H212" i="38"/>
  <c r="H204" i="38"/>
  <c r="H196" i="38"/>
  <c r="H188" i="38"/>
  <c r="H180" i="38"/>
  <c r="H172" i="38"/>
  <c r="H164" i="38"/>
  <c r="H156" i="38"/>
  <c r="H148" i="38"/>
  <c r="H140" i="38"/>
  <c r="H132" i="38"/>
  <c r="H124" i="38"/>
  <c r="H103" i="38"/>
  <c r="H95" i="38"/>
  <c r="H65" i="38"/>
  <c r="H90" i="38"/>
  <c r="H87" i="38"/>
  <c r="H112" i="38"/>
  <c r="H99" i="38"/>
  <c r="H122" i="38"/>
  <c r="I363" i="38"/>
  <c r="J363" i="38" s="1"/>
  <c r="H363" i="38" l="1"/>
  <c r="I26" i="38"/>
  <c r="J26" i="38" s="1"/>
  <c r="H26" i="38" s="1"/>
  <c r="I12" i="38"/>
  <c r="J12" i="38" s="1"/>
  <c r="H12" i="38" s="1"/>
  <c r="I9" i="38"/>
  <c r="J9" i="38" s="1"/>
  <c r="H9" i="38" s="1"/>
  <c r="I11" i="38"/>
  <c r="J11" i="38" s="1"/>
  <c r="H11" i="38" s="1"/>
  <c r="I10" i="38"/>
  <c r="J10" i="38" s="1"/>
  <c r="H10" i="38" s="1"/>
  <c r="I8" i="38"/>
  <c r="J8" i="38" s="1"/>
  <c r="H8" i="38" s="1"/>
  <c r="I7" i="38"/>
  <c r="J7" i="38" s="1"/>
  <c r="H7" i="38" s="1"/>
  <c r="I6" i="38"/>
  <c r="J6" i="38" s="1"/>
  <c r="H6" i="38" s="1"/>
  <c r="I13" i="38"/>
  <c r="J13" i="38" s="1"/>
  <c r="H13" i="38" s="1"/>
  <c r="I5" i="38"/>
  <c r="J5" i="38" s="1"/>
  <c r="H5" i="38" s="1"/>
  <c r="I48" i="38"/>
  <c r="J48" i="38" s="1"/>
  <c r="H48" i="38" s="1"/>
  <c r="I63" i="38"/>
  <c r="J63" i="38" s="1"/>
  <c r="H63" i="38" s="1"/>
  <c r="I58" i="38"/>
  <c r="J58" i="38" s="1"/>
  <c r="H58" i="38" s="1"/>
  <c r="I41" i="38"/>
  <c r="J41" i="38" s="1"/>
  <c r="H41" i="38" s="1"/>
  <c r="I18" i="38"/>
  <c r="J18" i="38" s="1"/>
  <c r="H18" i="38" s="1"/>
  <c r="I36" i="38"/>
  <c r="J36" i="38" s="1"/>
  <c r="H36" i="38" s="1"/>
  <c r="I57" i="38"/>
  <c r="J57" i="38" s="1"/>
  <c r="H57" i="38" s="1"/>
  <c r="I37" i="38"/>
  <c r="J37" i="38" s="1"/>
  <c r="H37" i="38" s="1"/>
  <c r="I38" i="38"/>
  <c r="J38" i="38" s="1"/>
  <c r="H38" i="38" s="1"/>
  <c r="I21" i="38"/>
  <c r="J21" i="38" s="1"/>
  <c r="H21" i="38" s="1"/>
  <c r="I16" i="38"/>
  <c r="J16" i="38" s="1"/>
  <c r="H16" i="38" s="1"/>
  <c r="I22" i="38"/>
  <c r="J22" i="38" s="1"/>
  <c r="H22" i="38" s="1"/>
  <c r="I27" i="38"/>
  <c r="J27" i="38" s="1"/>
  <c r="H27" i="38" s="1"/>
  <c r="I32" i="38"/>
  <c r="J32" i="38" s="1"/>
  <c r="H32" i="38" s="1"/>
  <c r="I43" i="38"/>
  <c r="J43" i="38" s="1"/>
  <c r="H43" i="38" s="1"/>
  <c r="I49" i="38"/>
  <c r="J49" i="38" s="1"/>
  <c r="H49" i="38" s="1"/>
  <c r="I45" i="38"/>
  <c r="J45" i="38" s="1"/>
  <c r="H45" i="38" s="1"/>
  <c r="I44" i="38"/>
  <c r="J44" i="38" s="1"/>
  <c r="H44" i="38" s="1"/>
  <c r="I42" i="38"/>
  <c r="J42" i="38" s="1"/>
  <c r="H42" i="38" s="1"/>
  <c r="I46" i="38"/>
  <c r="J46" i="38" s="1"/>
  <c r="H46" i="38" s="1"/>
  <c r="I15" i="38"/>
  <c r="J15" i="38" s="1"/>
  <c r="H15" i="38" s="1"/>
  <c r="I61" i="38"/>
  <c r="J61" i="38" s="1"/>
  <c r="H61" i="38" s="1"/>
  <c r="I25" i="38"/>
  <c r="J25" i="38" s="1"/>
  <c r="H25" i="38" s="1"/>
  <c r="I31" i="38"/>
  <c r="J31" i="38" s="1"/>
  <c r="H31" i="38" s="1"/>
  <c r="I40" i="38"/>
  <c r="J40" i="38" s="1"/>
  <c r="H40" i="38" s="1"/>
  <c r="I23" i="38"/>
  <c r="J23" i="38" s="1"/>
  <c r="H23" i="38" s="1"/>
  <c r="I62" i="38"/>
  <c r="J62" i="38" s="1"/>
  <c r="H62" i="38" s="1"/>
  <c r="I47" i="38"/>
  <c r="J47" i="38" s="1"/>
  <c r="H47" i="38" s="1"/>
  <c r="I53" i="38"/>
  <c r="J53" i="38" s="1"/>
  <c r="H53" i="38" s="1"/>
  <c r="I52" i="38"/>
  <c r="J52" i="38" s="1"/>
  <c r="H52" i="38" s="1"/>
  <c r="I55" i="38"/>
  <c r="J55" i="38" s="1"/>
  <c r="H55" i="38" s="1"/>
  <c r="I59" i="38"/>
  <c r="J59" i="38" s="1"/>
  <c r="H59" i="38" s="1"/>
  <c r="I20" i="38"/>
  <c r="J20" i="38" s="1"/>
  <c r="H20" i="38" s="1"/>
  <c r="I30" i="38"/>
  <c r="J30" i="38" s="1"/>
  <c r="H30" i="38" s="1"/>
  <c r="I29" i="38"/>
  <c r="J29" i="38" s="1"/>
  <c r="H29" i="38" s="1"/>
  <c r="I39" i="38"/>
  <c r="J39" i="38" s="1"/>
  <c r="H39" i="38" s="1"/>
  <c r="I34" i="38"/>
  <c r="J34" i="38" s="1"/>
  <c r="H34" i="38" s="1"/>
  <c r="I60" i="38"/>
  <c r="J60" i="38" s="1"/>
  <c r="H60" i="38" s="1"/>
  <c r="I54" i="38"/>
  <c r="J54" i="38" s="1"/>
  <c r="H54" i="38" s="1"/>
  <c r="I50" i="38"/>
  <c r="J50" i="38" s="1"/>
  <c r="H50" i="38" s="1"/>
  <c r="I24" i="38"/>
  <c r="J24" i="38" s="1"/>
  <c r="H24" i="38" s="1"/>
  <c r="I56" i="38"/>
  <c r="J56" i="38" s="1"/>
  <c r="H56" i="38" s="1"/>
  <c r="I33" i="38"/>
  <c r="J33" i="38" s="1"/>
  <c r="H33" i="38" s="1"/>
  <c r="I17" i="38"/>
  <c r="J17" i="38" s="1"/>
  <c r="H17" i="38" s="1"/>
  <c r="I19" i="38"/>
  <c r="J19" i="38" s="1"/>
  <c r="H19" i="38" s="1"/>
  <c r="I51" i="38"/>
  <c r="J51" i="38" s="1"/>
  <c r="H51" i="38" s="1"/>
  <c r="I35" i="38"/>
  <c r="J35" i="38" s="1"/>
  <c r="H35" i="38" s="1"/>
  <c r="I14" i="38"/>
  <c r="J14" i="38" s="1"/>
  <c r="H14" i="38" s="1"/>
  <c r="I28" i="38"/>
  <c r="J28" i="38" s="1"/>
  <c r="H28" i="38" s="1"/>
  <c r="I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F35" authorId="0" shapeId="0" xr:uid="{D1965AC9-5E02-459E-B80A-C3C61169A786}">
      <text>
        <r>
          <rPr>
            <b/>
            <sz val="8"/>
            <color indexed="81"/>
            <rFont val="Tahoma"/>
            <family val="2"/>
          </rPr>
          <t>BLR:</t>
        </r>
        <r>
          <rPr>
            <sz val="8"/>
            <color indexed="81"/>
            <rFont val="Tahoma"/>
            <family val="2"/>
          </rPr>
          <t xml:space="preserve">
Used to estimate how many months you could live on your liquid assets. You may need to edit this formula if you want to include assets that you consider to be liquid other than just cash (such as a brokerage account that will allow you to easily liquidate stocks).
Note that this formula references the Total Living Expenses from the CashFlow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tc={8156509C-390F-4D0A-B4B8-61557E08CBA8}</author>
    <author>tc={E75B0FEF-8D3D-4F1B-9CAE-B8980A799A9E}</author>
  </authors>
  <commentList>
    <comment ref="A3" authorId="0" shapeId="0" xr:uid="{8156509C-390F-4D0A-B4B8-61557E08CBA8}">
      <text>
        <t>[Threaded comment]
Your version of Excel allows you to read this threaded comment; however, any edits to it will get removed if the file is opened in a newer version of Excel. Learn more: https://go.microsoft.com/fwlink/?linkid=870924
Comment:
    hardcoded to look back 1830 days, approx 5 years</t>
      </text>
    </comment>
    <comment ref="A16" authorId="1" shapeId="0" xr:uid="{E75B0FEF-8D3D-4F1B-9CAE-B8980A799A9E}">
      <text>
        <t>[Threaded comment]
Your version of Excel allows you to read this threaded comment; however, any edits to it will get removed if the file is opened in a newer version of Excel. Learn more: https://go.microsoft.com/fwlink/?linkid=870924
Comment:
    Number of trading days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033540-18D2-43D9-BB71-7E257E682FD1}" keepAlive="1" name="Query - CurrencyConverter" description="Connection to the 'CurrencyConverter' query in the workbook." type="5" refreshedVersion="7" background="1" saveData="1">
    <dbPr connection="Provider=Microsoft.Mashup.OleDb.1;Data Source=$Workbook$;Location=CurrencyConverter;Extended Properties=&quot;&quot;" command="SELECT * FROM [CurrencyConverter]"/>
  </connection>
  <connection id="2" xr16:uid="{93C2198B-F46F-40F7-BD71-3F5928EA5E22}" keepAlive="1" name="Query - markets?vs_currency=usd&amp;ids=quant-network%2C%20amp-token%2C%20curve-dao-token%2C" description="Connection to the 'markets?vs_currency=usd&amp;ids=quant-network%2C%20amp-token%2C%20curve-dao-token%2C' query in the workbook." type="5" refreshedVersion="7" background="1" saveData="1">
    <dbPr connection="Provider=Microsoft.Mashup.OleDb.1;Data Source=$Workbook$;Location=&quot;markets?vs_currency=usd&amp;ids=quant-network%2C%20amp-token%2C%20curve-dao-token%2C&quot;;Extended Properties=&quot;&quot;" command="SELECT * FROM [markets?vs_currency=usd&amp;ids=quant-network%2C%20amp-token%2C%20curve-dao-token%2C]"/>
  </connection>
  <connection id="3" xr16:uid="{A4175E15-10B0-449F-AD4E-6B094EB67A66}"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AFDC57AE-E1FA-4692-B117-F9F9F4FEB3AE}" name="WorksheetConnection_SDD Assignment Team C with VBA.xlsm!Table12_1" type="102" refreshedVersion="7" minRefreshableVersion="5">
    <extLst>
      <ext xmlns:x15="http://schemas.microsoft.com/office/spreadsheetml/2010/11/main" uri="{DE250136-89BD-433C-8126-D09CA5730AF9}">
        <x15:connection id="Table12_1">
          <x15:rangePr sourceName="_xlcn.WorksheetConnection_SDDAssignmentTeamCwithVBA.xlsmTable12_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371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8"/>
        </ext>
      </extLst>
    </bk>
    <bk>
      <extLst>
        <ext uri="{3e2802c4-a4d2-4d8b-9148-e3be6c30e623}">
          <xlrd:rvb i="1271"/>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futureMetadata>
  <futureMetadata name="XLDAPR" count="1">
    <bk>
      <extLst>
        <ext uri="{bdbb8cdc-fa1e-496e-a857-3c3f30c029c3}">
          <xda:dynamicArrayProperties fDynamic="1" fCollapsed="0"/>
        </ext>
      </extLst>
    </bk>
  </futureMetadata>
  <cellMetadata count="1">
    <bk>
      <rc t="2" v="0"/>
    </bk>
  </cellMetadata>
  <valueMetadata count="371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valueMetadata>
</metadata>
</file>

<file path=xl/sharedStrings.xml><?xml version="1.0" encoding="utf-8"?>
<sst xmlns="http://schemas.openxmlformats.org/spreadsheetml/2006/main" count="2188" uniqueCount="1281">
  <si>
    <t xml:space="preserve">  MegaFin </t>
  </si>
  <si>
    <t>Table of Contents</t>
  </si>
  <si>
    <t>Catch your money before it slips away!</t>
  </si>
  <si>
    <t>A Personal Finance Dashboard/Tracker Developed by SDD P06 Team C</t>
  </si>
  <si>
    <t xml:space="preserve">  </t>
  </si>
  <si>
    <t>Name</t>
  </si>
  <si>
    <t>Student ID</t>
  </si>
  <si>
    <t>Seo Shin Youn</t>
  </si>
  <si>
    <t>10205100K</t>
  </si>
  <si>
    <t>Lun Junji</t>
  </si>
  <si>
    <t>10205720C</t>
  </si>
  <si>
    <t>Yu Mengyao</t>
  </si>
  <si>
    <t>10205696F</t>
  </si>
  <si>
    <t>Vadlamudi Saisindhu</t>
  </si>
  <si>
    <t>10207217E</t>
  </si>
  <si>
    <t>Cortez Nathan Macalanda</t>
  </si>
  <si>
    <t>10203364H</t>
  </si>
  <si>
    <t>Data Entry Dashboard</t>
  </si>
  <si>
    <t xml:space="preserve">   Name</t>
  </si>
  <si>
    <t>s</t>
  </si>
  <si>
    <t>Add on...</t>
  </si>
  <si>
    <t xml:space="preserve">   Date of Birth</t>
  </si>
  <si>
    <t xml:space="preserve">   Monthly Salary (S$)</t>
  </si>
  <si>
    <t xml:space="preserve">   CPF Ordinary Account (S$)</t>
  </si>
  <si>
    <t xml:space="preserve">   CPF Special Account (S$)</t>
  </si>
  <si>
    <t xml:space="preserve">  CPF Medisave Account (S$)</t>
  </si>
  <si>
    <t>Validation</t>
  </si>
  <si>
    <t>Date</t>
  </si>
  <si>
    <t>Monthly Salary</t>
  </si>
  <si>
    <t>Ordinary Account</t>
  </si>
  <si>
    <t>Special Account</t>
  </si>
  <si>
    <t>Medisave Account</t>
  </si>
  <si>
    <t>Personal Balance Sheet</t>
  </si>
  <si>
    <t>As of:</t>
  </si>
  <si>
    <t>Assets Type</t>
  </si>
  <si>
    <t>Savings</t>
  </si>
  <si>
    <t>Savings Accounts</t>
  </si>
  <si>
    <t>Detail:</t>
  </si>
  <si>
    <t>Home</t>
  </si>
  <si>
    <t>Fixed Deposit Accounts</t>
  </si>
  <si>
    <t>Current Accounts</t>
  </si>
  <si>
    <t>CPF</t>
  </si>
  <si>
    <t>Other Savings</t>
  </si>
  <si>
    <t>Total Savings</t>
  </si>
  <si>
    <t>Investments</t>
  </si>
  <si>
    <t>Cryptocurrency</t>
  </si>
  <si>
    <t>Securities (stocks)</t>
  </si>
  <si>
    <t>Other Investments</t>
  </si>
  <si>
    <t>Total Investments</t>
  </si>
  <si>
    <t>Fixed Assets</t>
  </si>
  <si>
    <t>Total Fixed Assets</t>
  </si>
  <si>
    <t>Total Assets</t>
  </si>
  <si>
    <t>Liabilities</t>
  </si>
  <si>
    <t>Mortgage Loan</t>
  </si>
  <si>
    <t>Basic Loan</t>
  </si>
  <si>
    <t>Credit Accounts, Bills Due, etc.</t>
  </si>
  <si>
    <t>Student Loans</t>
  </si>
  <si>
    <t>Accounts Payable</t>
  </si>
  <si>
    <t>Unpaid Taxes (current year)</t>
  </si>
  <si>
    <t>Other Liabilities</t>
  </si>
  <si>
    <t>Total Liabilities</t>
  </si>
  <si>
    <r>
      <t>Net Worth</t>
    </r>
    <r>
      <rPr>
        <sz val="12"/>
        <rFont val="Calibri"/>
        <family val="2"/>
        <scheme val="minor"/>
      </rPr>
      <t xml:space="preserve"> (Assets - Liabilities)</t>
    </r>
  </si>
  <si>
    <t>Common Financial Ratios</t>
  </si>
  <si>
    <r>
      <t xml:space="preserve">Debt-to-Assets Ratio </t>
    </r>
    <r>
      <rPr>
        <sz val="10"/>
        <rFont val="Calibri"/>
        <family val="2"/>
        <scheme val="minor"/>
      </rPr>
      <t>(Total Liabilities / Total Assets)</t>
    </r>
  </si>
  <si>
    <r>
      <t xml:space="preserve">Basic Liquidity Ratio </t>
    </r>
    <r>
      <rPr>
        <sz val="10"/>
        <rFont val="Calibri"/>
        <family val="2"/>
        <scheme val="minor"/>
      </rPr>
      <t>(Liquid Assets / Monthly Living Expenses)</t>
    </r>
  </si>
  <si>
    <r>
      <t xml:space="preserve">Investment-Assets-to-Net-Worth Ratio </t>
    </r>
    <r>
      <rPr>
        <sz val="10"/>
        <rFont val="Calibri"/>
        <family val="2"/>
        <scheme val="minor"/>
      </rPr>
      <t>(Investment Assets / Net Worth)</t>
    </r>
  </si>
  <si>
    <t>Savings Tracker</t>
  </si>
  <si>
    <t>Types of Account</t>
  </si>
  <si>
    <t>Banks</t>
  </si>
  <si>
    <t>Account Balance</t>
  </si>
  <si>
    <t>Current Account</t>
  </si>
  <si>
    <t>OCBC</t>
  </si>
  <si>
    <t>Savings Account</t>
  </si>
  <si>
    <t>DBS</t>
  </si>
  <si>
    <t>Fixed Deposit Account</t>
  </si>
  <si>
    <t>Maybank</t>
  </si>
  <si>
    <t>ICBC</t>
  </si>
  <si>
    <t>HSBC</t>
  </si>
  <si>
    <t>Standard Chartered</t>
  </si>
  <si>
    <t>Total Balance</t>
  </si>
  <si>
    <t>For Multi-banks</t>
  </si>
  <si>
    <t>Sum of Account Balance</t>
  </si>
  <si>
    <t>Types Of Account</t>
  </si>
  <si>
    <t>Grand Total</t>
  </si>
  <si>
    <t>For Single Bank</t>
  </si>
  <si>
    <t>Calculator</t>
  </si>
  <si>
    <t>Select Bank:</t>
  </si>
  <si>
    <t xml:space="preserve">Current Balance </t>
  </si>
  <si>
    <t>Annual Interest Rate</t>
  </si>
  <si>
    <t>Period</t>
  </si>
  <si>
    <t>Earned Interest</t>
  </si>
  <si>
    <t>Ending Balance</t>
  </si>
  <si>
    <t>Different Interest Rate For Savings Accounts</t>
  </si>
  <si>
    <t>Savings accounts</t>
  </si>
  <si>
    <t>Best for</t>
  </si>
  <si>
    <t>Interest rates</t>
  </si>
  <si>
    <t>CIMB FastSaver</t>
  </si>
  <si>
    <t>Young adults starting their careers</t>
  </si>
  <si>
    <t>0.3% to 1% </t>
  </si>
  <si>
    <t>DBS Multiplier</t>
  </si>
  <si>
    <t>Salaried workers</t>
  </si>
  <si>
    <t>0.4% to 0.8% </t>
  </si>
  <si>
    <t>UOB One</t>
  </si>
  <si>
    <t>No salary credit</t>
  </si>
  <si>
    <t>OCBC 360</t>
  </si>
  <si>
    <t>Growing your savings</t>
  </si>
  <si>
    <t>0.35% to 0.45% (w.e.f. Feb 2021)</t>
  </si>
  <si>
    <t>Maybank Save Up</t>
  </si>
  <si>
    <t>Loan customers</t>
  </si>
  <si>
    <t>0.48% to 2.93% </t>
  </si>
  <si>
    <t>SCB Bonus Saver</t>
  </si>
  <si>
    <t>High spenders</t>
  </si>
  <si>
    <t>0.48% to 1.08%</t>
  </si>
  <si>
    <t>BOC Smart Saver</t>
  </si>
  <si>
    <t>High earners &amp; spenders</t>
  </si>
  <si>
    <t>0.7% to 1.4%</t>
  </si>
  <si>
    <t>HSBC Everyday Global Account</t>
  </si>
  <si>
    <t>Global Money Transfers</t>
  </si>
  <si>
    <t>0.68% to 1%</t>
  </si>
  <si>
    <t>ICBC Regular Saving Account Deposit</t>
  </si>
  <si>
    <t>Lower Minimum Amount Requirement</t>
  </si>
  <si>
    <t>0.3% to 0.8%</t>
  </si>
  <si>
    <t>Different Interest Rate For Fixed Deposits Accounts in Singapore</t>
  </si>
  <si>
    <t>Bank/financial institution</t>
  </si>
  <si>
    <t>Min. deposit amount</t>
  </si>
  <si>
    <t>Tenure</t>
  </si>
  <si>
    <t>9 months</t>
  </si>
  <si>
    <t>0.4% p.a.</t>
  </si>
  <si>
    <t>12 months</t>
  </si>
  <si>
    <t>8 months</t>
  </si>
  <si>
    <t>0.45% p.a.</t>
  </si>
  <si>
    <t>UOB</t>
  </si>
  <si>
    <t>10 months</t>
  </si>
  <si>
    <t>0.5% p.a.</t>
  </si>
  <si>
    <t>DBS </t>
  </si>
  <si>
    <t>0.6% p.a.</t>
  </si>
  <si>
    <t>36 months</t>
  </si>
  <si>
    <t>CIMB</t>
  </si>
  <si>
    <t>24 months</t>
  </si>
  <si>
    <t>0.8% p.a.</t>
  </si>
  <si>
    <t>Deposit Accounts Calculator</t>
  </si>
  <si>
    <t>Principal (P)</t>
  </si>
  <si>
    <t>:</t>
  </si>
  <si>
    <t xml:space="preserve">Rate of Interest (r) </t>
  </si>
  <si>
    <t>%</t>
  </si>
  <si>
    <t xml:space="preserve">Number of Period (t) </t>
  </si>
  <si>
    <t>years</t>
  </si>
  <si>
    <t xml:space="preserve">Frequency (n) </t>
  </si>
  <si>
    <t>Annually</t>
  </si>
  <si>
    <t xml:space="preserve">      Result</t>
  </si>
  <si>
    <t xml:space="preserve">Maturity Value (A) </t>
  </si>
  <si>
    <t xml:space="preserve">Interest Earned Amount (I) </t>
  </si>
  <si>
    <t>MegaFin</t>
  </si>
  <si>
    <t>CHRISTMAS TRIP TO AUSTRALIA</t>
  </si>
  <si>
    <t xml:space="preserve"> Start Saving On:</t>
  </si>
  <si>
    <t xml:space="preserve"> Finish Saving By:</t>
  </si>
  <si>
    <t xml:space="preserve"> Save Money:</t>
  </si>
  <si>
    <t>COST:</t>
  </si>
  <si>
    <t>Pie chart comparing total current savings to money yet to be saved is in this cell.</t>
  </si>
  <si>
    <t>PRIOR SAVINGS:</t>
  </si>
  <si>
    <t>CURRENT 
SAVINGS GOAL:</t>
  </si>
  <si>
    <t>I have saved:</t>
  </si>
  <si>
    <t>I still need to save:</t>
  </si>
  <si>
    <t>SAVINGS PLAN DETAILS</t>
  </si>
  <si>
    <t>Savings Interval</t>
  </si>
  <si>
    <t>Daily</t>
  </si>
  <si>
    <t>Weekly</t>
  </si>
  <si>
    <t>Monthly</t>
  </si>
  <si>
    <t>Yearly</t>
  </si>
  <si>
    <t>Amount to save:</t>
  </si>
  <si>
    <t>Time Interval</t>
  </si>
  <si>
    <t>Days</t>
  </si>
  <si>
    <t>Weeks</t>
  </si>
  <si>
    <t>Months</t>
  </si>
  <si>
    <t>Years</t>
  </si>
  <si>
    <t>Time until goal is reached:</t>
  </si>
  <si>
    <t>CFP Contribution &amp; Forecast Calculator</t>
  </si>
  <si>
    <t>Step 1 -  Enter Date of Birth:</t>
  </si>
  <si>
    <t>Age Output</t>
  </si>
  <si>
    <t>Age Group Output</t>
  </si>
  <si>
    <t>Step 2 - Enter Monthly Salary :</t>
  </si>
  <si>
    <t>Monthly Total CPF Contributions</t>
  </si>
  <si>
    <t>Your CFP Contribution &amp; Credit Rate based on Age:</t>
  </si>
  <si>
    <t>Employee Age (Years)</t>
  </si>
  <si>
    <t>Contribution by Employer
(% of wage)</t>
  </si>
  <si>
    <t>Contribution by Employee
(% of wage)</t>
  </si>
  <si>
    <t>Total Contribution
(% of wage)</t>
  </si>
  <si>
    <t>Ordinary Account
(% of wage)</t>
  </si>
  <si>
    <t>Special Account
(% of wage)</t>
  </si>
  <si>
    <t>Medisave Account
(% of wage)</t>
  </si>
  <si>
    <t>How are your CPF Contribution Rates (%) calculated?</t>
  </si>
  <si>
    <t>Contribution Rate(for monthly wages ≥ $750)</t>
  </si>
  <si>
    <t>Credited to</t>
  </si>
  <si>
    <t>Age Group Output Determinant</t>
  </si>
  <si>
    <t>Indexing</t>
  </si>
  <si>
    <t>Age Group</t>
  </si>
  <si>
    <t>35 &amp; below</t>
  </si>
  <si>
    <t>17.00%</t>
  </si>
  <si>
    <t>20.00%</t>
  </si>
  <si>
    <t>37.00%</t>
  </si>
  <si>
    <t>23.00%</t>
  </si>
  <si>
    <t>6.00%</t>
  </si>
  <si>
    <t>8.00%</t>
  </si>
  <si>
    <t>Above 35-45</t>
  </si>
  <si>
    <t>Above 45-50</t>
  </si>
  <si>
    <t>Above 50-55</t>
  </si>
  <si>
    <t>Above 55-60</t>
  </si>
  <si>
    <t>Above 60-65</t>
  </si>
  <si>
    <t>Above 65</t>
  </si>
  <si>
    <t>Forecasting CPF Accounts Over The Years assuming Constant Variables</t>
  </si>
  <si>
    <t>Distribution of CPF Savings</t>
  </si>
  <si>
    <t>Step 3 - Enter Principal Value of Ordinary Account:</t>
  </si>
  <si>
    <t>Step 4 - Enter Principal Value of Special Account:</t>
  </si>
  <si>
    <t>Step 5 - Enter Principal Value of Medisave Account:</t>
  </si>
  <si>
    <t>Interest Rate Per Annum of Various CPF Accounts</t>
  </si>
  <si>
    <t>Rates</t>
  </si>
  <si>
    <t>OA Future Value Calculation using Excel FV Function</t>
  </si>
  <si>
    <t>Current Principal</t>
  </si>
  <si>
    <t>OA Amount of Contribution Per Month</t>
  </si>
  <si>
    <t>Year</t>
  </si>
  <si>
    <t>OA Account Value</t>
  </si>
  <si>
    <t>Contributions</t>
  </si>
  <si>
    <t>SA Future Value Calculation using Excel FV Function</t>
  </si>
  <si>
    <t>SA Amount of Contribution Per Month</t>
  </si>
  <si>
    <t>SA Account Value</t>
  </si>
  <si>
    <t>Medisave Future Value Calculation using Excel FV Function</t>
  </si>
  <si>
    <t>MediSave Amount of Contribution Per Month</t>
  </si>
  <si>
    <t>Medisave Account Value</t>
  </si>
  <si>
    <t>Forecasted CPF Account Valuation</t>
  </si>
  <si>
    <t>CPF TRACKER</t>
  </si>
  <si>
    <t xml:space="preserve">Interest Per Anum </t>
  </si>
  <si>
    <t>Age</t>
  </si>
  <si>
    <t>Month</t>
  </si>
  <si>
    <t>Employer's Monthly Contribution</t>
  </si>
  <si>
    <t>Employee's Monthly Contribution</t>
  </si>
  <si>
    <t>Accumulated Salary</t>
  </si>
  <si>
    <t xml:space="preserve">Ordinary acc </t>
  </si>
  <si>
    <t xml:space="preserve">Special acc </t>
  </si>
  <si>
    <t xml:space="preserve">Medisave </t>
  </si>
  <si>
    <t>Ordinary acc Int</t>
  </si>
  <si>
    <t>Special acc Int</t>
  </si>
  <si>
    <t>Medisave acc Int</t>
  </si>
  <si>
    <t>Date:</t>
  </si>
  <si>
    <t>Amount:</t>
  </si>
  <si>
    <t>age=</t>
  </si>
  <si>
    <t>Sum of Employer's Monthly Contribution</t>
  </si>
  <si>
    <t>Sum of Employee's Monthly Contribution</t>
  </si>
  <si>
    <t>Sum of Monthly Salary</t>
  </si>
  <si>
    <t xml:space="preserve">Sum of Ordinary acc </t>
  </si>
  <si>
    <t xml:space="preserve">Sum of Special acc </t>
  </si>
  <si>
    <t xml:space="preserve">Sum of Medisave </t>
  </si>
  <si>
    <t>Row Labels</t>
  </si>
  <si>
    <t>Sum of Ordinary acc Int</t>
  </si>
  <si>
    <t>Sum of Special acc Int</t>
  </si>
  <si>
    <t>Sum of Medisave acc Int</t>
  </si>
  <si>
    <t>2019</t>
  </si>
  <si>
    <t>2020</t>
  </si>
  <si>
    <t>Sep</t>
  </si>
  <si>
    <t>2021</t>
  </si>
  <si>
    <t>Oct</t>
  </si>
  <si>
    <t>2022</t>
  </si>
  <si>
    <t>Nov</t>
  </si>
  <si>
    <t>Dec</t>
  </si>
  <si>
    <t>Jan</t>
  </si>
  <si>
    <t>Feb</t>
  </si>
  <si>
    <t>Mar</t>
  </si>
  <si>
    <t>Apr</t>
  </si>
  <si>
    <t>May</t>
  </si>
  <si>
    <t>Jun</t>
  </si>
  <si>
    <t>Jul</t>
  </si>
  <si>
    <t>Aug</t>
  </si>
  <si>
    <t>Ordinary Account (OA)</t>
  </si>
  <si>
    <t>Special Account (SA)</t>
  </si>
  <si>
    <t>Contribution for the month(OA)</t>
  </si>
  <si>
    <t>Payment (OA)</t>
  </si>
  <si>
    <t>Ordinary Account Interest</t>
  </si>
  <si>
    <t>Accumulated amount (OA)</t>
  </si>
  <si>
    <t>Accumulated Interest OA</t>
  </si>
  <si>
    <t>Contribution for the month(SA)</t>
  </si>
  <si>
    <t>Payment (SA)</t>
  </si>
  <si>
    <t>Special account Interest</t>
  </si>
  <si>
    <t>Accumulated amount (SA)</t>
  </si>
  <si>
    <t>Accumulated Interest SA</t>
  </si>
  <si>
    <t>Contribution for the month(MA)</t>
  </si>
  <si>
    <t>MA payment</t>
  </si>
  <si>
    <t>Medisave Account Intest</t>
  </si>
  <si>
    <t>Accumulated amount (MA)</t>
  </si>
  <si>
    <t>Accumulated Interest MA</t>
  </si>
  <si>
    <t>Ordinary account Interest</t>
  </si>
  <si>
    <t>Medisave account Interest</t>
  </si>
  <si>
    <t>OA Paymeny</t>
  </si>
  <si>
    <t>SA payment</t>
  </si>
  <si>
    <t>SA returns</t>
  </si>
  <si>
    <t>Time</t>
  </si>
  <si>
    <t>Sum of Accumulated Interest SA</t>
  </si>
  <si>
    <t>Sum of Accumulated Interest MA</t>
  </si>
  <si>
    <t>Sum of Accumulated Interest OA</t>
  </si>
  <si>
    <t>Sum of Accumulated amount (OA)</t>
  </si>
  <si>
    <t>Sum of Accumulated amount (SA)</t>
  </si>
  <si>
    <t>Sum of Accumulated amount (MA)</t>
  </si>
  <si>
    <t>(blank)</t>
  </si>
  <si>
    <r>
      <rPr>
        <b/>
        <sz val="22"/>
        <color theme="7"/>
        <rFont val="Calibri"/>
        <family val="2"/>
        <scheme val="minor"/>
      </rPr>
      <t>Cryptocurrency One-Time Investment Portfolio</t>
    </r>
    <r>
      <rPr>
        <b/>
        <sz val="22"/>
        <color theme="1"/>
        <rFont val="Calibri"/>
        <family val="2"/>
        <scheme val="minor"/>
      </rPr>
      <t xml:space="preserve"> </t>
    </r>
  </si>
  <si>
    <t>Holding Value</t>
  </si>
  <si>
    <t>24H % Change</t>
  </si>
  <si>
    <t>Amount Puchased</t>
  </si>
  <si>
    <t>Date Purchased</t>
  </si>
  <si>
    <t>Total Invested $</t>
  </si>
  <si>
    <t>Current Value $</t>
  </si>
  <si>
    <t>Profit &amp; Loss</t>
  </si>
  <si>
    <t>ROI</t>
  </si>
  <si>
    <t>24% Change</t>
  </si>
  <si>
    <t>Current Price $</t>
  </si>
  <si>
    <t>Average Daily ROI</t>
  </si>
  <si>
    <t>Bitcoin</t>
  </si>
  <si>
    <t>Ethereum</t>
  </si>
  <si>
    <t>Solana</t>
  </si>
  <si>
    <t>Cosmos</t>
  </si>
  <si>
    <t>Polkadot</t>
  </si>
  <si>
    <t>Chainlink</t>
  </si>
  <si>
    <t>Fantom</t>
  </si>
  <si>
    <t>Binance Coin</t>
  </si>
  <si>
    <t>Cost</t>
  </si>
  <si>
    <t xml:space="preserve">Highest Return </t>
  </si>
  <si>
    <t>% Return</t>
  </si>
  <si>
    <t>Market Capitalization Ranking</t>
  </si>
  <si>
    <t>High (24H)</t>
  </si>
  <si>
    <t>Low (24H)</t>
  </si>
  <si>
    <t>Total ROI</t>
  </si>
  <si>
    <t>Lowest Return</t>
  </si>
  <si>
    <t>Top 50 Cryptocurrency by Market Capitalization Powered By CoinGecko API</t>
  </si>
  <si>
    <t>Column1.id</t>
  </si>
  <si>
    <t>Column1.name</t>
  </si>
  <si>
    <t>Column1.current_price</t>
  </si>
  <si>
    <t>Column1.market_cap</t>
  </si>
  <si>
    <t>Column1.market_cap_rank</t>
  </si>
  <si>
    <t>Column1.total_volume</t>
  </si>
  <si>
    <t>Column1.high_24h</t>
  </si>
  <si>
    <t>Column1.low_24h</t>
  </si>
  <si>
    <t>Column1.price_change_24h</t>
  </si>
  <si>
    <t>Column1.price_change_percentage_24h</t>
  </si>
  <si>
    <t>bitcoin</t>
  </si>
  <si>
    <t>ethereum</t>
  </si>
  <si>
    <t>binancecoin</t>
  </si>
  <si>
    <t>tether</t>
  </si>
  <si>
    <t>Tether</t>
  </si>
  <si>
    <t>solana</t>
  </si>
  <si>
    <t>cardano</t>
  </si>
  <si>
    <t>Cardano</t>
  </si>
  <si>
    <t>usd-coin</t>
  </si>
  <si>
    <t>USD Coin</t>
  </si>
  <si>
    <t>ripple</t>
  </si>
  <si>
    <t>XRP</t>
  </si>
  <si>
    <t>terra-luna</t>
  </si>
  <si>
    <t>Terra</t>
  </si>
  <si>
    <t>polkadot</t>
  </si>
  <si>
    <t>avalanche-2</t>
  </si>
  <si>
    <t>Avalanche</t>
  </si>
  <si>
    <t>dogecoin</t>
  </si>
  <si>
    <t>Dogecoin</t>
  </si>
  <si>
    <t>shiba-inu</t>
  </si>
  <si>
    <t>Shiba Inu</t>
  </si>
  <si>
    <t>matic-network</t>
  </si>
  <si>
    <t>Polygon</t>
  </si>
  <si>
    <t>crypto-com-chain</t>
  </si>
  <si>
    <t>Crypto.com Coin</t>
  </si>
  <si>
    <t>binance-usd</t>
  </si>
  <si>
    <t>Binance USD</t>
  </si>
  <si>
    <t>wrapped-bitcoin</t>
  </si>
  <si>
    <t>Wrapped Bitcoin</t>
  </si>
  <si>
    <t>algorand</t>
  </si>
  <si>
    <t>Algorand</t>
  </si>
  <si>
    <t>litecoin</t>
  </si>
  <si>
    <t>Litecoin</t>
  </si>
  <si>
    <t>cosmos</t>
  </si>
  <si>
    <t>terrausd</t>
  </si>
  <si>
    <t>TerraUSD</t>
  </si>
  <si>
    <t>chainlink</t>
  </si>
  <si>
    <t>dai</t>
  </si>
  <si>
    <t>Dai</t>
  </si>
  <si>
    <t>near</t>
  </si>
  <si>
    <t>Near</t>
  </si>
  <si>
    <t>bitcoin-cash</t>
  </si>
  <si>
    <t>Bitcoin Cash</t>
  </si>
  <si>
    <t>tron</t>
  </si>
  <si>
    <t>TRON</t>
  </si>
  <si>
    <t>uniswap</t>
  </si>
  <si>
    <t>Uniswap</t>
  </si>
  <si>
    <t>okb</t>
  </si>
  <si>
    <t>OKB</t>
  </si>
  <si>
    <t>stellar</t>
  </si>
  <si>
    <t>Stellar</t>
  </si>
  <si>
    <t>axie-infinity</t>
  </si>
  <si>
    <t>Axie Infinity</t>
  </si>
  <si>
    <t>fantom</t>
  </si>
  <si>
    <t>staked-ether</t>
  </si>
  <si>
    <t>Lido Staked Ether</t>
  </si>
  <si>
    <t>vechain</t>
  </si>
  <si>
    <t>VeChain</t>
  </si>
  <si>
    <t>ftx-token</t>
  </si>
  <si>
    <t>FTX Token</t>
  </si>
  <si>
    <t>hedera-hashgraph</t>
  </si>
  <si>
    <t>Hedera</t>
  </si>
  <si>
    <t>the-sandbox</t>
  </si>
  <si>
    <t>The Sandbox</t>
  </si>
  <si>
    <t>compound-ether</t>
  </si>
  <si>
    <t>cETH</t>
  </si>
  <si>
    <t>filecoin</t>
  </si>
  <si>
    <t>Filecoin</t>
  </si>
  <si>
    <t>elrond-erd-2</t>
  </si>
  <si>
    <t>Elrond</t>
  </si>
  <si>
    <t>internet-computer</t>
  </si>
  <si>
    <t>Internet Computer</t>
  </si>
  <si>
    <t>theta-token</t>
  </si>
  <si>
    <t>Theta Network</t>
  </si>
  <si>
    <t>magic-internet-money</t>
  </si>
  <si>
    <t>Magic Internet Money</t>
  </si>
  <si>
    <t>ethereum-classic</t>
  </si>
  <si>
    <t>Ethereum Classic</t>
  </si>
  <si>
    <t>monero</t>
  </si>
  <si>
    <t>Monero</t>
  </si>
  <si>
    <t>decentraland</t>
  </si>
  <si>
    <t>Decentraland</t>
  </si>
  <si>
    <t>tezos</t>
  </si>
  <si>
    <t>Tezos</t>
  </si>
  <si>
    <t>helium</t>
  </si>
  <si>
    <t>Helium</t>
  </si>
  <si>
    <t>iota</t>
  </si>
  <si>
    <t>IOTA</t>
  </si>
  <si>
    <t>cdai</t>
  </si>
  <si>
    <t>cDAI</t>
  </si>
  <si>
    <t>leo-token</t>
  </si>
  <si>
    <t>LEO Token</t>
  </si>
  <si>
    <t>Stock Investment Ledger</t>
  </si>
  <si>
    <t>Stock</t>
  </si>
  <si>
    <t>Transaction</t>
  </si>
  <si>
    <t>Units</t>
  </si>
  <si>
    <t>Price</t>
  </si>
  <si>
    <t>Currency</t>
  </si>
  <si>
    <t>Transaction Amount</t>
  </si>
  <si>
    <t>Buy</t>
  </si>
  <si>
    <t>AUD</t>
  </si>
  <si>
    <t>DRIP</t>
  </si>
  <si>
    <t>Sell</t>
  </si>
  <si>
    <t xml:space="preserve">             Personal Stock Investment Dashboard</t>
  </si>
  <si>
    <t>Total Holding Market Value</t>
  </si>
  <si>
    <t>Today's Change</t>
  </si>
  <si>
    <t>Unrealized Gain/(Loss)</t>
  </si>
  <si>
    <t xml:space="preserve">                                   Current Holdings</t>
  </si>
  <si>
    <t>Stock (Exchange:Ticker)</t>
  </si>
  <si>
    <t>Industry</t>
  </si>
  <si>
    <t>Current Price</t>
  </si>
  <si>
    <t>Market Value</t>
  </si>
  <si>
    <t>Gain/Loss</t>
  </si>
  <si>
    <t>Last 12 Months</t>
  </si>
  <si>
    <t>Portfolio by Industry</t>
  </si>
  <si>
    <t>Watch List</t>
  </si>
  <si>
    <t>Stock Watchlist</t>
  </si>
  <si>
    <t>Stocks</t>
  </si>
  <si>
    <t>Exchange</t>
  </si>
  <si>
    <t>Ticker symbol</t>
  </si>
  <si>
    <t>52 week high</t>
  </si>
  <si>
    <t>52 week low</t>
  </si>
  <si>
    <t>P/E</t>
  </si>
  <si>
    <t>Change</t>
  </si>
  <si>
    <t>(All)</t>
  </si>
  <si>
    <t>XASX</t>
  </si>
  <si>
    <t>ASB</t>
  </si>
  <si>
    <t>BLD</t>
  </si>
  <si>
    <t>XNYS</t>
  </si>
  <si>
    <t>NKE</t>
  </si>
  <si>
    <t>BORAL LIMITED (XASX:BLD)</t>
  </si>
  <si>
    <t>AUSTAL LIMITED (XASX:ASB)</t>
  </si>
  <si>
    <t>Fixed Asset Dashboard</t>
  </si>
  <si>
    <t>Summary</t>
  </si>
  <si>
    <t>Sum of purchased value</t>
  </si>
  <si>
    <t>sum of current value</t>
  </si>
  <si>
    <t>sum of current value w/o housing</t>
  </si>
  <si>
    <t>Earning with housing</t>
  </si>
  <si>
    <t>earning w/o housing</t>
  </si>
  <si>
    <t>Data Set</t>
  </si>
  <si>
    <t>Description</t>
  </si>
  <si>
    <t>Purchased time</t>
  </si>
  <si>
    <t>Category</t>
  </si>
  <si>
    <t>Purchased value</t>
  </si>
  <si>
    <t>Years owned</t>
  </si>
  <si>
    <t>Trend</t>
  </si>
  <si>
    <t>Current Value (Estimated)</t>
  </si>
  <si>
    <t>Date To Seek</t>
  </si>
  <si>
    <t>Forecasted Years Owned</t>
  </si>
  <si>
    <t>Forecasted Values</t>
  </si>
  <si>
    <t>Predicted Profit And &amp; Loss</t>
  </si>
  <si>
    <t xml:space="preserve">Gaming Laptop </t>
  </si>
  <si>
    <t>Electronic Equipment</t>
  </si>
  <si>
    <t>condominium</t>
  </si>
  <si>
    <t>Sofa</t>
  </si>
  <si>
    <t>Home Appliance</t>
  </si>
  <si>
    <t>home Appliance</t>
  </si>
  <si>
    <t>Condo at Clementi</t>
  </si>
  <si>
    <t>Condominium</t>
  </si>
  <si>
    <t>hdb</t>
  </si>
  <si>
    <t>3-room HDB at Kallang</t>
  </si>
  <si>
    <t>HDB</t>
  </si>
  <si>
    <t>electronic equipment</t>
  </si>
  <si>
    <t>Hyundai vehicle</t>
  </si>
  <si>
    <t>Vehicles</t>
  </si>
  <si>
    <t>vehicles</t>
  </si>
  <si>
    <t>LG Gram</t>
  </si>
  <si>
    <t>equipment</t>
  </si>
  <si>
    <t>Sarah Solid Top Table</t>
  </si>
  <si>
    <t>tools</t>
  </si>
  <si>
    <t>Iphone 13</t>
  </si>
  <si>
    <t>BMW 4 Series Convertible</t>
  </si>
  <si>
    <t>Washing Machine</t>
  </si>
  <si>
    <t>Sum of Purchased value</t>
  </si>
  <si>
    <t>Count of Forecasted Values</t>
  </si>
  <si>
    <t>Sum of Current Value (Estimated)</t>
  </si>
  <si>
    <t>Sum of Profit &amp; Loss</t>
  </si>
  <si>
    <t>Sum of Forecasted Values</t>
  </si>
  <si>
    <t>Sum of Predicted Profit &amp; Loss</t>
  </si>
  <si>
    <t>Credit Card</t>
  </si>
  <si>
    <t>Payoff Calculator</t>
  </si>
  <si>
    <t>Type of Expense</t>
  </si>
  <si>
    <t>Sum of Amount ($)</t>
  </si>
  <si>
    <t>Phone</t>
  </si>
  <si>
    <t>Entertainment</t>
  </si>
  <si>
    <t>Fuel</t>
  </si>
  <si>
    <t>Lodging</t>
  </si>
  <si>
    <t>Meals &amp; Tips</t>
  </si>
  <si>
    <t>Air &amp; Trans.</t>
  </si>
  <si>
    <t>Chart Data</t>
  </si>
  <si>
    <t>Amount</t>
  </si>
  <si>
    <t>Months To Payoff Based On Minimum Payment</t>
  </si>
  <si>
    <t>Months To Payoff Based On Proposed Payment</t>
  </si>
  <si>
    <t>Total Interest Based On Minimum Payment</t>
  </si>
  <si>
    <t>Total Interest Based On Proposed Payment</t>
  </si>
  <si>
    <t>Loan Details</t>
  </si>
  <si>
    <t>Enter Values</t>
  </si>
  <si>
    <t>Money owed (before payment)</t>
  </si>
  <si>
    <t>Money decided to be paid</t>
  </si>
  <si>
    <t>Balance owed (final)</t>
  </si>
  <si>
    <t>Interest rate</t>
  </si>
  <si>
    <t>Minimum monthly payment</t>
  </si>
  <si>
    <t>Proposed monthly payment</t>
  </si>
  <si>
    <t>Card spending summary</t>
  </si>
  <si>
    <t>Amount ($)</t>
  </si>
  <si>
    <t>December</t>
  </si>
  <si>
    <t>KFC</t>
  </si>
  <si>
    <t>Gas</t>
  </si>
  <si>
    <t>KTV</t>
  </si>
  <si>
    <t>train ticket</t>
  </si>
  <si>
    <t>Dinner</t>
  </si>
  <si>
    <t>Hotel</t>
  </si>
  <si>
    <t>verizon</t>
  </si>
  <si>
    <t>Gift</t>
  </si>
  <si>
    <t>Other</t>
  </si>
  <si>
    <t>iphone</t>
  </si>
  <si>
    <t>Credit Card Summary Details</t>
  </si>
  <si>
    <t>Card Name</t>
  </si>
  <si>
    <t>months to pay off on minimum payment</t>
  </si>
  <si>
    <t>months to pay off on proposed payment</t>
  </si>
  <si>
    <t>Citi® Double Cash Card</t>
  </si>
  <si>
    <t>Citi Premier® Card</t>
  </si>
  <si>
    <t>Capital One Venture Rewards Credit Card</t>
  </si>
  <si>
    <t xml:space="preserve">Discover it® Miles </t>
  </si>
  <si>
    <t xml:space="preserve">Citi Rewards+® Card </t>
  </si>
  <si>
    <t>Wells Fargo Cash Wise Visa® card</t>
  </si>
  <si>
    <t xml:space="preserve">Citi® Double Cash Card </t>
  </si>
  <si>
    <t>UOB One Credit Card</t>
  </si>
  <si>
    <t>DBS Black Visa Card</t>
  </si>
  <si>
    <t>Sum of Interest Based on Minimum Payment</t>
  </si>
  <si>
    <t>Sum of Interest Based on Proposed Payment</t>
  </si>
  <si>
    <t>Open</t>
  </si>
  <si>
    <t>Forecast(Open)</t>
  </si>
  <si>
    <t>Lower Confidence Bound(Open)</t>
  </si>
  <si>
    <t>Upper Confidence Bound(Open)</t>
  </si>
  <si>
    <t>Personal Income Summary</t>
  </si>
  <si>
    <t>ITEM</t>
  </si>
  <si>
    <t>PROJECTED</t>
  </si>
  <si>
    <t>ACTUAL</t>
  </si>
  <si>
    <t>Full-Time Salary</t>
  </si>
  <si>
    <t>Personal Expenses</t>
  </si>
  <si>
    <t>Projected Cost</t>
  </si>
  <si>
    <t>Actual Cost</t>
  </si>
  <si>
    <t>Account</t>
  </si>
  <si>
    <t>Difference</t>
  </si>
  <si>
    <t>Actual Cost Overview</t>
  </si>
  <si>
    <t>Extracurricular Activities</t>
  </si>
  <si>
    <t>Children</t>
  </si>
  <si>
    <t>Current</t>
  </si>
  <si>
    <t>School Tuition</t>
  </si>
  <si>
    <t>Concerts</t>
  </si>
  <si>
    <t>Live Theater</t>
  </si>
  <si>
    <t>Movies</t>
  </si>
  <si>
    <t>Music (CDs, Downloads, etc.)</t>
  </si>
  <si>
    <t>Sporting Events</t>
  </si>
  <si>
    <t>Video/Dvd (Purchase)</t>
  </si>
  <si>
    <t>Video/Dvd (Rental)</t>
  </si>
  <si>
    <t>Dining Out</t>
  </si>
  <si>
    <t>Food</t>
  </si>
  <si>
    <t>Groceries</t>
  </si>
  <si>
    <t>Charity 1</t>
  </si>
  <si>
    <t>Gifts and Charity</t>
  </si>
  <si>
    <t>Charity 2</t>
  </si>
  <si>
    <t>Cable/Satellite</t>
  </si>
  <si>
    <t>Housing</t>
  </si>
  <si>
    <t>Electric</t>
  </si>
  <si>
    <t>Maintenance</t>
  </si>
  <si>
    <t>Mortgage Or Rent</t>
  </si>
  <si>
    <t>Online/Internet Service</t>
  </si>
  <si>
    <t>Phone (Cellular)</t>
  </si>
  <si>
    <t>Phone (Home)</t>
  </si>
  <si>
    <t>Supplies</t>
  </si>
  <si>
    <t>Waste Removal and Recycle</t>
  </si>
  <si>
    <t>Water and Sewer</t>
  </si>
  <si>
    <t>Health</t>
  </si>
  <si>
    <t>Insurance</t>
  </si>
  <si>
    <t>Life</t>
  </si>
  <si>
    <t>Credit Card 1</t>
  </si>
  <si>
    <t>Loans</t>
  </si>
  <si>
    <t>Clothing</t>
  </si>
  <si>
    <t>Personal Care</t>
  </si>
  <si>
    <t>Pets</t>
  </si>
  <si>
    <t>Grooming</t>
  </si>
  <si>
    <t>Investment Account</t>
  </si>
  <si>
    <t>Federal</t>
  </si>
  <si>
    <t>Taxes</t>
  </si>
  <si>
    <t>Bus/Taxi Fare</t>
  </si>
  <si>
    <t>Transportation</t>
  </si>
  <si>
    <t xml:space="preserve">Licensing </t>
  </si>
  <si>
    <t>Vehicle Payment</t>
  </si>
  <si>
    <t>Personal Summary</t>
  </si>
  <si>
    <t>Actual Expenses Breakdown</t>
  </si>
  <si>
    <t>TOTAL MONTHLY INCOME</t>
  </si>
  <si>
    <t>Column chart showing total monthly income and total monthly expenses is in this cell.</t>
  </si>
  <si>
    <t>TOTAL MONTHLY EXPENSES</t>
  </si>
  <si>
    <t>CASH BALANCE</t>
  </si>
  <si>
    <t>Cash Summary</t>
  </si>
  <si>
    <t>Column chart to display percentage of available cash is in this cell.</t>
  </si>
  <si>
    <t>Starting Cash</t>
  </si>
  <si>
    <t>Spending Total</t>
  </si>
  <si>
    <t>Cash Remaining</t>
  </si>
  <si>
    <t>Total</t>
  </si>
  <si>
    <t>Cash
Remaining:</t>
  </si>
  <si>
    <t xml:space="preserve">     Loan Calculator</t>
  </si>
  <si>
    <t>Loan amount</t>
  </si>
  <si>
    <t>Annual interest rate</t>
  </si>
  <si>
    <t>Loan period in years</t>
  </si>
  <si>
    <t>Start date of loan</t>
  </si>
  <si>
    <t>Loan Summary</t>
  </si>
  <si>
    <t>Monthly payment</t>
  </si>
  <si>
    <t>Number of payments</t>
  </si>
  <si>
    <t>Total interest</t>
  </si>
  <si>
    <t>Total cost of loan</t>
  </si>
  <si>
    <t>Pmt No.</t>
  </si>
  <si>
    <t>Payment Date</t>
  </si>
  <si>
    <t>Beginning Balance</t>
  </si>
  <si>
    <t>Payment</t>
  </si>
  <si>
    <t>Principal</t>
  </si>
  <si>
    <t>Interest</t>
  </si>
  <si>
    <t>Ending 
Balance</t>
  </si>
  <si>
    <t>Year No</t>
  </si>
  <si>
    <t>Mortgage Loan Calculator</t>
  </si>
  <si>
    <t>Monthly Loan Payment</t>
  </si>
  <si>
    <t>LOAN DETAILS</t>
  </si>
  <si>
    <t>VALUES</t>
  </si>
  <si>
    <t>KEY STATISTICS</t>
  </si>
  <si>
    <t>TOTALS</t>
  </si>
  <si>
    <t>Purchase Price</t>
  </si>
  <si>
    <t>Monthly Loan Payments</t>
  </si>
  <si>
    <t>Interest Rate</t>
  </si>
  <si>
    <t>Total Monthly Payments*</t>
  </si>
  <si>
    <t>Duration of Loan (in months)</t>
  </si>
  <si>
    <t>Total Loan Payments</t>
  </si>
  <si>
    <t>Loan Amount</t>
  </si>
  <si>
    <t>Total Interest Paid</t>
  </si>
  <si>
    <t>Loan Start Date</t>
  </si>
  <si>
    <t>Monthly Property Tax Amount</t>
  </si>
  <si>
    <t>* Total monthly payments = loan payments plus property tax payments</t>
  </si>
  <si>
    <t>To Amortization Table</t>
  </si>
  <si>
    <t>Amortization Table</t>
  </si>
  <si>
    <t>#</t>
  </si>
  <si>
    <t>payment
date</t>
  </si>
  <si>
    <t>opening
balance</t>
  </si>
  <si>
    <t>interest</t>
  </si>
  <si>
    <t>principal</t>
  </si>
  <si>
    <t>property
tax</t>
  </si>
  <si>
    <t>total
payments</t>
  </si>
  <si>
    <t>closing
balance</t>
  </si>
  <si>
    <t>#
remaining</t>
  </si>
  <si>
    <t/>
  </si>
  <si>
    <t>Units per SGD</t>
  </si>
  <si>
    <t>SGD per unit</t>
  </si>
  <si>
    <t>USD</t>
  </si>
  <si>
    <t>US Dollar</t>
  </si>
  <si>
    <t>SGD</t>
  </si>
  <si>
    <t>EUR</t>
  </si>
  <si>
    <t>Euro</t>
  </si>
  <si>
    <t>GBP</t>
  </si>
  <si>
    <t>British Pound</t>
  </si>
  <si>
    <t>INR</t>
  </si>
  <si>
    <t>Indian Rupee</t>
  </si>
  <si>
    <t>Australian Dollar</t>
  </si>
  <si>
    <t>CAD</t>
  </si>
  <si>
    <t>Canadian Dollar</t>
  </si>
  <si>
    <t>Singapore Dollar</t>
  </si>
  <si>
    <t>CHF</t>
  </si>
  <si>
    <t>Swiss Franc</t>
  </si>
  <si>
    <t>MYR</t>
  </si>
  <si>
    <t>Malaysian Ringgit</t>
  </si>
  <si>
    <t>JPY</t>
  </si>
  <si>
    <t>Japanese Yen</t>
  </si>
  <si>
    <t>CNY</t>
  </si>
  <si>
    <t>Chinese Yuan Renminbi</t>
  </si>
  <si>
    <t>NZD</t>
  </si>
  <si>
    <t>New Zealand Dollar</t>
  </si>
  <si>
    <t>THB</t>
  </si>
  <si>
    <t>Thai Baht</t>
  </si>
  <si>
    <t>HUF</t>
  </si>
  <si>
    <t>Hungarian Forint</t>
  </si>
  <si>
    <t>AED</t>
  </si>
  <si>
    <t>Emirati Dirham</t>
  </si>
  <si>
    <t>HKD</t>
  </si>
  <si>
    <t>Hong Kong Dollar</t>
  </si>
  <si>
    <t>MXN</t>
  </si>
  <si>
    <t>Mexican Peso</t>
  </si>
  <si>
    <t>ZAR</t>
  </si>
  <si>
    <t>South African Rand</t>
  </si>
  <si>
    <t>PHP</t>
  </si>
  <si>
    <t>Philippine Peso</t>
  </si>
  <si>
    <t>SEK</t>
  </si>
  <si>
    <t>Swedish Krona</t>
  </si>
  <si>
    <t>IDR</t>
  </si>
  <si>
    <t>Indonesian Rupiah</t>
  </si>
  <si>
    <t>BRL</t>
  </si>
  <si>
    <t>Brazilian Real</t>
  </si>
  <si>
    <t>SAR</t>
  </si>
  <si>
    <t>Saudi Arabian Riyal</t>
  </si>
  <si>
    <t>TRY</t>
  </si>
  <si>
    <t>Turkish Lira</t>
  </si>
  <si>
    <t>KES</t>
  </si>
  <si>
    <t>Kenyan Shilling</t>
  </si>
  <si>
    <t>KRW</t>
  </si>
  <si>
    <t>South Korean Won</t>
  </si>
  <si>
    <t>EGP</t>
  </si>
  <si>
    <t>Egyptian Pound</t>
  </si>
  <si>
    <t>IQD</t>
  </si>
  <si>
    <t>Iraqi Dinar</t>
  </si>
  <si>
    <t>NOK</t>
  </si>
  <si>
    <t>Norwegian Krone</t>
  </si>
  <si>
    <t>KWD</t>
  </si>
  <si>
    <t>Kuwaiti Dinar</t>
  </si>
  <si>
    <t>RUB</t>
  </si>
  <si>
    <t>Russian Ruble</t>
  </si>
  <si>
    <t>DKK</t>
  </si>
  <si>
    <t>Danish Krone</t>
  </si>
  <si>
    <t>PKR</t>
  </si>
  <si>
    <t>Pakistani Rupee</t>
  </si>
  <si>
    <t>ILS</t>
  </si>
  <si>
    <t>Israeli Shekel</t>
  </si>
  <si>
    <t>PLN</t>
  </si>
  <si>
    <t>Polish Zloty</t>
  </si>
  <si>
    <t>QAR</t>
  </si>
  <si>
    <t>Qatari Riyal</t>
  </si>
  <si>
    <t>XAU</t>
  </si>
  <si>
    <t>Gold Ounce</t>
  </si>
  <si>
    <t>OMR</t>
  </si>
  <si>
    <t>Omani Rial</t>
  </si>
  <si>
    <t>COP</t>
  </si>
  <si>
    <t>Colombian Peso</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</si>
  <si>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</si>
  <si>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</si>
  <si>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</si>
  <si>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</si>
  <si>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</si>
  <si>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</si>
  <si>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</si>
  <si>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</si>
  <si>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</si>
  <si>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</si>
  <si>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</si>
  <si>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</si>
  <si>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</si>
  <si>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</si>
  <si>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</si>
  <si>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</si>
  <si>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</si>
  <si>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</si>
  <si>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</si>
  <si>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</si>
  <si>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</si>
  <si>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</si>
  <si>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</si>
  <si>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</si>
  <si>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</si>
  <si>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</si>
  <si>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</si>
  <si>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</si>
  <si>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</si>
  <si>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</si>
  <si>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</si>
  <si>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</si>
  <si>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</si>
  <si>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</si>
  <si>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</si>
  <si>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</si>
  <si>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</si>
  <si>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</si>
  <si>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</si>
  <si>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</si>
  <si>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</si>
  <si>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</si>
  <si>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</si>
  <si>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</si>
  <si>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</si>
  <si>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</si>
  <si>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</si>
  <si>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</si>
  <si>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</si>
  <si>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</si>
  <si>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</si>
  <si>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</si>
  <si>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</si>
  <si>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</si>
  <si>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</si>
  <si>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</si>
  <si>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</si>
  <si>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</si>
  <si>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</si>
  <si>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</si>
  <si>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</si>
  <si>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</si>
  <si>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</si>
  <si>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</si>
  <si>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</si>
  <si>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</si>
  <si>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</si>
  <si>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</si>
  <si>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</si>
  <si>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</si>
  <si>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</si>
  <si>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</si>
  <si>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</si>
  <si>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</si>
  <si>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</si>
  <si>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</si>
  <si>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</si>
  <si>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</si>
  <si>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</si>
  <si>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LBP</t>
  </si>
  <si>
    <t>Lebanese Pound</t>
  </si>
  <si>
    <t>XPF</t>
  </si>
  <si>
    <t>CFP Franc</t>
  </si>
  <si>
    <t>TTD</t>
  </si>
  <si>
    <t>Trinidadian Dollar</t>
  </si>
  <si>
    <t>TZS</t>
  </si>
  <si>
    <t>Tanzanian Shilling</t>
  </si>
  <si>
    <t>ALL</t>
  </si>
  <si>
    <t>Albanian Lek</t>
  </si>
  <si>
    <t>XCD</t>
  </si>
  <si>
    <t>East Caribbean Dollar</t>
  </si>
  <si>
    <t>GTQ</t>
  </si>
  <si>
    <t>Guatemalan Quetzal</t>
  </si>
  <si>
    <t>NPR</t>
  </si>
  <si>
    <t>Nepalese Rupee</t>
  </si>
  <si>
    <t>BOB</t>
  </si>
  <si>
    <t>Bolivian Bolíviano</t>
  </si>
  <si>
    <t>ZWD</t>
  </si>
  <si>
    <t>Zimbabwean Dollar</t>
  </si>
  <si>
    <t>BBD</t>
  </si>
  <si>
    <t>Barbadian or Bajan Dollar</t>
  </si>
  <si>
    <t>CUC</t>
  </si>
  <si>
    <t>Cuban Convertible Peso</t>
  </si>
  <si>
    <t>LAK</t>
  </si>
  <si>
    <t>Lao Kip</t>
  </si>
  <si>
    <t>BND</t>
  </si>
  <si>
    <t>Bruneian Dollar</t>
  </si>
  <si>
    <t>BWP</t>
  </si>
  <si>
    <t>Botswana Pula</t>
  </si>
  <si>
    <t>HNL</t>
  </si>
  <si>
    <t>Honduran Lempira</t>
  </si>
  <si>
    <t>PYG</t>
  </si>
  <si>
    <t>Paraguayan Guarani</t>
  </si>
  <si>
    <t>ETB</t>
  </si>
  <si>
    <t>Ethiopian Birr</t>
  </si>
  <si>
    <t>NAD</t>
  </si>
  <si>
    <t>Namibian Dollar</t>
  </si>
  <si>
    <t>PGK</t>
  </si>
  <si>
    <t>Papua New Guinean Kina</t>
  </si>
  <si>
    <t>SDG</t>
  </si>
  <si>
    <t>Sudanese Pound</t>
  </si>
  <si>
    <t>MOP</t>
  </si>
  <si>
    <t>Macau Pataca</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</si>
  <si>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</si>
  <si>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</si>
  <si>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</si>
  <si>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</si>
  <si>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</si>
  <si>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</si>
  <si>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</si>
  <si>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</si>
  <si>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</si>
  <si>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</si>
  <si>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</si>
  <si>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</si>
  <si>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</si>
  <si>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</si>
  <si>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</si>
  <si>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</si>
  <si>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</si>
  <si>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</si>
  <si>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</si>
  <si>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</si>
  <si>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</si>
  <si>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</si>
  <si>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</si>
  <si>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</si>
  <si>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</si>
  <si>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</si>
  <si>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</si>
  <si>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</si>
  <si>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</si>
  <si>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</si>
  <si>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</si>
  <si>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</si>
  <si>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</si>
  <si>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</si>
  <si>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</si>
  <si>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</si>
  <si>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</si>
  <si>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</si>
  <si>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</si>
  <si>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</si>
  <si>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</si>
  <si>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</si>
  <si>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</si>
  <si>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</si>
  <si>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</si>
  <si>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</si>
  <si>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</si>
  <si>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</si>
  <si>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</si>
  <si>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</si>
  <si>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</si>
  <si>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</si>
  <si>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</si>
  <si>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</si>
  <si>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</si>
  <si>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</si>
  <si>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</si>
  <si>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</si>
  <si>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</si>
  <si>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</si>
  <si>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</si>
  <si>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</si>
  <si>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</si>
  <si>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</si>
  <si>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</si>
  <si>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</si>
  <si>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</si>
  <si>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</si>
  <si>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</si>
  <si>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</si>
  <si>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</si>
  <si>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</si>
  <si>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</si>
  <si>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</si>
  <si>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</si>
  <si>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</si>
  <si>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</si>
  <si>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</si>
  <si>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</si>
  <si>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</si>
  <si>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</si>
  <si>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</si>
  <si>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</si>
  <si>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</si>
  <si>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</si>
  <si>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</si>
  <si>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</si>
  <si>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</si>
  <si>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</si>
  <si>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</si>
  <si>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</si>
  <si>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</si>
  <si>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</si>
  <si>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</si>
  <si>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</si>
  <si>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</si>
  <si>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</si>
  <si>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</si>
  <si>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</si>
  <si>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</si>
  <si>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</si>
  <si>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</si>
  <si>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</si>
  <si>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</si>
  <si>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</si>
  <si>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</si>
  <si>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</si>
  <si>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</si>
  <si>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</si>
  <si>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</si>
  <si>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</si>
  <si>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</si>
  <si>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</si>
  <si>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</si>
  <si>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</si>
  <si>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</si>
  <si>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</si>
  <si>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</si>
  <si>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</si>
  <si>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</si>
  <si>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</si>
  <si>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</si>
  <si>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</si>
  <si>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</si>
  <si>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</si>
  <si>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</si>
  <si>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</si>
  <si>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</si>
  <si>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</si>
  <si>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</si>
  <si>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</si>
  <si>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</si>
  <si>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CLF</t>
  </si>
  <si>
    <t>CNH</t>
  </si>
  <si>
    <t>MXV</t>
  </si>
  <si>
    <t>VED</t>
  </si>
  <si>
    <t>XBT</t>
  </si>
  <si>
    <t>Top 6 Most Popular Currencies For Trading  Forcasting (Estimated)</t>
  </si>
  <si>
    <t>sgdusd</t>
  </si>
  <si>
    <t>sgd eur</t>
  </si>
  <si>
    <t>sgdjpy</t>
  </si>
  <si>
    <t>sgdgbp</t>
  </si>
  <si>
    <t>sgdaud</t>
  </si>
  <si>
    <t>SGDCAD</t>
  </si>
  <si>
    <t>High</t>
  </si>
  <si>
    <t>Low</t>
  </si>
  <si>
    <t>Close</t>
  </si>
  <si>
    <t>Adj Close</t>
  </si>
  <si>
    <t>Volume</t>
  </si>
  <si>
    <t>Local Currency</t>
  </si>
  <si>
    <t>Top 5 foreign currency:</t>
  </si>
  <si>
    <t>Country</t>
  </si>
  <si>
    <t>Abbv</t>
  </si>
  <si>
    <t>Currency Pair</t>
  </si>
  <si>
    <t>Extract (formula)</t>
  </si>
  <si>
    <t>USA Dollar</t>
  </si>
  <si>
    <t>China Yuan/Renminbi</t>
  </si>
  <si>
    <t>Japan Yen</t>
  </si>
  <si>
    <t xml:space="preserve">Time range 
(In days): </t>
  </si>
  <si>
    <t>Start Date</t>
  </si>
  <si>
    <t>Step skip
(In days):</t>
  </si>
  <si>
    <t>No. of Intervals:</t>
  </si>
  <si>
    <t>Foreign Currency</t>
  </si>
  <si>
    <t>Lowest</t>
  </si>
  <si>
    <t>Highest</t>
  </si>
  <si>
    <t>%Change</t>
  </si>
  <si>
    <t>Country/Currency</t>
  </si>
  <si>
    <t>Acronym/AbbreviationAcr./Abb.</t>
  </si>
  <si>
    <t>Australia Dollar</t>
  </si>
  <si>
    <t>Great Britain Pound</t>
  </si>
  <si>
    <t>Switzerland Franc</t>
  </si>
  <si>
    <t>Afghanistan Afghani</t>
  </si>
  <si>
    <t>Albania Lek</t>
  </si>
  <si>
    <t>Algeria Dinar</t>
  </si>
  <si>
    <t>Angola Kwanza</t>
  </si>
  <si>
    <t>Argentina Peso</t>
  </si>
  <si>
    <t>Armenia Dram</t>
  </si>
  <si>
    <t>Aruba Florin</t>
  </si>
  <si>
    <t>Austria Schilling</t>
  </si>
  <si>
    <t>ATS (EURO)</t>
  </si>
  <si>
    <t>Belgium Franc</t>
  </si>
  <si>
    <t>BEF (EURO)</t>
  </si>
  <si>
    <t>Azerbaijan New Manat</t>
  </si>
  <si>
    <t>Bahamas Dollar</t>
  </si>
  <si>
    <t>Bahrain Dinar</t>
  </si>
  <si>
    <t>Bangladesh Taka</t>
  </si>
  <si>
    <t>Barbados Dollar</t>
  </si>
  <si>
    <t>Belarus Ruble</t>
  </si>
  <si>
    <t>BYR</t>
  </si>
  <si>
    <t>Belize Dollar</t>
  </si>
  <si>
    <t>Bermuda Dollar</t>
  </si>
  <si>
    <t>Bhutan Ngultrum</t>
  </si>
  <si>
    <t>Bolivia Boliviano</t>
  </si>
  <si>
    <t>Bosnia Mark</t>
  </si>
  <si>
    <t>Brazil Real</t>
  </si>
  <si>
    <t>Brunei Dollar</t>
  </si>
  <si>
    <t>Bulgaria Lev</t>
  </si>
  <si>
    <t>Burundi Franc</t>
  </si>
  <si>
    <t>CFA Franc BCEAO</t>
  </si>
  <si>
    <t>CFA Franc BEAC</t>
  </si>
  <si>
    <t>Cambodia Riel</t>
  </si>
  <si>
    <t>Canada Dollar</t>
  </si>
  <si>
    <t>Cape Verde Escudo</t>
  </si>
  <si>
    <t>Cayman Islands Dollar</t>
  </si>
  <si>
    <t>Chili Peso</t>
  </si>
  <si>
    <t>Colombia Peso</t>
  </si>
  <si>
    <t>Comoros Franc</t>
  </si>
  <si>
    <t>Congo Franc</t>
  </si>
  <si>
    <t>Costa Rica Colon</t>
  </si>
  <si>
    <t>Croatia Kuna</t>
  </si>
  <si>
    <t>Cuba Convertible Peso</t>
  </si>
  <si>
    <t>Cuba Peso</t>
  </si>
  <si>
    <t>Cyprus Pound</t>
  </si>
  <si>
    <t>CYP (EURO)</t>
  </si>
  <si>
    <t>Denmark Krone</t>
  </si>
  <si>
    <t>Djibouti Franc</t>
  </si>
  <si>
    <t>Dominican Republich Peso</t>
  </si>
  <si>
    <t>Egypt Pound</t>
  </si>
  <si>
    <t>El Salvador Colon</t>
  </si>
  <si>
    <t>Estonia Kroon</t>
  </si>
  <si>
    <t>EEK (EURO)</t>
  </si>
  <si>
    <t>Ethiopia Birr</t>
  </si>
  <si>
    <t>Falkland Islands Pound</t>
  </si>
  <si>
    <t>Finland Markka</t>
  </si>
  <si>
    <t>FIM (EURO)</t>
  </si>
  <si>
    <t>Fiji Dollar</t>
  </si>
  <si>
    <t>Gambia Dalasi</t>
  </si>
  <si>
    <t>Georgia Lari</t>
  </si>
  <si>
    <t>Germany Mark</t>
  </si>
  <si>
    <t>DMK (EURO)</t>
  </si>
  <si>
    <t>Ghana New Cedi</t>
  </si>
  <si>
    <t>Greece Drachma</t>
  </si>
  <si>
    <t>GRD (EURO)</t>
  </si>
  <si>
    <t>Guatemala Quetzal</t>
  </si>
  <si>
    <t>Guinea Franc</t>
  </si>
  <si>
    <t>Guyana Dollar</t>
  </si>
  <si>
    <t>Haiti Gourde</t>
  </si>
  <si>
    <t>Honduras Lempira</t>
  </si>
  <si>
    <t>Hungary Forint</t>
  </si>
  <si>
    <t>Iceland Krona</t>
  </si>
  <si>
    <t>India Rupee</t>
  </si>
  <si>
    <t>Indonesia Rupiah</t>
  </si>
  <si>
    <t>Iran Rial</t>
  </si>
  <si>
    <t>Iraq Dinar</t>
  </si>
  <si>
    <t>Ireland Pound</t>
  </si>
  <si>
    <t>IED (EURO)</t>
  </si>
  <si>
    <t>Israel New Shekel</t>
  </si>
  <si>
    <t>Italy Lira</t>
  </si>
  <si>
    <t>ITL (EURO)</t>
  </si>
  <si>
    <t>Jamaica Dollar</t>
  </si>
  <si>
    <t>Jordan Dinar</t>
  </si>
  <si>
    <t>Kazakhstan Tenge</t>
  </si>
  <si>
    <t>Kenya Shilling</t>
  </si>
  <si>
    <t>Kuwait Dinar</t>
  </si>
  <si>
    <t>Kyrgyzstan Som</t>
  </si>
  <si>
    <t>Laos Kip</t>
  </si>
  <si>
    <t>Latvia Lats</t>
  </si>
  <si>
    <t>LVL (EURO)</t>
  </si>
  <si>
    <t>Lebanon Pound</t>
  </si>
  <si>
    <t>Lesotho Loti</t>
  </si>
  <si>
    <t>Liberia Dollar</t>
  </si>
  <si>
    <t>Libya Dinar</t>
  </si>
  <si>
    <t>Lithuania Litas</t>
  </si>
  <si>
    <t>LTL (EURO)</t>
  </si>
  <si>
    <t>Luxembourg Franc</t>
  </si>
  <si>
    <t>LUF (EURO)</t>
  </si>
  <si>
    <t>Macedonia Denar</t>
  </si>
  <si>
    <t>Malawi Kwacha</t>
  </si>
  <si>
    <t>Malaysia Ringgit</t>
  </si>
  <si>
    <t>Maldives Rufiyaa</t>
  </si>
  <si>
    <t>Malta Lira</t>
  </si>
  <si>
    <t>MTL (EURO)</t>
  </si>
  <si>
    <t>Mauritania Ouguiya</t>
  </si>
  <si>
    <t>MRO</t>
  </si>
  <si>
    <t>Mauritius Rupee</t>
  </si>
  <si>
    <t>Mexico Peso</t>
  </si>
  <si>
    <t>Moldova Leu</t>
  </si>
  <si>
    <t>Mongolia Tugrik</t>
  </si>
  <si>
    <t>Morocco Dirham</t>
  </si>
  <si>
    <t>Mozambique New Metical</t>
  </si>
  <si>
    <t>Myanmar Kyat</t>
  </si>
  <si>
    <t>NL Antilles Guilder</t>
  </si>
  <si>
    <t>Namibia Dollar</t>
  </si>
  <si>
    <t>Nepal Rupee</t>
  </si>
  <si>
    <t>Netherlands Guilder</t>
  </si>
  <si>
    <t>NLG (EURO)</t>
  </si>
  <si>
    <t>Nicaragua Cordoba Oro</t>
  </si>
  <si>
    <t>Nigeria Naira</t>
  </si>
  <si>
    <t>North Korea Won</t>
  </si>
  <si>
    <t>Norway Kroner</t>
  </si>
  <si>
    <t>Oman Rial</t>
  </si>
  <si>
    <t>Pakistan Rupee</t>
  </si>
  <si>
    <t>Panama Balboa</t>
  </si>
  <si>
    <t>Papua New Guinea Kina</t>
  </si>
  <si>
    <t>Paraguay Guarani</t>
  </si>
  <si>
    <t>Peru Nuevo Sol</t>
  </si>
  <si>
    <t>Philippines Peso</t>
  </si>
  <si>
    <t>Poland Zloty</t>
  </si>
  <si>
    <t>Portugal Escudo</t>
  </si>
  <si>
    <t>PTE (EURO)</t>
  </si>
  <si>
    <t>Qatar Rial</t>
  </si>
  <si>
    <t>Romania New Lei</t>
  </si>
  <si>
    <t>Russia Rouble</t>
  </si>
  <si>
    <t>Rwanda Franc</t>
  </si>
  <si>
    <t>Samoa Tala</t>
  </si>
  <si>
    <t>Sao Tome/Principe Dobra</t>
  </si>
  <si>
    <t>STD</t>
  </si>
  <si>
    <t>Saudi Arabia Riyal</t>
  </si>
  <si>
    <t>Serbia Dinar</t>
  </si>
  <si>
    <t>Seychelles Rupee</t>
  </si>
  <si>
    <t>Sierra Leone Leone</t>
  </si>
  <si>
    <t>Slovakia Koruna</t>
  </si>
  <si>
    <t>SKK (EURO)</t>
  </si>
  <si>
    <t>Slovenia Tolar</t>
  </si>
  <si>
    <t>SIT (EURO)</t>
  </si>
  <si>
    <t>Solomon Islands Dollar</t>
  </si>
  <si>
    <t>South Africa Rand</t>
  </si>
  <si>
    <t>South Korea Won</t>
  </si>
  <si>
    <t>Spain Peseta</t>
  </si>
  <si>
    <t>ESP (EURO)</t>
  </si>
  <si>
    <t>Sri Lanka Rupee</t>
  </si>
  <si>
    <t>St Helena Pound</t>
  </si>
  <si>
    <t>Sudan Pound</t>
  </si>
  <si>
    <t>Suriname Dollar</t>
  </si>
  <si>
    <t>Swaziland Lilangeni</t>
  </si>
  <si>
    <t>Sweden Krona</t>
  </si>
  <si>
    <t>Syria Pound</t>
  </si>
  <si>
    <t>Taiwan Dollar</t>
  </si>
  <si>
    <t>Tanzania Shilling</t>
  </si>
  <si>
    <t>Thailand Baht</t>
  </si>
  <si>
    <t>Tonga Pa'anga</t>
  </si>
  <si>
    <t>Trinidad/Tobago Dollar</t>
  </si>
  <si>
    <t>Tunisia Dinar</t>
  </si>
  <si>
    <t>Turkish New Lira</t>
  </si>
  <si>
    <t>Turkmenistan Manat</t>
  </si>
  <si>
    <t>TMM</t>
  </si>
  <si>
    <t>Uganda Shilling</t>
  </si>
  <si>
    <t>Ukraine Hryvnia</t>
  </si>
  <si>
    <t>Uruguay Peso</t>
  </si>
  <si>
    <t>United Arab Emirates Dirham</t>
  </si>
  <si>
    <t>Vanuatu Vatu</t>
  </si>
  <si>
    <t>Venezuela Bolivar</t>
  </si>
  <si>
    <t>VEB</t>
  </si>
  <si>
    <t>Vietnam Dong</t>
  </si>
  <si>
    <t>Yemen Rial</t>
  </si>
  <si>
    <t>Zambia Kwacha</t>
  </si>
  <si>
    <t>ZMK</t>
  </si>
  <si>
    <t>Zimbabwe Dollar</t>
  </si>
  <si>
    <t>UTC offset</t>
  </si>
  <si>
    <t xml:space="preserve">to </t>
  </si>
  <si>
    <t>Date range for stock history</t>
  </si>
  <si>
    <t>C_ST_DT</t>
  </si>
  <si>
    <t>Cell C3 has the Stockhistory function, that pulls in the six columns of data</t>
  </si>
  <si>
    <t>Data from the Stockhistory function is moved to this table</t>
  </si>
  <si>
    <t>DAY</t>
  </si>
  <si>
    <t>DATE</t>
  </si>
  <si>
    <t>VOLUME</t>
  </si>
  <si>
    <t>C_END_DT</t>
  </si>
  <si>
    <t>Interval</t>
  </si>
  <si>
    <t>C_INTERVAL</t>
  </si>
  <si>
    <t>0=Daily, 1=Weekly, 2=Monthly</t>
  </si>
  <si>
    <t>used in dynamic charting</t>
  </si>
  <si>
    <t>C_CHART_ST_ROW</t>
  </si>
  <si>
    <t>C_N_TRADING_DAYS</t>
  </si>
  <si>
    <t>for finding max &amp; min prices</t>
  </si>
  <si>
    <t>C_CHART_MAX_DT</t>
  </si>
  <si>
    <t>C_CHART_MIN_DT</t>
  </si>
  <si>
    <t>C_MAX_PRICE</t>
  </si>
  <si>
    <t>C_MIN_PRICE</t>
  </si>
  <si>
    <t>Japan</t>
  </si>
  <si>
    <t>New Zealand</t>
  </si>
  <si>
    <t>United States</t>
  </si>
  <si>
    <t>Switzerland</t>
  </si>
  <si>
    <t>Canada</t>
  </si>
  <si>
    <t>United Kingdom</t>
  </si>
  <si>
    <t>Australia</t>
  </si>
  <si>
    <t>PERIOD</t>
  </si>
  <si>
    <t>INTERVAL</t>
  </si>
  <si>
    <t>Options</t>
  </si>
  <si>
    <t>5 D</t>
  </si>
  <si>
    <t>MTD</t>
  </si>
  <si>
    <t>1 M</t>
  </si>
  <si>
    <t>3 M</t>
  </si>
  <si>
    <t>6 M</t>
  </si>
  <si>
    <t>YTD</t>
  </si>
  <si>
    <t>1 Y</t>
  </si>
  <si>
    <t>5 Y</t>
  </si>
  <si>
    <t>I_INTERVAL</t>
  </si>
  <si>
    <t>I_CHART_PER_SEL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</si>
</sst>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3">
    <numFmt numFmtId="170" formatCode="_([$$-409]* #,##0.00_);_([$$-409]* \(#,##0.00\);_([$$-409]* &quot;-&quot;??_);_(@_)"/>
    <numFmt numFmtId="172" formatCode="_-[$$-C09]* #,##0.00_-;\-[$$-C09]* #,##0.00_-;_-[$$-C09]* &quot;-&quot;??_-;_-@_-"/>
    <numFmt numFmtId="173" formatCode="&quot;$&quot;#,##0_);\(&quot;$&quot;#,##0\)"/>
    <numFmt numFmtId="174" formatCode="&quot;$&quot;#,##0_);[Red]\(&quot;$&quot;#,##0\)"/>
    <numFmt numFmtId="175" formatCode="&quot;$&quot;#,##0.00_);\(&quot;$&quot;#,##0.00\)"/>
    <numFmt numFmtId="176" formatCode="&quot;$&quot;#,##0.00_);[Red]\(&quot;$&quot;#,##0.00\)"/>
    <numFmt numFmtId="177" formatCode="_(* #,##0_);_(* \(#,##0\);_(* &quot;-&quot;_);_(@_)"/>
    <numFmt numFmtId="178" formatCode="_(&quot;$&quot;* #,##0.00_);_(&quot;$&quot;* \(#,##0.00\);_(&quot;$&quot;* &quot;-&quot;??_);_(@_)"/>
    <numFmt numFmtId="179" formatCode="_(* #,##0.00_);_(* \(#,##0.00\);_(* &quot;-&quot;??_);_(@_)"/>
    <numFmt numFmtId="180" formatCode="&quot;$&quot;#,##0;[Red]\-&quot;$&quot;#,##0"/>
    <numFmt numFmtId="181" formatCode="&quot;$&quot;#,##0.00;[Red]\-&quot;$&quot;#,##0.00"/>
    <numFmt numFmtId="182" formatCode="_-&quot;$&quot;* #,##0.00_-;\-&quot;$&quot;* #,##0.00_-;_-&quot;$&quot;* &quot;-&quot;??_-;_-@_-"/>
    <numFmt numFmtId="183" formatCode="0_);[Red]\(0\)"/>
    <numFmt numFmtId="184" formatCode="&quot;$&quot;#,##0.00"/>
    <numFmt numFmtId="185" formatCode="[$-409]d\-mmm\-yyyy;@"/>
    <numFmt numFmtId="186" formatCode="mm\.dd\.yy;@"/>
    <numFmt numFmtId="187" formatCode="_-[$$-409]* #,##0.00_ ;_-[$$-409]* \-#,##0.00\ ;_-[$$-409]* &quot;-&quot;??_ ;_-@_ "/>
    <numFmt numFmtId="188" formatCode="dd/mm/yyyy;@"/>
    <numFmt numFmtId="189" formatCode="&quot;$&quot;#,##0"/>
    <numFmt numFmtId="190" formatCode=";;;"/>
    <numFmt numFmtId="191" formatCode="&quot;$&quot;#,##0.0000"/>
    <numFmt numFmtId="192" formatCode="m/d/yyyy;@"/>
    <numFmt numFmtId="193" formatCode="0.0%"/>
    <numFmt numFmtId="194" formatCode="dd\.mm\.yyyy;@"/>
    <numFmt numFmtId="195" formatCode="[$-409]d/mmm/yyyy;@"/>
    <numFmt numFmtId="196" formatCode="_(@_)"/>
    <numFmt numFmtId="197" formatCode="0.00_);\(0.00\)"/>
    <numFmt numFmtId="198" formatCode="[$-409]mmmm\ d\,\ yyyy;@"/>
    <numFmt numFmtId="199" formatCode="[$-14809]d\ mmm\ yyyy;@"/>
    <numFmt numFmtId="200" formatCode="_([$$-409]* #,##0.00000_);_([$$-409]* \(#,##0.00000\);_([$$-409]* &quot;-&quot;??_);_(@_)"/>
    <numFmt numFmtId="201" formatCode="ddd\,\ mmm\ dd\,\ yyyy"/>
    <numFmt numFmtId="202" formatCode="[$-F400]h:mm:ss\ AM/PM"/>
    <numFmt numFmtId="203" formatCode="[$-409]dd\-mmm\-yy\ h:mm\ AM/PM;@"/>
  </numFmts>
  <fonts count="168">
    <font>
      <sz val="11"/>
      <color theme="1"/>
      <name val="Calibri"/>
      <family val="2"/>
      <scheme val="minor"/>
    </font>
    <font>
      <b/>
      <sz val="11"/>
      <color rgb="FFFFFFFF"/>
      <name val="Calibri"/>
      <family val="2"/>
      <scheme val="minor"/>
    </font>
    <font>
      <u/>
      <sz val="11"/>
      <color theme="10"/>
      <name val="Calibri"/>
      <family val="2"/>
      <scheme val="minor"/>
    </font>
    <font>
      <b/>
      <sz val="14"/>
      <color theme="1"/>
      <name val="Calibri"/>
      <family val="2"/>
      <scheme val="minor"/>
    </font>
    <font>
      <sz val="10"/>
      <color theme="1"/>
      <name val="Calibri"/>
      <family val="2"/>
      <scheme val="minor"/>
    </font>
    <font>
      <b/>
      <sz val="11"/>
      <color rgb="FF1F4E78"/>
      <name val="Calibri"/>
      <family val="2"/>
      <scheme val="minor"/>
    </font>
    <font>
      <b/>
      <sz val="28"/>
      <color rgb="FFFFC000"/>
      <name val="Calibri"/>
      <family val="2"/>
      <scheme val="minor"/>
    </font>
    <font>
      <sz val="11"/>
      <color rgb="FF000000"/>
      <name val="Calibri"/>
      <family val="2"/>
    </font>
    <font>
      <b/>
      <sz val="11"/>
      <color theme="0"/>
      <name val="Calibri"/>
      <family val="2"/>
      <scheme val="minor"/>
    </font>
    <font>
      <sz val="11"/>
      <color theme="1" tint="0.34998626667073579"/>
      <name val="Calibri"/>
      <family val="2"/>
      <scheme val="minor"/>
    </font>
    <font>
      <b/>
      <sz val="36"/>
      <color rgb="FFFFC00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4"/>
      <color theme="1" tint="0.34998626667073579"/>
      <name val="Calibri Light"/>
      <family val="1"/>
      <scheme val="major"/>
    </font>
    <font>
      <b/>
      <sz val="26"/>
      <color rgb="FFFFD966"/>
      <name val="Calibri"/>
      <family val="2"/>
      <scheme val="minor"/>
    </font>
    <font>
      <sz val="11"/>
      <color theme="4" tint="-0.499984740745262"/>
      <name val="Calibri Light"/>
      <family val="1"/>
      <scheme val="major"/>
    </font>
    <font>
      <b/>
      <sz val="12"/>
      <color rgb="FF0070C0"/>
      <name val="Calibri"/>
      <family val="2"/>
      <scheme val="minor"/>
    </font>
    <font>
      <b/>
      <sz val="18"/>
      <color theme="1" tint="0.34998626667073579"/>
      <name val="Calibri Light"/>
      <family val="1"/>
      <scheme val="major"/>
    </font>
    <font>
      <b/>
      <sz val="11"/>
      <color theme="1" tint="0.34998626667073579"/>
      <name val="Calibri"/>
      <family val="2"/>
      <scheme val="minor"/>
    </font>
    <font>
      <b/>
      <sz val="14"/>
      <color theme="0"/>
      <name val="Calibri"/>
      <family val="2"/>
      <scheme val="minor"/>
    </font>
    <font>
      <b/>
      <sz val="18"/>
      <color rgb="FF0070C0"/>
      <name val="Calibri"/>
      <family val="2"/>
      <scheme val="minor"/>
    </font>
    <font>
      <b/>
      <sz val="11"/>
      <color theme="3" tint="0.34998626667073579"/>
      <name val="Calibri"/>
      <family val="2"/>
      <scheme val="minor"/>
    </font>
    <font>
      <sz val="12"/>
      <color theme="1"/>
      <name val="Calibri"/>
      <family val="2"/>
      <scheme val="minor"/>
    </font>
    <font>
      <b/>
      <sz val="16"/>
      <color rgb="FF000000"/>
      <name val="Calibri"/>
      <family val="2"/>
      <scheme val="minor"/>
    </font>
    <font>
      <b/>
      <u/>
      <sz val="12"/>
      <color rgb="FFFFFFFF"/>
      <name val="Candara"/>
      <family val="2"/>
    </font>
    <font>
      <b/>
      <i/>
      <sz val="20"/>
      <color rgb="FFFFFFFF"/>
      <name val="Calibri"/>
      <family val="2"/>
      <scheme val="minor"/>
    </font>
    <font>
      <b/>
      <u/>
      <sz val="14"/>
      <color rgb="FFFFC000"/>
      <name val="Calibri"/>
      <family val="2"/>
      <scheme val="minor"/>
    </font>
    <font>
      <b/>
      <i/>
      <sz val="20"/>
      <color rgb="FFFFC000"/>
      <name val="Calibri"/>
      <family val="2"/>
      <scheme val="minor"/>
    </font>
    <font>
      <sz val="48"/>
      <color rgb="FFFFC000"/>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sz val="8"/>
      <name val="Calibri"/>
      <family val="2"/>
      <scheme val="minor"/>
    </font>
    <font>
      <b/>
      <sz val="16"/>
      <name val="Calibri"/>
      <family val="2"/>
      <scheme val="minor"/>
    </font>
    <font>
      <b/>
      <sz val="16"/>
      <color theme="4" tint="-0.249977111117893"/>
      <name val="Calibri"/>
      <family val="2"/>
      <scheme val="minor"/>
    </font>
    <font>
      <sz val="11"/>
      <color rgb="FFFFFFFF"/>
      <name val="Calibri"/>
      <family val="2"/>
      <scheme val="minor"/>
    </font>
    <font>
      <sz val="14"/>
      <color theme="1"/>
      <name val="Calibri"/>
      <family val="2"/>
      <scheme val="minor"/>
    </font>
    <font>
      <b/>
      <sz val="16"/>
      <name val="Arial"/>
      <family val="2"/>
    </font>
    <font>
      <b/>
      <sz val="14"/>
      <name val="Calibri"/>
      <family val="2"/>
      <scheme val="minor"/>
    </font>
    <font>
      <sz val="16"/>
      <color indexed="8"/>
      <name val="Calibri"/>
      <family val="2"/>
      <scheme val="minor"/>
    </font>
    <font>
      <sz val="16"/>
      <color theme="0"/>
      <name val="Calibri"/>
      <family val="2"/>
      <scheme val="minor"/>
    </font>
    <font>
      <b/>
      <sz val="16"/>
      <color theme="0"/>
      <name val="Calibri"/>
      <family val="2"/>
      <scheme val="minor"/>
    </font>
    <font>
      <u/>
      <sz val="14"/>
      <color theme="4"/>
      <name val="Calibri"/>
      <family val="2"/>
      <scheme val="minor"/>
    </font>
    <font>
      <sz val="14"/>
      <color rgb="FF333333"/>
      <name val="Calibri"/>
      <family val="2"/>
      <scheme val="minor"/>
    </font>
    <font>
      <u/>
      <sz val="14"/>
      <color theme="10"/>
      <name val="Calibri"/>
      <family val="2"/>
      <scheme val="minor"/>
    </font>
    <font>
      <b/>
      <sz val="18"/>
      <color theme="4" tint="-0.249977111117893"/>
      <name val="Calibri"/>
      <family val="2"/>
      <scheme val="minor"/>
    </font>
    <font>
      <b/>
      <sz val="18"/>
      <color theme="1"/>
      <name val="Calibri"/>
      <family val="2"/>
      <scheme val="minor"/>
    </font>
    <font>
      <sz val="26"/>
      <color rgb="FF4472C4"/>
      <name val="Calibri"/>
      <family val="2"/>
      <scheme val="minor"/>
    </font>
    <font>
      <sz val="11"/>
      <color rgb="FF202124"/>
      <name val="Arial"/>
      <family val="2"/>
      <charset val="1"/>
    </font>
    <font>
      <b/>
      <sz val="14"/>
      <color rgb="FFFFC000"/>
      <name val="Calibri"/>
      <family val="2"/>
      <scheme val="minor"/>
    </font>
    <font>
      <b/>
      <sz val="18"/>
      <color rgb="FFFFC000"/>
      <name val="Calibri"/>
      <family val="2"/>
      <scheme val="minor"/>
    </font>
    <font>
      <b/>
      <sz val="30"/>
      <color rgb="FFFFC000"/>
      <name val="Calibri"/>
      <family val="2"/>
      <scheme val="minor"/>
    </font>
    <font>
      <b/>
      <sz val="28"/>
      <color theme="7"/>
      <name val="Calibri"/>
      <family val="2"/>
      <scheme val="minor"/>
    </font>
    <font>
      <b/>
      <sz val="14"/>
      <color theme="1" tint="0.34998626667073579"/>
      <name val="Calibri"/>
      <family val="2"/>
      <scheme val="minor"/>
    </font>
    <font>
      <b/>
      <sz val="14"/>
      <color theme="3" tint="0.34998626667073579"/>
      <name val="Calibri"/>
      <family val="2"/>
      <scheme val="minor"/>
    </font>
    <font>
      <sz val="14"/>
      <color theme="1" tint="0.34998626667073579"/>
      <name val="Calibri"/>
      <family val="2"/>
      <scheme val="minor"/>
    </font>
    <font>
      <b/>
      <sz val="11"/>
      <name val="Arial"/>
      <family val="2"/>
    </font>
    <font>
      <sz val="11"/>
      <name val="Arial"/>
      <family val="2"/>
    </font>
    <font>
      <b/>
      <sz val="20"/>
      <color rgb="FFFFC000"/>
      <name val="Calibri"/>
      <family val="2"/>
      <scheme val="minor"/>
    </font>
    <font>
      <b/>
      <sz val="16"/>
      <color theme="1" tint="0.24994659260841701"/>
      <name val="Calibri Light"/>
      <family val="2"/>
      <scheme val="major"/>
    </font>
    <font>
      <b/>
      <sz val="11"/>
      <color theme="1" tint="0.24994659260841701"/>
      <name val="Calibri Light"/>
      <family val="2"/>
      <scheme val="major"/>
    </font>
    <font>
      <i/>
      <sz val="11"/>
      <color theme="1" tint="0.34998626667073579"/>
      <name val="Calibri"/>
      <family val="2"/>
      <scheme val="minor"/>
    </font>
    <font>
      <sz val="11"/>
      <color theme="1" tint="0.24994659260841701"/>
      <name val="Calibri"/>
      <family val="2"/>
      <scheme val="minor"/>
    </font>
    <font>
      <sz val="11"/>
      <name val="Arial"/>
      <family val="2"/>
    </font>
    <font>
      <b/>
      <u/>
      <sz val="11"/>
      <color theme="5" tint="-0.24994659260841701"/>
      <name val="Calibri"/>
      <family val="2"/>
      <scheme val="minor"/>
    </font>
    <font>
      <sz val="12"/>
      <color theme="2"/>
      <name val="Calibri Light"/>
      <family val="2"/>
      <scheme val="major"/>
    </font>
    <font>
      <sz val="20"/>
      <color theme="3" tint="9.9948118533890809E-2"/>
      <name val="Calibri Light"/>
      <family val="2"/>
      <scheme val="major"/>
    </font>
    <font>
      <sz val="20"/>
      <color theme="2"/>
      <name val="Calibri Light"/>
      <family val="2"/>
      <scheme val="major"/>
    </font>
    <font>
      <sz val="11"/>
      <color rgb="FF595959"/>
      <name val="Arial"/>
      <family val="2"/>
    </font>
    <font>
      <b/>
      <sz val="14"/>
      <color rgb="FFBB7B11"/>
      <name val="Arial"/>
      <family val="2"/>
    </font>
    <font>
      <sz val="20"/>
      <color theme="0"/>
      <name val="Calibri Light"/>
      <family val="2"/>
      <scheme val="major"/>
    </font>
    <font>
      <sz val="11"/>
      <color theme="3" tint="0.24994659260841701"/>
      <name val="Calibri"/>
      <family val="2"/>
      <scheme val="minor"/>
    </font>
    <font>
      <sz val="13"/>
      <color theme="3" tint="0.24994659260841701"/>
      <name val="Calibri Light"/>
      <family val="2"/>
      <scheme val="major"/>
    </font>
    <font>
      <sz val="11"/>
      <color theme="4" tint="-0.24994659260841701"/>
      <name val="Calibri Light"/>
      <family val="2"/>
      <scheme val="major"/>
    </font>
    <font>
      <sz val="11"/>
      <name val="Calibri"/>
      <family val="2"/>
      <scheme val="minor"/>
    </font>
    <font>
      <sz val="24"/>
      <color theme="3" tint="0.24994659260841701"/>
      <name val="Calibri"/>
      <family val="2"/>
      <scheme val="minor"/>
    </font>
    <font>
      <sz val="11"/>
      <color rgb="FF657C9C"/>
      <name val="Calibri"/>
      <family val="2"/>
      <scheme val="minor"/>
    </font>
    <font>
      <b/>
      <sz val="11"/>
      <color theme="4" tint="-0.24994659260841701"/>
      <name val="Calibri Light"/>
      <family val="2"/>
      <scheme val="major"/>
    </font>
    <font>
      <b/>
      <sz val="13"/>
      <color theme="3" tint="0.24994659260841701"/>
      <name val="Calibri Light"/>
      <family val="2"/>
      <scheme val="major"/>
    </font>
    <font>
      <sz val="10"/>
      <color theme="9" tint="-0.499984740745262"/>
      <name val="Malgun Gothic"/>
      <family val="2"/>
    </font>
    <font>
      <sz val="12"/>
      <name val="Calibri Light"/>
      <family val="2"/>
      <scheme val="major"/>
    </font>
    <font>
      <sz val="10"/>
      <color theme="1"/>
      <name val="Malgun Gothic"/>
      <family val="2"/>
    </font>
    <font>
      <sz val="10"/>
      <color theme="1" tint="0.249977111117893"/>
      <name val="Malgun Gothic"/>
      <family val="2"/>
    </font>
    <font>
      <sz val="9"/>
      <color theme="1" tint="0.249977111117893"/>
      <name val="Malgun Gothic"/>
      <family val="2"/>
    </font>
    <font>
      <sz val="10"/>
      <name val="Tahoma"/>
      <family val="2"/>
    </font>
    <font>
      <b/>
      <sz val="26"/>
      <color theme="0"/>
      <name val="Calibri Light"/>
      <family val="2"/>
      <scheme val="major"/>
    </font>
    <font>
      <sz val="10"/>
      <color theme="1" tint="0.34998626667073579"/>
      <name val="Calibri"/>
      <family val="2"/>
      <scheme val="minor"/>
    </font>
    <font>
      <sz val="28"/>
      <color theme="0"/>
      <name val="Calibri"/>
      <family val="2"/>
      <scheme val="minor"/>
    </font>
    <font>
      <sz val="12"/>
      <name val="Calibri"/>
      <family val="2"/>
      <scheme val="minor"/>
    </font>
    <font>
      <b/>
      <sz val="20"/>
      <color theme="0"/>
      <name val="Calibri Light"/>
      <family val="2"/>
      <scheme val="major"/>
    </font>
    <font>
      <sz val="11"/>
      <color rgb="FFFF0000"/>
      <name val="Calibri"/>
      <family val="2"/>
      <scheme val="minor"/>
    </font>
    <font>
      <b/>
      <sz val="14"/>
      <color rgb="FFFFFFFF"/>
      <name val="Calibri"/>
      <family val="2"/>
      <scheme val="minor"/>
    </font>
    <font>
      <b/>
      <sz val="14"/>
      <color rgb="FF70AD47"/>
      <name val="Calibri"/>
      <family val="2"/>
      <scheme val="minor"/>
    </font>
    <font>
      <b/>
      <sz val="16"/>
      <color rgb="FFFFC000"/>
      <name val="Calibri"/>
      <family val="2"/>
      <scheme val="minor"/>
    </font>
    <font>
      <b/>
      <sz val="12"/>
      <color rgb="FF70AD47"/>
      <name val="Calibri"/>
      <family val="2"/>
      <scheme val="minor"/>
    </font>
    <font>
      <b/>
      <sz val="12"/>
      <color rgb="FF70AD47"/>
      <name val="Arial"/>
      <family val="2"/>
    </font>
    <font>
      <b/>
      <sz val="12"/>
      <name val="Arial"/>
      <family val="2"/>
    </font>
    <font>
      <sz val="12"/>
      <name val="Arial"/>
      <family val="2"/>
    </font>
    <font>
      <b/>
      <sz val="14"/>
      <color rgb="FF000000"/>
      <name val="Calibri"/>
      <family val="2"/>
      <scheme val="minor"/>
    </font>
    <font>
      <sz val="48"/>
      <color theme="7"/>
      <name val="Calibri"/>
      <family val="2"/>
      <scheme val="minor"/>
    </font>
    <font>
      <b/>
      <sz val="12"/>
      <color theme="1"/>
      <name val="Arial"/>
      <family val="2"/>
    </font>
    <font>
      <b/>
      <sz val="18"/>
      <color rgb="FF4472C4"/>
      <name val="Calibri"/>
      <family val="2"/>
      <scheme val="minor"/>
    </font>
    <font>
      <sz val="11"/>
      <color rgb="FF000000"/>
      <name val="Calibri"/>
      <family val="2"/>
      <scheme val="minor"/>
    </font>
    <font>
      <b/>
      <sz val="12"/>
      <color theme="1"/>
      <name val="Bahnschrift SemiBold"/>
      <family val="2"/>
    </font>
    <font>
      <i/>
      <sz val="60"/>
      <color rgb="FF002060"/>
      <name val="Bahnschrift SemiBold"/>
      <family val="2"/>
    </font>
    <font>
      <b/>
      <sz val="28"/>
      <color theme="0"/>
      <name val="Calibri"/>
      <family val="2"/>
      <scheme val="minor"/>
    </font>
    <font>
      <b/>
      <sz val="22"/>
      <color theme="1"/>
      <name val="Calibri"/>
      <family val="2"/>
      <scheme val="minor"/>
    </font>
    <font>
      <b/>
      <sz val="22"/>
      <color theme="7"/>
      <name val="Calibri"/>
      <family val="2"/>
      <scheme val="minor"/>
    </font>
    <font>
      <b/>
      <sz val="24"/>
      <color theme="7"/>
      <name val="Calibri"/>
      <family val="2"/>
      <scheme val="minor"/>
    </font>
    <font>
      <i/>
      <sz val="16"/>
      <color rgb="FF5C5CE6"/>
      <name val="Bahnschrift SemiBold"/>
      <family val="2"/>
    </font>
    <font>
      <i/>
      <sz val="16"/>
      <color rgb="FF5C5CE6"/>
      <name val="Source Sans Pro Black"/>
      <family val="2"/>
    </font>
    <font>
      <sz val="18"/>
      <color theme="3"/>
      <name val="Calibri Light"/>
      <family val="1"/>
      <scheme val="major"/>
    </font>
    <font>
      <b/>
      <sz val="18"/>
      <color theme="3"/>
      <name val="Calibri Light"/>
      <family val="2"/>
      <scheme val="major"/>
    </font>
    <font>
      <i/>
      <sz val="13"/>
      <color theme="1" tint="0.34998626667073579"/>
      <name val="Calibri Light"/>
      <family val="1"/>
      <scheme val="major"/>
    </font>
    <font>
      <i/>
      <sz val="22"/>
      <color theme="3"/>
      <name val="Calibri"/>
      <family val="2"/>
      <scheme val="minor"/>
    </font>
    <font>
      <u/>
      <sz val="14"/>
      <color theme="8" tint="-0.249977111117893"/>
      <name val="Calibri"/>
      <family val="2"/>
      <scheme val="minor"/>
    </font>
    <font>
      <b/>
      <sz val="11"/>
      <color rgb="FF000000"/>
      <name val="Calibri"/>
      <family val="2"/>
      <scheme val="minor"/>
    </font>
    <font>
      <b/>
      <sz val="12"/>
      <color rgb="FFFFFFFF"/>
      <name val="Arial"/>
      <family val="2"/>
    </font>
    <font>
      <b/>
      <sz val="12"/>
      <color rgb="FFFFFFFF"/>
      <name val="Calibri"/>
      <family val="2"/>
      <scheme val="minor"/>
    </font>
    <font>
      <sz val="11"/>
      <color rgb="FFFFD966"/>
      <name val="Calibri"/>
      <family val="2"/>
    </font>
    <font>
      <sz val="18"/>
      <color rgb="FFFFC000"/>
      <name val="Calibri"/>
      <family val="2"/>
      <scheme val="minor"/>
    </font>
    <font>
      <sz val="10"/>
      <name val="Arial"/>
      <family val="2"/>
    </font>
    <font>
      <u/>
      <sz val="10"/>
      <color indexed="12"/>
      <name val="Arial"/>
      <family val="2"/>
    </font>
    <font>
      <sz val="11"/>
      <color rgb="FF44546A"/>
      <name val="Arial"/>
      <family val="2"/>
    </font>
    <font>
      <sz val="10"/>
      <color rgb="FF3F3F3F"/>
      <name val="Lucida Sans"/>
      <family val="2"/>
    </font>
    <font>
      <sz val="11"/>
      <color rgb="FF3F3F3F"/>
      <name val="Lucida Sans"/>
      <family val="2"/>
    </font>
    <font>
      <sz val="10"/>
      <name val="Lucida Sans"/>
      <family val="2"/>
    </font>
    <font>
      <sz val="14"/>
      <color theme="0"/>
      <name val="Calibri Light"/>
      <family val="1"/>
      <scheme val="major"/>
    </font>
    <font>
      <sz val="12"/>
      <color theme="0"/>
      <name val="Calibri"/>
      <family val="2"/>
      <scheme val="minor"/>
    </font>
    <font>
      <sz val="11"/>
      <name val="Calibri"/>
      <family val="2"/>
    </font>
    <font>
      <b/>
      <sz val="11"/>
      <color theme="7"/>
      <name val="Calibri"/>
      <family val="2"/>
      <scheme val="minor"/>
    </font>
    <font>
      <b/>
      <sz val="12"/>
      <color rgb="FF5C5CE6"/>
      <name val="Calibri"/>
      <family val="2"/>
      <scheme val="minor"/>
    </font>
    <font>
      <b/>
      <i/>
      <u/>
      <sz val="28"/>
      <color rgb="FF002060"/>
      <name val="Arial Black"/>
      <family val="2"/>
    </font>
    <font>
      <sz val="28"/>
      <color theme="1"/>
      <name val="Calibri"/>
      <family val="2"/>
      <scheme val="minor"/>
    </font>
    <font>
      <b/>
      <sz val="20"/>
      <color theme="1"/>
      <name val="Calibri"/>
      <family val="2"/>
      <scheme val="minor"/>
    </font>
    <font>
      <sz val="9"/>
      <color theme="1"/>
      <name val="Calibri"/>
      <family val="2"/>
      <scheme val="minor"/>
    </font>
    <font>
      <sz val="9"/>
      <color theme="1"/>
      <name val="Arial Nova Cond Light"/>
      <family val="2"/>
    </font>
    <font>
      <sz val="11"/>
      <color theme="1"/>
      <name val="Calibri Light"/>
      <family val="2"/>
      <scheme val="major"/>
    </font>
    <font>
      <sz val="11"/>
      <color theme="1"/>
      <name val="Arial Nova Cond Light"/>
      <family val="2"/>
    </font>
    <font>
      <sz val="12"/>
      <color theme="1"/>
      <name val="Calibri Light"/>
      <family val="2"/>
      <scheme val="major"/>
    </font>
    <font>
      <sz val="14"/>
      <color theme="0"/>
      <name val="Arial Nova Cond Light"/>
      <family val="2"/>
    </font>
    <font>
      <sz val="14"/>
      <color theme="1"/>
      <name val="Calibri Light"/>
      <family val="2"/>
      <scheme val="major"/>
    </font>
    <font>
      <sz val="20"/>
      <color theme="1"/>
      <name val="Calibri"/>
      <family val="2"/>
      <scheme val="minor"/>
    </font>
    <font>
      <b/>
      <sz val="18"/>
      <color theme="1"/>
      <name val="Calibri Light"/>
      <family val="2"/>
      <scheme val="major"/>
    </font>
    <font>
      <b/>
      <sz val="20"/>
      <color theme="1"/>
      <name val="Calibri Light"/>
      <family val="2"/>
      <scheme val="major"/>
    </font>
    <font>
      <sz val="16"/>
      <name val="Arial Nova Cond Light"/>
      <family val="2"/>
    </font>
    <font>
      <sz val="16"/>
      <name val="HP Simplified"/>
      <family val="2"/>
    </font>
    <font>
      <sz val="24"/>
      <color theme="0"/>
      <name val="Calibri Light"/>
      <family val="2"/>
      <scheme val="major"/>
    </font>
    <font>
      <sz val="11"/>
      <color theme="4" tint="-0.499984740745262"/>
      <name val="Calibri"/>
      <family val="2"/>
      <scheme val="minor"/>
    </font>
    <font>
      <sz val="15"/>
      <color theme="4" tint="-0.499984740745262"/>
      <name val="Calibri Light"/>
      <family val="1"/>
      <scheme val="major"/>
    </font>
    <font>
      <sz val="21"/>
      <color theme="4" tint="-0.499984740745262"/>
      <name val="Calibri Light"/>
      <family val="1"/>
      <scheme val="major"/>
    </font>
    <font>
      <sz val="11"/>
      <color theme="4" tint="-0.24994659260841701"/>
      <name val="Calibri Light"/>
      <family val="1"/>
      <scheme val="major"/>
    </font>
    <font>
      <b/>
      <sz val="18"/>
      <color theme="0"/>
      <name val="Calibri"/>
      <family val="2"/>
      <scheme val="minor"/>
    </font>
    <font>
      <sz val="18"/>
      <color theme="4"/>
      <name val="Calibri Light"/>
      <family val="1"/>
      <scheme val="major"/>
    </font>
    <font>
      <b/>
      <sz val="14"/>
      <color indexed="9"/>
      <name val="Calibri"/>
      <family val="2"/>
      <scheme val="minor"/>
    </font>
    <font>
      <b/>
      <i/>
      <sz val="11"/>
      <name val="Calibri"/>
      <family val="2"/>
      <scheme val="minor"/>
    </font>
    <font>
      <sz val="10"/>
      <name val="Verdana"/>
      <family val="2"/>
    </font>
    <font>
      <sz val="8"/>
      <name val="Arial"/>
      <family val="2"/>
    </font>
    <font>
      <i/>
      <sz val="8"/>
      <name val="Calibri"/>
      <family val="2"/>
      <scheme val="minor"/>
    </font>
    <font>
      <i/>
      <u/>
      <sz val="8"/>
      <color indexed="12"/>
      <name val="Arial"/>
      <family val="2"/>
    </font>
    <font>
      <sz val="10"/>
      <name val="Calibri"/>
      <family val="2"/>
      <scheme val="minor"/>
    </font>
    <font>
      <i/>
      <sz val="11"/>
      <name val="Calibri"/>
      <family val="2"/>
      <scheme val="minor"/>
    </font>
    <font>
      <b/>
      <sz val="12"/>
      <name val="Calibri"/>
      <family val="2"/>
      <scheme val="minor"/>
    </font>
    <font>
      <b/>
      <sz val="14"/>
      <color indexed="9"/>
      <name val="Calibri Light"/>
      <family val="1"/>
      <scheme val="major"/>
    </font>
    <font>
      <b/>
      <sz val="10"/>
      <name val="Calibri"/>
      <family val="2"/>
      <scheme val="minor"/>
    </font>
    <font>
      <b/>
      <sz val="8"/>
      <color indexed="81"/>
      <name val="Tahoma"/>
      <family val="2"/>
    </font>
    <font>
      <sz val="8"/>
      <color indexed="81"/>
      <name val="Tahoma"/>
      <family val="2"/>
    </font>
  </fonts>
  <fills count="60">
    <fill>
      <patternFill patternType="none"/>
    </fill>
    <fill>
      <patternFill patternType="gray125"/>
    </fill>
    <fill>
      <patternFill patternType="solid">
        <fgColor rgb="FFFFC000"/>
        <bgColor indexed="64"/>
      </patternFill>
    </fill>
    <fill>
      <patternFill patternType="solid">
        <fgColor rgb="FFFFE699"/>
        <bgColor indexed="64"/>
      </patternFill>
    </fill>
    <fill>
      <patternFill patternType="solid">
        <fgColor rgb="FF4472C4"/>
        <bgColor indexed="64"/>
      </patternFill>
    </fill>
    <fill>
      <patternFill patternType="solid">
        <fgColor rgb="FF305496"/>
        <bgColor indexed="64"/>
      </patternFill>
    </fill>
    <fill>
      <patternFill patternType="solid">
        <fgColor rgb="FF0070C0"/>
        <bgColor indexed="64"/>
      </patternFill>
    </fill>
    <fill>
      <patternFill patternType="solid">
        <fgColor rgb="FFFFD966"/>
        <bgColor indexed="64"/>
      </patternFill>
    </fill>
    <fill>
      <patternFill patternType="solid">
        <fgColor rgb="FFDAE0EF"/>
        <bgColor rgb="FFDAE0EF"/>
      </patternFill>
    </fill>
    <fill>
      <patternFill patternType="solid">
        <fgColor theme="4" tint="-0.499984740745262"/>
        <bgColor indexed="64"/>
      </patternFill>
    </fill>
    <fill>
      <patternFill patternType="solid">
        <fgColor theme="4"/>
      </patternFill>
    </fill>
    <fill>
      <patternFill patternType="solid">
        <fgColor rgb="FFFFFFFF"/>
        <bgColor indexed="64"/>
      </patternFill>
    </fill>
    <fill>
      <patternFill patternType="solid">
        <fgColor rgb="FF203764"/>
        <bgColor indexed="64"/>
      </patternFill>
    </fill>
    <fill>
      <patternFill patternType="solid">
        <fgColor rgb="FF00206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39997558519241921"/>
        <bgColor indexed="27"/>
      </patternFill>
    </fill>
    <fill>
      <patternFill patternType="solid">
        <fgColor theme="4"/>
        <bgColor indexed="64"/>
      </patternFill>
    </fill>
    <fill>
      <patternFill patternType="solid">
        <fgColor theme="4"/>
        <bgColor indexed="27"/>
      </patternFill>
    </fill>
    <fill>
      <patternFill patternType="solid">
        <fgColor rgb="FFB4C6E7"/>
        <bgColor indexed="64"/>
      </patternFill>
    </fill>
    <fill>
      <patternFill patternType="solid">
        <fgColor rgb="FFFFFFDF"/>
        <bgColor indexed="64"/>
      </patternFill>
    </fill>
    <fill>
      <patternFill patternType="solid">
        <fgColor rgb="FF8EA9DB"/>
        <bgColor indexed="64"/>
      </patternFill>
    </fill>
    <fill>
      <patternFill patternType="solid">
        <fgColor theme="4" tint="-0.249977111117893"/>
        <bgColor indexed="64"/>
      </patternFill>
    </fill>
    <fill>
      <patternFill patternType="solid">
        <fgColor rgb="FF9BC2E6"/>
        <bgColor indexed="64"/>
      </patternFill>
    </fill>
    <fill>
      <patternFill patternType="solid">
        <fgColor theme="5" tint="-0.24994659260841701"/>
        <bgColor indexed="64"/>
      </patternFill>
    </fill>
    <fill>
      <patternFill patternType="solid">
        <fgColor theme="4" tint="0.39994506668294322"/>
        <bgColor indexed="64"/>
      </patternFill>
    </fill>
    <fill>
      <patternFill patternType="solid">
        <fgColor theme="3" tint="9.9948118533890809E-2"/>
        <bgColor indexed="64"/>
      </patternFill>
    </fill>
    <fill>
      <patternFill patternType="solid">
        <fgColor theme="7"/>
        <bgColor indexed="64"/>
      </patternFill>
    </fill>
    <fill>
      <patternFill patternType="solid">
        <fgColor theme="0"/>
        <bgColor indexed="64"/>
      </patternFill>
    </fill>
    <fill>
      <patternFill patternType="solid">
        <fgColor theme="7" tint="0.79998168889431442"/>
        <bgColor theme="7" tint="0.79998168889431442"/>
      </patternFill>
    </fill>
    <fill>
      <patternFill patternType="solid">
        <fgColor rgb="FF7030A0"/>
        <bgColor indexed="64"/>
      </patternFill>
    </fill>
    <fill>
      <patternFill patternType="solid">
        <fgColor rgb="FFD9E1F2"/>
        <bgColor indexed="64"/>
      </patternFill>
    </fill>
    <fill>
      <patternFill patternType="solid">
        <fgColor rgb="FFA5A5A5"/>
        <bgColor indexed="64"/>
      </patternFill>
    </fill>
    <fill>
      <patternFill patternType="solid">
        <fgColor rgb="FF5C5CE6"/>
        <bgColor indexed="64"/>
      </patternFill>
    </fill>
    <fill>
      <patternFill patternType="solid">
        <fgColor rgb="FF00B050"/>
        <bgColor indexed="64"/>
      </patternFill>
    </fill>
    <fill>
      <patternFill patternType="solid">
        <fgColor rgb="FFFFC000"/>
        <bgColor rgb="FF000000"/>
      </patternFill>
    </fill>
    <fill>
      <patternFill patternType="solid">
        <fgColor theme="7"/>
        <bgColor rgb="FF000000"/>
      </patternFill>
    </fill>
    <fill>
      <patternFill patternType="solid">
        <fgColor rgb="FFFF00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59999389629810485"/>
        <bgColor theme="7" tint="0.59999389629810485"/>
      </patternFill>
    </fill>
    <fill>
      <patternFill patternType="solid">
        <fgColor theme="4"/>
        <bgColor auto="1"/>
      </patternFill>
    </fill>
    <fill>
      <patternFill patternType="solid">
        <fgColor theme="7" tint="0.59999389629810485"/>
        <bgColor indexed="64"/>
      </patternFill>
    </fill>
    <fill>
      <patternFill patternType="solid">
        <fgColor rgb="FFF2F2F2"/>
        <bgColor rgb="FFF2F2F2"/>
      </patternFill>
    </fill>
    <fill>
      <patternFill patternType="solid">
        <fgColor theme="3" tint="0.79998168889431442"/>
        <bgColor rgb="FFC8F0FF"/>
      </patternFill>
    </fill>
    <fill>
      <patternFill patternType="solid">
        <fgColor theme="7" tint="0.59999389629810485"/>
        <bgColor rgb="FFC9E6B3"/>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7" tint="0.39997558519241921"/>
        <bgColor indexed="26"/>
      </patternFill>
    </fill>
    <fill>
      <patternFill patternType="solid">
        <fgColor rgb="FFFDFD96"/>
        <bgColor indexed="64"/>
      </patternFill>
    </fill>
    <fill>
      <patternFill patternType="solid">
        <fgColor theme="0" tint="-4.9989318521683403E-2"/>
        <bgColor indexed="64"/>
      </patternFill>
    </fill>
  </fills>
  <borders count="164">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8FA2CF"/>
      </top>
      <bottom style="thin">
        <color rgb="FF8FA2CF"/>
      </bottom>
      <diagonal/>
    </border>
    <border>
      <left/>
      <right style="thin">
        <color rgb="FF000000"/>
      </right>
      <top/>
      <bottom/>
      <diagonal/>
    </border>
    <border>
      <left style="thin">
        <color rgb="FF000000"/>
      </left>
      <right style="thin">
        <color rgb="FF000000"/>
      </right>
      <top/>
      <bottom/>
      <diagonal/>
    </border>
    <border>
      <left style="thin">
        <color rgb="FF000000"/>
      </left>
      <right/>
      <top/>
      <bottom/>
      <diagonal/>
    </border>
    <border>
      <left/>
      <right style="thick">
        <color theme="0"/>
      </right>
      <top/>
      <bottom/>
      <diagonal/>
    </border>
    <border>
      <left style="thin">
        <color rgb="FF000000"/>
      </left>
      <right style="thin">
        <color rgb="FF000000"/>
      </right>
      <top/>
      <bottom style="thin">
        <color rgb="FF000000"/>
      </bottom>
      <diagonal/>
    </border>
    <border>
      <left/>
      <right/>
      <top/>
      <bottom style="thick">
        <color theme="4" tint="0.39994506668294322"/>
      </bottom>
      <diagonal/>
    </border>
    <border>
      <left/>
      <right/>
      <top style="thick">
        <color rgb="FF0070C0"/>
      </top>
      <bottom/>
      <diagonal/>
    </border>
    <border>
      <left/>
      <right/>
      <top/>
      <bottom style="thick">
        <color rgb="FF0070C0"/>
      </bottom>
      <diagonal/>
    </border>
    <border>
      <left/>
      <right/>
      <top style="thick">
        <color rgb="FF0070C0"/>
      </top>
      <bottom style="thick">
        <color rgb="FF0070C0"/>
      </bottom>
      <diagonal/>
    </border>
    <border>
      <left style="thick">
        <color rgb="FF0070C0"/>
      </left>
      <right style="thick">
        <color rgb="FF0070C0"/>
      </right>
      <top style="thick">
        <color rgb="FFFFD966"/>
      </top>
      <bottom style="thick">
        <color rgb="FFFFD966"/>
      </bottom>
      <diagonal/>
    </border>
    <border>
      <left style="thick">
        <color rgb="FF0070C0"/>
      </left>
      <right style="thick">
        <color rgb="FFFFD966"/>
      </right>
      <top style="thick">
        <color rgb="FFFFD966"/>
      </top>
      <bottom style="thick">
        <color rgb="FFFFD966"/>
      </bottom>
      <diagonal/>
    </border>
    <border>
      <left style="thick">
        <color rgb="FFFFD966"/>
      </left>
      <right style="thick">
        <color rgb="FFFFD966"/>
      </right>
      <top style="thick">
        <color rgb="FFFFD966"/>
      </top>
      <bottom style="thick">
        <color rgb="FFFFD966"/>
      </bottom>
      <diagonal/>
    </border>
    <border>
      <left style="thick">
        <color rgb="FFFFD966"/>
      </left>
      <right/>
      <top style="thick">
        <color rgb="FFFFD966"/>
      </top>
      <bottom/>
      <diagonal/>
    </border>
    <border>
      <left style="thick">
        <color theme="0"/>
      </left>
      <right style="thick">
        <color theme="0"/>
      </right>
      <top/>
      <bottom style="thick">
        <color theme="0"/>
      </bottom>
      <diagonal/>
    </border>
    <border>
      <left style="thick">
        <color rgb="FFFFD966"/>
      </left>
      <right/>
      <top style="thick">
        <color rgb="FFFFD966"/>
      </top>
      <bottom style="thick">
        <color rgb="FFFFD966"/>
      </bottom>
      <diagonal/>
    </border>
    <border>
      <left/>
      <right/>
      <top style="thick">
        <color rgb="FFFFD966"/>
      </top>
      <bottom style="thick">
        <color rgb="FFFFD966"/>
      </bottom>
      <diagonal/>
    </border>
    <border>
      <left style="medium">
        <color rgb="FF000000"/>
      </left>
      <right style="medium">
        <color rgb="FF000000"/>
      </right>
      <top style="medium">
        <color rgb="FF000000"/>
      </top>
      <bottom style="medium">
        <color rgb="FF000000"/>
      </bottom>
      <diagonal/>
    </border>
    <border>
      <left style="medium">
        <color rgb="FF000000"/>
      </left>
      <right/>
      <top style="thick">
        <color rgb="FF0070C0"/>
      </top>
      <bottom/>
      <diagonal/>
    </border>
    <border>
      <left/>
      <right style="medium">
        <color rgb="FF000000"/>
      </right>
      <top style="thick">
        <color rgb="FF0070C0"/>
      </top>
      <bottom/>
      <diagonal/>
    </border>
    <border>
      <left style="medium">
        <color rgb="FF000000"/>
      </left>
      <right style="thick">
        <color theme="0"/>
      </right>
      <top/>
      <bottom/>
      <diagonal/>
    </border>
    <border>
      <left style="medium">
        <color rgb="FF000000"/>
      </left>
      <right style="thick">
        <color rgb="FF0070C0"/>
      </right>
      <top style="thick">
        <color rgb="FFFFD966"/>
      </top>
      <bottom style="thick">
        <color rgb="FFFFD966"/>
      </bottom>
      <diagonal/>
    </border>
    <border>
      <left style="medium">
        <color rgb="FF000000"/>
      </left>
      <right style="thick">
        <color rgb="FFFFD966"/>
      </right>
      <top style="thick">
        <color rgb="FFFFD966"/>
      </top>
      <bottom style="thick">
        <color rgb="FFFFD966"/>
      </bottom>
      <diagonal/>
    </border>
    <border>
      <left style="medium">
        <color rgb="FF000000"/>
      </left>
      <right/>
      <top style="thick">
        <color rgb="FFFFD966"/>
      </top>
      <bottom/>
      <diagonal/>
    </border>
    <border>
      <left style="thick">
        <color rgb="FFFFD966"/>
      </left>
      <right style="medium">
        <color rgb="FF000000"/>
      </right>
      <top/>
      <bottom/>
      <diagonal/>
    </border>
    <border>
      <left style="medium">
        <color rgb="FF000000"/>
      </left>
      <right style="thick">
        <color rgb="FFFFD966"/>
      </right>
      <top style="thick">
        <color rgb="FFFFD966"/>
      </top>
      <bottom style="medium">
        <color rgb="FF000000"/>
      </bottom>
      <diagonal/>
    </border>
    <border>
      <left style="thick">
        <color rgb="FFFFD966"/>
      </left>
      <right style="thick">
        <color rgb="FFFFD966"/>
      </right>
      <top style="thick">
        <color rgb="FFFFD966"/>
      </top>
      <bottom style="medium">
        <color rgb="FF000000"/>
      </bottom>
      <diagonal/>
    </border>
    <border>
      <left style="thick">
        <color rgb="FFFFD966"/>
      </left>
      <right/>
      <top style="thick">
        <color rgb="FFFFD966"/>
      </top>
      <bottom style="medium">
        <color rgb="FF000000"/>
      </bottom>
      <diagonal/>
    </border>
    <border>
      <left style="thick">
        <color rgb="FFFFD966"/>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thin">
        <color indexed="59"/>
      </left>
      <right style="thin">
        <color indexed="59"/>
      </right>
      <top style="thin">
        <color indexed="59"/>
      </top>
      <bottom style="thin">
        <color indexed="59"/>
      </bottom>
      <diagonal/>
    </border>
    <border>
      <left/>
      <right style="thin">
        <color indexed="64"/>
      </right>
      <top style="thin">
        <color indexed="64"/>
      </top>
      <bottom/>
      <diagonal/>
    </border>
    <border>
      <left style="thin">
        <color indexed="64"/>
      </left>
      <right/>
      <top style="thin">
        <color indexed="64"/>
      </top>
      <bottom/>
      <diagonal/>
    </border>
    <border>
      <left style="thin">
        <color indexed="59"/>
      </left>
      <right style="thin">
        <color indexed="59"/>
      </right>
      <top/>
      <bottom style="thin">
        <color indexed="59"/>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rgb="FF000000"/>
      </left>
      <right style="medium">
        <color indexed="64"/>
      </right>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bottom style="medium">
        <color indexed="64"/>
      </bottom>
      <diagonal/>
    </border>
    <border>
      <left/>
      <right/>
      <top/>
      <bottom style="medium">
        <color indexed="64"/>
      </bottom>
      <diagonal/>
    </border>
    <border>
      <left style="medium">
        <color rgb="FF000000"/>
      </left>
      <right/>
      <top/>
      <bottom style="medium">
        <color indexed="64"/>
      </bottom>
      <diagonal/>
    </border>
    <border>
      <left/>
      <right style="medium">
        <color indexed="64"/>
      </right>
      <top/>
      <bottom style="medium">
        <color indexed="64"/>
      </bottom>
      <diagonal/>
    </border>
    <border>
      <left/>
      <right style="thin">
        <color rgb="FF000000"/>
      </right>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right/>
      <top/>
      <bottom style="thin">
        <color rgb="FF000000"/>
      </bottom>
      <diagonal/>
    </border>
    <border>
      <left/>
      <right/>
      <top/>
      <bottom style="thick">
        <color theme="4" tint="-0.499984740745262"/>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style="thick">
        <color theme="0"/>
      </top>
      <bottom/>
      <diagonal/>
    </border>
    <border>
      <left style="thick">
        <color theme="0"/>
      </left>
      <right/>
      <top style="thick">
        <color theme="0"/>
      </top>
      <bottom/>
      <diagonal/>
    </border>
    <border>
      <left/>
      <right/>
      <top style="thin">
        <color indexed="64"/>
      </top>
      <bottom/>
      <diagonal/>
    </border>
    <border>
      <left/>
      <right/>
      <top/>
      <bottom style="thin">
        <color theme="2" tint="-0.24994659260841701"/>
      </bottom>
      <diagonal/>
    </border>
    <border>
      <left/>
      <right/>
      <top/>
      <bottom style="medium">
        <color theme="9" tint="0.39997558519241921"/>
      </bottom>
      <diagonal/>
    </border>
    <border>
      <left/>
      <right/>
      <top style="thin">
        <color theme="0"/>
      </top>
      <bottom/>
      <diagonal/>
    </border>
    <border>
      <left style="thin">
        <color theme="0"/>
      </left>
      <right style="thin">
        <color theme="0"/>
      </right>
      <top style="thin">
        <color theme="0"/>
      </top>
      <bottom style="thin">
        <color theme="0"/>
      </bottom>
      <diagonal/>
    </border>
    <border>
      <left/>
      <right/>
      <top style="thin">
        <color rgb="FF000000"/>
      </top>
      <bottom/>
      <diagonal/>
    </border>
    <border>
      <left/>
      <right style="thin">
        <color rgb="FF000000"/>
      </right>
      <top style="thin">
        <color indexed="64"/>
      </top>
      <bottom/>
      <diagonal/>
    </border>
    <border>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right style="medium">
        <color rgb="FF000000"/>
      </right>
      <top style="thin">
        <color rgb="FF000000"/>
      </top>
      <bottom style="thin">
        <color rgb="FF000000"/>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right style="medium">
        <color rgb="FF000000"/>
      </right>
      <top/>
      <bottom style="thin">
        <color rgb="FF000000"/>
      </bottom>
      <diagonal/>
    </border>
    <border>
      <left/>
      <right style="thin">
        <color rgb="FF000000"/>
      </right>
      <top style="medium">
        <color indexed="64"/>
      </top>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bottom style="medium">
        <color rgb="FF000000"/>
      </bottom>
      <diagonal/>
    </border>
    <border>
      <left/>
      <right style="thin">
        <color rgb="FF000000"/>
      </right>
      <top/>
      <bottom style="medium">
        <color rgb="FF000000"/>
      </bottom>
      <diagonal/>
    </border>
    <border>
      <left style="medium">
        <color indexed="64"/>
      </left>
      <right style="medium">
        <color indexed="64"/>
      </right>
      <top style="medium">
        <color indexed="64"/>
      </top>
      <bottom style="medium">
        <color indexed="64"/>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style="medium">
        <color indexed="64"/>
      </right>
      <top/>
      <bottom style="medium">
        <color indexed="64"/>
      </bottom>
      <diagonal/>
    </border>
    <border>
      <left style="medium">
        <color rgb="FF000000"/>
      </left>
      <right style="medium">
        <color rgb="FF000000"/>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dotted">
        <color indexed="64"/>
      </bottom>
      <diagonal/>
    </border>
    <border>
      <left/>
      <right/>
      <top style="dotted">
        <color theme="0" tint="-0.34998626667073579"/>
      </top>
      <bottom/>
      <diagonal/>
    </border>
    <border>
      <left/>
      <right/>
      <top style="dotted">
        <color indexed="64"/>
      </top>
      <bottom/>
      <diagonal/>
    </border>
    <border>
      <left style="thin">
        <color theme="3" tint="0.79995117038483843"/>
      </left>
      <right style="thin">
        <color theme="3" tint="0.79995117038483843"/>
      </right>
      <top style="thin">
        <color theme="3" tint="0.79995117038483843"/>
      </top>
      <bottom/>
      <diagonal/>
    </border>
    <border>
      <left style="thin">
        <color theme="3" tint="0.79995117038483843"/>
      </left>
      <right style="thin">
        <color theme="3" tint="0.79995117038483843"/>
      </right>
      <top/>
      <bottom/>
      <diagonal/>
    </border>
    <border>
      <left style="thin">
        <color theme="3" tint="0.79995117038483843"/>
      </left>
      <right style="thin">
        <color theme="3" tint="0.79995117038483843"/>
      </right>
      <top/>
      <bottom style="thin">
        <color theme="3" tint="0.79995117038483843"/>
      </bottom>
      <diagonal/>
    </border>
    <border>
      <left style="thin">
        <color theme="3" tint="0.79998168889431442"/>
      </left>
      <right style="thin">
        <color theme="3" tint="0.79998168889431442"/>
      </right>
      <top style="thin">
        <color theme="3" tint="0.79995117038483843"/>
      </top>
      <bottom/>
      <diagonal/>
    </border>
    <border>
      <left style="thin">
        <color theme="3" tint="0.79998168889431442"/>
      </left>
      <right style="thin">
        <color theme="3" tint="0.79998168889431442"/>
      </right>
      <top/>
      <bottom style="thin">
        <color theme="3" tint="0.79995117038483843"/>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style="thick">
        <color theme="0"/>
      </bottom>
      <diagonal/>
    </border>
    <border>
      <left style="medium">
        <color rgb="FF000000"/>
      </left>
      <right style="thin">
        <color rgb="FF000000"/>
      </right>
      <top style="thin">
        <color theme="0"/>
      </top>
      <bottom style="thin">
        <color theme="0"/>
      </bottom>
      <diagonal/>
    </border>
    <border>
      <left style="thin">
        <color rgb="FF000000"/>
      </left>
      <right style="thin">
        <color rgb="FF000000"/>
      </right>
      <top style="thin">
        <color theme="0"/>
      </top>
      <bottom style="thin">
        <color theme="0"/>
      </bottom>
      <diagonal/>
    </border>
    <border>
      <left style="thin">
        <color rgb="FF000000"/>
      </left>
      <right style="medium">
        <color rgb="FF000000"/>
      </right>
      <top style="thin">
        <color theme="0"/>
      </top>
      <bottom style="thin">
        <color theme="0"/>
      </bottom>
      <diagonal/>
    </border>
    <border>
      <left style="medium">
        <color rgb="FF000000"/>
      </left>
      <right style="thin">
        <color rgb="FF000000"/>
      </right>
      <top style="thin">
        <color theme="0"/>
      </top>
      <bottom style="medium">
        <color rgb="FF000000"/>
      </bottom>
      <diagonal/>
    </border>
    <border>
      <left style="thin">
        <color rgb="FF000000"/>
      </left>
      <right style="thin">
        <color rgb="FF000000"/>
      </right>
      <top style="thin">
        <color theme="0"/>
      </top>
      <bottom style="medium">
        <color rgb="FF000000"/>
      </bottom>
      <diagonal/>
    </border>
    <border>
      <left style="thin">
        <color rgb="FF000000"/>
      </left>
      <right style="medium">
        <color rgb="FF000000"/>
      </right>
      <top style="thin">
        <color theme="0"/>
      </top>
      <bottom style="medium">
        <color rgb="FF000000"/>
      </bottom>
      <diagonal/>
    </border>
    <border>
      <left/>
      <right style="thick">
        <color indexed="64"/>
      </right>
      <top style="medium">
        <color indexed="64"/>
      </top>
      <bottom/>
      <diagonal/>
    </border>
    <border>
      <left/>
      <right style="thick">
        <color indexed="64"/>
      </right>
      <top/>
      <bottom/>
      <diagonal/>
    </border>
    <border>
      <left style="thin">
        <color theme="0"/>
      </left>
      <right/>
      <top style="thin">
        <color theme="0"/>
      </top>
      <bottom style="thin">
        <color theme="0"/>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diagonal/>
    </border>
    <border>
      <left/>
      <right style="thin">
        <color rgb="FFFFFFFF"/>
      </right>
      <top style="thin">
        <color rgb="FFFFFFFF"/>
      </top>
      <bottom/>
      <diagonal/>
    </border>
    <border>
      <left style="thin">
        <color rgb="FFFFFFFF"/>
      </left>
      <right/>
      <top style="thin">
        <color rgb="FFFFFFFF"/>
      </top>
      <bottom/>
      <diagonal/>
    </border>
    <border>
      <left style="thin">
        <color rgb="FFA8ABAE"/>
      </left>
      <right style="thin">
        <color rgb="FFA8ABAE"/>
      </right>
      <top style="thin">
        <color rgb="FFA8ABAE"/>
      </top>
      <bottom style="thin">
        <color rgb="FFA8ABAE"/>
      </bottom>
      <diagonal/>
    </border>
    <border>
      <left/>
      <right style="thin">
        <color theme="0" tint="-0.14999847407452621"/>
      </right>
      <top/>
      <bottom style="thin">
        <color rgb="FFA8ABAE"/>
      </bottom>
      <diagonal/>
    </border>
    <border>
      <left style="thin">
        <color theme="0" tint="-0.14999847407452621"/>
      </left>
      <right style="thin">
        <color theme="0" tint="-0.14999847407452621"/>
      </right>
      <top/>
      <bottom style="thin">
        <color rgb="FFA8ABAE"/>
      </bottom>
      <diagonal/>
    </border>
    <border>
      <left/>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A8ABAE"/>
      </left>
      <right style="thin">
        <color theme="0" tint="-0.14999847407452621"/>
      </right>
      <top/>
      <bottom style="thin">
        <color rgb="FFA8ABAE"/>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style="thick">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rgb="FF00B0F0"/>
      </right>
      <top/>
      <bottom style="thin">
        <color rgb="FF00B0F0"/>
      </bottom>
      <diagonal/>
    </border>
    <border>
      <left/>
      <right/>
      <top/>
      <bottom style="thin">
        <color rgb="FF00B0F0"/>
      </bottom>
      <diagonal/>
    </border>
    <border>
      <left style="thin">
        <color rgb="FF00B0F0"/>
      </left>
      <right/>
      <top/>
      <bottom style="thin">
        <color rgb="FF00B0F0"/>
      </bottom>
      <diagonal/>
    </border>
    <border>
      <left/>
      <right style="thin">
        <color rgb="FF00B0F0"/>
      </right>
      <top/>
      <bottom/>
      <diagonal/>
    </border>
    <border>
      <left style="thin">
        <color rgb="FF00B0F0"/>
      </left>
      <right/>
      <top/>
      <bottom/>
      <diagonal/>
    </border>
    <border>
      <left/>
      <right style="thin">
        <color rgb="FF00B0F0"/>
      </right>
      <top style="thin">
        <color rgb="FF00B0F0"/>
      </top>
      <bottom/>
      <diagonal/>
    </border>
    <border>
      <left/>
      <right/>
      <top style="thin">
        <color rgb="FF00B0F0"/>
      </top>
      <bottom/>
      <diagonal/>
    </border>
    <border>
      <left style="thin">
        <color rgb="FF00B0F0"/>
      </left>
      <right/>
      <top style="thin">
        <color rgb="FF00B0F0"/>
      </top>
      <bottom/>
      <diagonal/>
    </border>
    <border>
      <left style="thick">
        <color theme="0"/>
      </left>
      <right/>
      <top/>
      <bottom style="thin">
        <color theme="4" tint="0.79998168889431442"/>
      </bottom>
      <diagonal/>
    </border>
    <border>
      <left style="thin">
        <color indexed="55"/>
      </left>
      <right style="thin">
        <color indexed="55"/>
      </right>
      <top style="thin">
        <color indexed="55"/>
      </top>
      <bottom style="thin">
        <color indexed="55"/>
      </bottom>
      <diagonal/>
    </border>
    <border>
      <left/>
      <right/>
      <top style="thin">
        <color indexed="64"/>
      </top>
      <bottom style="double">
        <color indexed="64"/>
      </bottom>
      <diagonal/>
    </border>
  </borders>
  <cellStyleXfs count="70">
    <xf numFmtId="0" fontId="0" fillId="0" borderId="0"/>
    <xf numFmtId="0" fontId="2" fillId="0" borderId="0" applyNumberFormat="0" applyFill="0" applyBorder="0" applyAlignment="0" applyProtection="0"/>
    <xf numFmtId="186" fontId="9" fillId="0" borderId="0" applyFont="0" applyFill="0" applyBorder="0">
      <alignment horizontal="left" vertical="center"/>
    </xf>
    <xf numFmtId="0" fontId="8" fillId="9" borderId="19">
      <alignment horizontal="left" vertical="center" indent="1"/>
    </xf>
    <xf numFmtId="0" fontId="9" fillId="0" borderId="0" applyFill="0">
      <alignment horizontal="left" vertical="center" indent="1"/>
    </xf>
    <xf numFmtId="0" fontId="14" fillId="0" borderId="21">
      <alignment horizontal="left" vertical="center" wrapText="1"/>
    </xf>
    <xf numFmtId="0" fontId="16" fillId="0" borderId="0"/>
    <xf numFmtId="0" fontId="18" fillId="0" borderId="0" applyFill="0" applyBorder="0">
      <alignment vertical="center" wrapText="1"/>
    </xf>
    <xf numFmtId="189" fontId="9" fillId="0" borderId="0" applyFont="0" applyFill="0" applyBorder="0" applyProtection="0">
      <alignment horizontal="right" vertical="center" indent="1"/>
    </xf>
    <xf numFmtId="0" fontId="13" fillId="0" borderId="0">
      <alignment horizontal="left" vertical="center" wrapText="1" indent="1"/>
    </xf>
    <xf numFmtId="0" fontId="19" fillId="0" borderId="0" applyFill="0" applyBorder="0">
      <alignment horizontal="left" wrapText="1"/>
    </xf>
    <xf numFmtId="0" fontId="8" fillId="10" borderId="19">
      <alignment horizontal="left" vertical="center" indent="1"/>
    </xf>
    <xf numFmtId="0" fontId="22" fillId="0" borderId="0" applyFill="0" applyBorder="0">
      <alignment horizontal="center" vertical="center"/>
    </xf>
    <xf numFmtId="189" fontId="9" fillId="0" borderId="29" applyFont="0" applyFill="0" applyProtection="0">
      <alignment horizontal="center" vertical="center"/>
    </xf>
    <xf numFmtId="1" fontId="9" fillId="0" borderId="29" applyFont="0" applyFill="0" applyProtection="0">
      <alignment horizontal="center" vertical="center"/>
    </xf>
    <xf numFmtId="178" fontId="11" fillId="0" borderId="0" applyFont="0" applyFill="0" applyBorder="0" applyAlignment="0" applyProtection="0"/>
    <xf numFmtId="0" fontId="63" fillId="0" borderId="0">
      <alignment vertical="center"/>
    </xf>
    <xf numFmtId="184" fontId="64" fillId="0" borderId="0" applyFont="0" applyFill="0" applyBorder="0" applyProtection="0">
      <alignment horizontal="right"/>
    </xf>
    <xf numFmtId="14" fontId="63" fillId="0" borderId="0" applyFont="0" applyFill="0" applyBorder="0" applyAlignment="0">
      <alignment vertical="center"/>
    </xf>
    <xf numFmtId="3" fontId="63" fillId="0" borderId="0" applyFont="0" applyFill="0" applyBorder="0" applyAlignment="0" applyProtection="0"/>
    <xf numFmtId="0" fontId="62" fillId="0" borderId="72" applyNumberFormat="0" applyProtection="0">
      <alignment vertical="center"/>
    </xf>
    <xf numFmtId="0" fontId="61" fillId="0" borderId="71" applyNumberFormat="0" applyFill="0" applyProtection="0"/>
    <xf numFmtId="10" fontId="63" fillId="0" borderId="0" applyFont="0" applyFill="0" applyBorder="0" applyAlignment="0" applyProtection="0"/>
    <xf numFmtId="0" fontId="60" fillId="0" borderId="70" applyNumberFormat="0" applyFill="0" applyProtection="0">
      <alignment vertical="center"/>
    </xf>
    <xf numFmtId="0" fontId="9" fillId="0" borderId="0">
      <alignment horizontal="left" wrapText="1" indent="1"/>
    </xf>
    <xf numFmtId="0" fontId="65" fillId="0" borderId="0" applyNumberFormat="0" applyFill="0" applyProtection="0">
      <alignment horizontal="right"/>
    </xf>
    <xf numFmtId="0" fontId="62" fillId="0" borderId="0" applyNumberFormat="0" applyFill="0" applyBorder="0" applyProtection="0">
      <alignment wrapText="1"/>
    </xf>
    <xf numFmtId="173" fontId="9" fillId="0" borderId="0" applyFont="0" applyFill="0" applyBorder="0" applyProtection="0">
      <alignment horizontal="right"/>
    </xf>
    <xf numFmtId="14" fontId="9" fillId="0" borderId="0" applyFont="0" applyFill="0" applyBorder="0" applyAlignment="0">
      <alignment horizontal="left" indent="1"/>
    </xf>
    <xf numFmtId="177" fontId="9" fillId="0" borderId="0" applyFont="0" applyFill="0" applyBorder="0" applyProtection="0">
      <alignment horizontal="right" indent="1"/>
    </xf>
    <xf numFmtId="193" fontId="9" fillId="0" borderId="0" applyFont="0" applyFill="0" applyBorder="0" applyProtection="0">
      <alignment horizontal="right" indent="1"/>
    </xf>
    <xf numFmtId="0" fontId="66" fillId="26" borderId="73" applyNumberFormat="0" applyProtection="0">
      <alignment horizontal="left" vertical="center" wrapText="1" indent="1"/>
    </xf>
    <xf numFmtId="0" fontId="9" fillId="0" borderId="74" applyNumberFormat="0" applyFont="0" applyFill="0" applyAlignment="0">
      <alignment wrapText="1"/>
    </xf>
    <xf numFmtId="0" fontId="67" fillId="27" borderId="0" applyNumberFormat="0" applyAlignment="0" applyProtection="0"/>
    <xf numFmtId="189" fontId="68" fillId="9" borderId="0">
      <alignment horizontal="center" vertical="center"/>
    </xf>
    <xf numFmtId="0" fontId="66" fillId="9" borderId="0" applyNumberFormat="0" applyAlignment="0" applyProtection="0"/>
    <xf numFmtId="0" fontId="66" fillId="26" borderId="0" applyFont="0" applyBorder="0">
      <alignment horizontal="center" wrapText="1"/>
      <protection locked="0"/>
    </xf>
    <xf numFmtId="37" fontId="9" fillId="0" borderId="0" applyFont="0" applyFill="0" applyBorder="0" applyProtection="0">
      <alignment horizontal="center"/>
    </xf>
    <xf numFmtId="0" fontId="71" fillId="28" borderId="0" applyNumberFormat="0" applyProtection="0">
      <alignment horizontal="left" vertical="center"/>
    </xf>
    <xf numFmtId="0" fontId="72" fillId="0" borderId="0"/>
    <xf numFmtId="0" fontId="73" fillId="0" borderId="0" applyNumberFormat="0" applyProtection="0">
      <alignment horizontal="left"/>
    </xf>
    <xf numFmtId="0" fontId="74" fillId="0" borderId="76" applyNumberFormat="0" applyAlignment="0" applyProtection="0"/>
    <xf numFmtId="0" fontId="72" fillId="0" borderId="0">
      <alignment horizontal="left" vertical="center" wrapText="1"/>
    </xf>
    <xf numFmtId="184" fontId="72" fillId="0" borderId="0">
      <alignment horizontal="left" vertical="center"/>
    </xf>
    <xf numFmtId="14" fontId="75" fillId="0" borderId="0" applyFont="0" applyFill="0" applyBorder="0">
      <alignment horizontal="right"/>
    </xf>
    <xf numFmtId="189" fontId="76" fillId="0" borderId="0">
      <alignment horizontal="left" vertical="top"/>
    </xf>
    <xf numFmtId="9" fontId="11" fillId="0" borderId="0" applyFont="0" applyFill="0" applyBorder="0" applyAlignment="0" applyProtection="0"/>
    <xf numFmtId="184" fontId="58" fillId="0" borderId="0" applyFont="0" applyFill="0" applyBorder="0" applyProtection="0">
      <alignment horizontal="right"/>
    </xf>
    <xf numFmtId="0" fontId="11" fillId="0" borderId="0">
      <alignment wrapText="1"/>
    </xf>
    <xf numFmtId="0" fontId="112" fillId="0" borderId="0" applyNumberFormat="0" applyFill="0" applyBorder="0" applyAlignment="0" applyProtection="0"/>
    <xf numFmtId="178" fontId="11" fillId="0" borderId="0" applyFont="0" applyFill="0" applyBorder="0" applyAlignment="0" applyProtection="0"/>
    <xf numFmtId="0" fontId="85" fillId="0" borderId="0"/>
    <xf numFmtId="9" fontId="122" fillId="0" borderId="0" applyFont="0" applyFill="0" applyBorder="0" applyAlignment="0" applyProtection="0"/>
    <xf numFmtId="178" fontId="122" fillId="0" borderId="0" applyFont="0" applyFill="0" applyBorder="0" applyAlignment="0" applyProtection="0"/>
    <xf numFmtId="0" fontId="123" fillId="0" borderId="0" applyNumberFormat="0" applyFill="0" applyBorder="0" applyAlignment="0" applyProtection="0">
      <alignment vertical="top"/>
      <protection locked="0"/>
    </xf>
    <xf numFmtId="179" fontId="11" fillId="0" borderId="0" applyFont="0" applyFill="0" applyBorder="0" applyAlignment="0" applyProtection="0"/>
    <xf numFmtId="0" fontId="126" fillId="0" borderId="0"/>
    <xf numFmtId="0" fontId="149" fillId="0" borderId="0">
      <alignment horizontal="left" indent="1"/>
    </xf>
    <xf numFmtId="0" fontId="150" fillId="0" borderId="0">
      <alignment horizontal="left" vertical="center" indent="1"/>
    </xf>
    <xf numFmtId="0" fontId="13" fillId="0" borderId="0" applyNumberFormat="0" applyFill="0" applyBorder="0" applyProtection="0">
      <alignment vertical="center"/>
    </xf>
    <xf numFmtId="0" fontId="151" fillId="0" borderId="0">
      <alignment horizontal="left"/>
    </xf>
    <xf numFmtId="0" fontId="152" fillId="0" borderId="0">
      <alignment horizontal="left" wrapText="1" indent="1"/>
    </xf>
    <xf numFmtId="0" fontId="149" fillId="0" borderId="161">
      <alignment horizontal="left" wrapText="1" indent="2"/>
    </xf>
    <xf numFmtId="3" fontId="149" fillId="0" borderId="0" applyFont="0" applyFill="0" applyBorder="0" applyAlignment="0" applyProtection="0"/>
    <xf numFmtId="10" fontId="149" fillId="0" borderId="0" applyFont="0" applyFill="0" applyBorder="0" applyAlignment="0" applyProtection="0"/>
    <xf numFmtId="189" fontId="149" fillId="0" borderId="0" applyFont="0" applyFill="0" applyBorder="0" applyAlignment="0" applyProtection="0"/>
    <xf numFmtId="0" fontId="58" fillId="0" borderId="0"/>
    <xf numFmtId="178" fontId="157" fillId="0" borderId="0" applyFont="0" applyFill="0" applyBorder="0" applyAlignment="0" applyProtection="0"/>
    <xf numFmtId="0" fontId="123" fillId="0" borderId="0" applyNumberFormat="0" applyFill="0" applyBorder="0" applyAlignment="0" applyProtection="0">
      <alignment vertical="top"/>
      <protection locked="0"/>
    </xf>
    <xf numFmtId="9" fontId="58" fillId="0" borderId="0" applyFont="0" applyFill="0" applyBorder="0" applyAlignment="0" applyProtection="0"/>
  </cellStyleXfs>
  <cellXfs count="794">
    <xf numFmtId="0" fontId="0" fillId="0" borderId="0" xfId="0"/>
    <xf numFmtId="170" fontId="0" fillId="0" borderId="0" xfId="0" applyNumberFormat="1"/>
    <xf numFmtId="0" fontId="0" fillId="4" borderId="0" xfId="0" applyFill="1"/>
    <xf numFmtId="0" fontId="7" fillId="8" borderId="15" xfId="0" applyFont="1" applyFill="1" applyBorder="1"/>
    <xf numFmtId="0" fontId="7" fillId="0" borderId="15" xfId="0" applyFont="1" applyBorder="1"/>
    <xf numFmtId="0" fontId="7" fillId="8" borderId="9" xfId="0" applyFont="1" applyFill="1" applyBorder="1" applyAlignment="1">
      <alignment horizontal="center" vertical="center"/>
    </xf>
    <xf numFmtId="0" fontId="7" fillId="0" borderId="9" xfId="0" applyFont="1" applyBorder="1" applyAlignment="1">
      <alignment horizontal="center" vertical="center"/>
    </xf>
    <xf numFmtId="3" fontId="7" fillId="0" borderId="9" xfId="0" applyNumberFormat="1" applyFont="1" applyBorder="1" applyAlignment="1">
      <alignment horizontal="center" vertical="center"/>
    </xf>
    <xf numFmtId="3" fontId="7" fillId="8" borderId="9" xfId="0" applyNumberFormat="1" applyFont="1" applyFill="1" applyBorder="1" applyAlignment="1">
      <alignment horizontal="center" vertical="center"/>
    </xf>
    <xf numFmtId="0" fontId="7" fillId="0" borderId="13" xfId="0" applyFont="1" applyBorder="1" applyAlignment="1">
      <alignment horizontal="center" vertical="center"/>
    </xf>
    <xf numFmtId="3" fontId="7" fillId="0" borderId="13" xfId="0" applyNumberFormat="1" applyFont="1" applyBorder="1" applyAlignment="1">
      <alignment horizontal="center" vertical="center"/>
    </xf>
    <xf numFmtId="4" fontId="7" fillId="8" borderId="11" xfId="0" applyNumberFormat="1" applyFont="1" applyFill="1" applyBorder="1" applyAlignment="1">
      <alignment horizontal="center" vertical="center"/>
    </xf>
    <xf numFmtId="0" fontId="7" fillId="0" borderId="11" xfId="0" applyFont="1" applyBorder="1" applyAlignment="1">
      <alignment horizontal="center" vertical="center"/>
    </xf>
    <xf numFmtId="0" fontId="7" fillId="8" borderId="11" xfId="0" applyFont="1" applyFill="1" applyBorder="1" applyAlignment="1">
      <alignment horizontal="center" vertical="center"/>
    </xf>
    <xf numFmtId="4" fontId="7" fillId="0" borderId="11" xfId="0" applyNumberFormat="1" applyFont="1" applyBorder="1" applyAlignment="1">
      <alignment horizontal="center" vertical="center"/>
    </xf>
    <xf numFmtId="4" fontId="7" fillId="0" borderId="14" xfId="0" applyNumberFormat="1" applyFont="1" applyBorder="1" applyAlignment="1">
      <alignment horizontal="center" vertical="center"/>
    </xf>
    <xf numFmtId="185" fontId="7" fillId="8" borderId="10" xfId="0" applyNumberFormat="1" applyFont="1" applyFill="1" applyBorder="1" applyAlignment="1">
      <alignment horizontal="center" vertical="center"/>
    </xf>
    <xf numFmtId="185" fontId="7" fillId="0" borderId="10" xfId="0" applyNumberFormat="1" applyFont="1" applyBorder="1" applyAlignment="1">
      <alignment horizontal="center" vertical="center"/>
    </xf>
    <xf numFmtId="185" fontId="7" fillId="0" borderId="12" xfId="0" applyNumberFormat="1" applyFont="1" applyBorder="1" applyAlignment="1">
      <alignment horizontal="center" vertical="center"/>
    </xf>
    <xf numFmtId="0" fontId="1" fillId="5" borderId="16" xfId="0" applyFont="1" applyFill="1" applyBorder="1" applyAlignment="1">
      <alignment horizontal="center"/>
    </xf>
    <xf numFmtId="0" fontId="1" fillId="5" borderId="17" xfId="0" applyFont="1" applyFill="1" applyBorder="1" applyAlignment="1">
      <alignment horizontal="center"/>
    </xf>
    <xf numFmtId="0" fontId="1" fillId="5" borderId="18" xfId="0" applyFont="1" applyFill="1" applyBorder="1" applyAlignment="1">
      <alignment horizontal="center"/>
    </xf>
    <xf numFmtId="187" fontId="0" fillId="0" borderId="0" xfId="0" applyNumberFormat="1"/>
    <xf numFmtId="14" fontId="0" fillId="0" borderId="0" xfId="0" applyNumberFormat="1"/>
    <xf numFmtId="183" fontId="0" fillId="0" borderId="0" xfId="0" applyNumberFormat="1"/>
    <xf numFmtId="0" fontId="9" fillId="0" borderId="0" xfId="4">
      <alignment horizontal="left" vertical="center" indent="1"/>
    </xf>
    <xf numFmtId="0" fontId="14" fillId="0" borderId="0" xfId="5" applyBorder="1">
      <alignment horizontal="left" vertical="center" wrapText="1"/>
    </xf>
    <xf numFmtId="0" fontId="22" fillId="0" borderId="27" xfId="12" applyFill="1" applyBorder="1">
      <alignment horizontal="center" vertical="center"/>
    </xf>
    <xf numFmtId="189" fontId="18" fillId="0" borderId="30" xfId="13" applyFont="1" applyFill="1" applyBorder="1">
      <alignment horizontal="center" vertical="center"/>
    </xf>
    <xf numFmtId="189" fontId="18" fillId="0" borderId="27" xfId="13" applyFont="1" applyFill="1" applyBorder="1">
      <alignment horizontal="center" vertical="center"/>
    </xf>
    <xf numFmtId="0" fontId="22" fillId="0" borderId="30" xfId="12" applyFill="1" applyBorder="1">
      <alignment horizontal="center" vertical="center"/>
    </xf>
    <xf numFmtId="0" fontId="22" fillId="0" borderId="31" xfId="12" applyFill="1" applyBorder="1">
      <alignment horizontal="center" vertical="center"/>
    </xf>
    <xf numFmtId="0" fontId="0" fillId="0" borderId="2" xfId="0" applyBorder="1"/>
    <xf numFmtId="0" fontId="0" fillId="0" borderId="4" xfId="0" applyBorder="1"/>
    <xf numFmtId="0" fontId="5" fillId="7" borderId="32" xfId="0" applyFont="1" applyFill="1" applyBorder="1" applyAlignment="1">
      <alignment horizontal="center" vertical="center"/>
    </xf>
    <xf numFmtId="0" fontId="0" fillId="11" borderId="0" xfId="0" applyFill="1"/>
    <xf numFmtId="0" fontId="17" fillId="7" borderId="33" xfId="6" applyFont="1" applyFill="1" applyBorder="1"/>
    <xf numFmtId="0" fontId="9" fillId="7" borderId="34" xfId="4" applyFill="1" applyBorder="1">
      <alignment horizontal="left" vertical="center" indent="1"/>
    </xf>
    <xf numFmtId="0" fontId="18" fillId="0" borderId="5" xfId="7" applyBorder="1">
      <alignment vertical="center" wrapText="1"/>
    </xf>
    <xf numFmtId="0" fontId="18" fillId="0" borderId="33" xfId="7" applyBorder="1">
      <alignment vertical="center" wrapText="1"/>
    </xf>
    <xf numFmtId="0" fontId="18" fillId="0" borderId="4" xfId="7" applyBorder="1">
      <alignment vertical="center" wrapText="1"/>
    </xf>
    <xf numFmtId="0" fontId="8" fillId="9" borderId="35" xfId="3" applyBorder="1">
      <alignment horizontal="left" vertical="center" indent="1"/>
    </xf>
    <xf numFmtId="0" fontId="12" fillId="10" borderId="35" xfId="11" applyFont="1" applyBorder="1">
      <alignment horizontal="left" vertical="center" indent="1"/>
    </xf>
    <xf numFmtId="0" fontId="14" fillId="0" borderId="4" xfId="5" applyBorder="1">
      <alignment horizontal="left" vertical="center" wrapText="1"/>
    </xf>
    <xf numFmtId="0" fontId="14" fillId="0" borderId="5" xfId="5" applyBorder="1">
      <alignment horizontal="left" vertical="center" wrapText="1"/>
    </xf>
    <xf numFmtId="0" fontId="9" fillId="0" borderId="5" xfId="4" applyBorder="1">
      <alignment horizontal="left" vertical="center" indent="1"/>
    </xf>
    <xf numFmtId="0" fontId="9" fillId="0" borderId="39" xfId="4" applyBorder="1">
      <alignment horizontal="left" vertical="center" indent="1"/>
    </xf>
    <xf numFmtId="1" fontId="18" fillId="0" borderId="41" xfId="14" applyFont="1" applyFill="1" applyBorder="1">
      <alignment horizontal="center" vertical="center"/>
    </xf>
    <xf numFmtId="1" fontId="18" fillId="0" borderId="42" xfId="14" applyFont="1" applyFill="1" applyBorder="1">
      <alignment horizontal="center" vertical="center"/>
    </xf>
    <xf numFmtId="0" fontId="9" fillId="0" borderId="43" xfId="4" applyBorder="1">
      <alignment horizontal="left" vertical="center" indent="1"/>
    </xf>
    <xf numFmtId="0" fontId="0" fillId="13" borderId="0" xfId="0" applyFill="1"/>
    <xf numFmtId="0" fontId="0" fillId="13" borderId="1" xfId="0" applyFill="1" applyBorder="1"/>
    <xf numFmtId="0" fontId="28" fillId="13" borderId="2" xfId="0" applyFont="1" applyFill="1" applyBorder="1" applyAlignment="1">
      <alignment vertical="center"/>
    </xf>
    <xf numFmtId="0" fontId="0" fillId="13" borderId="4" xfId="0" applyFill="1" applyBorder="1"/>
    <xf numFmtId="0" fontId="26" fillId="13" borderId="0" xfId="0" applyFont="1" applyFill="1"/>
    <xf numFmtId="0" fontId="25" fillId="13" borderId="0" xfId="1" applyFont="1" applyFill="1" applyBorder="1" applyAlignment="1">
      <alignment vertical="center"/>
    </xf>
    <xf numFmtId="0" fontId="0" fillId="13" borderId="6" xfId="0" applyFill="1" applyBorder="1"/>
    <xf numFmtId="0" fontId="0" fillId="13" borderId="7" xfId="0" applyFill="1" applyBorder="1"/>
    <xf numFmtId="0" fontId="28" fillId="13" borderId="0" xfId="0" applyFont="1" applyFill="1" applyAlignment="1">
      <alignment horizontal="center" vertical="center"/>
    </xf>
    <xf numFmtId="0" fontId="0" fillId="15" borderId="0" xfId="0" applyFill="1"/>
    <xf numFmtId="0" fontId="23" fillId="15" borderId="0" xfId="0" applyFont="1" applyFill="1"/>
    <xf numFmtId="0" fontId="32" fillId="15" borderId="0" xfId="0" applyFont="1" applyFill="1" applyAlignment="1">
      <alignment horizontal="center"/>
    </xf>
    <xf numFmtId="0" fontId="37" fillId="15" borderId="0" xfId="0" applyFont="1" applyFill="1"/>
    <xf numFmtId="0" fontId="35" fillId="16" borderId="0" xfId="0" applyFont="1" applyFill="1"/>
    <xf numFmtId="0" fontId="42" fillId="19" borderId="0" xfId="0" applyFont="1" applyFill="1" applyAlignment="1">
      <alignment horizontal="center"/>
    </xf>
    <xf numFmtId="0" fontId="0" fillId="19" borderId="50" xfId="0" applyFill="1" applyBorder="1"/>
    <xf numFmtId="0" fontId="0" fillId="19" borderId="0" xfId="0" applyFill="1"/>
    <xf numFmtId="0" fontId="0" fillId="19" borderId="46" xfId="0" applyFill="1" applyBorder="1"/>
    <xf numFmtId="0" fontId="0" fillId="19" borderId="46" xfId="0" applyFill="1" applyBorder="1" applyAlignment="1">
      <alignment horizontal="center"/>
    </xf>
    <xf numFmtId="0" fontId="0" fillId="19" borderId="0" xfId="0" applyFill="1" applyAlignment="1">
      <alignment horizontal="center"/>
    </xf>
    <xf numFmtId="0" fontId="8" fillId="19" borderId="0" xfId="0" applyFont="1" applyFill="1"/>
    <xf numFmtId="0" fontId="8" fillId="19" borderId="0" xfId="0" applyFont="1" applyFill="1" applyAlignment="1">
      <alignment horizontal="center"/>
    </xf>
    <xf numFmtId="0" fontId="0" fillId="19" borderId="49" xfId="0" applyFill="1" applyBorder="1"/>
    <xf numFmtId="0" fontId="0" fillId="19" borderId="47" xfId="0" applyFill="1" applyBorder="1"/>
    <xf numFmtId="0" fontId="0" fillId="19" borderId="47" xfId="0" applyFill="1" applyBorder="1" applyAlignment="1">
      <alignment horizontal="center"/>
    </xf>
    <xf numFmtId="0" fontId="13" fillId="19" borderId="47" xfId="0" applyFont="1" applyFill="1" applyBorder="1" applyAlignment="1">
      <alignment horizontal="center"/>
    </xf>
    <xf numFmtId="0" fontId="34" fillId="20" borderId="50" xfId="0" applyFont="1" applyFill="1" applyBorder="1" applyAlignment="1">
      <alignment horizontal="center" vertical="center"/>
    </xf>
    <xf numFmtId="0" fontId="34" fillId="20" borderId="0" xfId="0" applyFont="1" applyFill="1" applyAlignment="1">
      <alignment horizontal="center" vertical="center"/>
    </xf>
    <xf numFmtId="0" fontId="42" fillId="20" borderId="0" xfId="0" applyFont="1" applyFill="1" applyAlignment="1">
      <alignment horizontal="center" vertical="center"/>
    </xf>
    <xf numFmtId="0" fontId="42" fillId="20" borderId="0" xfId="0" applyFont="1" applyFill="1" applyAlignment="1">
      <alignment horizontal="center"/>
    </xf>
    <xf numFmtId="0" fontId="41" fillId="20" borderId="0" xfId="0" applyFont="1" applyFill="1" applyAlignment="1">
      <alignment horizontal="center"/>
    </xf>
    <xf numFmtId="0" fontId="41" fillId="20" borderId="0" xfId="0" applyFont="1" applyFill="1"/>
    <xf numFmtId="0" fontId="42" fillId="20" borderId="52" xfId="0" applyFont="1" applyFill="1" applyBorder="1" applyAlignment="1">
      <alignment horizontal="left" vertical="center"/>
    </xf>
    <xf numFmtId="0" fontId="34" fillId="20" borderId="46" xfId="0" applyFont="1" applyFill="1" applyBorder="1" applyAlignment="1">
      <alignment horizontal="center" vertical="center"/>
    </xf>
    <xf numFmtId="0" fontId="34" fillId="20" borderId="46" xfId="0" applyFont="1" applyFill="1" applyBorder="1" applyAlignment="1">
      <alignment horizontal="left" vertical="center"/>
    </xf>
    <xf numFmtId="0" fontId="34" fillId="20" borderId="45" xfId="0" applyFont="1" applyFill="1" applyBorder="1" applyAlignment="1">
      <alignment horizontal="left" vertical="center"/>
    </xf>
    <xf numFmtId="0" fontId="34" fillId="20" borderId="52" xfId="0" applyFont="1" applyFill="1" applyBorder="1" applyAlignment="1">
      <alignment horizontal="left" vertical="center"/>
    </xf>
    <xf numFmtId="0" fontId="40" fillId="20" borderId="0" xfId="0" applyFont="1" applyFill="1" applyAlignment="1">
      <alignment horizontal="center"/>
    </xf>
    <xf numFmtId="0" fontId="32" fillId="20" borderId="0" xfId="0" applyFont="1" applyFill="1"/>
    <xf numFmtId="0" fontId="32" fillId="20" borderId="47" xfId="0" applyFont="1" applyFill="1" applyBorder="1"/>
    <xf numFmtId="0" fontId="32" fillId="20" borderId="53" xfId="0" applyFont="1" applyFill="1" applyBorder="1"/>
    <xf numFmtId="0" fontId="32" fillId="20" borderId="0" xfId="0" applyFont="1" applyFill="1" applyAlignment="1">
      <alignment horizontal="center"/>
    </xf>
    <xf numFmtId="0" fontId="32" fillId="20" borderId="47" xfId="0" applyFont="1" applyFill="1" applyBorder="1" applyAlignment="1">
      <alignment horizontal="center"/>
    </xf>
    <xf numFmtId="0" fontId="39" fillId="20" borderId="0" xfId="0" applyFont="1" applyFill="1" applyAlignment="1">
      <alignment horizontal="center"/>
    </xf>
    <xf numFmtId="184" fontId="3" fillId="17" borderId="44" xfId="0" applyNumberFormat="1" applyFont="1" applyFill="1" applyBorder="1" applyAlignment="1">
      <alignment horizontal="center"/>
    </xf>
    <xf numFmtId="0" fontId="3" fillId="19" borderId="0" xfId="0" applyFont="1" applyFill="1" applyAlignment="1">
      <alignment horizontal="center"/>
    </xf>
    <xf numFmtId="0" fontId="3" fillId="17" borderId="44" xfId="0" applyFont="1" applyFill="1" applyBorder="1" applyAlignment="1">
      <alignment horizontal="center"/>
    </xf>
    <xf numFmtId="0" fontId="20" fillId="19" borderId="0" xfId="0" applyFont="1" applyFill="1" applyAlignment="1">
      <alignment horizontal="center"/>
    </xf>
    <xf numFmtId="184" fontId="37" fillId="0" borderId="44" xfId="0" applyNumberFormat="1" applyFont="1" applyBorder="1"/>
    <xf numFmtId="0" fontId="0" fillId="13" borderId="4" xfId="0" applyFill="1" applyBorder="1" applyAlignment="1">
      <alignment horizontal="center"/>
    </xf>
    <xf numFmtId="0" fontId="0" fillId="13" borderId="0" xfId="0" applyFill="1" applyAlignment="1">
      <alignment horizontal="center"/>
    </xf>
    <xf numFmtId="0" fontId="0" fillId="21" borderId="0" xfId="0" applyFill="1"/>
    <xf numFmtId="0" fontId="49" fillId="0" borderId="0" xfId="0" applyFont="1"/>
    <xf numFmtId="0" fontId="0" fillId="0" borderId="2" xfId="0" applyBorder="1" applyAlignment="1">
      <alignment vertical="center"/>
    </xf>
    <xf numFmtId="0" fontId="23" fillId="0" borderId="2" xfId="0" applyFont="1" applyBorder="1" applyAlignment="1">
      <alignment vertical="center"/>
    </xf>
    <xf numFmtId="170" fontId="23" fillId="0" borderId="2" xfId="0" applyNumberFormat="1" applyFont="1" applyBorder="1" applyAlignment="1">
      <alignment vertical="center"/>
    </xf>
    <xf numFmtId="10" fontId="23" fillId="0" borderId="2" xfId="0" applyNumberFormat="1" applyFont="1" applyBorder="1" applyAlignment="1">
      <alignment vertical="center"/>
    </xf>
    <xf numFmtId="178" fontId="37" fillId="0" borderId="4" xfId="15" applyFont="1" applyBorder="1"/>
    <xf numFmtId="0" fontId="0" fillId="0" borderId="1" xfId="0" applyBorder="1"/>
    <xf numFmtId="170" fontId="0" fillId="4" borderId="0" xfId="0" applyNumberFormat="1" applyFill="1"/>
    <xf numFmtId="14" fontId="0" fillId="4" borderId="0" xfId="0" applyNumberFormat="1" applyFill="1"/>
    <xf numFmtId="0" fontId="0" fillId="23" borderId="0" xfId="0" applyFill="1"/>
    <xf numFmtId="0" fontId="6" fillId="4" borderId="56" xfId="0" applyFont="1" applyFill="1" applyBorder="1" applyAlignment="1">
      <alignment vertical="center"/>
    </xf>
    <xf numFmtId="0" fontId="6" fillId="4" borderId="58" xfId="0" applyFont="1" applyFill="1" applyBorder="1" applyAlignment="1">
      <alignment vertical="center"/>
    </xf>
    <xf numFmtId="0" fontId="5" fillId="7" borderId="57" xfId="0" applyFont="1" applyFill="1" applyBorder="1" applyAlignment="1">
      <alignment horizontal="center" vertical="center"/>
    </xf>
    <xf numFmtId="0" fontId="5" fillId="7" borderId="0" xfId="0" applyFont="1" applyFill="1" applyAlignment="1">
      <alignment horizontal="center" vertical="center"/>
    </xf>
    <xf numFmtId="170" fontId="5" fillId="7" borderId="0" xfId="0" applyNumberFormat="1" applyFont="1" applyFill="1" applyAlignment="1">
      <alignment horizontal="center" vertical="center"/>
    </xf>
    <xf numFmtId="0" fontId="5" fillId="7" borderId="58" xfId="0" applyFont="1" applyFill="1" applyBorder="1" applyAlignment="1">
      <alignment horizontal="center" vertical="center"/>
    </xf>
    <xf numFmtId="0" fontId="0" fillId="0" borderId="60" xfId="0" applyBorder="1" applyAlignment="1">
      <alignment vertical="center"/>
    </xf>
    <xf numFmtId="0" fontId="0" fillId="0" borderId="61" xfId="0" applyBorder="1"/>
    <xf numFmtId="0" fontId="0" fillId="0" borderId="57" xfId="0" applyBorder="1" applyAlignment="1">
      <alignment vertical="center"/>
    </xf>
    <xf numFmtId="0" fontId="0" fillId="0" borderId="0" xfId="0" applyAlignment="1">
      <alignment vertical="center"/>
    </xf>
    <xf numFmtId="0" fontId="23" fillId="0" borderId="0" xfId="0" applyFont="1" applyAlignment="1">
      <alignment vertical="center"/>
    </xf>
    <xf numFmtId="170" fontId="23" fillId="0" borderId="0" xfId="0" applyNumberFormat="1" applyFont="1" applyAlignment="1">
      <alignment vertical="center"/>
    </xf>
    <xf numFmtId="10" fontId="23" fillId="0" borderId="0" xfId="0" applyNumberFormat="1" applyFont="1" applyAlignment="1">
      <alignment vertical="center"/>
    </xf>
    <xf numFmtId="0" fontId="0" fillId="0" borderId="58" xfId="0" applyBorder="1"/>
    <xf numFmtId="0" fontId="5" fillId="7" borderId="60" xfId="0" applyFont="1" applyFill="1" applyBorder="1" applyAlignment="1">
      <alignment horizontal="center" vertical="center"/>
    </xf>
    <xf numFmtId="0" fontId="23" fillId="0" borderId="60" xfId="0" applyFont="1" applyBorder="1"/>
    <xf numFmtId="0" fontId="23" fillId="0" borderId="57" xfId="0" applyFont="1" applyBorder="1"/>
    <xf numFmtId="0" fontId="0" fillId="0" borderId="57"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0" xfId="0" pivotButton="1"/>
    <xf numFmtId="0" fontId="0" fillId="0" borderId="54" xfId="0" applyBorder="1"/>
    <xf numFmtId="0" fontId="0" fillId="0" borderId="55" xfId="0" applyBorder="1"/>
    <xf numFmtId="0" fontId="0" fillId="0" borderId="56" xfId="0" applyBorder="1"/>
    <xf numFmtId="0" fontId="0" fillId="12" borderId="54" xfId="0" applyFill="1" applyBorder="1"/>
    <xf numFmtId="0" fontId="0" fillId="12" borderId="57" xfId="0" applyFill="1" applyBorder="1"/>
    <xf numFmtId="0" fontId="0" fillId="12" borderId="58" xfId="0" applyFill="1" applyBorder="1"/>
    <xf numFmtId="0" fontId="36" fillId="24" borderId="0" xfId="0" applyFont="1" applyFill="1" applyAlignment="1">
      <alignment horizontal="center" vertical="center"/>
    </xf>
    <xf numFmtId="0" fontId="0" fillId="0" borderId="0" xfId="0" applyAlignment="1">
      <alignment horizontal="center"/>
    </xf>
    <xf numFmtId="172" fontId="0" fillId="0" borderId="0" xfId="0" applyNumberFormat="1" applyAlignment="1">
      <alignment horizontal="center"/>
    </xf>
    <xf numFmtId="0" fontId="37" fillId="0" borderId="20" xfId="0" applyFont="1" applyBorder="1" applyAlignment="1">
      <alignment horizontal="center"/>
    </xf>
    <xf numFmtId="10" fontId="37" fillId="0" borderId="13" xfId="0" quotePrefix="1" applyNumberFormat="1" applyFont="1" applyBorder="1" applyAlignment="1">
      <alignment horizontal="center"/>
    </xf>
    <xf numFmtId="176" fontId="37" fillId="0" borderId="13" xfId="0" applyNumberFormat="1" applyFont="1" applyBorder="1" applyAlignment="1">
      <alignment horizontal="center"/>
    </xf>
    <xf numFmtId="0" fontId="37" fillId="0" borderId="67" xfId="0" applyFont="1" applyBorder="1"/>
    <xf numFmtId="176" fontId="37" fillId="0" borderId="14" xfId="0" applyNumberFormat="1" applyFont="1" applyBorder="1" applyAlignment="1">
      <alignment horizontal="center"/>
    </xf>
    <xf numFmtId="189" fontId="37" fillId="0" borderId="9" xfId="0" applyNumberFormat="1" applyFont="1" applyBorder="1" applyAlignment="1">
      <alignment horizontal="center" vertical="center"/>
    </xf>
    <xf numFmtId="176" fontId="37" fillId="0" borderId="9" xfId="0" applyNumberFormat="1" applyFont="1" applyBorder="1" applyAlignment="1">
      <alignment horizontal="center" vertical="center"/>
    </xf>
    <xf numFmtId="189" fontId="44" fillId="11" borderId="9" xfId="0" applyNumberFormat="1" applyFont="1" applyFill="1" applyBorder="1" applyAlignment="1">
      <alignment horizontal="center" vertical="center" wrapText="1"/>
    </xf>
    <xf numFmtId="174" fontId="44" fillId="11" borderId="9" xfId="0" applyNumberFormat="1" applyFont="1" applyFill="1" applyBorder="1" applyAlignment="1">
      <alignment horizontal="center" vertical="center" wrapText="1"/>
    </xf>
    <xf numFmtId="189" fontId="44" fillId="11" borderId="13" xfId="0" applyNumberFormat="1" applyFont="1" applyFill="1" applyBorder="1" applyAlignment="1">
      <alignment horizontal="center" vertical="center" wrapText="1"/>
    </xf>
    <xf numFmtId="0" fontId="44" fillId="11" borderId="13" xfId="0" applyFont="1" applyFill="1" applyBorder="1" applyAlignment="1">
      <alignment horizontal="center" vertical="center" wrapText="1"/>
    </xf>
    <xf numFmtId="0" fontId="37" fillId="0" borderId="66" xfId="0" applyFont="1" applyBorder="1" applyAlignment="1">
      <alignment horizontal="center"/>
    </xf>
    <xf numFmtId="176" fontId="43" fillId="0" borderId="10" xfId="0" applyNumberFormat="1" applyFont="1" applyBorder="1" applyAlignment="1">
      <alignment horizontal="center" vertical="center"/>
    </xf>
    <xf numFmtId="174" fontId="43" fillId="11" borderId="10" xfId="0" applyNumberFormat="1" applyFont="1" applyFill="1" applyBorder="1" applyAlignment="1">
      <alignment horizontal="center" vertical="center" wrapText="1"/>
    </xf>
    <xf numFmtId="0" fontId="45" fillId="11" borderId="12" xfId="1" applyFont="1" applyFill="1" applyBorder="1" applyAlignment="1">
      <alignment horizontal="center" vertical="center" wrapText="1"/>
    </xf>
    <xf numFmtId="0" fontId="37" fillId="0" borderId="67" xfId="0" applyFont="1" applyBorder="1" applyAlignment="1">
      <alignment horizontal="center"/>
    </xf>
    <xf numFmtId="176" fontId="37" fillId="0" borderId="11" xfId="0" applyNumberFormat="1" applyFont="1" applyBorder="1" applyAlignment="1">
      <alignment horizontal="center" vertical="center"/>
    </xf>
    <xf numFmtId="174" fontId="44" fillId="11" borderId="11" xfId="0" applyNumberFormat="1" applyFont="1" applyFill="1" applyBorder="1" applyAlignment="1">
      <alignment horizontal="center" vertical="center" wrapText="1"/>
    </xf>
    <xf numFmtId="0" fontId="44" fillId="11" borderId="14" xfId="0" applyFont="1" applyFill="1" applyBorder="1" applyAlignment="1">
      <alignment horizontal="center" vertical="center" wrapText="1"/>
    </xf>
    <xf numFmtId="184" fontId="0" fillId="21" borderId="0" xfId="0" applyNumberFormat="1" applyFill="1"/>
    <xf numFmtId="184" fontId="0" fillId="0" borderId="0" xfId="0" applyNumberFormat="1"/>
    <xf numFmtId="184" fontId="0" fillId="4" borderId="0" xfId="0" applyNumberFormat="1" applyFill="1"/>
    <xf numFmtId="0" fontId="0" fillId="21" borderId="0" xfId="0" applyFill="1" applyAlignment="1">
      <alignment horizontal="left"/>
    </xf>
    <xf numFmtId="14" fontId="0" fillId="21" borderId="0" xfId="0" applyNumberFormat="1" applyFill="1"/>
    <xf numFmtId="170" fontId="0" fillId="21" borderId="0" xfId="0" applyNumberFormat="1" applyFill="1"/>
    <xf numFmtId="0" fontId="54" fillId="0" borderId="37" xfId="10" applyFont="1" applyFill="1" applyBorder="1">
      <alignment horizontal="left" wrapText="1"/>
    </xf>
    <xf numFmtId="0" fontId="55" fillId="0" borderId="28" xfId="12" applyFont="1" applyFill="1" applyBorder="1">
      <alignment horizontal="center" vertical="center"/>
    </xf>
    <xf numFmtId="0" fontId="55" fillId="0" borderId="27" xfId="12" applyFont="1" applyFill="1" applyBorder="1">
      <alignment horizontal="center" vertical="center"/>
    </xf>
    <xf numFmtId="0" fontId="56" fillId="0" borderId="4" xfId="4" applyFont="1" applyFill="1" applyBorder="1">
      <alignment horizontal="left" vertical="center" indent="1"/>
    </xf>
    <xf numFmtId="0" fontId="56" fillId="0" borderId="40" xfId="4" applyFont="1" applyFill="1" applyBorder="1">
      <alignment horizontal="left" vertical="center" indent="1"/>
    </xf>
    <xf numFmtId="0" fontId="54" fillId="0" borderId="38" xfId="10" applyFont="1" applyFill="1" applyBorder="1">
      <alignment horizontal="left" wrapText="1"/>
    </xf>
    <xf numFmtId="187" fontId="0" fillId="15" borderId="0" xfId="0" applyNumberFormat="1" applyFill="1"/>
    <xf numFmtId="0" fontId="0" fillId="0" borderId="0" xfId="0" applyAlignment="1">
      <alignment horizontal="left"/>
    </xf>
    <xf numFmtId="0" fontId="69" fillId="0" borderId="0" xfId="0" applyFont="1"/>
    <xf numFmtId="0" fontId="70" fillId="0" borderId="75" xfId="0" applyFont="1" applyBorder="1"/>
    <xf numFmtId="0" fontId="69" fillId="0" borderId="0" xfId="0" applyFont="1" applyAlignment="1">
      <alignment wrapText="1"/>
    </xf>
    <xf numFmtId="0" fontId="72" fillId="0" borderId="0" xfId="39" applyAlignment="1">
      <alignment horizontal="left"/>
    </xf>
    <xf numFmtId="0" fontId="72" fillId="0" borderId="0" xfId="39"/>
    <xf numFmtId="0" fontId="72" fillId="0" borderId="0" xfId="42">
      <alignment horizontal="left" vertical="center" wrapText="1"/>
    </xf>
    <xf numFmtId="0" fontId="72" fillId="0" borderId="0" xfId="39" applyAlignment="1">
      <alignment horizontal="left" vertical="center"/>
    </xf>
    <xf numFmtId="0" fontId="72" fillId="11" borderId="0" xfId="42" applyFill="1">
      <alignment horizontal="left" vertical="center" wrapText="1"/>
    </xf>
    <xf numFmtId="0" fontId="77" fillId="0" borderId="0" xfId="42" applyFont="1">
      <alignment horizontal="left" vertical="center" wrapText="1"/>
    </xf>
    <xf numFmtId="0" fontId="78" fillId="0" borderId="76" xfId="41" applyFont="1"/>
    <xf numFmtId="0" fontId="79" fillId="0" borderId="0" xfId="40" applyFont="1">
      <alignment horizontal="left"/>
    </xf>
    <xf numFmtId="0" fontId="80" fillId="0" borderId="0" xfId="0" applyFont="1" applyAlignment="1">
      <alignment horizontal="center" vertical="center" wrapText="1"/>
    </xf>
    <xf numFmtId="174" fontId="80" fillId="0" borderId="0" xfId="0" applyNumberFormat="1" applyFont="1" applyAlignment="1">
      <alignment horizontal="center" vertical="center" wrapText="1"/>
    </xf>
    <xf numFmtId="14" fontId="81" fillId="0" borderId="0" xfId="44" applyFont="1" applyBorder="1">
      <alignment horizontal="right"/>
    </xf>
    <xf numFmtId="14" fontId="82" fillId="0" borderId="0" xfId="0" applyNumberFormat="1" applyFont="1" applyAlignment="1">
      <alignment horizontal="left" vertical="center"/>
    </xf>
    <xf numFmtId="0" fontId="83" fillId="0" borderId="0" xfId="0" applyFont="1" applyAlignment="1">
      <alignment horizontal="left" vertical="center" indent="1"/>
    </xf>
    <xf numFmtId="0" fontId="83" fillId="0" borderId="0" xfId="0" applyFont="1" applyAlignment="1">
      <alignment vertical="center"/>
    </xf>
    <xf numFmtId="174" fontId="83" fillId="0" borderId="0" xfId="0" applyNumberFormat="1" applyFont="1" applyAlignment="1">
      <alignment horizontal="center" vertical="center"/>
    </xf>
    <xf numFmtId="174" fontId="80" fillId="0" borderId="0" xfId="0" applyNumberFormat="1" applyFont="1" applyAlignment="1">
      <alignment horizontal="center" vertical="center"/>
    </xf>
    <xf numFmtId="174" fontId="82" fillId="0" borderId="0" xfId="0" applyNumberFormat="1" applyFont="1" applyAlignment="1">
      <alignment horizontal="left" vertical="center"/>
    </xf>
    <xf numFmtId="9" fontId="0" fillId="0" borderId="0" xfId="46" applyFont="1" applyFill="1" applyBorder="1" applyAlignment="1">
      <alignment vertical="center"/>
    </xf>
    <xf numFmtId="0" fontId="84" fillId="0" borderId="0" xfId="0" applyFont="1"/>
    <xf numFmtId="10" fontId="0" fillId="0" borderId="0" xfId="0" applyNumberFormat="1" applyAlignment="1">
      <alignment vertical="center"/>
    </xf>
    <xf numFmtId="0" fontId="0" fillId="0" borderId="0" xfId="0" applyAlignment="1">
      <alignment vertical="center" wrapText="1"/>
    </xf>
    <xf numFmtId="0" fontId="73" fillId="0" borderId="0" xfId="40">
      <alignment horizontal="left"/>
    </xf>
    <xf numFmtId="0" fontId="74" fillId="0" borderId="76" xfId="41"/>
    <xf numFmtId="0" fontId="13" fillId="0" borderId="0" xfId="39" applyFont="1" applyAlignment="1">
      <alignment horizontal="center" vertical="center"/>
    </xf>
    <xf numFmtId="189" fontId="76" fillId="0" borderId="0" xfId="45">
      <alignment horizontal="left" vertical="top"/>
    </xf>
    <xf numFmtId="0" fontId="74" fillId="0" borderId="76" xfId="41" applyAlignment="1">
      <alignment horizontal="left"/>
    </xf>
    <xf numFmtId="0" fontId="9" fillId="0" borderId="0" xfId="24">
      <alignment horizontal="left" wrapText="1" indent="1"/>
    </xf>
    <xf numFmtId="0" fontId="87" fillId="0" borderId="0" xfId="24" applyFont="1" applyProtection="1">
      <alignment horizontal="left" wrapText="1" indent="1"/>
      <protection locked="0"/>
    </xf>
    <xf numFmtId="0" fontId="87" fillId="0" borderId="0" xfId="24" applyFont="1" applyAlignment="1" applyProtection="1">
      <alignment horizontal="center"/>
      <protection locked="0"/>
    </xf>
    <xf numFmtId="189" fontId="65" fillId="0" borderId="0" xfId="25" applyNumberFormat="1" applyFill="1" applyProtection="1">
      <alignment horizontal="right"/>
      <protection locked="0"/>
    </xf>
    <xf numFmtId="0" fontId="67" fillId="30" borderId="0" xfId="33" applyFill="1" applyProtection="1">
      <protection locked="0"/>
    </xf>
    <xf numFmtId="0" fontId="9" fillId="0" borderId="0" xfId="24" applyAlignment="1">
      <alignment vertical="top"/>
    </xf>
    <xf numFmtId="0" fontId="9" fillId="0" borderId="0" xfId="24" applyProtection="1">
      <alignment horizontal="left" wrapText="1" indent="1"/>
      <protection locked="0"/>
    </xf>
    <xf numFmtId="0" fontId="89" fillId="29" borderId="0" xfId="36" applyFont="1" applyFill="1">
      <alignment horizontal="center" wrapText="1"/>
      <protection locked="0"/>
    </xf>
    <xf numFmtId="37" fontId="9" fillId="0" borderId="0" xfId="37">
      <alignment horizontal="center"/>
    </xf>
    <xf numFmtId="14" fontId="0" fillId="0" borderId="0" xfId="28" applyFont="1" applyAlignment="1">
      <alignment horizontal="left" wrapText="1" indent="1"/>
    </xf>
    <xf numFmtId="173" fontId="0" fillId="0" borderId="0" xfId="27" applyFont="1">
      <alignment horizontal="right"/>
    </xf>
    <xf numFmtId="37" fontId="0" fillId="0" borderId="0" xfId="37" applyFont="1">
      <alignment horizontal="center"/>
    </xf>
    <xf numFmtId="0" fontId="70" fillId="0" borderId="80" xfId="0" applyFont="1" applyBorder="1"/>
    <xf numFmtId="0" fontId="0" fillId="4" borderId="0" xfId="0" applyFill="1" applyAlignment="1">
      <alignment horizontal="left"/>
    </xf>
    <xf numFmtId="0" fontId="69" fillId="0" borderId="69" xfId="0" applyFont="1" applyBorder="1" applyAlignment="1">
      <alignment wrapText="1"/>
    </xf>
    <xf numFmtId="0" fontId="70" fillId="0" borderId="12" xfId="0" applyFont="1" applyBorder="1" applyAlignment="1">
      <alignment horizontal="left"/>
    </xf>
    <xf numFmtId="0" fontId="69" fillId="0" borderId="16" xfId="0" applyFont="1" applyBorder="1" applyAlignment="1">
      <alignment horizontal="left"/>
    </xf>
    <xf numFmtId="0" fontId="70" fillId="0" borderId="81" xfId="0" applyFont="1" applyBorder="1" applyAlignment="1">
      <alignment horizontal="left"/>
    </xf>
    <xf numFmtId="180" fontId="69" fillId="0" borderId="16" xfId="0" applyNumberFormat="1" applyFont="1" applyBorder="1" applyAlignment="1">
      <alignment horizontal="left" wrapText="1"/>
    </xf>
    <xf numFmtId="10" fontId="69" fillId="0" borderId="16" xfId="0" applyNumberFormat="1" applyFont="1" applyBorder="1" applyAlignment="1">
      <alignment horizontal="left" wrapText="1"/>
    </xf>
    <xf numFmtId="180" fontId="69" fillId="0" borderId="66" xfId="0" applyNumberFormat="1" applyFont="1" applyBorder="1" applyAlignment="1">
      <alignment horizontal="left" wrapText="1"/>
    </xf>
    <xf numFmtId="0" fontId="0" fillId="12" borderId="16" xfId="0" applyFill="1" applyBorder="1"/>
    <xf numFmtId="0" fontId="57" fillId="0" borderId="84" xfId="0" applyFont="1" applyBorder="1" applyAlignment="1">
      <alignment horizontal="center" vertical="center"/>
    </xf>
    <xf numFmtId="0" fontId="58" fillId="31" borderId="84" xfId="0" applyFont="1" applyFill="1" applyBorder="1" applyAlignment="1">
      <alignment horizontal="center" vertical="center"/>
    </xf>
    <xf numFmtId="0" fontId="58" fillId="0" borderId="84" xfId="0" applyFont="1" applyBorder="1" applyAlignment="1">
      <alignment horizontal="center" vertical="center"/>
    </xf>
    <xf numFmtId="0" fontId="58" fillId="0" borderId="82" xfId="0" applyFont="1" applyBorder="1" applyAlignment="1">
      <alignment horizontal="center" vertical="center"/>
    </xf>
    <xf numFmtId="0" fontId="0" fillId="0" borderId="89" xfId="0" applyBorder="1" applyAlignment="1">
      <alignment horizontal="center" vertical="center"/>
    </xf>
    <xf numFmtId="0" fontId="0" fillId="0" borderId="90" xfId="0" applyBorder="1" applyAlignment="1">
      <alignment horizontal="center" vertical="center"/>
    </xf>
    <xf numFmtId="0" fontId="91" fillId="33" borderId="0" xfId="0" applyFont="1" applyFill="1"/>
    <xf numFmtId="0" fontId="97" fillId="25" borderId="16" xfId="0" applyFont="1" applyFill="1" applyBorder="1" applyAlignment="1">
      <alignment horizontal="center" vertical="center" wrapText="1"/>
    </xf>
    <xf numFmtId="0" fontId="97" fillId="25" borderId="5" xfId="0" applyFont="1" applyFill="1" applyBorder="1" applyAlignment="1">
      <alignment horizontal="center" vertical="center" wrapText="1"/>
    </xf>
    <xf numFmtId="0" fontId="98" fillId="0" borderId="86" xfId="0" applyFont="1" applyBorder="1" applyAlignment="1">
      <alignment horizontal="center" vertical="center"/>
    </xf>
    <xf numFmtId="10" fontId="98" fillId="0" borderId="66" xfId="0" applyNumberFormat="1" applyFont="1" applyBorder="1" applyAlignment="1">
      <alignment horizontal="center" vertical="center"/>
    </xf>
    <xf numFmtId="10" fontId="98" fillId="0" borderId="87" xfId="0" applyNumberFormat="1" applyFont="1" applyBorder="1" applyAlignment="1">
      <alignment horizontal="center" vertical="center"/>
    </xf>
    <xf numFmtId="0" fontId="98" fillId="0" borderId="91" xfId="0" applyFont="1" applyBorder="1" applyAlignment="1">
      <alignment horizontal="center" vertical="center"/>
    </xf>
    <xf numFmtId="10" fontId="98" fillId="0" borderId="92" xfId="0" applyNumberFormat="1" applyFont="1" applyBorder="1" applyAlignment="1">
      <alignment horizontal="center" vertical="center"/>
    </xf>
    <xf numFmtId="10" fontId="98" fillId="0" borderId="8" xfId="0" applyNumberFormat="1" applyFont="1" applyBorder="1" applyAlignment="1">
      <alignment horizontal="center" vertical="center"/>
    </xf>
    <xf numFmtId="0" fontId="97" fillId="0" borderId="86" xfId="0" applyFont="1" applyBorder="1" applyAlignment="1">
      <alignment horizontal="center" vertical="center"/>
    </xf>
    <xf numFmtId="10" fontId="97" fillId="0" borderId="66" xfId="0" applyNumberFormat="1" applyFont="1" applyBorder="1" applyAlignment="1">
      <alignment horizontal="center" vertical="center"/>
    </xf>
    <xf numFmtId="10" fontId="97" fillId="0" borderId="87" xfId="0" applyNumberFormat="1" applyFont="1" applyBorder="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0" fontId="0" fillId="14" borderId="93" xfId="0" applyFill="1" applyBorder="1"/>
    <xf numFmtId="9" fontId="0" fillId="11" borderId="93" xfId="46" applyFont="1" applyFill="1" applyBorder="1"/>
    <xf numFmtId="0" fontId="0" fillId="30" borderId="0" xfId="0" applyFill="1"/>
    <xf numFmtId="0" fontId="0" fillId="14" borderId="96" xfId="0" applyFill="1" applyBorder="1"/>
    <xf numFmtId="10" fontId="0" fillId="11" borderId="96" xfId="46" applyNumberFormat="1" applyFont="1" applyFill="1" applyBorder="1"/>
    <xf numFmtId="0" fontId="12" fillId="0" borderId="97" xfId="0" applyFont="1" applyBorder="1" applyAlignment="1">
      <alignment horizontal="center" vertical="center"/>
    </xf>
    <xf numFmtId="0" fontId="12" fillId="0" borderId="5" xfId="0" applyFont="1" applyBorder="1" applyAlignment="1">
      <alignment horizontal="center" vertical="center"/>
    </xf>
    <xf numFmtId="15" fontId="0" fillId="0" borderId="0" xfId="0" applyNumberFormat="1"/>
    <xf numFmtId="0" fontId="4" fillId="13" borderId="0" xfId="0" applyFont="1" applyFill="1"/>
    <xf numFmtId="0" fontId="103" fillId="13" borderId="0" xfId="0" applyFont="1" applyFill="1"/>
    <xf numFmtId="0" fontId="0" fillId="2" borderId="0" xfId="0" applyFill="1"/>
    <xf numFmtId="0" fontId="3" fillId="29" borderId="102" xfId="0" applyFont="1" applyFill="1" applyBorder="1" applyAlignment="1">
      <alignment horizontal="center" vertical="center"/>
    </xf>
    <xf numFmtId="0" fontId="0" fillId="29" borderId="57" xfId="0" applyFill="1" applyBorder="1"/>
    <xf numFmtId="0" fontId="0" fillId="29" borderId="0" xfId="0" applyFill="1"/>
    <xf numFmtId="0" fontId="0" fillId="29" borderId="58" xfId="0" applyFill="1" applyBorder="1"/>
    <xf numFmtId="0" fontId="0" fillId="29" borderId="63" xfId="0" applyFill="1" applyBorder="1"/>
    <xf numFmtId="0" fontId="0" fillId="29" borderId="65" xfId="0" applyFill="1" applyBorder="1"/>
    <xf numFmtId="0" fontId="0" fillId="29" borderId="62" xfId="0" applyFill="1" applyBorder="1"/>
    <xf numFmtId="0" fontId="3" fillId="29" borderId="44" xfId="0" applyFont="1" applyFill="1" applyBorder="1" applyAlignment="1">
      <alignment horizontal="center" vertical="center"/>
    </xf>
    <xf numFmtId="9" fontId="3" fillId="29" borderId="44" xfId="46" applyFont="1" applyFill="1" applyBorder="1" applyAlignment="1">
      <alignment horizontal="center" vertical="center"/>
    </xf>
    <xf numFmtId="10" fontId="3" fillId="29" borderId="102" xfId="46" applyNumberFormat="1" applyFont="1" applyFill="1" applyBorder="1" applyAlignment="1">
      <alignment horizontal="center" vertical="center"/>
    </xf>
    <xf numFmtId="0" fontId="20" fillId="36" borderId="44" xfId="0" applyFont="1" applyFill="1" applyBorder="1" applyAlignment="1">
      <alignment horizontal="center" vertical="center"/>
    </xf>
    <xf numFmtId="178" fontId="3" fillId="29" borderId="44" xfId="15" applyFont="1" applyFill="1" applyBorder="1" applyAlignment="1">
      <alignment horizontal="center" vertical="center"/>
    </xf>
    <xf numFmtId="0" fontId="20" fillId="39" borderId="44" xfId="0" applyFont="1" applyFill="1" applyBorder="1" applyAlignment="1">
      <alignment horizontal="center" vertical="center"/>
    </xf>
    <xf numFmtId="0" fontId="20" fillId="29" borderId="57" xfId="0" applyFont="1" applyFill="1" applyBorder="1" applyAlignment="1">
      <alignment horizontal="center" vertical="center"/>
    </xf>
    <xf numFmtId="0" fontId="20" fillId="29" borderId="0" xfId="0" applyFont="1" applyFill="1" applyAlignment="1">
      <alignment horizontal="center" vertical="center"/>
    </xf>
    <xf numFmtId="0" fontId="20" fillId="36" borderId="111" xfId="0" applyFont="1" applyFill="1" applyBorder="1" applyAlignment="1">
      <alignment horizontal="center" vertical="center"/>
    </xf>
    <xf numFmtId="178" fontId="3" fillId="29" borderId="111" xfId="15" applyFont="1" applyFill="1" applyBorder="1" applyAlignment="1">
      <alignment horizontal="center" vertical="center"/>
    </xf>
    <xf numFmtId="0" fontId="20" fillId="39" borderId="111" xfId="0" applyFont="1" applyFill="1" applyBorder="1" applyAlignment="1">
      <alignment horizontal="center" vertical="center"/>
    </xf>
    <xf numFmtId="178" fontId="3" fillId="29" borderId="102" xfId="15" applyFont="1" applyFill="1" applyBorder="1" applyAlignment="1">
      <alignment horizontal="center" vertical="center"/>
    </xf>
    <xf numFmtId="178" fontId="3" fillId="29" borderId="103" xfId="15" applyFont="1" applyFill="1" applyBorder="1" applyAlignment="1">
      <alignment horizontal="center" vertical="center"/>
    </xf>
    <xf numFmtId="0" fontId="107" fillId="13" borderId="55" xfId="0" applyFont="1" applyFill="1" applyBorder="1" applyAlignment="1">
      <alignment vertical="center"/>
    </xf>
    <xf numFmtId="0" fontId="107" fillId="13" borderId="56" xfId="0" applyFont="1" applyFill="1" applyBorder="1" applyAlignment="1">
      <alignment vertical="center"/>
    </xf>
    <xf numFmtId="0" fontId="107" fillId="13" borderId="0" xfId="0" applyFont="1" applyFill="1" applyAlignment="1">
      <alignment vertical="center"/>
    </xf>
    <xf numFmtId="0" fontId="107" fillId="13" borderId="58" xfId="0" applyFont="1" applyFill="1" applyBorder="1" applyAlignment="1">
      <alignment vertical="center"/>
    </xf>
    <xf numFmtId="0" fontId="12" fillId="0" borderId="57" xfId="0" applyFont="1" applyBorder="1" applyAlignment="1">
      <alignment horizontal="center" vertical="center"/>
    </xf>
    <xf numFmtId="194" fontId="12" fillId="0" borderId="0" xfId="0" applyNumberFormat="1" applyFont="1" applyAlignment="1">
      <alignment horizontal="center" vertical="center"/>
    </xf>
    <xf numFmtId="184" fontId="12" fillId="0" borderId="0" xfId="15" applyNumberFormat="1" applyFont="1" applyBorder="1" applyAlignment="1">
      <alignment horizontal="center" vertical="center"/>
    </xf>
    <xf numFmtId="0" fontId="12" fillId="0" borderId="58" xfId="0" applyFont="1" applyBorder="1" applyAlignment="1">
      <alignment horizontal="center" vertical="center"/>
    </xf>
    <xf numFmtId="0" fontId="0" fillId="0" borderId="57" xfId="0" applyBorder="1" applyAlignment="1">
      <alignment horizontal="center" vertical="center"/>
    </xf>
    <xf numFmtId="195" fontId="0" fillId="0" borderId="0" xfId="0" applyNumberFormat="1" applyAlignment="1">
      <alignment horizontal="center" vertical="center"/>
    </xf>
    <xf numFmtId="178" fontId="0" fillId="0" borderId="0" xfId="15" applyFont="1" applyBorder="1" applyAlignment="1">
      <alignment horizontal="center" vertical="center"/>
    </xf>
    <xf numFmtId="170" fontId="0" fillId="0" borderId="0" xfId="0" applyNumberFormat="1" applyAlignment="1">
      <alignment horizontal="center" vertical="center"/>
    </xf>
    <xf numFmtId="178" fontId="0" fillId="0" borderId="0" xfId="0" applyNumberFormat="1" applyAlignment="1">
      <alignment horizontal="center" vertical="center"/>
    </xf>
    <xf numFmtId="10" fontId="0" fillId="0" borderId="0" xfId="46" applyNumberFormat="1" applyFont="1" applyBorder="1" applyAlignment="1">
      <alignment horizontal="center" vertical="center"/>
    </xf>
    <xf numFmtId="10" fontId="0" fillId="0" borderId="58" xfId="46" applyNumberFormat="1" applyFont="1" applyBorder="1" applyAlignment="1">
      <alignment horizontal="center" vertical="center"/>
    </xf>
    <xf numFmtId="0" fontId="0" fillId="0" borderId="57" xfId="0" quotePrefix="1" applyBorder="1" applyAlignment="1">
      <alignment horizontal="center" vertical="center"/>
    </xf>
    <xf numFmtId="0" fontId="0" fillId="29" borderId="57" xfId="0" applyFill="1" applyBorder="1" applyAlignment="1">
      <alignment horizontal="center" vertical="center"/>
    </xf>
    <xf numFmtId="0" fontId="0" fillId="29" borderId="0" xfId="0" applyFill="1" applyAlignment="1">
      <alignment horizontal="center" vertical="center"/>
    </xf>
    <xf numFmtId="0" fontId="0" fillId="29" borderId="58" xfId="0" applyFill="1" applyBorder="1" applyAlignment="1">
      <alignment horizontal="center" vertical="center"/>
    </xf>
    <xf numFmtId="0" fontId="109" fillId="0" borderId="0" xfId="0" applyFont="1" applyAlignment="1">
      <alignment vertical="center"/>
    </xf>
    <xf numFmtId="0" fontId="71" fillId="28" borderId="0" xfId="38">
      <alignment horizontal="left" vertical="center"/>
    </xf>
    <xf numFmtId="0" fontId="90" fillId="40" borderId="0" xfId="38" applyFont="1" applyFill="1">
      <alignment horizontal="left" vertical="center"/>
    </xf>
    <xf numFmtId="0" fontId="71" fillId="40" borderId="0" xfId="38" applyFill="1">
      <alignment horizontal="left" vertical="center"/>
    </xf>
    <xf numFmtId="174" fontId="83" fillId="41" borderId="0" xfId="0" applyNumberFormat="1" applyFont="1" applyFill="1" applyAlignment="1">
      <alignment horizontal="center" vertical="center"/>
    </xf>
    <xf numFmtId="0" fontId="13" fillId="0" borderId="112" xfId="39" applyFont="1" applyBorder="1" applyAlignment="1">
      <alignment horizontal="center" vertical="center"/>
    </xf>
    <xf numFmtId="0" fontId="11" fillId="0" borderId="114" xfId="48" applyBorder="1">
      <alignment wrapText="1"/>
    </xf>
    <xf numFmtId="0" fontId="11" fillId="0" borderId="0" xfId="48">
      <alignment wrapText="1"/>
    </xf>
    <xf numFmtId="0" fontId="23" fillId="0" borderId="0" xfId="48" applyFont="1" applyAlignment="1">
      <alignment vertical="center"/>
    </xf>
    <xf numFmtId="0" fontId="23" fillId="0" borderId="0" xfId="48" applyFont="1" applyAlignment="1">
      <alignment horizontal="right" vertical="center"/>
    </xf>
    <xf numFmtId="196" fontId="0" fillId="0" borderId="114" xfId="48" applyNumberFormat="1" applyFont="1" applyBorder="1" applyAlignment="1">
      <alignment horizontal="left"/>
    </xf>
    <xf numFmtId="196" fontId="0" fillId="0" borderId="0" xfId="48" applyNumberFormat="1" applyFont="1" applyAlignment="1">
      <alignment horizontal="left"/>
    </xf>
    <xf numFmtId="196" fontId="0" fillId="0" borderId="0" xfId="0" applyNumberFormat="1" applyAlignment="1">
      <alignment horizontal="left"/>
    </xf>
    <xf numFmtId="197" fontId="11" fillId="0" borderId="0" xfId="0" applyNumberFormat="1" applyFont="1" applyAlignment="1">
      <alignment wrapText="1"/>
    </xf>
    <xf numFmtId="0" fontId="0" fillId="11" borderId="9" xfId="0" applyFill="1" applyBorder="1"/>
    <xf numFmtId="0" fontId="0" fillId="23" borderId="9" xfId="0" applyFill="1" applyBorder="1"/>
    <xf numFmtId="0" fontId="27" fillId="15" borderId="0" xfId="1" applyFont="1" applyFill="1" applyAlignment="1">
      <alignment vertical="center"/>
    </xf>
    <xf numFmtId="0" fontId="25" fillId="15" borderId="0" xfId="1" applyFont="1" applyFill="1" applyAlignment="1">
      <alignment vertical="center"/>
    </xf>
    <xf numFmtId="176" fontId="37" fillId="0" borderId="12" xfId="0" applyNumberFormat="1" applyFont="1" applyBorder="1" applyAlignment="1">
      <alignment horizontal="center"/>
    </xf>
    <xf numFmtId="193" fontId="37" fillId="0" borderId="12" xfId="46" applyNumberFormat="1" applyFont="1" applyBorder="1" applyAlignment="1">
      <alignment horizontal="center"/>
    </xf>
    <xf numFmtId="176" fontId="116" fillId="0" borderId="10" xfId="0" applyNumberFormat="1" applyFont="1" applyBorder="1" applyAlignment="1">
      <alignment horizontal="center" vertical="center"/>
    </xf>
    <xf numFmtId="0" fontId="30" fillId="16" borderId="79" xfId="35" applyFont="1" applyFill="1" applyBorder="1" applyAlignment="1" applyProtection="1">
      <alignment horizontal="center"/>
    </xf>
    <xf numFmtId="0" fontId="87" fillId="0" borderId="78" xfId="24" applyFont="1" applyBorder="1" applyProtection="1">
      <alignment horizontal="left" wrapText="1" indent="1"/>
      <protection locked="0"/>
    </xf>
    <xf numFmtId="0" fontId="23" fillId="29" borderId="79" xfId="31" applyFont="1" applyFill="1" applyBorder="1">
      <alignment horizontal="left" vertical="center" wrapText="1" indent="1"/>
    </xf>
    <xf numFmtId="0" fontId="75" fillId="0" borderId="0" xfId="24" applyFont="1">
      <alignment horizontal="left" wrapText="1" indent="1"/>
    </xf>
    <xf numFmtId="173" fontId="75" fillId="17" borderId="79" xfId="27" applyFont="1" applyFill="1" applyBorder="1">
      <alignment horizontal="right"/>
    </xf>
    <xf numFmtId="1" fontId="75" fillId="17" borderId="79" xfId="27" applyNumberFormat="1" applyFont="1" applyFill="1" applyBorder="1">
      <alignment horizontal="right"/>
    </xf>
    <xf numFmtId="14" fontId="75" fillId="0" borderId="79" xfId="28" applyFont="1" applyFill="1" applyBorder="1" applyAlignment="1">
      <alignment horizontal="right" indent="1"/>
    </xf>
    <xf numFmtId="0" fontId="2" fillId="0" borderId="0" xfId="1" applyAlignment="1">
      <alignment horizontal="right"/>
    </xf>
    <xf numFmtId="0" fontId="75" fillId="0" borderId="79" xfId="24" applyFont="1" applyBorder="1">
      <alignment horizontal="left" wrapText="1" indent="1"/>
    </xf>
    <xf numFmtId="0" fontId="50" fillId="4" borderId="1" xfId="0" applyFont="1" applyFill="1" applyBorder="1" applyAlignment="1">
      <alignment horizontal="center" vertical="center"/>
    </xf>
    <xf numFmtId="0" fontId="50" fillId="4" borderId="3" xfId="0" applyFont="1" applyFill="1" applyBorder="1" applyAlignment="1">
      <alignment horizontal="center" vertical="center"/>
    </xf>
    <xf numFmtId="0" fontId="0" fillId="0" borderId="4" xfId="0" applyBorder="1" applyAlignment="1">
      <alignment horizontal="center" vertical="center"/>
    </xf>
    <xf numFmtId="10" fontId="0" fillId="0" borderId="5" xfId="0" applyNumberFormat="1" applyBorder="1" applyAlignment="1">
      <alignment horizontal="center" vertical="center"/>
    </xf>
    <xf numFmtId="0" fontId="99" fillId="2" borderId="5" xfId="0" applyFont="1" applyFill="1" applyBorder="1" applyAlignment="1">
      <alignment horizontal="center"/>
    </xf>
    <xf numFmtId="0" fontId="12" fillId="2" borderId="4" xfId="0" applyFont="1" applyFill="1" applyBorder="1" applyAlignment="1">
      <alignment horizontal="center" vertical="center"/>
    </xf>
    <xf numFmtId="184" fontId="99" fillId="2" borderId="5" xfId="0" applyNumberFormat="1" applyFont="1" applyFill="1" applyBorder="1" applyAlignment="1">
      <alignment horizontal="center" vertical="center"/>
    </xf>
    <xf numFmtId="0" fontId="8" fillId="0" borderId="0" xfId="0" applyFont="1" applyAlignment="1">
      <alignment horizontal="center" vertical="center"/>
    </xf>
    <xf numFmtId="0" fontId="12" fillId="0" borderId="0" xfId="0" applyFont="1"/>
    <xf numFmtId="176" fontId="0" fillId="0" borderId="0" xfId="0" applyNumberFormat="1" applyAlignment="1">
      <alignment horizontal="center"/>
    </xf>
    <xf numFmtId="184" fontId="117" fillId="0" borderId="5" xfId="0" applyNumberFormat="1" applyFont="1" applyBorder="1" applyAlignment="1">
      <alignment horizontal="center"/>
    </xf>
    <xf numFmtId="184" fontId="12" fillId="0" borderId="5" xfId="0" quotePrefix="1" applyNumberFormat="1" applyFont="1" applyBorder="1" applyAlignment="1">
      <alignment horizontal="center"/>
    </xf>
    <xf numFmtId="184" fontId="12" fillId="0" borderId="5" xfId="0" applyNumberFormat="1" applyFont="1" applyBorder="1" applyAlignment="1">
      <alignment horizontal="center"/>
    </xf>
    <xf numFmtId="0" fontId="99" fillId="2" borderId="0" xfId="0" applyFont="1" applyFill="1" applyAlignment="1">
      <alignment horizontal="center"/>
    </xf>
    <xf numFmtId="0" fontId="12" fillId="0" borderId="0" xfId="0" applyFont="1" applyAlignment="1">
      <alignment horizontal="center"/>
    </xf>
    <xf numFmtId="184" fontId="12" fillId="0" borderId="0" xfId="0" applyNumberFormat="1" applyFont="1" applyAlignment="1">
      <alignment horizontal="center" vertical="center"/>
    </xf>
    <xf numFmtId="0" fontId="99" fillId="2" borderId="120" xfId="0" applyFont="1" applyFill="1" applyBorder="1" applyAlignment="1">
      <alignment horizontal="center"/>
    </xf>
    <xf numFmtId="0" fontId="99" fillId="2" borderId="121" xfId="0" applyFont="1" applyFill="1" applyBorder="1" applyAlignment="1">
      <alignment horizontal="center"/>
    </xf>
    <xf numFmtId="0" fontId="99" fillId="2" borderId="122" xfId="0" applyFont="1" applyFill="1" applyBorder="1" applyAlignment="1">
      <alignment horizontal="center"/>
    </xf>
    <xf numFmtId="0" fontId="12" fillId="42" borderId="123" xfId="0" applyFont="1" applyFill="1" applyBorder="1" applyAlignment="1">
      <alignment horizontal="center"/>
    </xf>
    <xf numFmtId="184" fontId="12" fillId="42" borderId="124" xfId="0" quotePrefix="1" applyNumberFormat="1" applyFont="1" applyFill="1" applyBorder="1" applyAlignment="1">
      <alignment horizontal="center"/>
    </xf>
    <xf numFmtId="184" fontId="12" fillId="42" borderId="125" xfId="0" applyNumberFormat="1" applyFont="1" applyFill="1" applyBorder="1" applyAlignment="1">
      <alignment horizontal="center" vertical="center"/>
    </xf>
    <xf numFmtId="0" fontId="12" fillId="31" borderId="123" xfId="0" applyFont="1" applyFill="1" applyBorder="1" applyAlignment="1">
      <alignment horizontal="center"/>
    </xf>
    <xf numFmtId="0" fontId="12" fillId="42" borderId="126" xfId="0" applyFont="1" applyFill="1" applyBorder="1" applyAlignment="1">
      <alignment horizontal="center"/>
    </xf>
    <xf numFmtId="184" fontId="12" fillId="42" borderId="127" xfId="0" quotePrefix="1" applyNumberFormat="1" applyFont="1" applyFill="1" applyBorder="1" applyAlignment="1">
      <alignment horizontal="center"/>
    </xf>
    <xf numFmtId="184" fontId="12" fillId="42" borderId="128" xfId="0" applyNumberFormat="1" applyFont="1" applyFill="1" applyBorder="1" applyAlignment="1">
      <alignment horizontal="center" vertical="center"/>
    </xf>
    <xf numFmtId="0" fontId="3" fillId="0" borderId="0" xfId="0" applyFont="1" applyAlignment="1">
      <alignment horizontal="center"/>
    </xf>
    <xf numFmtId="0" fontId="93" fillId="13" borderId="0" xfId="0" applyFont="1" applyFill="1" applyAlignment="1">
      <alignment horizontal="center" vertical="center"/>
    </xf>
    <xf numFmtId="1" fontId="93" fillId="13" borderId="0" xfId="0" applyNumberFormat="1" applyFont="1" applyFill="1" applyAlignment="1">
      <alignment horizontal="center" vertical="center"/>
    </xf>
    <xf numFmtId="1" fontId="95" fillId="13" borderId="0" xfId="0" applyNumberFormat="1" applyFont="1" applyFill="1" applyAlignment="1">
      <alignment horizontal="center" vertical="center" wrapText="1"/>
    </xf>
    <xf numFmtId="0" fontId="96" fillId="13" borderId="0" xfId="0" applyFont="1" applyFill="1" applyAlignment="1">
      <alignment horizontal="center" vertical="center" wrapText="1"/>
    </xf>
    <xf numFmtId="0" fontId="118" fillId="32" borderId="0" xfId="0" applyFont="1" applyFill="1" applyAlignment="1">
      <alignment horizontal="center" vertical="center" wrapText="1"/>
    </xf>
    <xf numFmtId="10" fontId="95" fillId="13" borderId="0" xfId="0" applyNumberFormat="1" applyFont="1" applyFill="1" applyAlignment="1">
      <alignment horizontal="center" vertical="center"/>
    </xf>
    <xf numFmtId="10" fontId="119" fillId="32" borderId="0" xfId="0" applyNumberFormat="1" applyFont="1" applyFill="1" applyAlignment="1">
      <alignment horizontal="center" vertical="center"/>
    </xf>
    <xf numFmtId="10" fontId="97" fillId="0" borderId="0" xfId="0" applyNumberFormat="1" applyFont="1" applyAlignment="1">
      <alignment horizontal="center" vertical="center"/>
    </xf>
    <xf numFmtId="10" fontId="98" fillId="0" borderId="0" xfId="0" applyNumberFormat="1" applyFont="1" applyAlignment="1">
      <alignment horizontal="center" vertical="center"/>
    </xf>
    <xf numFmtId="0" fontId="12" fillId="29" borderId="57" xfId="0" applyFont="1" applyFill="1" applyBorder="1" applyAlignment="1">
      <alignment horizontal="center" vertical="center"/>
    </xf>
    <xf numFmtId="0" fontId="12" fillId="29" borderId="0" xfId="0" applyFont="1" applyFill="1" applyAlignment="1">
      <alignment horizontal="center" vertical="center"/>
    </xf>
    <xf numFmtId="0" fontId="12" fillId="29" borderId="58" xfId="0" applyFont="1" applyFill="1" applyBorder="1" applyAlignment="1">
      <alignment horizontal="center" vertical="center"/>
    </xf>
    <xf numFmtId="184" fontId="0" fillId="0" borderId="62" xfId="0" applyNumberFormat="1" applyBorder="1" applyAlignment="1">
      <alignment horizontal="center" vertical="center"/>
    </xf>
    <xf numFmtId="184" fontId="0" fillId="0" borderId="63" xfId="0" applyNumberFormat="1" applyBorder="1" applyAlignment="1">
      <alignment horizontal="center" vertical="center"/>
    </xf>
    <xf numFmtId="184" fontId="0" fillId="0" borderId="65" xfId="0" applyNumberFormat="1" applyBorder="1" applyAlignment="1">
      <alignment horizontal="center" vertical="center"/>
    </xf>
    <xf numFmtId="14" fontId="7" fillId="0" borderId="0" xfId="0" applyNumberFormat="1" applyFont="1"/>
    <xf numFmtId="0" fontId="97" fillId="25" borderId="44" xfId="0" applyFont="1" applyFill="1" applyBorder="1" applyAlignment="1">
      <alignment horizontal="center" vertical="center" wrapText="1"/>
    </xf>
    <xf numFmtId="0" fontId="92" fillId="13" borderId="57" xfId="0" applyFont="1" applyFill="1" applyBorder="1" applyAlignment="1">
      <alignment horizontal="center" vertical="center"/>
    </xf>
    <xf numFmtId="192" fontId="92" fillId="13" borderId="57" xfId="0" applyNumberFormat="1" applyFont="1" applyFill="1" applyBorder="1" applyAlignment="1">
      <alignment horizontal="center" vertical="center"/>
    </xf>
    <xf numFmtId="192" fontId="95" fillId="13" borderId="57" xfId="0" applyNumberFormat="1" applyFont="1" applyFill="1" applyBorder="1" applyAlignment="1">
      <alignment horizontal="center" vertical="center"/>
    </xf>
    <xf numFmtId="0" fontId="118" fillId="32" borderId="58" xfId="0" applyFont="1" applyFill="1" applyBorder="1" applyAlignment="1">
      <alignment horizontal="center" vertical="center" wrapText="1"/>
    </xf>
    <xf numFmtId="0" fontId="95" fillId="13" borderId="57" xfId="0" applyFont="1" applyFill="1" applyBorder="1" applyAlignment="1">
      <alignment horizontal="center" vertical="center"/>
    </xf>
    <xf numFmtId="10" fontId="119" fillId="32" borderId="58" xfId="0" applyNumberFormat="1" applyFont="1" applyFill="1" applyBorder="1" applyAlignment="1">
      <alignment horizontal="center" vertical="center"/>
    </xf>
    <xf numFmtId="0" fontId="97" fillId="25" borderId="111" xfId="0" applyFont="1" applyFill="1" applyBorder="1" applyAlignment="1">
      <alignment horizontal="center" vertical="center" wrapText="1"/>
    </xf>
    <xf numFmtId="0" fontId="97" fillId="0" borderId="57" xfId="0" applyFont="1" applyBorder="1" applyAlignment="1">
      <alignment horizontal="center" vertical="center"/>
    </xf>
    <xf numFmtId="10" fontId="97" fillId="0" borderId="58" xfId="0" applyNumberFormat="1" applyFont="1" applyBorder="1" applyAlignment="1">
      <alignment horizontal="center" vertical="center"/>
    </xf>
    <xf numFmtId="0" fontId="98" fillId="0" borderId="57" xfId="0" applyFont="1" applyBorder="1" applyAlignment="1">
      <alignment horizontal="center" vertical="center"/>
    </xf>
    <xf numFmtId="10" fontId="98" fillId="0" borderId="58" xfId="0" applyNumberFormat="1" applyFont="1" applyBorder="1" applyAlignment="1">
      <alignment horizontal="center" vertical="center"/>
    </xf>
    <xf numFmtId="0" fontId="92" fillId="35" borderId="58" xfId="0" applyFont="1" applyFill="1" applyBorder="1" applyAlignment="1">
      <alignment vertical="center"/>
    </xf>
    <xf numFmtId="184" fontId="99" fillId="35" borderId="58" xfId="0" applyNumberFormat="1" applyFont="1" applyFill="1" applyBorder="1" applyAlignment="1">
      <alignment vertical="center"/>
    </xf>
    <xf numFmtId="0" fontId="0" fillId="35" borderId="58" xfId="0" applyFill="1" applyBorder="1"/>
    <xf numFmtId="0" fontId="0" fillId="35" borderId="65" xfId="0" applyFill="1" applyBorder="1"/>
    <xf numFmtId="0" fontId="0" fillId="0" borderId="0" xfId="0" applyAlignment="1">
      <alignment horizontal="left" indent="1"/>
    </xf>
    <xf numFmtId="2" fontId="0" fillId="0" borderId="0" xfId="0" applyNumberFormat="1"/>
    <xf numFmtId="0" fontId="0" fillId="12" borderId="130" xfId="0" applyFill="1" applyBorder="1"/>
    <xf numFmtId="0" fontId="0" fillId="0" borderId="130" xfId="0" applyBorder="1"/>
    <xf numFmtId="0" fontId="120" fillId="0" borderId="0" xfId="0" applyFont="1"/>
    <xf numFmtId="0" fontId="7" fillId="0" borderId="0" xfId="0" applyFont="1"/>
    <xf numFmtId="2" fontId="7" fillId="0" borderId="0" xfId="0" applyNumberFormat="1" applyFont="1"/>
    <xf numFmtId="0" fontId="0" fillId="12" borderId="0" xfId="0" applyFill="1"/>
    <xf numFmtId="0" fontId="0" fillId="0" borderId="18" xfId="0" applyBorder="1"/>
    <xf numFmtId="0" fontId="124" fillId="0" borderId="0" xfId="0" applyFont="1"/>
    <xf numFmtId="184" fontId="124" fillId="0" borderId="0" xfId="0" applyNumberFormat="1" applyFont="1" applyAlignment="1">
      <alignment horizontal="left"/>
    </xf>
    <xf numFmtId="181" fontId="69" fillId="0" borderId="16" xfId="0" applyNumberFormat="1" applyFont="1" applyBorder="1" applyAlignment="1">
      <alignment horizontal="left" wrapText="1"/>
    </xf>
    <xf numFmtId="181" fontId="69" fillId="0" borderId="16" xfId="0" applyNumberFormat="1" applyFont="1" applyBorder="1" applyAlignment="1">
      <alignment horizontal="left"/>
    </xf>
    <xf numFmtId="0" fontId="125" fillId="45" borderId="132" xfId="0" applyFont="1" applyFill="1" applyBorder="1" applyAlignment="1">
      <alignment vertical="center"/>
    </xf>
    <xf numFmtId="0" fontId="125" fillId="45" borderId="133" xfId="0" applyFont="1" applyFill="1" applyBorder="1" applyAlignment="1">
      <alignment horizontal="right" vertical="center"/>
    </xf>
    <xf numFmtId="0" fontId="125" fillId="45" borderId="135" xfId="0" applyFont="1" applyFill="1" applyBorder="1" applyAlignment="1">
      <alignment vertical="center"/>
    </xf>
    <xf numFmtId="0" fontId="125" fillId="45" borderId="136" xfId="0" applyFont="1" applyFill="1" applyBorder="1" applyAlignment="1">
      <alignment horizontal="right" vertical="center"/>
    </xf>
    <xf numFmtId="184" fontId="127" fillId="0" borderId="134" xfId="0" applyNumberFormat="1" applyFont="1" applyBorder="1" applyAlignment="1">
      <alignment horizontal="left" vertical="center"/>
    </xf>
    <xf numFmtId="3" fontId="127" fillId="0" borderId="134" xfId="0" applyNumberFormat="1" applyFont="1" applyBorder="1" applyAlignment="1">
      <alignment horizontal="left" vertical="center"/>
    </xf>
    <xf numFmtId="184" fontId="127" fillId="0" borderId="137" xfId="0" applyNumberFormat="1" applyFont="1" applyBorder="1" applyAlignment="1">
      <alignment horizontal="left" vertical="center"/>
    </xf>
    <xf numFmtId="0" fontId="0" fillId="0" borderId="138" xfId="0" applyBorder="1"/>
    <xf numFmtId="14" fontId="0" fillId="0" borderId="138" xfId="0" applyNumberFormat="1" applyBorder="1"/>
    <xf numFmtId="176" fontId="0" fillId="0" borderId="138" xfId="0" applyNumberFormat="1" applyBorder="1"/>
    <xf numFmtId="0" fontId="0" fillId="0" borderId="141" xfId="0" applyBorder="1"/>
    <xf numFmtId="0" fontId="0" fillId="0" borderId="143" xfId="0" applyBorder="1"/>
    <xf numFmtId="14" fontId="0" fillId="0" borderId="139" xfId="0" applyNumberFormat="1" applyBorder="1"/>
    <xf numFmtId="176" fontId="0" fillId="0" borderId="140" xfId="0" applyNumberFormat="1" applyBorder="1"/>
    <xf numFmtId="0" fontId="129" fillId="19" borderId="142" xfId="16" applyFont="1" applyFill="1" applyBorder="1" applyAlignment="1">
      <alignment horizontal="right" vertical="center" wrapText="1" indent="1"/>
    </xf>
    <xf numFmtId="0" fontId="129" fillId="19" borderId="144" xfId="16" applyFont="1" applyFill="1" applyBorder="1" applyAlignment="1">
      <alignment horizontal="right" vertical="center" wrapText="1" indent="1"/>
    </xf>
    <xf numFmtId="0" fontId="0" fillId="0" borderId="145" xfId="0" applyBorder="1"/>
    <xf numFmtId="184" fontId="130" fillId="44" borderId="131" xfId="47" applyFont="1" applyFill="1" applyBorder="1" applyAlignment="1">
      <alignment horizontal="center" vertical="center"/>
    </xf>
    <xf numFmtId="10" fontId="130" fillId="47" borderId="134" xfId="56" applyNumberFormat="1" applyFont="1" applyFill="1" applyBorder="1" applyAlignment="1">
      <alignment horizontal="center" vertical="center"/>
    </xf>
    <xf numFmtId="14" fontId="130" fillId="47" borderId="137" xfId="56" applyNumberFormat="1" applyFont="1" applyFill="1" applyBorder="1" applyAlignment="1">
      <alignment horizontal="center" vertical="center"/>
    </xf>
    <xf numFmtId="37" fontId="130" fillId="47" borderId="134" xfId="55" applyNumberFormat="1" applyFont="1" applyFill="1" applyBorder="1" applyAlignment="1">
      <alignment horizontal="center" vertical="center"/>
    </xf>
    <xf numFmtId="184" fontId="75" fillId="46" borderId="134" xfId="56" applyNumberFormat="1" applyFont="1" applyFill="1" applyBorder="1" applyAlignment="1">
      <alignment horizontal="center" vertical="center"/>
    </xf>
    <xf numFmtId="3" fontId="75" fillId="46" borderId="134" xfId="56" applyNumberFormat="1" applyFont="1" applyFill="1" applyBorder="1" applyAlignment="1">
      <alignment horizontal="center" vertical="center"/>
    </xf>
    <xf numFmtId="184" fontId="75" fillId="46" borderId="137" xfId="56" applyNumberFormat="1" applyFont="1" applyFill="1" applyBorder="1" applyAlignment="1">
      <alignment horizontal="center" vertical="center"/>
    </xf>
    <xf numFmtId="0" fontId="12" fillId="48" borderId="44" xfId="0" applyFont="1" applyFill="1" applyBorder="1" applyAlignment="1">
      <alignment horizontal="center"/>
    </xf>
    <xf numFmtId="0" fontId="12" fillId="49" borderId="44" xfId="0" applyFont="1" applyFill="1" applyBorder="1" applyAlignment="1">
      <alignment horizontal="center"/>
    </xf>
    <xf numFmtId="0" fontId="12" fillId="49" borderId="44" xfId="0" applyFont="1" applyFill="1" applyBorder="1"/>
    <xf numFmtId="0" fontId="0" fillId="0" borderId="44" xfId="0" applyBorder="1" applyAlignment="1">
      <alignment horizontal="center"/>
    </xf>
    <xf numFmtId="189" fontId="0" fillId="0" borderId="44" xfId="0" applyNumberFormat="1" applyBorder="1"/>
    <xf numFmtId="10" fontId="75" fillId="17" borderId="79" xfId="46" applyNumberFormat="1" applyFont="1" applyFill="1" applyBorder="1" applyAlignment="1">
      <alignment horizontal="right"/>
    </xf>
    <xf numFmtId="175" fontId="75" fillId="0" borderId="79" xfId="27" applyNumberFormat="1" applyFont="1" applyBorder="1">
      <alignment horizontal="right"/>
    </xf>
    <xf numFmtId="2" fontId="47" fillId="16" borderId="79" xfId="35" applyNumberFormat="1" applyFont="1" applyFill="1" applyBorder="1" applyAlignment="1" applyProtection="1">
      <alignment horizontal="center"/>
    </xf>
    <xf numFmtId="0" fontId="97" fillId="25" borderId="83" xfId="0" applyFont="1" applyFill="1" applyBorder="1" applyAlignment="1">
      <alignment horizontal="center" vertical="center"/>
    </xf>
    <xf numFmtId="0" fontId="97" fillId="25" borderId="85" xfId="0" applyFont="1" applyFill="1" applyBorder="1" applyAlignment="1">
      <alignment horizontal="center" vertical="center"/>
    </xf>
    <xf numFmtId="0" fontId="97" fillId="25" borderId="11" xfId="0" applyFont="1" applyFill="1" applyBorder="1" applyAlignment="1">
      <alignment horizontal="center" vertical="center"/>
    </xf>
    <xf numFmtId="0" fontId="97" fillId="25" borderId="68" xfId="0" applyFont="1" applyFill="1" applyBorder="1" applyAlignment="1">
      <alignment horizontal="center" vertical="center"/>
    </xf>
    <xf numFmtId="0" fontId="97" fillId="25" borderId="10" xfId="0" applyFont="1" applyFill="1" applyBorder="1" applyAlignment="1">
      <alignment horizontal="center" vertical="center"/>
    </xf>
    <xf numFmtId="0" fontId="97" fillId="25" borderId="84" xfId="0" applyFont="1" applyFill="1" applyBorder="1" applyAlignment="1">
      <alignment horizontal="center" vertical="center"/>
    </xf>
    <xf numFmtId="0" fontId="101" fillId="11" borderId="94" xfId="0" applyFont="1" applyFill="1" applyBorder="1" applyAlignment="1">
      <alignment horizontal="center" vertical="center"/>
    </xf>
    <xf numFmtId="0" fontId="101" fillId="11" borderId="95" xfId="0" applyFont="1" applyFill="1" applyBorder="1" applyAlignment="1">
      <alignment horizontal="center" vertical="center"/>
    </xf>
    <xf numFmtId="0" fontId="36" fillId="4" borderId="69" xfId="0" applyFont="1" applyFill="1" applyBorder="1" applyAlignment="1">
      <alignment horizontal="center" vertical="center"/>
    </xf>
    <xf numFmtId="182" fontId="0" fillId="0" borderId="0" xfId="0" applyNumberFormat="1"/>
    <xf numFmtId="0" fontId="0" fillId="0" borderId="0" xfId="0" pivotButton="1" applyAlignment="1">
      <alignment wrapText="1"/>
    </xf>
    <xf numFmtId="0" fontId="0" fillId="0" borderId="0" xfId="0" applyAlignment="1">
      <alignment wrapText="1"/>
    </xf>
    <xf numFmtId="0" fontId="100" fillId="0" borderId="0" xfId="0" applyFont="1"/>
    <xf numFmtId="0" fontId="0" fillId="52" borderId="0" xfId="0" applyFill="1"/>
    <xf numFmtId="182" fontId="0" fillId="44" borderId="0" xfId="0" applyNumberFormat="1" applyFill="1"/>
    <xf numFmtId="182" fontId="0" fillId="53" borderId="0" xfId="0" applyNumberFormat="1" applyFill="1"/>
    <xf numFmtId="182" fontId="0" fillId="51" borderId="0" xfId="0" applyNumberFormat="1" applyFill="1"/>
    <xf numFmtId="0" fontId="100" fillId="54" borderId="0" xfId="0" applyFont="1" applyFill="1"/>
    <xf numFmtId="0" fontId="0" fillId="54" borderId="0" xfId="0" applyFill="1"/>
    <xf numFmtId="14" fontId="0" fillId="52" borderId="0" xfId="0" applyNumberFormat="1" applyFill="1"/>
    <xf numFmtId="14" fontId="0" fillId="0" borderId="0" xfId="0" applyNumberFormat="1" applyAlignment="1">
      <alignment horizontal="left" indent="1"/>
    </xf>
    <xf numFmtId="0" fontId="12" fillId="13" borderId="0" xfId="0" applyFont="1" applyFill="1"/>
    <xf numFmtId="0" fontId="0" fillId="29" borderId="148" xfId="0" applyFill="1" applyBorder="1"/>
    <xf numFmtId="0" fontId="132" fillId="29" borderId="147" xfId="0" applyFont="1" applyFill="1" applyBorder="1"/>
    <xf numFmtId="0" fontId="132" fillId="29" borderId="148" xfId="0" applyFont="1" applyFill="1" applyBorder="1"/>
    <xf numFmtId="0" fontId="132" fillId="29" borderId="149" xfId="0" applyFont="1" applyFill="1" applyBorder="1"/>
    <xf numFmtId="0" fontId="132" fillId="29" borderId="0" xfId="0" applyFont="1" applyFill="1"/>
    <xf numFmtId="0" fontId="47" fillId="29" borderId="0" xfId="0" applyFont="1" applyFill="1"/>
    <xf numFmtId="0" fontId="47" fillId="13" borderId="0" xfId="0" applyFont="1" applyFill="1"/>
    <xf numFmtId="0" fontId="132" fillId="29" borderId="94" xfId="0" applyFont="1" applyFill="1" applyBorder="1"/>
    <xf numFmtId="0" fontId="0" fillId="29" borderId="150" xfId="0" applyFill="1" applyBorder="1"/>
    <xf numFmtId="0" fontId="132" fillId="29" borderId="95" xfId="0" applyFont="1" applyFill="1" applyBorder="1"/>
    <xf numFmtId="0" fontId="134" fillId="0" borderId="0" xfId="0" applyFont="1"/>
    <xf numFmtId="0" fontId="0" fillId="55" borderId="0" xfId="0" applyFill="1"/>
    <xf numFmtId="0" fontId="0" fillId="56" borderId="0" xfId="0" applyFill="1"/>
    <xf numFmtId="0" fontId="0" fillId="0" borderId="0" xfId="0" applyAlignment="1">
      <alignment horizontal="center" vertical="center" wrapText="1"/>
    </xf>
    <xf numFmtId="0" fontId="131" fillId="29" borderId="0" xfId="0" applyFont="1" applyFill="1"/>
    <xf numFmtId="0" fontId="133" fillId="29" borderId="0" xfId="0" applyFont="1" applyFill="1" applyAlignment="1">
      <alignment horizontal="left" vertical="center"/>
    </xf>
    <xf numFmtId="0" fontId="12" fillId="29" borderId="0" xfId="0" applyFont="1" applyFill="1"/>
    <xf numFmtId="0" fontId="12" fillId="29" borderId="0" xfId="0" applyFont="1" applyFill="1" applyAlignment="1">
      <alignment horizontal="left"/>
    </xf>
    <xf numFmtId="184" fontId="0" fillId="29" borderId="0" xfId="0" applyNumberFormat="1" applyFill="1" applyAlignment="1">
      <alignment horizontal="center" vertical="center"/>
    </xf>
    <xf numFmtId="0" fontId="12" fillId="2" borderId="0" xfId="0" applyFont="1" applyFill="1"/>
    <xf numFmtId="49" fontId="0" fillId="30" borderId="32" xfId="0" applyNumberFormat="1" applyFill="1" applyBorder="1" applyAlignment="1">
      <alignment horizontal="center" vertical="center"/>
    </xf>
    <xf numFmtId="198" fontId="0" fillId="30" borderId="32" xfId="0" applyNumberFormat="1" applyFill="1" applyBorder="1" applyAlignment="1">
      <alignment horizontal="center" vertical="center"/>
    </xf>
    <xf numFmtId="184" fontId="0" fillId="30" borderId="32" xfId="15" applyNumberFormat="1" applyFont="1" applyFill="1" applyBorder="1" applyAlignment="1">
      <alignment horizontal="center" vertical="center"/>
    </xf>
    <xf numFmtId="184" fontId="0" fillId="30" borderId="32" xfId="0" applyNumberFormat="1" applyFill="1" applyBorder="1" applyAlignment="1">
      <alignment horizontal="center" vertical="center"/>
    </xf>
    <xf numFmtId="185" fontId="7" fillId="0" borderId="0" xfId="0" applyNumberFormat="1" applyFont="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4" fontId="7" fillId="0" borderId="0" xfId="0" applyNumberFormat="1" applyFont="1" applyAlignment="1">
      <alignment horizontal="center" vertical="center"/>
    </xf>
    <xf numFmtId="199" fontId="0" fillId="0" borderId="18" xfId="0" applyNumberFormat="1" applyBorder="1"/>
    <xf numFmtId="0" fontId="37" fillId="0" borderId="98" xfId="0" applyFont="1" applyBorder="1"/>
    <xf numFmtId="184" fontId="37" fillId="0" borderId="98" xfId="0" applyNumberFormat="1" applyFont="1" applyBorder="1"/>
    <xf numFmtId="178" fontId="37" fillId="0" borderId="44" xfId="15" applyFont="1" applyBorder="1"/>
    <xf numFmtId="178" fontId="37" fillId="0" borderId="98" xfId="15" applyFont="1" applyBorder="1"/>
    <xf numFmtId="0" fontId="20" fillId="19" borderId="44" xfId="0" applyFont="1" applyFill="1" applyBorder="1"/>
    <xf numFmtId="0" fontId="3" fillId="29" borderId="98" xfId="0" applyFont="1" applyFill="1" applyBorder="1"/>
    <xf numFmtId="0" fontId="37" fillId="29" borderId="98" xfId="0" applyFont="1" applyFill="1" applyBorder="1"/>
    <xf numFmtId="178" fontId="37" fillId="29" borderId="98" xfId="0" applyNumberFormat="1" applyFont="1" applyFill="1" applyBorder="1"/>
    <xf numFmtId="0" fontId="0" fillId="14" borderId="0" xfId="0" applyFill="1" applyAlignment="1">
      <alignment horizontal="left"/>
    </xf>
    <xf numFmtId="0" fontId="46" fillId="16" borderId="0" xfId="0" applyFont="1" applyFill="1" applyAlignment="1">
      <alignment horizontal="right" vertical="center"/>
    </xf>
    <xf numFmtId="0" fontId="23" fillId="0" borderId="0" xfId="0" applyFont="1"/>
    <xf numFmtId="0" fontId="46" fillId="16" borderId="0" xfId="0" applyFont="1" applyFill="1" applyAlignment="1">
      <alignment vertical="center"/>
    </xf>
    <xf numFmtId="0" fontId="0" fillId="16" borderId="0" xfId="0" applyFill="1"/>
    <xf numFmtId="0" fontId="20" fillId="19" borderId="0" xfId="0" applyFont="1" applyFill="1"/>
    <xf numFmtId="0" fontId="135" fillId="16" borderId="0" xfId="0" applyFont="1" applyFill="1" applyAlignment="1">
      <alignment horizontal="center" vertical="center"/>
    </xf>
    <xf numFmtId="0" fontId="135" fillId="17" borderId="0" xfId="0" applyFont="1" applyFill="1" applyAlignment="1">
      <alignment horizontal="center" vertical="center"/>
    </xf>
    <xf numFmtId="176" fontId="37" fillId="17" borderId="12" xfId="0" applyNumberFormat="1" applyFont="1" applyFill="1" applyBorder="1" applyAlignment="1">
      <alignment horizontal="center"/>
    </xf>
    <xf numFmtId="176" fontId="45" fillId="0" borderId="12" xfId="1" applyNumberFormat="1" applyFont="1" applyBorder="1" applyAlignment="1">
      <alignment horizontal="center"/>
    </xf>
    <xf numFmtId="176" fontId="43" fillId="0" borderId="12" xfId="0" applyNumberFormat="1" applyFont="1" applyBorder="1" applyAlignment="1">
      <alignment horizontal="center"/>
    </xf>
    <xf numFmtId="191" fontId="39" fillId="57" borderId="51" xfId="0" applyNumberFormat="1" applyFont="1" applyFill="1" applyBorder="1" applyAlignment="1">
      <alignment horizontal="center"/>
    </xf>
    <xf numFmtId="191" fontId="39" fillId="57" borderId="48" xfId="0" applyNumberFormat="1" applyFont="1" applyFill="1" applyBorder="1" applyAlignment="1">
      <alignment horizontal="center"/>
    </xf>
    <xf numFmtId="0" fontId="0" fillId="6" borderId="0" xfId="0" applyFill="1"/>
    <xf numFmtId="200" fontId="0" fillId="0" borderId="0" xfId="0" applyNumberFormat="1"/>
    <xf numFmtId="10" fontId="0" fillId="0" borderId="0" xfId="46" applyNumberFormat="1" applyFont="1"/>
    <xf numFmtId="191" fontId="0" fillId="0" borderId="0" xfId="0" applyNumberFormat="1"/>
    <xf numFmtId="191" fontId="0" fillId="0" borderId="0" xfId="0" applyNumberFormat="1" applyAlignment="1">
      <alignment vertical="center"/>
    </xf>
    <xf numFmtId="178" fontId="0" fillId="0" borderId="0" xfId="15" applyFont="1"/>
    <xf numFmtId="0" fontId="0" fillId="39" borderId="0" xfId="0" applyFill="1"/>
    <xf numFmtId="0" fontId="0" fillId="56" borderId="44" xfId="0" applyFill="1" applyBorder="1"/>
    <xf numFmtId="0" fontId="0" fillId="56" borderId="44" xfId="0" applyFill="1" applyBorder="1" applyAlignment="1">
      <alignment horizontal="center"/>
    </xf>
    <xf numFmtId="0" fontId="0" fillId="0" borderId="0" xfId="0" quotePrefix="1"/>
    <xf numFmtId="188" fontId="18" fillId="58" borderId="4" xfId="2" applyNumberFormat="1" applyFont="1" applyFill="1" applyBorder="1">
      <alignment horizontal="left" vertical="center"/>
    </xf>
    <xf numFmtId="184" fontId="72" fillId="58" borderId="0" xfId="43" applyFill="1">
      <alignment horizontal="left" vertical="center"/>
    </xf>
    <xf numFmtId="184" fontId="72" fillId="0" borderId="0" xfId="43">
      <alignment horizontal="left" vertical="center"/>
    </xf>
    <xf numFmtId="197" fontId="0" fillId="0" borderId="0" xfId="0" applyNumberFormat="1" applyAlignment="1">
      <alignment wrapText="1"/>
    </xf>
    <xf numFmtId="197" fontId="0" fillId="58" borderId="0" xfId="50" applyNumberFormat="1" applyFont="1" applyFill="1" applyBorder="1" applyAlignment="1">
      <alignment horizontal="right"/>
    </xf>
    <xf numFmtId="0" fontId="0" fillId="0" borderId="151" xfId="0" applyBorder="1"/>
    <xf numFmtId="0" fontId="0" fillId="0" borderId="152" xfId="0" applyBorder="1"/>
    <xf numFmtId="14" fontId="0" fillId="56" borderId="0" xfId="0" applyNumberFormat="1" applyFill="1"/>
    <xf numFmtId="0" fontId="0" fillId="41" borderId="0" xfId="0" applyFill="1"/>
    <xf numFmtId="1" fontId="0" fillId="56" borderId="0" xfId="0" applyNumberFormat="1" applyFill="1"/>
    <xf numFmtId="0" fontId="136" fillId="0" borderId="0" xfId="0" applyFont="1"/>
    <xf numFmtId="0" fontId="12" fillId="0" borderId="0" xfId="0" applyFont="1" applyAlignment="1">
      <alignment wrapText="1"/>
    </xf>
    <xf numFmtId="0" fontId="12" fillId="56" borderId="0" xfId="0" applyFont="1" applyFill="1" applyAlignment="1">
      <alignment wrapText="1"/>
    </xf>
    <xf numFmtId="0" fontId="0" fillId="41" borderId="0" xfId="0" applyFill="1" applyAlignment="1">
      <alignment horizontal="centerContinuous"/>
    </xf>
    <xf numFmtId="0" fontId="0" fillId="0" borderId="153" xfId="0" applyBorder="1"/>
    <xf numFmtId="0" fontId="0" fillId="0" borderId="154" xfId="0" applyBorder="1"/>
    <xf numFmtId="0" fontId="0" fillId="0" borderId="155" xfId="0" applyBorder="1"/>
    <xf numFmtId="0" fontId="0" fillId="0" borderId="156" xfId="0" applyBorder="1"/>
    <xf numFmtId="0" fontId="0" fillId="0" borderId="157" xfId="0" applyBorder="1"/>
    <xf numFmtId="0" fontId="137" fillId="0" borderId="0" xfId="0" applyFont="1"/>
    <xf numFmtId="0" fontId="138" fillId="0" borderId="0" xfId="0" applyFont="1" applyAlignment="1">
      <alignment horizontal="left" vertical="top" wrapText="1"/>
    </xf>
    <xf numFmtId="0" fontId="139" fillId="0" borderId="0" xfId="0" applyFont="1"/>
    <xf numFmtId="0" fontId="139" fillId="0" borderId="157" xfId="0" applyFont="1" applyBorder="1"/>
    <xf numFmtId="0" fontId="138" fillId="0" borderId="0" xfId="0" applyFont="1"/>
    <xf numFmtId="0" fontId="140" fillId="0" borderId="0" xfId="15" applyNumberFormat="1" applyFont="1" applyBorder="1" applyAlignment="1">
      <alignment horizontal="left" vertical="center" indent="1"/>
    </xf>
    <xf numFmtId="0" fontId="140" fillId="0" borderId="0" xfId="0" applyFont="1" applyAlignment="1">
      <alignment horizontal="left" vertical="center" indent="1"/>
    </xf>
    <xf numFmtId="3" fontId="140" fillId="0" borderId="0" xfId="55" applyNumberFormat="1" applyFont="1" applyBorder="1" applyAlignment="1">
      <alignment horizontal="left" vertical="center" indent="1"/>
    </xf>
    <xf numFmtId="0" fontId="0" fillId="0" borderId="0" xfId="0" applyAlignment="1">
      <alignment horizontal="right"/>
    </xf>
    <xf numFmtId="0" fontId="142" fillId="0" borderId="0" xfId="0" applyFont="1" applyAlignment="1">
      <alignment horizontal="left" vertical="center"/>
    </xf>
    <xf numFmtId="0" fontId="142" fillId="0" borderId="0" xfId="0" applyFont="1" applyAlignment="1">
      <alignment horizontal="center" vertical="center"/>
    </xf>
    <xf numFmtId="0" fontId="142" fillId="0" borderId="0" xfId="0" applyFont="1" applyAlignment="1">
      <alignment horizontal="right" vertical="center"/>
    </xf>
    <xf numFmtId="201" fontId="138" fillId="0" borderId="0" xfId="0" applyNumberFormat="1" applyFont="1" applyAlignment="1">
      <alignment horizontal="center"/>
    </xf>
    <xf numFmtId="202" fontId="138" fillId="0" borderId="0" xfId="0" applyNumberFormat="1" applyFont="1"/>
    <xf numFmtId="0" fontId="143" fillId="0" borderId="0" xfId="0" applyFont="1"/>
    <xf numFmtId="0" fontId="144" fillId="0" borderId="0" xfId="0" applyFont="1" applyAlignment="1">
      <alignment vertical="center"/>
    </xf>
    <xf numFmtId="0" fontId="145" fillId="0" borderId="0" xfId="0" applyFont="1" applyAlignment="1">
      <alignment horizontal="center" vertical="center"/>
    </xf>
    <xf numFmtId="0" fontId="146" fillId="55" borderId="158" xfId="0" applyFont="1" applyFill="1" applyBorder="1" applyAlignment="1">
      <alignment horizontal="right" vertical="center"/>
    </xf>
    <xf numFmtId="203" fontId="147" fillId="55" borderId="159" xfId="0" applyNumberFormat="1" applyFont="1" applyFill="1" applyBorder="1" applyAlignment="1">
      <alignment vertical="center"/>
    </xf>
    <xf numFmtId="0" fontId="37" fillId="17" borderId="13" xfId="0" applyFont="1" applyFill="1" applyBorder="1" applyAlignment="1">
      <alignment horizontal="center"/>
    </xf>
    <xf numFmtId="0" fontId="122" fillId="0" borderId="0" xfId="66" applyFont="1" applyAlignment="1">
      <alignment vertical="center"/>
    </xf>
    <xf numFmtId="0" fontId="154" fillId="44" borderId="0" xfId="66" applyFont="1" applyFill="1" applyAlignment="1">
      <alignment horizontal="center" vertical="center"/>
    </xf>
    <xf numFmtId="0" fontId="89" fillId="44" borderId="0" xfId="66" applyFont="1" applyFill="1" applyAlignment="1">
      <alignment horizontal="right" vertical="center"/>
    </xf>
    <xf numFmtId="14" fontId="89" fillId="44" borderId="0" xfId="66" applyNumberFormat="1" applyFont="1" applyFill="1" applyAlignment="1">
      <alignment horizontal="center" vertical="center"/>
    </xf>
    <xf numFmtId="0" fontId="155" fillId="19" borderId="0" xfId="66" applyFont="1" applyFill="1" applyAlignment="1">
      <alignment vertical="center"/>
    </xf>
    <xf numFmtId="0" fontId="155" fillId="19" borderId="0" xfId="66" applyFont="1" applyFill="1" applyAlignment="1">
      <alignment horizontal="left" vertical="center"/>
    </xf>
    <xf numFmtId="0" fontId="156" fillId="0" borderId="0" xfId="66" applyFont="1" applyAlignment="1">
      <alignment vertical="center"/>
    </xf>
    <xf numFmtId="177" fontId="75" fillId="0" borderId="0" xfId="67" applyNumberFormat="1" applyFont="1" applyFill="1" applyAlignment="1">
      <alignment vertical="center"/>
    </xf>
    <xf numFmtId="0" fontId="158" fillId="0" borderId="0" xfId="66" applyFont="1" applyAlignment="1">
      <alignment vertical="center"/>
    </xf>
    <xf numFmtId="0" fontId="159" fillId="0" borderId="0" xfId="66" applyFont="1" applyAlignment="1">
      <alignment horizontal="right" vertical="center"/>
    </xf>
    <xf numFmtId="0" fontId="75" fillId="0" borderId="0" xfId="66" applyFont="1" applyAlignment="1">
      <alignment vertical="center"/>
    </xf>
    <xf numFmtId="0" fontId="160" fillId="0" borderId="0" xfId="68" applyFont="1" applyAlignment="1" applyProtection="1">
      <alignment horizontal="right" vertical="center"/>
    </xf>
    <xf numFmtId="177" fontId="75" fillId="52" borderId="162" xfId="67" applyNumberFormat="1" applyFont="1" applyFill="1" applyBorder="1" applyAlignment="1">
      <alignment vertical="center"/>
    </xf>
    <xf numFmtId="177" fontId="75" fillId="17" borderId="162" xfId="67" applyNumberFormat="1" applyFont="1" applyFill="1" applyBorder="1" applyAlignment="1">
      <alignment vertical="center"/>
    </xf>
    <xf numFmtId="0" fontId="161" fillId="0" borderId="0" xfId="66" applyFont="1" applyAlignment="1">
      <alignment vertical="center"/>
    </xf>
    <xf numFmtId="0" fontId="162" fillId="0" borderId="0" xfId="66" applyFont="1" applyAlignment="1">
      <alignment horizontal="right" vertical="center"/>
    </xf>
    <xf numFmtId="177" fontId="75" fillId="0" borderId="75" xfId="67" applyNumberFormat="1" applyFont="1" applyFill="1" applyBorder="1" applyAlignment="1">
      <alignment vertical="center"/>
    </xf>
    <xf numFmtId="177" fontId="75" fillId="0" borderId="0" xfId="67" applyNumberFormat="1" applyFont="1" applyFill="1" applyBorder="1" applyAlignment="1">
      <alignment vertical="center"/>
    </xf>
    <xf numFmtId="0" fontId="163" fillId="59" borderId="0" xfId="66" applyFont="1" applyFill="1" applyAlignment="1">
      <alignment vertical="center"/>
    </xf>
    <xf numFmtId="0" fontId="163" fillId="59" borderId="0" xfId="66" applyFont="1" applyFill="1" applyAlignment="1">
      <alignment horizontal="left" vertical="center"/>
    </xf>
    <xf numFmtId="177" fontId="163" fillId="59" borderId="75" xfId="66" applyNumberFormat="1" applyFont="1" applyFill="1" applyBorder="1" applyAlignment="1">
      <alignment vertical="center"/>
    </xf>
    <xf numFmtId="0" fontId="164" fillId="19" borderId="0" xfId="66" applyFont="1" applyFill="1" applyAlignment="1">
      <alignment vertical="center"/>
    </xf>
    <xf numFmtId="177" fontId="13" fillId="17" borderId="162" xfId="67" applyNumberFormat="1" applyFont="1" applyFill="1" applyBorder="1" applyAlignment="1">
      <alignment vertical="center"/>
    </xf>
    <xf numFmtId="0" fontId="163" fillId="15" borderId="0" xfId="66" applyFont="1" applyFill="1" applyAlignment="1">
      <alignment vertical="center"/>
    </xf>
    <xf numFmtId="0" fontId="163" fillId="15" borderId="0" xfId="66" applyFont="1" applyFill="1" applyAlignment="1">
      <alignment horizontal="left" vertical="center"/>
    </xf>
    <xf numFmtId="177" fontId="163" fillId="15" borderId="163" xfId="66" applyNumberFormat="1" applyFont="1" applyFill="1" applyBorder="1" applyAlignment="1">
      <alignment vertical="center"/>
    </xf>
    <xf numFmtId="0" fontId="161" fillId="0" borderId="0" xfId="66" applyFont="1"/>
    <xf numFmtId="0" fontId="165" fillId="59" borderId="0" xfId="66" applyFont="1" applyFill="1" applyAlignment="1">
      <alignment vertical="center"/>
    </xf>
    <xf numFmtId="2" fontId="161" fillId="59" borderId="0" xfId="66" applyNumberFormat="1" applyFont="1" applyFill="1" applyAlignment="1">
      <alignment vertical="center"/>
    </xf>
    <xf numFmtId="10" fontId="161" fillId="59" borderId="0" xfId="69" applyNumberFormat="1" applyFont="1" applyFill="1" applyAlignment="1" applyProtection="1">
      <alignment horizontal="right" vertical="center"/>
    </xf>
    <xf numFmtId="0" fontId="122" fillId="0" borderId="0" xfId="66" applyFont="1"/>
    <xf numFmtId="179" fontId="161" fillId="59" borderId="0" xfId="69" applyNumberFormat="1" applyFont="1" applyFill="1" applyAlignment="1" applyProtection="1">
      <alignment horizontal="right" vertical="center"/>
    </xf>
    <xf numFmtId="193" fontId="161" fillId="59" borderId="0" xfId="69" applyNumberFormat="1" applyFont="1" applyFill="1" applyAlignment="1" applyProtection="1">
      <alignment vertical="center"/>
    </xf>
    <xf numFmtId="0" fontId="0" fillId="0" borderId="0" xfId="0" applyNumberFormat="1"/>
    <xf numFmtId="0" fontId="20" fillId="19" borderId="0" xfId="0" applyFont="1" applyFill="1" applyBorder="1"/>
    <xf numFmtId="0" fontId="0" fillId="14" borderId="0" xfId="0" applyNumberFormat="1" applyFill="1"/>
    <xf numFmtId="0" fontId="0" fillId="21" borderId="0" xfId="0" applyNumberFormat="1" applyFill="1"/>
    <xf numFmtId="0" fontId="12" fillId="2" borderId="100" xfId="0" applyFont="1" applyFill="1" applyBorder="1" applyAlignment="1">
      <alignment horizontal="center"/>
    </xf>
    <xf numFmtId="0" fontId="12" fillId="2" borderId="99" xfId="0" applyFont="1" applyFill="1" applyBorder="1" applyAlignment="1">
      <alignment horizontal="center"/>
    </xf>
    <xf numFmtId="0" fontId="12" fillId="2" borderId="98" xfId="0" applyFont="1" applyFill="1" applyBorder="1" applyAlignment="1">
      <alignment horizontal="center"/>
    </xf>
    <xf numFmtId="0" fontId="106" fillId="13" borderId="0" xfId="0" applyFont="1" applyFill="1" applyAlignment="1">
      <alignment horizontal="left" vertical="center"/>
    </xf>
    <xf numFmtId="0" fontId="105" fillId="2" borderId="0" xfId="0" applyFont="1" applyFill="1" applyAlignment="1">
      <alignment horizontal="center" vertical="center"/>
    </xf>
    <xf numFmtId="0" fontId="110" fillId="2" borderId="0" xfId="0" applyFont="1" applyFill="1" applyAlignment="1">
      <alignment horizontal="center" vertical="center"/>
    </xf>
    <xf numFmtId="0" fontId="111" fillId="2" borderId="0" xfId="0" applyFont="1" applyFill="1" applyAlignment="1">
      <alignment horizontal="center" vertical="center"/>
    </xf>
    <xf numFmtId="0" fontId="104" fillId="2" borderId="0" xfId="0" quotePrefix="1" applyFont="1" applyFill="1" applyAlignment="1">
      <alignment horizontal="center" vertical="center"/>
    </xf>
    <xf numFmtId="0" fontId="104" fillId="2" borderId="0" xfId="0" applyFont="1" applyFill="1" applyAlignment="1">
      <alignment horizontal="center" vertical="center"/>
    </xf>
    <xf numFmtId="0" fontId="133" fillId="29" borderId="0" xfId="0" applyFont="1" applyFill="1" applyAlignment="1">
      <alignment horizontal="left" vertical="center"/>
    </xf>
    <xf numFmtId="0" fontId="47" fillId="29" borderId="63" xfId="0" applyFont="1" applyFill="1" applyBorder="1" applyAlignment="1">
      <alignment horizontal="center"/>
    </xf>
    <xf numFmtId="0" fontId="153" fillId="19" borderId="0" xfId="66" applyFont="1" applyFill="1" applyAlignment="1">
      <alignment horizontal="center" vertical="center"/>
    </xf>
    <xf numFmtId="0" fontId="154" fillId="19" borderId="0" xfId="66" applyFont="1" applyFill="1" applyAlignment="1">
      <alignment horizontal="center" vertical="center"/>
    </xf>
    <xf numFmtId="0" fontId="27" fillId="13" borderId="0" xfId="1" applyFont="1" applyFill="1" applyAlignment="1">
      <alignment horizontal="center" vertical="center"/>
    </xf>
    <xf numFmtId="0" fontId="42" fillId="20" borderId="0" xfId="0" applyFont="1" applyFill="1" applyAlignment="1">
      <alignment horizontal="center" wrapText="1"/>
    </xf>
    <xf numFmtId="0" fontId="10" fillId="4" borderId="0" xfId="0" applyFont="1" applyFill="1" applyAlignment="1">
      <alignment horizontal="center" vertical="center"/>
    </xf>
    <xf numFmtId="0" fontId="28" fillId="15" borderId="0" xfId="0" applyFont="1" applyFill="1" applyAlignment="1">
      <alignment horizontal="center"/>
    </xf>
    <xf numFmtId="0" fontId="107" fillId="16" borderId="0" xfId="0" applyFont="1" applyFill="1" applyAlignment="1">
      <alignment horizontal="center"/>
    </xf>
    <xf numFmtId="0" fontId="24" fillId="14" borderId="50" xfId="0" applyFont="1" applyFill="1" applyBorder="1" applyAlignment="1">
      <alignment horizontal="center" vertical="center"/>
    </xf>
    <xf numFmtId="0" fontId="24" fillId="14" borderId="75" xfId="0" applyFont="1" applyFill="1" applyBorder="1" applyAlignment="1">
      <alignment horizontal="center" vertical="center"/>
    </xf>
    <xf numFmtId="0" fontId="24" fillId="14" borderId="49" xfId="0" applyFont="1" applyFill="1" applyBorder="1" applyAlignment="1">
      <alignment horizontal="center" vertical="center"/>
    </xf>
    <xf numFmtId="0" fontId="24" fillId="14" borderId="44" xfId="0" applyFont="1" applyFill="1" applyBorder="1" applyAlignment="1">
      <alignment horizontal="center" vertical="center"/>
    </xf>
    <xf numFmtId="0" fontId="31" fillId="14" borderId="100" xfId="0" applyFont="1" applyFill="1" applyBorder="1" applyAlignment="1">
      <alignment horizontal="center"/>
    </xf>
    <xf numFmtId="0" fontId="31" fillId="14" borderId="99" xfId="0" applyFont="1" applyFill="1" applyBorder="1" applyAlignment="1">
      <alignment horizontal="center"/>
    </xf>
    <xf numFmtId="0" fontId="31" fillId="14" borderId="98" xfId="0" applyFont="1" applyFill="1" applyBorder="1" applyAlignment="1">
      <alignment horizontal="center"/>
    </xf>
    <xf numFmtId="0" fontId="38" fillId="18" borderId="100" xfId="0" applyFont="1" applyFill="1" applyBorder="1" applyAlignment="1">
      <alignment horizontal="center" vertical="center"/>
    </xf>
    <xf numFmtId="0" fontId="38" fillId="18" borderId="99" xfId="0" applyFont="1" applyFill="1" applyBorder="1" applyAlignment="1">
      <alignment horizontal="center" vertical="center"/>
    </xf>
    <xf numFmtId="0" fontId="38" fillId="18" borderId="98" xfId="0" applyFont="1" applyFill="1" applyBorder="1" applyAlignment="1">
      <alignment horizontal="center" vertical="center"/>
    </xf>
    <xf numFmtId="0" fontId="38" fillId="18" borderId="44" xfId="0" applyFont="1" applyFill="1" applyBorder="1" applyAlignment="1">
      <alignment horizontal="center" vertical="center"/>
    </xf>
    <xf numFmtId="0" fontId="135" fillId="16" borderId="0" xfId="0" applyFont="1" applyFill="1" applyAlignment="1">
      <alignment horizontal="center"/>
    </xf>
    <xf numFmtId="0" fontId="15" fillId="6" borderId="1" xfId="5" applyFont="1" applyFill="1" applyBorder="1" applyAlignment="1">
      <alignment horizontal="center" vertical="center" wrapText="1"/>
    </xf>
    <xf numFmtId="0" fontId="15" fillId="6" borderId="2" xfId="5" applyFont="1" applyFill="1" applyBorder="1" applyAlignment="1">
      <alignment horizontal="center" vertical="center" wrapText="1"/>
    </xf>
    <xf numFmtId="0" fontId="15" fillId="6" borderId="3" xfId="5" applyFont="1" applyFill="1" applyBorder="1" applyAlignment="1">
      <alignment horizontal="center" vertical="center" wrapText="1"/>
    </xf>
    <xf numFmtId="0" fontId="17" fillId="7" borderId="22" xfId="6" applyFont="1" applyFill="1" applyBorder="1" applyAlignment="1"/>
    <xf numFmtId="188" fontId="18" fillId="58" borderId="0" xfId="2" applyNumberFormat="1" applyFont="1" applyFill="1" applyBorder="1" applyAlignment="1">
      <alignment horizontal="left" vertical="center"/>
    </xf>
    <xf numFmtId="0" fontId="18" fillId="58" borderId="0" xfId="7" applyFill="1" applyBorder="1" applyAlignment="1">
      <alignment vertical="center" wrapText="1"/>
    </xf>
    <xf numFmtId="0" fontId="27" fillId="13" borderId="4" xfId="1" applyFont="1" applyFill="1" applyBorder="1" applyAlignment="1">
      <alignment horizontal="center" vertical="center"/>
    </xf>
    <xf numFmtId="0" fontId="27" fillId="13" borderId="0" xfId="1" applyFont="1" applyFill="1" applyBorder="1" applyAlignment="1">
      <alignment horizontal="center" vertical="center"/>
    </xf>
    <xf numFmtId="0" fontId="27" fillId="13" borderId="5" xfId="1" applyFont="1" applyFill="1" applyBorder="1" applyAlignment="1">
      <alignment horizontal="center" vertical="center"/>
    </xf>
    <xf numFmtId="189" fontId="20" fillId="9" borderId="19" xfId="8" applyFont="1" applyFill="1" applyBorder="1" applyAlignment="1">
      <alignment horizontal="right" vertical="center" indent="1"/>
    </xf>
    <xf numFmtId="189" fontId="3" fillId="10" borderId="19" xfId="8" applyFont="1" applyFill="1" applyBorder="1" applyAlignment="1">
      <alignment horizontal="right" vertical="center" indent="1"/>
    </xf>
    <xf numFmtId="0" fontId="21" fillId="7" borderId="36" xfId="7" applyFont="1" applyFill="1" applyBorder="1" applyAlignment="1">
      <alignment horizontal="center" vertical="center" wrapText="1"/>
    </xf>
    <xf numFmtId="0" fontId="21" fillId="7" borderId="25" xfId="7" applyFont="1" applyFill="1" applyBorder="1" applyAlignment="1">
      <alignment horizontal="center" vertical="center" wrapText="1"/>
    </xf>
    <xf numFmtId="0" fontId="21" fillId="7" borderId="26" xfId="7" applyFont="1" applyFill="1" applyBorder="1" applyAlignment="1">
      <alignment horizontal="center" vertical="center" wrapText="1"/>
    </xf>
    <xf numFmtId="189" fontId="18" fillId="58" borderId="22" xfId="8" applyFont="1" applyFill="1" applyBorder="1" applyAlignment="1">
      <alignment horizontal="right" vertical="center" indent="1"/>
    </xf>
    <xf numFmtId="190" fontId="11" fillId="0" borderId="22" xfId="9" applyNumberFormat="1" applyFont="1" applyBorder="1" applyAlignment="1">
      <alignment horizontal="left" vertical="center" wrapText="1" indent="1"/>
    </xf>
    <xf numFmtId="190" fontId="11" fillId="0" borderId="34" xfId="9" applyNumberFormat="1" applyFont="1" applyBorder="1" applyAlignment="1">
      <alignment horizontal="left" vertical="center" wrapText="1" indent="1"/>
    </xf>
    <xf numFmtId="190" fontId="11" fillId="0" borderId="0" xfId="9" applyNumberFormat="1" applyFont="1" applyAlignment="1">
      <alignment horizontal="left" vertical="center" wrapText="1" indent="1"/>
    </xf>
    <xf numFmtId="190" fontId="11" fillId="0" borderId="5" xfId="9" applyNumberFormat="1" applyFont="1" applyBorder="1" applyAlignment="1">
      <alignment horizontal="left" vertical="center" wrapText="1" indent="1"/>
    </xf>
    <xf numFmtId="189" fontId="18" fillId="58" borderId="23" xfId="8" applyFont="1" applyFill="1" applyBorder="1" applyAlignment="1">
      <alignment horizontal="right" vertical="center" indent="1"/>
    </xf>
    <xf numFmtId="189" fontId="18" fillId="0" borderId="24" xfId="8" applyFont="1" applyBorder="1" applyAlignment="1">
      <alignment horizontal="right" vertical="center" indent="1"/>
    </xf>
    <xf numFmtId="0" fontId="19" fillId="0" borderId="33" xfId="10" applyBorder="1" applyAlignment="1">
      <alignment horizontal="left" wrapText="1"/>
    </xf>
    <xf numFmtId="0" fontId="19" fillId="0" borderId="22" xfId="10" applyBorder="1" applyAlignment="1">
      <alignment horizontal="left" wrapText="1"/>
    </xf>
    <xf numFmtId="0" fontId="94" fillId="35" borderId="58" xfId="0" applyFont="1" applyFill="1" applyBorder="1" applyAlignment="1">
      <alignment horizontal="center" vertical="center"/>
    </xf>
    <xf numFmtId="0" fontId="20" fillId="35" borderId="54" xfId="0" applyFont="1" applyFill="1" applyBorder="1" applyAlignment="1">
      <alignment horizontal="center"/>
    </xf>
    <xf numFmtId="0" fontId="20" fillId="35" borderId="55" xfId="0" applyFont="1" applyFill="1" applyBorder="1" applyAlignment="1">
      <alignment horizontal="center"/>
    </xf>
    <xf numFmtId="0" fontId="20" fillId="35" borderId="56" xfId="0" applyFont="1" applyFill="1" applyBorder="1" applyAlignment="1">
      <alignment horizontal="center"/>
    </xf>
    <xf numFmtId="0" fontId="59" fillId="35" borderId="54" xfId="0" applyFont="1" applyFill="1" applyBorder="1" applyAlignment="1">
      <alignment horizontal="center" vertical="center"/>
    </xf>
    <xf numFmtId="0" fontId="59" fillId="35" borderId="55" xfId="0" applyFont="1" applyFill="1" applyBorder="1" applyAlignment="1">
      <alignment horizontal="center" vertical="center"/>
    </xf>
    <xf numFmtId="0" fontId="59" fillId="35" borderId="56" xfId="0" applyFont="1" applyFill="1" applyBorder="1" applyAlignment="1">
      <alignment horizontal="center" vertical="center"/>
    </xf>
    <xf numFmtId="0" fontId="59" fillId="35" borderId="57" xfId="0" applyFont="1" applyFill="1" applyBorder="1" applyAlignment="1">
      <alignment horizontal="center" vertical="center"/>
    </xf>
    <xf numFmtId="0" fontId="59" fillId="35" borderId="0" xfId="0" applyFont="1" applyFill="1" applyAlignment="1">
      <alignment horizontal="center" vertical="center"/>
    </xf>
    <xf numFmtId="0" fontId="59" fillId="35" borderId="58" xfId="0" applyFont="1" applyFill="1" applyBorder="1" applyAlignment="1">
      <alignment horizontal="center" vertical="center"/>
    </xf>
    <xf numFmtId="0" fontId="97" fillId="25" borderId="57" xfId="0" applyFont="1" applyFill="1" applyBorder="1" applyAlignment="1">
      <alignment horizontal="center" vertical="center"/>
    </xf>
    <xf numFmtId="0" fontId="97" fillId="25" borderId="44" xfId="0" applyFont="1" applyFill="1" applyBorder="1" applyAlignment="1">
      <alignment horizontal="center" vertical="center"/>
    </xf>
    <xf numFmtId="0" fontId="97" fillId="25" borderId="111" xfId="0" applyFont="1" applyFill="1" applyBorder="1" applyAlignment="1">
      <alignment horizontal="center" vertical="center"/>
    </xf>
    <xf numFmtId="0" fontId="94" fillId="35" borderId="57" xfId="0" applyFont="1" applyFill="1" applyBorder="1" applyAlignment="1">
      <alignment horizontal="center" vertical="center"/>
    </xf>
    <xf numFmtId="0" fontId="94" fillId="35" borderId="0" xfId="0" applyFont="1" applyFill="1" applyAlignment="1">
      <alignment horizontal="center" vertical="center"/>
    </xf>
    <xf numFmtId="0" fontId="92" fillId="13" borderId="0" xfId="0" applyFont="1" applyFill="1" applyAlignment="1">
      <alignment horizontal="center" vertical="center"/>
    </xf>
    <xf numFmtId="184" fontId="92" fillId="13" borderId="0" xfId="0" applyNumberFormat="1" applyFont="1" applyFill="1" applyAlignment="1">
      <alignment horizontal="center" vertical="center"/>
    </xf>
    <xf numFmtId="0" fontId="92" fillId="32" borderId="0" xfId="0" applyFont="1" applyFill="1" applyAlignment="1">
      <alignment horizontal="center" vertical="center"/>
    </xf>
    <xf numFmtId="0" fontId="92" fillId="32" borderId="58" xfId="0" applyFont="1" applyFill="1" applyBorder="1" applyAlignment="1">
      <alignment horizontal="center" vertical="center"/>
    </xf>
    <xf numFmtId="184" fontId="92" fillId="32" borderId="0" xfId="0" applyNumberFormat="1" applyFont="1" applyFill="1" applyAlignment="1">
      <alignment horizontal="center" vertical="center"/>
    </xf>
    <xf numFmtId="192" fontId="102" fillId="2" borderId="57" xfId="0" applyNumberFormat="1" applyFont="1" applyFill="1" applyBorder="1" applyAlignment="1">
      <alignment horizontal="center" vertical="center"/>
    </xf>
    <xf numFmtId="192" fontId="102" fillId="2" borderId="0" xfId="0" applyNumberFormat="1" applyFont="1" applyFill="1" applyAlignment="1">
      <alignment horizontal="center" vertical="center"/>
    </xf>
    <xf numFmtId="192" fontId="102" fillId="2" borderId="58" xfId="0" applyNumberFormat="1" applyFont="1" applyFill="1" applyBorder="1" applyAlignment="1">
      <alignment horizontal="center" vertical="center"/>
    </xf>
    <xf numFmtId="0" fontId="92" fillId="13" borderId="57" xfId="0" applyFont="1" applyFill="1" applyBorder="1" applyAlignment="1">
      <alignment horizontal="center" vertical="center"/>
    </xf>
    <xf numFmtId="0" fontId="50" fillId="4" borderId="94" xfId="0" applyFont="1" applyFill="1" applyBorder="1" applyAlignment="1">
      <alignment horizontal="center" vertical="center"/>
    </xf>
    <xf numFmtId="0" fontId="50" fillId="4" borderId="95" xfId="0" applyFont="1" applyFill="1" applyBorder="1" applyAlignment="1">
      <alignment horizontal="center" vertical="center"/>
    </xf>
    <xf numFmtId="0" fontId="94" fillId="4" borderId="57" xfId="0" applyFont="1" applyFill="1" applyBorder="1" applyAlignment="1">
      <alignment horizontal="center" vertical="center"/>
    </xf>
    <xf numFmtId="0" fontId="94" fillId="4" borderId="0" xfId="0" applyFont="1" applyFill="1" applyAlignment="1">
      <alignment horizontal="center" vertical="center"/>
    </xf>
    <xf numFmtId="0" fontId="50" fillId="4" borderId="4" xfId="0" applyFont="1" applyFill="1" applyBorder="1" applyAlignment="1">
      <alignment horizontal="center" vertical="center" wrapText="1"/>
    </xf>
    <xf numFmtId="0" fontId="50" fillId="4" borderId="5" xfId="0" applyFont="1" applyFill="1" applyBorder="1" applyAlignment="1">
      <alignment horizontal="center" vertical="center" wrapText="1"/>
    </xf>
    <xf numFmtId="184" fontId="99" fillId="34" borderId="57" xfId="0" applyNumberFormat="1" applyFont="1" applyFill="1" applyBorder="1" applyAlignment="1">
      <alignment horizontal="center" vertical="center"/>
    </xf>
    <xf numFmtId="184" fontId="99" fillId="34" borderId="0" xfId="0" applyNumberFormat="1" applyFont="1" applyFill="1" applyAlignment="1">
      <alignment horizontal="center" vertical="center"/>
    </xf>
    <xf numFmtId="0" fontId="97" fillId="25" borderId="83" xfId="0" applyFont="1" applyFill="1" applyBorder="1" applyAlignment="1">
      <alignment horizontal="center" vertical="center"/>
    </xf>
    <xf numFmtId="0" fontId="97" fillId="25" borderId="85" xfId="0" applyFont="1" applyFill="1" applyBorder="1" applyAlignment="1">
      <alignment horizontal="center" vertical="center"/>
    </xf>
    <xf numFmtId="0" fontId="97" fillId="25" borderId="11" xfId="0" applyFont="1" applyFill="1" applyBorder="1" applyAlignment="1">
      <alignment horizontal="center" vertical="center"/>
    </xf>
    <xf numFmtId="0" fontId="97" fillId="25" borderId="68" xfId="0" applyFont="1" applyFill="1" applyBorder="1" applyAlignment="1">
      <alignment horizontal="center" vertical="center"/>
    </xf>
    <xf numFmtId="0" fontId="97" fillId="25" borderId="10" xfId="0" applyFont="1" applyFill="1" applyBorder="1" applyAlignment="1">
      <alignment horizontal="center" vertical="center"/>
    </xf>
    <xf numFmtId="0" fontId="97" fillId="25" borderId="84" xfId="0" applyFont="1" applyFill="1" applyBorder="1" applyAlignment="1">
      <alignment horizontal="center" vertical="center"/>
    </xf>
    <xf numFmtId="0" fontId="101" fillId="11" borderId="94" xfId="0" applyFont="1" applyFill="1" applyBorder="1" applyAlignment="1">
      <alignment horizontal="center" vertical="center"/>
    </xf>
    <xf numFmtId="0" fontId="101" fillId="11" borderId="95" xfId="0" applyFont="1" applyFill="1" applyBorder="1" applyAlignment="1">
      <alignment horizontal="center" vertical="center"/>
    </xf>
    <xf numFmtId="0" fontId="36" fillId="4" borderId="69" xfId="0" applyFont="1" applyFill="1" applyBorder="1" applyAlignment="1">
      <alignment horizontal="center" vertical="center"/>
    </xf>
    <xf numFmtId="0" fontId="0" fillId="12" borderId="0" xfId="0" applyFill="1" applyAlignment="1">
      <alignment horizontal="center"/>
    </xf>
    <xf numFmtId="0" fontId="0" fillId="12" borderId="130" xfId="0" applyFill="1" applyBorder="1" applyAlignment="1">
      <alignment horizontal="center"/>
    </xf>
    <xf numFmtId="0" fontId="100" fillId="19" borderId="57" xfId="0" applyFont="1" applyFill="1" applyBorder="1" applyAlignment="1">
      <alignment horizontal="center"/>
    </xf>
    <xf numFmtId="0" fontId="100" fillId="19" borderId="0" xfId="0" applyFont="1" applyFill="1" applyAlignment="1">
      <alignment horizontal="center"/>
    </xf>
    <xf numFmtId="0" fontId="28" fillId="12" borderId="129" xfId="0" applyFont="1" applyFill="1" applyBorder="1" applyAlignment="1">
      <alignment horizontal="center" vertical="center"/>
    </xf>
    <xf numFmtId="0" fontId="28" fillId="12" borderId="130" xfId="0" applyFont="1" applyFill="1" applyBorder="1" applyAlignment="1">
      <alignment horizontal="center" vertical="center"/>
    </xf>
    <xf numFmtId="0" fontId="27" fillId="12" borderId="57" xfId="1" applyFont="1" applyFill="1" applyBorder="1" applyAlignment="1">
      <alignment horizontal="center" vertical="center"/>
    </xf>
    <xf numFmtId="0" fontId="27" fillId="12" borderId="130" xfId="1" applyFont="1" applyFill="1" applyBorder="1" applyAlignment="1">
      <alignment horizontal="center" vertical="center"/>
    </xf>
    <xf numFmtId="0" fontId="0" fillId="44" borderId="0" xfId="0" applyFill="1" applyAlignment="1">
      <alignment horizontal="center"/>
    </xf>
    <xf numFmtId="0" fontId="0" fillId="50" borderId="0" xfId="0" applyFill="1" applyAlignment="1">
      <alignment horizontal="center"/>
    </xf>
    <xf numFmtId="0" fontId="0" fillId="51" borderId="0" xfId="0" applyFill="1" applyAlignment="1">
      <alignment horizontal="center"/>
    </xf>
    <xf numFmtId="0" fontId="100" fillId="19" borderId="146" xfId="0" applyFont="1" applyFill="1" applyBorder="1" applyAlignment="1">
      <alignment horizontal="center"/>
    </xf>
    <xf numFmtId="10" fontId="3" fillId="29" borderId="44" xfId="46" applyNumberFormat="1" applyFont="1" applyFill="1" applyBorder="1" applyAlignment="1">
      <alignment horizontal="center" vertical="center"/>
    </xf>
    <xf numFmtId="10" fontId="3" fillId="29" borderId="111" xfId="46" applyNumberFormat="1" applyFont="1" applyFill="1" applyBorder="1" applyAlignment="1">
      <alignment horizontal="center" vertical="center"/>
    </xf>
    <xf numFmtId="9" fontId="3" fillId="29" borderId="62" xfId="46" applyFont="1" applyFill="1" applyBorder="1" applyAlignment="1">
      <alignment horizontal="center" vertical="center"/>
    </xf>
    <xf numFmtId="9" fontId="3" fillId="29" borderId="63" xfId="46" applyFont="1" applyFill="1" applyBorder="1" applyAlignment="1">
      <alignment horizontal="center" vertical="center"/>
    </xf>
    <xf numFmtId="0" fontId="20" fillId="35" borderId="54" xfId="0" applyFont="1" applyFill="1" applyBorder="1" applyAlignment="1">
      <alignment horizontal="center" vertical="center"/>
    </xf>
    <xf numFmtId="0" fontId="20" fillId="35" borderId="55" xfId="0" applyFont="1" applyFill="1" applyBorder="1" applyAlignment="1">
      <alignment horizontal="center" vertical="center"/>
    </xf>
    <xf numFmtId="0" fontId="107" fillId="13" borderId="54" xfId="0" applyFont="1" applyFill="1" applyBorder="1" applyAlignment="1">
      <alignment horizontal="center" vertical="center"/>
    </xf>
    <xf numFmtId="0" fontId="107" fillId="13" borderId="55" xfId="0" applyFont="1" applyFill="1" applyBorder="1" applyAlignment="1">
      <alignment horizontal="center" vertical="center"/>
    </xf>
    <xf numFmtId="0" fontId="107" fillId="13" borderId="57" xfId="0" applyFont="1" applyFill="1" applyBorder="1" applyAlignment="1">
      <alignment horizontal="center" vertical="center"/>
    </xf>
    <xf numFmtId="0" fontId="107" fillId="13" borderId="0" xfId="0" applyFont="1" applyFill="1" applyAlignment="1">
      <alignment horizontal="center" vertical="center"/>
    </xf>
    <xf numFmtId="0" fontId="20" fillId="36" borderId="54" xfId="0" applyFont="1" applyFill="1" applyBorder="1" applyAlignment="1">
      <alignment horizontal="center" vertical="center"/>
    </xf>
    <xf numFmtId="0" fontId="20" fillId="36" borderId="55" xfId="0" applyFont="1" applyFill="1" applyBorder="1" applyAlignment="1">
      <alignment horizontal="center" vertical="center"/>
    </xf>
    <xf numFmtId="0" fontId="20" fillId="36" borderId="56" xfId="0" applyFont="1" applyFill="1" applyBorder="1" applyAlignment="1">
      <alignment horizontal="center" vertical="center"/>
    </xf>
    <xf numFmtId="0" fontId="20" fillId="39" borderId="57" xfId="0" applyFont="1" applyFill="1" applyBorder="1" applyAlignment="1">
      <alignment horizontal="center" vertical="center"/>
    </xf>
    <xf numFmtId="0" fontId="20" fillId="39" borderId="0" xfId="0" applyFont="1" applyFill="1" applyAlignment="1">
      <alignment horizontal="center" vertical="center"/>
    </xf>
    <xf numFmtId="0" fontId="20" fillId="39" borderId="58" xfId="0" applyFont="1" applyFill="1" applyBorder="1" applyAlignment="1">
      <alignment horizontal="center" vertical="center"/>
    </xf>
    <xf numFmtId="0" fontId="20" fillId="35" borderId="44" xfId="0" applyFont="1" applyFill="1" applyBorder="1" applyAlignment="1">
      <alignment horizontal="center" vertical="center"/>
    </xf>
    <xf numFmtId="0" fontId="20" fillId="35" borderId="111" xfId="0" applyFont="1" applyFill="1" applyBorder="1" applyAlignment="1">
      <alignment horizontal="center" vertical="center"/>
    </xf>
    <xf numFmtId="0" fontId="3" fillId="29" borderId="101" xfId="0" applyFont="1" applyFill="1" applyBorder="1" applyAlignment="1">
      <alignment horizontal="center" vertical="center"/>
    </xf>
    <xf numFmtId="0" fontId="3" fillId="29" borderId="102" xfId="0" applyFont="1" applyFill="1" applyBorder="1" applyAlignment="1">
      <alignment horizontal="center" vertical="center"/>
    </xf>
    <xf numFmtId="0" fontId="3" fillId="29" borderId="110" xfId="0" applyFont="1" applyFill="1" applyBorder="1" applyAlignment="1">
      <alignment horizontal="center" vertical="center"/>
    </xf>
    <xf numFmtId="0" fontId="3" fillId="29" borderId="44" xfId="0" applyFont="1" applyFill="1" applyBorder="1" applyAlignment="1">
      <alignment horizontal="center" vertical="center"/>
    </xf>
    <xf numFmtId="184" fontId="3" fillId="29" borderId="101" xfId="0" applyNumberFormat="1" applyFont="1" applyFill="1" applyBorder="1" applyAlignment="1">
      <alignment horizontal="center" vertical="center"/>
    </xf>
    <xf numFmtId="184" fontId="3" fillId="29" borderId="102" xfId="0" applyNumberFormat="1" applyFont="1" applyFill="1" applyBorder="1" applyAlignment="1">
      <alignment horizontal="center" vertical="center"/>
    </xf>
    <xf numFmtId="184" fontId="99" fillId="37" borderId="107" xfId="15" applyNumberFormat="1" applyFont="1" applyFill="1" applyBorder="1" applyAlignment="1">
      <alignment horizontal="center" vertical="center"/>
    </xf>
    <xf numFmtId="184" fontId="99" fillId="37" borderId="108" xfId="15" applyNumberFormat="1" applyFont="1" applyFill="1" applyBorder="1" applyAlignment="1">
      <alignment horizontal="center" vertical="center"/>
    </xf>
    <xf numFmtId="184" fontId="99" fillId="38" borderId="44" xfId="15" applyNumberFormat="1" applyFont="1" applyFill="1" applyBorder="1" applyAlignment="1">
      <alignment horizontal="center" vertical="center"/>
    </xf>
    <xf numFmtId="0" fontId="20" fillId="36" borderId="110" xfId="0" applyFont="1" applyFill="1" applyBorder="1" applyAlignment="1">
      <alignment horizontal="center" vertical="center"/>
    </xf>
    <xf numFmtId="0" fontId="20" fillId="36" borderId="44" xfId="0" applyFont="1" applyFill="1" applyBorder="1" applyAlignment="1">
      <alignment horizontal="center" vertical="center"/>
    </xf>
    <xf numFmtId="0" fontId="20" fillId="35" borderId="106" xfId="0" applyFont="1" applyFill="1" applyBorder="1" applyAlignment="1">
      <alignment horizontal="center" vertical="center"/>
    </xf>
    <xf numFmtId="0" fontId="20" fillId="35" borderId="105" xfId="0" applyFont="1" applyFill="1" applyBorder="1" applyAlignment="1">
      <alignment horizontal="center" vertical="center"/>
    </xf>
    <xf numFmtId="0" fontId="20" fillId="35" borderId="104" xfId="0" applyFont="1" applyFill="1" applyBorder="1" applyAlignment="1">
      <alignment horizontal="center" vertical="center"/>
    </xf>
    <xf numFmtId="0" fontId="20" fillId="35" borderId="109" xfId="0" applyFont="1" applyFill="1" applyBorder="1" applyAlignment="1">
      <alignment horizontal="center" vertical="center"/>
    </xf>
    <xf numFmtId="0" fontId="20" fillId="39" borderId="110" xfId="0" applyFont="1" applyFill="1" applyBorder="1" applyAlignment="1">
      <alignment horizontal="center" vertical="center"/>
    </xf>
    <xf numFmtId="0" fontId="20" fillId="39" borderId="44" xfId="0" applyFont="1" applyFill="1" applyBorder="1" applyAlignment="1">
      <alignment horizontal="center" vertical="center"/>
    </xf>
    <xf numFmtId="0" fontId="109" fillId="13" borderId="0" xfId="0" applyFont="1" applyFill="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Alignment="1">
      <alignment horizontal="center" vertical="center"/>
    </xf>
    <xf numFmtId="0" fontId="6" fillId="4" borderId="5" xfId="0" applyFont="1" applyFill="1" applyBorder="1" applyAlignment="1">
      <alignment horizontal="center" vertical="center"/>
    </xf>
    <xf numFmtId="0" fontId="27" fillId="12" borderId="58" xfId="1" applyFont="1" applyFill="1" applyBorder="1" applyAlignment="1">
      <alignment horizontal="center" vertical="center"/>
    </xf>
    <xf numFmtId="0" fontId="1" fillId="6" borderId="57" xfId="0" applyFont="1" applyFill="1" applyBorder="1" applyAlignment="1">
      <alignment horizontal="left"/>
    </xf>
    <xf numFmtId="0" fontId="1" fillId="6" borderId="4" xfId="0" applyFont="1" applyFill="1" applyBorder="1" applyAlignment="1">
      <alignment horizontal="left"/>
    </xf>
    <xf numFmtId="0" fontId="1" fillId="6" borderId="59" xfId="0" applyFont="1" applyFill="1" applyBorder="1" applyAlignment="1">
      <alignment horizontal="left"/>
    </xf>
    <xf numFmtId="0" fontId="52" fillId="4" borderId="54" xfId="0" applyFont="1" applyFill="1" applyBorder="1" applyAlignment="1">
      <alignment horizontal="center" vertical="center"/>
    </xf>
    <xf numFmtId="0" fontId="52" fillId="4" borderId="55" xfId="0" applyFont="1" applyFill="1" applyBorder="1" applyAlignment="1">
      <alignment horizontal="center" vertical="center"/>
    </xf>
    <xf numFmtId="0" fontId="52" fillId="4" borderId="57" xfId="0" applyFont="1" applyFill="1" applyBorder="1" applyAlignment="1">
      <alignment horizontal="center" vertical="center"/>
    </xf>
    <xf numFmtId="0" fontId="52" fillId="4" borderId="0" xfId="0" applyFont="1" applyFill="1" applyAlignment="1">
      <alignment horizontal="center" vertical="center"/>
    </xf>
    <xf numFmtId="0" fontId="50" fillId="4" borderId="55" xfId="0" applyFont="1" applyFill="1" applyBorder="1" applyAlignment="1">
      <alignment horizontal="center" vertical="center"/>
    </xf>
    <xf numFmtId="0" fontId="50" fillId="4" borderId="0" xfId="0" applyFont="1" applyFill="1" applyAlignment="1">
      <alignment horizontal="center" vertical="center"/>
    </xf>
    <xf numFmtId="0" fontId="6" fillId="4" borderId="55" xfId="0" applyFont="1" applyFill="1" applyBorder="1" applyAlignment="1">
      <alignment horizontal="center" vertical="center"/>
    </xf>
    <xf numFmtId="170" fontId="51" fillId="4" borderId="0" xfId="0" applyNumberFormat="1" applyFont="1" applyFill="1" applyAlignment="1">
      <alignment horizontal="center" vertical="center"/>
    </xf>
    <xf numFmtId="0" fontId="51" fillId="4" borderId="0" xfId="0" applyFont="1" applyFill="1" applyAlignment="1">
      <alignment horizontal="center" vertical="center"/>
    </xf>
    <xf numFmtId="10" fontId="51" fillId="4" borderId="0" xfId="0" applyNumberFormat="1" applyFont="1" applyFill="1" applyAlignment="1">
      <alignment horizontal="center" vertical="center"/>
    </xf>
    <xf numFmtId="0" fontId="0" fillId="12" borderId="57" xfId="0" applyFill="1" applyBorder="1" applyAlignment="1">
      <alignment horizontal="center"/>
    </xf>
    <xf numFmtId="0" fontId="0" fillId="12" borderId="58" xfId="0" applyFill="1" applyBorder="1" applyAlignment="1">
      <alignment horizontal="center"/>
    </xf>
    <xf numFmtId="0" fontId="0" fillId="12" borderId="62" xfId="0" applyFill="1" applyBorder="1" applyAlignment="1">
      <alignment horizontal="center"/>
    </xf>
    <xf numFmtId="0" fontId="0" fillId="12" borderId="65" xfId="0" applyFill="1" applyBorder="1" applyAlignment="1">
      <alignment horizontal="center"/>
    </xf>
    <xf numFmtId="0" fontId="5" fillId="7" borderId="2" xfId="0" applyFont="1" applyFill="1" applyBorder="1" applyAlignment="1">
      <alignment horizontal="center" vertical="center"/>
    </xf>
    <xf numFmtId="0" fontId="5" fillId="7" borderId="61" xfId="0" applyFont="1" applyFill="1" applyBorder="1" applyAlignment="1">
      <alignment horizontal="center" vertical="center"/>
    </xf>
    <xf numFmtId="0" fontId="5" fillId="7" borderId="7" xfId="0" applyFont="1" applyFill="1" applyBorder="1" applyAlignment="1">
      <alignment horizontal="center" vertical="center"/>
    </xf>
    <xf numFmtId="0" fontId="28" fillId="12" borderId="56" xfId="0" applyFont="1" applyFill="1" applyBorder="1" applyAlignment="1">
      <alignment horizontal="center" vertical="center"/>
    </xf>
    <xf numFmtId="0" fontId="28" fillId="12" borderId="58" xfId="0" applyFont="1" applyFill="1" applyBorder="1" applyAlignment="1">
      <alignment horizontal="center" vertical="center"/>
    </xf>
    <xf numFmtId="0" fontId="53" fillId="19" borderId="0" xfId="0" applyFont="1" applyFill="1" applyAlignment="1">
      <alignment horizontal="center" vertical="center"/>
    </xf>
    <xf numFmtId="0" fontId="48" fillId="3" borderId="0" xfId="0" applyFont="1" applyFill="1" applyAlignment="1">
      <alignment horizontal="center"/>
    </xf>
    <xf numFmtId="0" fontId="48" fillId="22" borderId="0" xfId="0" applyFont="1" applyFill="1" applyAlignment="1">
      <alignment horizontal="center"/>
    </xf>
    <xf numFmtId="0" fontId="29" fillId="19" borderId="18" xfId="0" applyFont="1" applyFill="1" applyBorder="1" applyAlignment="1">
      <alignment horizontal="center" vertical="center"/>
    </xf>
    <xf numFmtId="0" fontId="29" fillId="19" borderId="0" xfId="0" applyFont="1" applyFill="1" applyAlignment="1">
      <alignment horizontal="center" vertical="center"/>
    </xf>
    <xf numFmtId="0" fontId="28" fillId="13" borderId="2" xfId="0" applyFont="1" applyFill="1" applyBorder="1" applyAlignment="1">
      <alignment horizontal="left" vertical="center"/>
    </xf>
    <xf numFmtId="0" fontId="28" fillId="13" borderId="0" xfId="0" applyFont="1" applyFill="1" applyAlignment="1">
      <alignment horizontal="left" vertical="center"/>
    </xf>
    <xf numFmtId="0" fontId="121" fillId="4" borderId="0" xfId="0" applyFont="1" applyFill="1" applyAlignment="1">
      <alignment horizontal="right"/>
    </xf>
    <xf numFmtId="0" fontId="28" fillId="12" borderId="88" xfId="0" applyFont="1" applyFill="1" applyBorder="1" applyAlignment="1">
      <alignment horizontal="center" vertical="center"/>
    </xf>
    <xf numFmtId="0" fontId="28" fillId="12" borderId="16" xfId="0" applyFont="1" applyFill="1" applyBorder="1" applyAlignment="1">
      <alignment horizontal="center" vertical="center"/>
    </xf>
    <xf numFmtId="0" fontId="27" fillId="12" borderId="16" xfId="1" applyFont="1" applyFill="1" applyBorder="1" applyAlignment="1">
      <alignment horizontal="center" vertical="center"/>
    </xf>
    <xf numFmtId="0" fontId="6" fillId="4" borderId="0" xfId="0" applyFont="1" applyFill="1" applyAlignment="1">
      <alignment horizontal="center"/>
    </xf>
    <xf numFmtId="0" fontId="6" fillId="4" borderId="0" xfId="0" applyFont="1" applyFill="1" applyAlignment="1">
      <alignment horizontal="right"/>
    </xf>
    <xf numFmtId="0" fontId="0" fillId="0" borderId="77" xfId="0" applyBorder="1" applyAlignment="1">
      <alignment horizontal="center"/>
    </xf>
    <xf numFmtId="0" fontId="11" fillId="0" borderId="113" xfId="48" applyBorder="1" applyAlignment="1">
      <alignment horizontal="center" wrapText="1"/>
    </xf>
    <xf numFmtId="0" fontId="113" fillId="0" borderId="114" xfId="49" applyFont="1" applyBorder="1" applyAlignment="1">
      <alignment horizontal="left"/>
    </xf>
    <xf numFmtId="0" fontId="13" fillId="0" borderId="115" xfId="48" applyFont="1" applyBorder="1" applyAlignment="1">
      <alignment horizontal="center" wrapText="1"/>
    </xf>
    <xf numFmtId="0" fontId="13" fillId="0" borderId="116" xfId="48" applyFont="1" applyBorder="1" applyAlignment="1">
      <alignment horizontal="center" wrapText="1"/>
    </xf>
    <xf numFmtId="0" fontId="114" fillId="0" borderId="116" xfId="48" applyFont="1" applyBorder="1" applyAlignment="1">
      <alignment horizontal="center" vertical="center" wrapText="1"/>
    </xf>
    <xf numFmtId="0" fontId="114" fillId="0" borderId="117" xfId="48" applyFont="1" applyBorder="1" applyAlignment="1">
      <alignment horizontal="center" vertical="center" wrapText="1"/>
    </xf>
    <xf numFmtId="9" fontId="115" fillId="0" borderId="118" xfId="46" applyFont="1" applyBorder="1" applyAlignment="1">
      <alignment horizontal="center" vertical="center"/>
    </xf>
    <xf numFmtId="9" fontId="115" fillId="0" borderId="119" xfId="46" applyFont="1" applyBorder="1" applyAlignment="1">
      <alignment horizontal="center" vertical="center"/>
    </xf>
    <xf numFmtId="0" fontId="86" fillId="43" borderId="0" xfId="23" applyFont="1" applyFill="1" applyBorder="1" applyAlignment="1">
      <alignment horizontal="left" vertical="center"/>
    </xf>
    <xf numFmtId="0" fontId="128" fillId="19" borderId="0" xfId="21" applyFont="1" applyFill="1" applyBorder="1" applyAlignment="1">
      <alignment horizontal="center" vertical="center"/>
    </xf>
    <xf numFmtId="0" fontId="62" fillId="0" borderId="0" xfId="26" applyAlignment="1">
      <alignment wrapText="1"/>
    </xf>
    <xf numFmtId="0" fontId="86" fillId="19" borderId="79" xfId="33" applyFont="1" applyFill="1" applyBorder="1" applyAlignment="1">
      <alignment horizontal="center" vertical="center" wrapText="1"/>
    </xf>
    <xf numFmtId="0" fontId="88" fillId="19" borderId="0" xfId="33" applyNumberFormat="1" applyFont="1" applyFill="1" applyAlignment="1" applyProtection="1">
      <alignment horizontal="center" vertical="center"/>
      <protection locked="0"/>
    </xf>
    <xf numFmtId="0" fontId="134" fillId="0" borderId="0" xfId="0" applyFont="1" applyAlignment="1">
      <alignment horizontal="center"/>
    </xf>
    <xf numFmtId="0" fontId="148" fillId="55" borderId="160" xfId="0" applyFont="1" applyFill="1" applyBorder="1" applyAlignment="1" applyProtection="1">
      <alignment horizontal="center" vertical="center" shrinkToFit="1"/>
      <protection locked="0"/>
    </xf>
    <xf numFmtId="0" fontId="148" fillId="55" borderId="159" xfId="0" applyFont="1" applyFill="1" applyBorder="1" applyAlignment="1" applyProtection="1">
      <alignment horizontal="center" vertical="center" shrinkToFit="1"/>
      <protection locked="0"/>
    </xf>
    <xf numFmtId="0" fontId="141" fillId="55" borderId="0" xfId="0" applyFont="1" applyFill="1" applyAlignment="1">
      <alignment horizontal="center" vertical="center" wrapText="1"/>
    </xf>
    <xf numFmtId="0" fontId="0" fillId="41" borderId="0" xfId="0" applyFill="1" applyAlignment="1">
      <alignment horizontal="center"/>
    </xf>
    <xf numFmtId="14" fontId="72" fillId="0" borderId="0" xfId="39" applyNumberFormat="1" applyAlignment="1">
      <alignment horizontal="left" vertical="center"/>
    </xf>
  </cellXfs>
  <cellStyles count="70">
    <cellStyle name="Accent1 2" xfId="11" xr:uid="{A4D1E258-FFE6-427F-AD54-0B60956E48B6}"/>
    <cellStyle name="Amortization Table Heading" xfId="36" xr:uid="{8F7AEC0E-BCDD-4F0E-A02B-295E3C858E43}"/>
    <cellStyle name="Amount" xfId="43" xr:uid="{3C48B2F7-C2B5-43CE-BF22-2E786A983A5F}"/>
    <cellStyle name="Comma" xfId="55" builtinId="3"/>
    <cellStyle name="Comma [0] 2" xfId="37" xr:uid="{8E5EC370-1128-4FE0-873D-FC0EC8D68435}"/>
    <cellStyle name="Comma 2" xfId="14" xr:uid="{CDBD4DCC-FF2B-42E6-BA2C-6AFCEEB866EC}"/>
    <cellStyle name="Comma 3" xfId="19" xr:uid="{DF13D66C-6EC4-45A5-AC4C-85B70D07064D}"/>
    <cellStyle name="Comma 4" xfId="29" xr:uid="{095744D6-A6A2-4488-BBAB-72D52CE579EF}"/>
    <cellStyle name="Comma 5" xfId="63" xr:uid="{D93662DF-93BF-4132-A08D-2CDB5BA3571D}"/>
    <cellStyle name="Currency" xfId="15" builtinId="4"/>
    <cellStyle name="Currency [0] 2" xfId="13" xr:uid="{37C9E486-EA99-4FC5-B923-594D5512C1D7}"/>
    <cellStyle name="Currency 2" xfId="8" xr:uid="{8C56E538-526C-477B-A8BE-139882C2CD79}"/>
    <cellStyle name="Currency 2 2" xfId="50" xr:uid="{8B546A26-7D1A-4D50-891B-F16B5F6E387C}"/>
    <cellStyle name="Currency 2 3" xfId="67" xr:uid="{BB699F80-A665-4040-B6B3-E470B71E587B}"/>
    <cellStyle name="Currency 3" xfId="17" xr:uid="{509D457D-1765-4570-841D-3D95D2D58E13}"/>
    <cellStyle name="Currency 3 2" xfId="47" xr:uid="{F6D46A74-C0E7-4BAD-86A2-69AAB8C84C9E}"/>
    <cellStyle name="Currency 4" xfId="27" xr:uid="{5355E836-7EC9-4C3B-8758-594000CBAF95}"/>
    <cellStyle name="Currency 5" xfId="53" xr:uid="{D7498994-5D9E-496E-9885-EB71C9526221}"/>
    <cellStyle name="Currency 6" xfId="65" xr:uid="{A1412A54-9786-4A7C-8855-8DD984E3DE05}"/>
    <cellStyle name="Date" xfId="2" xr:uid="{B00B074C-5AFC-4600-ADD1-EE069B42EBB4}"/>
    <cellStyle name="Date 2" xfId="18" xr:uid="{D428A10D-B245-4504-9F6B-A471790BD26A}"/>
    <cellStyle name="Date 3" xfId="28" xr:uid="{E6BCEB6B-A697-4674-A144-BC51186064CF}"/>
    <cellStyle name="Date 4" xfId="44" xr:uid="{D730453A-80EE-40EE-BFBE-79793523D7C2}"/>
    <cellStyle name="Explanatory Text 2" xfId="20" xr:uid="{5DAA9E3F-AB02-47FB-A56F-C8A3CE095BD6}"/>
    <cellStyle name="Explanatory Text 3" xfId="26" xr:uid="{182C7840-A697-4A57-B62C-A8AF5BE7D61E}"/>
    <cellStyle name="Heading 1 2" xfId="6" xr:uid="{077B7544-97F7-4938-B7EE-30FCACFCFB14}"/>
    <cellStyle name="Heading 1 2 2" xfId="40" xr:uid="{EB9CC3FA-74A1-4E38-A3EA-3486A32B5F0C}"/>
    <cellStyle name="Heading 1 3" xfId="21" xr:uid="{1C3836C4-C14E-49CB-8383-3C1DBE525C18}"/>
    <cellStyle name="Heading 1 3 2" xfId="49" xr:uid="{143F464E-DB21-48E8-AD89-59B061D1DD85}"/>
    <cellStyle name="Heading 1 4" xfId="31" xr:uid="{EFB66E16-4300-4A4E-A077-DFC8A2359C2C}"/>
    <cellStyle name="Heading 1 5" xfId="60" xr:uid="{35B583FE-78DA-4444-A4C3-13DC324BDFE4}"/>
    <cellStyle name="Heading 2 2" xfId="7" xr:uid="{336FEC98-998A-46B7-AF81-431FFBD34864}"/>
    <cellStyle name="Heading 2 2 2" xfId="41" xr:uid="{1D26FA13-4B60-4898-AB09-C5F62F16350D}"/>
    <cellStyle name="Heading 2 3" xfId="35" xr:uid="{6B20C425-5E7B-4B6F-B64C-F28B78819469}"/>
    <cellStyle name="Heading 2 4" xfId="61" xr:uid="{EF497788-81BD-437C-83E8-4392D0C363F2}"/>
    <cellStyle name="Heading 3 2" xfId="10" xr:uid="{4E4FF9B3-36BD-4630-A3F2-7248669F736B}"/>
    <cellStyle name="Heading 3 3" xfId="62" xr:uid="{7C2047ED-CEA5-4C13-98BC-F84D85C85B0F}"/>
    <cellStyle name="Heading 4 2" xfId="12" xr:uid="{C6178F09-0CD2-4F62-A9D1-1C7971AA0370}"/>
    <cellStyle name="Hyperlink" xfId="1" builtinId="8"/>
    <cellStyle name="Hyperlink 2" xfId="25" xr:uid="{BC11D442-BC14-47E2-9484-EEC6670D96BD}"/>
    <cellStyle name="Hyperlink 2 2" xfId="68" xr:uid="{968C399E-DB53-4180-A9C4-2F017D810270}"/>
    <cellStyle name="Hyperlink 3" xfId="54" xr:uid="{46BF5FD4-197A-45B6-81D7-D3D0191AD796}"/>
    <cellStyle name="Item" xfId="42" xr:uid="{A0A8F230-CC75-46F6-BA5E-73C7CA0EDA89}"/>
    <cellStyle name="Key Statistics left border" xfId="32" xr:uid="{552FEEE6-8AA7-45D6-8F46-C984D2DB82FD}"/>
    <cellStyle name="Monthly Loan Payment" xfId="34" xr:uid="{3C70E23F-39F3-4B0C-BD09-2A85C322CDF2}"/>
    <cellStyle name="Normal" xfId="0" builtinId="0"/>
    <cellStyle name="Normal 2" xfId="4" xr:uid="{5EBE03EF-0136-4A8D-97B7-D60CE429AA6A}"/>
    <cellStyle name="Normal 2 2" xfId="39" xr:uid="{BFEC3F30-8168-4D46-85BA-B89F0D6D904C}"/>
    <cellStyle name="Normal 2 3" xfId="56" xr:uid="{B780EEDC-4454-4F8D-87A8-E0652C979DC9}"/>
    <cellStyle name="Normal 2 4" xfId="66" xr:uid="{286C6EC6-9706-4962-AB3C-2BE76EE6B3BD}"/>
    <cellStyle name="Normal 3" xfId="16" xr:uid="{014871C0-21A6-4C54-B54F-1519388AC309}"/>
    <cellStyle name="Normal 3 2" xfId="48" xr:uid="{2B7E93AC-4EFD-42EE-BFD5-9FE570C02B20}"/>
    <cellStyle name="Normal 4" xfId="24" xr:uid="{2BF705BE-C11B-4DC7-AE92-F668891F368B}"/>
    <cellStyle name="Normal 5" xfId="51" xr:uid="{87261B84-4FDF-4C96-8DA1-02A9304A3926}"/>
    <cellStyle name="Normal 6" xfId="57" xr:uid="{DA0D1043-BEC1-490C-8163-5C826CCBE42F}"/>
    <cellStyle name="Note 2" xfId="9" xr:uid="{3833CB0E-2E79-4B2F-92AD-CE4265081C9E}"/>
    <cellStyle name="Note 3" xfId="59" xr:uid="{FA21F918-9E86-4188-9B37-5AEAC44E3F3D}"/>
    <cellStyle name="Output 2" xfId="58" xr:uid="{EFE7A373-4C56-487F-A150-242F00C16FE2}"/>
    <cellStyle name="Percent" xfId="46" builtinId="5"/>
    <cellStyle name="Percent 2" xfId="22" xr:uid="{47AE19F6-712A-480C-A32B-9F77C4126A46}"/>
    <cellStyle name="Percent 2 2" xfId="69" xr:uid="{0AF010FC-62D9-4D6E-BA1D-2E212DA3EC08}"/>
    <cellStyle name="Percent 3" xfId="30" xr:uid="{2AFF3707-A8B2-470E-93E1-457F83747299}"/>
    <cellStyle name="Percent 4" xfId="52" xr:uid="{D69082E4-6123-4501-83CB-0458064B5944}"/>
    <cellStyle name="Percent 5" xfId="64" xr:uid="{2A7D0F59-43E4-4C62-83B9-98261F8EBC75}"/>
    <cellStyle name="Saved" xfId="3" xr:uid="{1A7FF013-9CD3-48BB-9E24-8F7E7D3F4A13}"/>
    <cellStyle name="Title 2" xfId="5" xr:uid="{497CBAE1-0A88-482B-8433-98F2193CE1A6}"/>
    <cellStyle name="Title 2 2" xfId="38" xr:uid="{D9B56988-AD94-46DA-921C-61EEEB8911FC}"/>
    <cellStyle name="Title 3" xfId="23" xr:uid="{873E8DEF-210A-4E11-B195-60C9211E1D75}"/>
    <cellStyle name="Title 4" xfId="33" xr:uid="{553EC959-86C8-4B3D-A3C3-B3F25B1923D0}"/>
    <cellStyle name="Totals" xfId="45" xr:uid="{C5E5FEB6-8C0A-4695-8CE6-5924B90989EE}"/>
  </cellStyles>
  <dxfs count="372">
    <dxf>
      <font>
        <color rgb="FF00B050"/>
      </font>
    </dxf>
    <dxf>
      <font>
        <color rgb="FFFF0000"/>
      </font>
    </dxf>
    <dxf>
      <font>
        <color rgb="FF006100"/>
      </font>
      <fill>
        <patternFill>
          <bgColor rgb="FFC6EFCE"/>
        </patternFill>
      </fill>
    </dxf>
    <dxf>
      <font>
        <color theme="0"/>
      </font>
      <fill>
        <patternFill patternType="none">
          <bgColor auto="1"/>
        </patternFill>
      </fill>
      <border>
        <left/>
        <right/>
        <top/>
        <bottom/>
        <vertical/>
        <horizontal/>
      </border>
    </dxf>
    <dxf>
      <font>
        <color rgb="FFC00000"/>
      </font>
    </dxf>
    <dxf>
      <font>
        <color theme="7" tint="-0.499984740745262"/>
      </font>
    </dxf>
    <dxf>
      <font>
        <color theme="4" tint="-0.499984740745262"/>
      </font>
    </dxf>
    <dxf>
      <font>
        <color rgb="FFC00000"/>
      </font>
    </dxf>
    <dxf>
      <font>
        <color rgb="FF9C0006"/>
      </font>
      <fill>
        <patternFill>
          <bgColor rgb="FFFFC7CE"/>
        </patternFill>
      </fill>
    </dxf>
    <dxf>
      <font>
        <color rgb="FF9C0006"/>
      </font>
      <fill>
        <patternFill>
          <bgColor rgb="FFFFC7CE"/>
        </patternFill>
      </fill>
    </dxf>
    <dxf>
      <border diagonalUp="0" diagonalDown="0">
        <left style="medium">
          <color indexed="64"/>
        </left>
        <right style="medium">
          <color indexed="64"/>
        </right>
        <top/>
        <bottom/>
        <vertical/>
        <horizontal/>
      </border>
    </dxf>
    <dxf>
      <border outline="0">
        <bottom style="medium">
          <color indexed="64"/>
        </bottom>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91" formatCode="&quot;$&quot;#,##0.0000"/>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4" formatCode="0.00%"/>
    </dxf>
    <dxf>
      <numFmt numFmtId="200" formatCode="_([$$-409]* #,##0.00000_);_([$$-409]* \(#,##0.00000\);_([$$-409]* &quot;-&quot;??_);_(@_)"/>
      <fill>
        <patternFill patternType="none">
          <fgColor indexed="64"/>
          <bgColor indexed="65"/>
        </patternFill>
      </fill>
    </dxf>
    <dxf>
      <numFmt numFmtId="200" formatCode="_([$$-409]* #,##0.00000_);_([$$-409]* \(#,##0.00000\);_([$$-409]* &quot;-&quot;??_);_(@_)"/>
      <fill>
        <patternFill patternType="none">
          <fgColor indexed="64"/>
          <bgColor indexed="65"/>
        </patternFill>
      </fill>
    </dxf>
    <dxf>
      <numFmt numFmtId="200" formatCode="_([$$-409]* #,##0.00000_);_([$$-409]* \(#,##0.00000\);_([$$-409]* &quot;-&quot;??_);_(@_)"/>
    </dxf>
    <dxf>
      <numFmt numFmtId="200" formatCode="_([$$-409]* #,##0.00000_);_([$$-409]* \(#,##0.00000\);_([$$-409]* &quot;-&quot;??_);_(@_)"/>
    </dxf>
    <dxf>
      <fill>
        <patternFill patternType="none">
          <fgColor indexed="64"/>
          <bgColor auto="1"/>
        </patternFill>
      </fill>
    </dxf>
    <dxf>
      <fill>
        <patternFill patternType="none">
          <fgColor indexed="64"/>
          <bgColor indexed="65"/>
        </patternFill>
      </fill>
    </dxf>
    <dxf>
      <numFmt numFmtId="204" formatCode="d/m/yyyy"/>
      <fill>
        <patternFill patternType="solid">
          <fgColor indexed="64"/>
          <bgColor rgb="FFFFFF00"/>
        </patternFill>
      </fill>
    </dxf>
    <dxf>
      <numFmt numFmtId="0" formatCode="General"/>
    </dxf>
    <dxf>
      <numFmt numFmtId="0" formatCode="General"/>
    </dxf>
    <dxf>
      <numFmt numFmtId="173" formatCode="&quot;$&quot;#,##0_);\(&quot;$&quot;#,##0\)"/>
    </dxf>
    <dxf>
      <numFmt numFmtId="173" formatCode="&quot;$&quot;#,##0_);\(&quot;$&quot;#,##0\)"/>
    </dxf>
    <dxf>
      <numFmt numFmtId="173" formatCode="&quot;$&quot;#,##0_);\(&quot;$&quot;#,##0\)"/>
    </dxf>
    <dxf>
      <numFmt numFmtId="173" formatCode="&quot;$&quot;#,##0_);\(&quot;$&quot;#,##0\)"/>
    </dxf>
    <dxf>
      <numFmt numFmtId="205" formatCode="m/d/yyyy"/>
    </dxf>
    <dxf>
      <numFmt numFmtId="206" formatCode="#,##0_);\(#,##0\)"/>
    </dxf>
    <dxf>
      <protection locked="1" hidden="0"/>
    </dxf>
    <dxf>
      <font>
        <strike val="0"/>
        <outline val="0"/>
        <shadow val="0"/>
        <u val="none"/>
        <vertAlign val="baseline"/>
        <sz val="12"/>
        <color auto="1"/>
        <name val="Calibri"/>
        <family val="2"/>
        <scheme val="minor"/>
      </font>
      <fill>
        <patternFill patternType="solid">
          <fgColor indexed="64"/>
          <bgColor theme="7"/>
        </patternFill>
      </fill>
    </dxf>
    <dxf>
      <font>
        <b val="0"/>
        <strike val="0"/>
        <outline val="0"/>
        <shadow val="0"/>
        <u val="none"/>
        <vertAlign val="baseline"/>
        <sz val="11"/>
        <color auto="1"/>
        <name val="Calibri"/>
        <family val="2"/>
        <scheme val="minor"/>
      </font>
    </dxf>
    <dxf>
      <protection locked="0" hidden="0"/>
    </dxf>
    <dxf>
      <font>
        <strike val="0"/>
        <outline val="0"/>
        <shadow val="0"/>
        <u val="none"/>
        <vertAlign val="baseline"/>
        <sz val="11"/>
        <color auto="1"/>
      </font>
    </dxf>
    <dxf>
      <font>
        <strike val="0"/>
        <outline val="0"/>
        <shadow val="0"/>
        <u val="none"/>
        <vertAlign val="baseline"/>
        <sz val="11"/>
        <color auto="1"/>
      </font>
    </dxf>
    <dxf>
      <font>
        <strike val="0"/>
        <outline val="0"/>
        <shadow val="0"/>
        <u val="none"/>
        <vertAlign val="baseline"/>
        <sz val="11"/>
        <color auto="1"/>
      </font>
    </dxf>
    <dxf>
      <protection locked="0" hidden="0"/>
    </dxf>
    <dxf>
      <font>
        <strike val="0"/>
        <outline val="0"/>
        <shadow val="0"/>
        <u val="none"/>
        <vertAlign val="baseline"/>
        <sz val="11"/>
        <color auto="1"/>
      </font>
    </dxf>
    <dxf>
      <border>
        <bottom style="thin">
          <color theme="0"/>
        </bottom>
      </border>
    </dxf>
    <dxf>
      <font>
        <b val="0"/>
        <i val="0"/>
        <strike val="0"/>
        <condense val="0"/>
        <extend val="0"/>
        <outline val="0"/>
        <shadow val="0"/>
        <u val="none"/>
        <vertAlign val="baseline"/>
        <sz val="12"/>
        <color theme="1"/>
        <name val="Calibri"/>
        <family val="2"/>
        <scheme val="minor"/>
      </font>
      <fill>
        <patternFill patternType="solid">
          <fgColor indexed="64"/>
          <bgColor theme="7"/>
        </patternFill>
      </fill>
      <border diagonalUp="0" diagonalDown="0">
        <left style="thin">
          <color theme="0"/>
        </left>
        <right style="thin">
          <color theme="0"/>
        </right>
        <top/>
        <bottom/>
        <vertical style="thin">
          <color theme="0"/>
        </vertical>
        <horizontal style="thin">
          <color theme="0"/>
        </horizontal>
      </border>
    </dxf>
    <dxf>
      <font>
        <b val="0"/>
        <i val="0"/>
        <strike val="0"/>
        <condense val="0"/>
        <extend val="0"/>
        <outline val="0"/>
        <shadow val="0"/>
        <u val="none"/>
        <vertAlign val="baseline"/>
        <sz val="11"/>
        <color theme="1"/>
        <name val="Calibri"/>
        <family val="2"/>
        <scheme val="minor"/>
      </font>
      <numFmt numFmtId="197" formatCode="0.00_);\(0.0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97" formatCode="0.00_);\(0.00\)"/>
      <alignment horizontal="general" vertical="bottom" textRotation="0" wrapText="1" indent="0" justifyLastLine="0" shrinkToFit="0" readingOrder="0"/>
    </dxf>
    <dxf>
      <font>
        <strike val="0"/>
        <outline val="0"/>
        <shadow val="0"/>
        <u val="none"/>
        <vertAlign val="baseline"/>
        <sz val="11"/>
        <color theme="1"/>
        <name val="Calibri"/>
        <scheme val="minor"/>
      </font>
      <numFmt numFmtId="197" formatCode="0.00_);\(0.00\)"/>
      <fill>
        <patternFill patternType="solid">
          <fgColor indexed="64"/>
          <bgColor rgb="FFFDFD96"/>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7" formatCode="0.00_);\(0.0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97" formatCode="0.00_);\(0.00\)"/>
      <fill>
        <patternFill patternType="solid">
          <fgColor indexed="64"/>
          <bgColor rgb="FFFDFD96"/>
        </patternFill>
      </fill>
      <alignment horizontal="right" vertical="bottom" textRotation="0" wrapText="0" indent="0" justifyLastLine="0" shrinkToFit="0" readingOrder="0"/>
    </dxf>
    <dxf>
      <numFmt numFmtId="196" formatCode="_(@_)"/>
      <alignment horizontal="left" vertical="bottom" textRotation="0" wrapText="0" indent="0" justifyLastLine="0" shrinkToFit="0" readingOrder="0"/>
    </dxf>
    <dxf>
      <font>
        <strike val="0"/>
        <outline val="0"/>
        <shadow val="0"/>
        <u val="none"/>
        <vertAlign val="baseline"/>
        <sz val="11"/>
        <color theme="1"/>
        <name val="Calibri"/>
        <scheme val="minor"/>
      </font>
      <numFmt numFmtId="196" formatCode="_(@_)"/>
      <alignment horizontal="left" vertical="bottom" textRotation="0" wrapText="0" relativeIndent="-1" justifyLastLine="0" shrinkToFit="0" readingOrder="0"/>
    </dxf>
    <dxf>
      <font>
        <strike val="0"/>
        <outline val="0"/>
        <shadow val="0"/>
        <u val="none"/>
        <vertAlign val="baseline"/>
        <sz val="10"/>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2"/>
        <color theme="1"/>
        <name val="Calibri"/>
        <scheme val="minor"/>
      </font>
      <alignment vertical="center" textRotation="0" wrapText="0" indent="0" justifyLastLine="0" shrinkToFit="0" readingOrder="0"/>
    </dxf>
    <dxf>
      <font>
        <b val="0"/>
        <i val="0"/>
        <strike val="0"/>
        <condense val="0"/>
        <extend val="0"/>
        <outline val="0"/>
        <shadow val="0"/>
        <u val="none"/>
        <vertAlign val="baseline"/>
        <sz val="10"/>
        <color theme="1"/>
        <name val="Malgun Gothic"/>
        <family val="2"/>
        <scheme val="none"/>
      </font>
      <numFmt numFmtId="174" formatCode="&quot;$&quot;#,##0_);[Red]\(&quot;$&quot;#,##0\)"/>
      <alignment horizontal="left" vertical="center" textRotation="0" wrapText="0" indent="0" justifyLastLine="0" shrinkToFit="0" readingOrder="0"/>
    </dxf>
    <dxf>
      <font>
        <b val="0"/>
        <i val="0"/>
        <strike val="0"/>
        <condense val="0"/>
        <extend val="0"/>
        <outline val="0"/>
        <shadow val="0"/>
        <u val="none"/>
        <vertAlign val="baseline"/>
        <sz val="10"/>
        <color theme="9" tint="-0.499984740745262"/>
        <name val="Malgun Gothic"/>
        <family val="2"/>
        <scheme val="none"/>
      </font>
      <numFmt numFmtId="174"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10"/>
        <color theme="1" tint="0.249977111117893"/>
        <name val="Malgun Gothic"/>
        <family val="2"/>
        <scheme val="none"/>
      </font>
      <numFmt numFmtId="174"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10"/>
        <color theme="1" tint="0.249977111117893"/>
        <name val="Malgun Gothic"/>
        <family val="2"/>
        <scheme val="none"/>
      </font>
      <numFmt numFmtId="174"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10"/>
        <color theme="1" tint="0.249977111117893"/>
        <name val="Malgun Gothic"/>
        <family val="2"/>
        <scheme val="none"/>
      </font>
      <numFmt numFmtId="174"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10"/>
        <color theme="1" tint="0.249977111117893"/>
        <name val="Malgun Gothic"/>
        <family val="2"/>
        <scheme val="none"/>
      </font>
      <alignment vertical="center" textRotation="0" wrapText="0" indent="0" justifyLastLine="0" shrinkToFit="0" readingOrder="0"/>
    </dxf>
    <dxf>
      <font>
        <b val="0"/>
        <i val="0"/>
        <strike val="0"/>
        <condense val="0"/>
        <extend val="0"/>
        <outline val="0"/>
        <shadow val="0"/>
        <u val="none"/>
        <vertAlign val="baseline"/>
        <sz val="10"/>
        <color theme="1" tint="0.249977111117893"/>
        <name val="Malgun Gothic"/>
        <family val="2"/>
        <scheme val="none"/>
      </font>
      <alignment horizontal="left" vertical="center" textRotation="0" wrapText="0" indent="1" justifyLastLine="0" shrinkToFit="0" readingOrder="0"/>
    </dxf>
    <dxf>
      <font>
        <b val="0"/>
        <i val="0"/>
        <strike val="0"/>
        <condense val="0"/>
        <extend val="0"/>
        <outline val="0"/>
        <shadow val="0"/>
        <u val="none"/>
        <vertAlign val="baseline"/>
        <sz val="10"/>
        <color theme="1"/>
        <name val="Malgun Gothic"/>
        <family val="2"/>
        <scheme val="none"/>
      </font>
      <alignment horizontal="left" vertical="center" textRotation="0" wrapText="0" indent="0" justifyLastLine="0" shrinkToFit="0" readingOrder="0"/>
    </dxf>
    <dxf>
      <fill>
        <patternFill patternType="solid">
          <fgColor rgb="FFD9E1F2"/>
          <bgColor rgb="FF000000"/>
        </patternFill>
      </fill>
    </dxf>
    <dxf>
      <font>
        <b val="0"/>
        <i val="0"/>
        <strike val="0"/>
        <condense val="0"/>
        <extend val="0"/>
        <outline val="0"/>
        <shadow val="0"/>
        <u val="none"/>
        <vertAlign val="baseline"/>
        <sz val="10"/>
        <color theme="1"/>
        <name val="Malgun Gothic"/>
        <family val="2"/>
        <scheme val="none"/>
      </font>
      <alignment vertical="center" textRotation="0" wrapText="0" indent="0" justifyLastLine="0" shrinkToFit="0" readingOrder="0"/>
    </dxf>
    <dxf>
      <font>
        <b val="0"/>
        <i val="0"/>
        <strike val="0"/>
        <condense val="0"/>
        <extend val="0"/>
        <outline val="0"/>
        <shadow val="0"/>
        <u val="none"/>
        <vertAlign val="baseline"/>
        <sz val="10"/>
        <color theme="9" tint="-0.499984740745262"/>
        <name val="Malgun Gothic"/>
        <family val="2"/>
        <scheme val="none"/>
      </font>
      <alignment horizontal="center" vertical="center" textRotation="0" wrapText="1" indent="0" justifyLastLine="0" shrinkToFit="0" readingOrder="0"/>
    </dxf>
    <dxf>
      <fill>
        <patternFill patternType="solid">
          <fgColor indexed="64"/>
          <bgColor rgb="FFFDFD96"/>
        </patternFill>
      </fill>
    </dxf>
    <dxf>
      <fill>
        <patternFill patternType="solid">
          <fgColor indexed="64"/>
          <bgColor rgb="FFFDFD96"/>
        </patternFill>
      </fill>
    </dxf>
    <dxf>
      <font>
        <b/>
      </font>
    </dxf>
    <dxf>
      <numFmt numFmtId="2" formatCode="0.00"/>
    </dxf>
    <dxf>
      <numFmt numFmtId="2" formatCode="0.00"/>
    </dxf>
    <dxf>
      <numFmt numFmtId="207" formatCode="d/mm/yyyy"/>
    </dxf>
    <dxf>
      <numFmt numFmtId="2" formatCode="0.00"/>
    </dxf>
    <dxf>
      <numFmt numFmtId="2" formatCode="0.00"/>
    </dxf>
    <dxf>
      <numFmt numFmtId="207" formatCode="d/mm/yyyy"/>
    </dxf>
    <dxf>
      <numFmt numFmtId="2" formatCode="0.00"/>
    </dxf>
    <dxf>
      <numFmt numFmtId="2" formatCode="0.00"/>
    </dxf>
    <dxf>
      <numFmt numFmtId="207" formatCode="d/mm/yyyy"/>
    </dxf>
    <dxf>
      <numFmt numFmtId="2" formatCode="0.00"/>
    </dxf>
    <dxf>
      <numFmt numFmtId="2" formatCode="0.00"/>
    </dxf>
    <dxf>
      <numFmt numFmtId="207" formatCode="d/mm/yyyy"/>
    </dxf>
    <dxf>
      <numFmt numFmtId="2" formatCode="0.00"/>
    </dxf>
    <dxf>
      <numFmt numFmtId="2" formatCode="0.00"/>
    </dxf>
    <dxf>
      <numFmt numFmtId="207" formatCode="d/mm/yyyy"/>
    </dxf>
    <dxf>
      <numFmt numFmtId="2" formatCode="0.00"/>
    </dxf>
    <dxf>
      <numFmt numFmtId="2" formatCode="0.00"/>
    </dxf>
    <dxf>
      <numFmt numFmtId="207" formatCode="d/mm/yyyy"/>
    </dxf>
    <dxf>
      <numFmt numFmtId="187" formatCode="_-[$$-409]* #,##0.00_ ;_-[$$-409]* \-#,##0.00\ ;_-[$$-409]* &quot;-&quot;??_ ;_-@_ "/>
    </dxf>
    <dxf>
      <numFmt numFmtId="187" formatCode="_-[$$-409]* #,##0.00_ ;_-[$$-409]* \-#,##0.00\ ;_-[$$-409]* &quot;-&quot;??_ ;_-@_ "/>
    </dxf>
    <dxf>
      <numFmt numFmtId="187" formatCode="_-[$$-409]* #,##0.00_ ;_-[$$-409]* \-#,##0.00\ ;_-[$$-409]* &quot;-&quot;??_ ;_-@_ "/>
    </dxf>
    <dxf>
      <numFmt numFmtId="187" formatCode="_-[$$-409]* #,##0.00_ ;_-[$$-409]* \-#,##0.00\ ;_-[$$-409]* &quot;-&quot;??_ ;_-@_ "/>
    </dxf>
    <dxf>
      <numFmt numFmtId="0" formatCode="General"/>
    </dxf>
    <dxf>
      <numFmt numFmtId="0" formatCode="General"/>
    </dxf>
    <dxf>
      <numFmt numFmtId="184" formatCode="&quot;$&quot;#,##0.00"/>
    </dxf>
    <dxf>
      <numFmt numFmtId="199" formatCode="[$-14809]d\ mmm\ yyyy;@"/>
      <border>
        <left style="thin">
          <color rgb="FF000000"/>
        </left>
      </border>
    </dxf>
    <dxf>
      <numFmt numFmtId="187" formatCode="_-[$$-409]* #,##0.00_ ;_-[$$-409]* \-#,##0.00\ ;_-[$$-409]* &quot;-&quot;??_ ;_-@_ "/>
    </dxf>
    <dxf>
      <numFmt numFmtId="187" formatCode="_-[$$-409]* #,##0.00_ ;_-[$$-409]* \-#,##0.00\ ;_-[$$-409]* &quot;-&quot;??_ ;_-@_ "/>
    </dxf>
    <dxf>
      <numFmt numFmtId="187" formatCode="_-[$$-409]* #,##0.00_ ;_-[$$-409]* \-#,##0.00\ ;_-[$$-409]* &quot;-&quot;??_ ;_-@_ "/>
    </dxf>
    <dxf>
      <numFmt numFmtId="170" formatCode="_([$$-409]* #,##0.00_);_([$$-409]* \(#,##0.00\);_([$$-409]* &quot;-&quot;??_);_(@_)"/>
    </dxf>
    <dxf>
      <border>
        <top style="thin">
          <color rgb="FF000000"/>
        </top>
        <bottom style="double">
          <color rgb="FF000000"/>
        </bottom>
      </border>
    </dxf>
    <dxf>
      <numFmt numFmtId="187" formatCode="_-[$$-409]* #,##0.00_ ;_-[$$-409]* \-#,##0.00\ ;_-[$$-409]* &quot;-&quot;??_ ;_-@_ "/>
    </dxf>
    <dxf>
      <numFmt numFmtId="184" formatCode="&quot;$&quot;#,##0.00"/>
    </dxf>
    <dxf>
      <numFmt numFmtId="187" formatCode="_-[$$-409]* #,##0.00_ ;_-[$$-409]* \-#,##0.00\ ;_-[$$-409]* &quot;-&quot;??_ ;_-@_ "/>
    </dxf>
    <dxf>
      <numFmt numFmtId="204" formatCode="d/m/yyyy"/>
    </dxf>
    <dxf>
      <numFmt numFmtId="187" formatCode="_-[$$-409]* #,##0.00_ ;_-[$$-409]* \-#,##0.00\ ;_-[$$-409]* &quot;-&quot;??_ ;_-@_ "/>
    </dxf>
    <dxf>
      <numFmt numFmtId="184" formatCode="&quot;$&quot;#,##0.00"/>
    </dxf>
    <dxf>
      <numFmt numFmtId="0" formatCode="General"/>
    </dxf>
    <dxf>
      <numFmt numFmtId="183" formatCode="0_);[Red]\(0\)"/>
    </dxf>
    <dxf>
      <numFmt numFmtId="170" formatCode="_([$$-409]* #,##0.00_);_([$$-409]* \(#,##0.00\);_([$$-409]* &quot;-&quot;??_);_(@_)"/>
    </dxf>
    <dxf>
      <numFmt numFmtId="204" formatCode="d/m/yyyy"/>
    </dxf>
    <dxf>
      <numFmt numFmtId="208" formatCode="yyyy/m/d"/>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fill>
        <patternFill patternType="solid">
          <fgColor indexed="64"/>
          <bgColor rgb="FFB4C6E7"/>
        </patternFill>
      </fill>
    </dxf>
    <dxf>
      <numFmt numFmtId="172" formatCode="_-[$$-C09]* #,##0.00_-;\-[$$-C09]* #,##0.00_-;_-[$$-C09]* &quot;-&quot;??_-;_-@_-"/>
      <alignment horizontal="center" textRotation="0" wrapText="0" indent="0" justifyLastLine="0" shrinkToFit="0" readingOrder="0"/>
    </dxf>
    <dxf>
      <numFmt numFmtId="172" formatCode="_-[$$-C09]* #,##0.00_-;\-[$$-C09]* #,##0.00_-;_-[$$-C09]* &quot;-&quot;??_-;_-@_-"/>
      <alignment horizontal="center" textRotation="0" wrapText="0" indent="0" justifyLastLine="0" shrinkToFit="0" readingOrder="0"/>
    </dxf>
    <dxf>
      <numFmt numFmtId="172" formatCode="_-[$$-C09]* #,##0.00_-;\-[$$-C09]* #,##0.00_-;_-[$$-C09]* &quot;-&quot;??_-;_-@_-"/>
      <alignment horizontal="center" textRotation="0" wrapText="0" indent="0" justifyLastLine="0" shrinkToFit="0" readingOrder="0"/>
    </dxf>
    <dxf>
      <numFmt numFmtId="172" formatCode="_-[$$-C09]* #,##0.00_-;\-[$$-C09]* #,##0.00_-;_-[$$-C09]* &quot;-&quot;??_-;_-@_-"/>
      <alignment horizontal="center" textRotation="0" wrapText="0" indent="0" justifyLastLine="0" shrinkToFit="0" readingOrder="0"/>
    </dxf>
    <dxf>
      <numFmt numFmtId="172" formatCode="_-[$$-C09]* #,##0.00_-;\-[$$-C09]* #,##0.00_-;_-[$$-C09]* &quot;-&quot;??_-;_-@_-"/>
      <alignment horizontal="center" textRotation="0" wrapText="0" indent="0" justifyLastLine="0" shrinkToFit="0" readingOrder="0"/>
    </dxf>
    <dxf>
      <alignment horizontal="center" textRotation="0" wrapText="0" indent="0" justifyLastLine="0" shrinkToFit="0" readingOrder="0"/>
    </dxf>
    <dxf>
      <numFmt numFmtId="0" formatCode="General"/>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rgb="FFFFFFFF"/>
        <name val="Calibri"/>
        <family val="2"/>
        <scheme val="minor"/>
      </font>
      <fill>
        <patternFill patternType="solid">
          <fgColor indexed="64"/>
          <bgColor theme="4" tint="-0.249977111117893"/>
        </patternFill>
      </fill>
      <alignment horizontal="center" vertical="center" textRotation="0" wrapText="0" indent="0" justifyLastLine="0" shrinkToFit="0" readingOrder="0"/>
    </dxf>
    <dxf>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family val="2"/>
        <scheme val="none"/>
      </font>
      <numFmt numFmtId="185" formatCode="[$-409]d\-mmm\-yyyy;@"/>
      <fill>
        <patternFill patternType="none">
          <fgColor indexed="64"/>
          <bgColor indexed="65"/>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top style="thin">
          <color rgb="FF000000"/>
        </top>
      </border>
    </dxf>
    <dxf>
      <border>
        <left style="medium">
          <color rgb="FF000000"/>
        </left>
        <right style="medium">
          <color rgb="FF000000"/>
        </right>
        <top style="medium">
          <color rgb="FF000000"/>
        </top>
        <bottom style="medium">
          <color rgb="FF000000"/>
        </bottom>
      </border>
    </dxf>
    <dxf>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rgb="FFFFFFFF"/>
        <name val="Calibri"/>
        <family val="2"/>
        <scheme val="minor"/>
      </font>
      <fill>
        <patternFill patternType="solid">
          <fgColor indexed="64"/>
          <bgColor rgb="FF305496"/>
        </patternFill>
      </fill>
      <alignment horizontal="center" vertical="bottom" textRotation="0" wrapText="0" indent="0" justifyLastLine="0" shrinkToFit="0" readingOrder="0"/>
      <border diagonalUp="0" diagonalDown="0">
        <left style="thin">
          <color rgb="FF000000"/>
        </left>
        <right style="thin">
          <color rgb="FF000000"/>
        </right>
        <top/>
        <bottom/>
      </border>
    </dxf>
    <dxf>
      <numFmt numFmtId="14" formatCode="0.00%"/>
      <alignment horizontal="center" vertical="center" textRotation="0" wrapText="0" indent="0" justifyLastLine="0" shrinkToFit="0" readingOrder="0"/>
    </dxf>
    <dxf>
      <numFmt numFmtId="170" formatCode="_([$$-409]* #,##0.00_);_([$$-409]* \(#,##0.00\);_([$$-409]* &quot;-&quot;??_);_(@_)"/>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78" formatCode="_(&quot;$&quot;* #,##0.00_);_(&quot;$&quot;* \(#,##0.00\);_(&quot;$&quot;* &quot;-&quot;??_);_(@_)"/>
      <alignment horizontal="center" vertical="center" textRotation="0" wrapText="0" indent="0" justifyLastLine="0" shrinkToFit="0" readingOrder="0"/>
    </dxf>
    <dxf>
      <numFmt numFmtId="170" formatCode="_([$$-409]* #,##0.00_);_([$$-409]* \(#,##0.00\);_([$$-409]* &quot;-&quot;??_);_(@_)"/>
      <alignment horizontal="center" vertical="center" textRotation="0" wrapText="0" indent="0" justifyLastLine="0" shrinkToFit="0" readingOrder="0"/>
    </dxf>
    <dxf>
      <numFmt numFmtId="178" formatCode="_(&quot;$&quot;* #,##0.00_);_(&quot;$&quot;* \(#,##0.00\);_(&quot;$&quot;* &quot;-&quot;??_);_(@_)"/>
      <alignment horizontal="center" vertical="center" textRotation="0" wrapText="0" indent="0" justifyLastLine="0" shrinkToFit="0" readingOrder="0"/>
    </dxf>
    <dxf>
      <numFmt numFmtId="195" formatCode="[$-409]d/m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alignment horizontal="center" vertical="center" textRotation="0" wrapText="0" indent="0" justifyLastLine="0" shrinkToFit="0" readingOrder="0"/>
      <border diagonalUp="0" diagonalDown="0">
        <left/>
        <right style="thin">
          <color rgb="FF000000"/>
        </right>
        <top/>
        <bottom style="thin">
          <color rgb="FF000000"/>
        </bottom>
        <vertical/>
        <horizontal/>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alignment wrapText="1"/>
    </dxf>
    <dxf>
      <alignment wrapText="1"/>
    </dxf>
    <dxf>
      <alignment wrapText="1"/>
    </dxf>
    <dxf>
      <font>
        <b val="0"/>
        <i val="0"/>
        <strike val="0"/>
        <condense val="0"/>
        <extend val="0"/>
        <outline val="0"/>
        <shadow val="0"/>
        <u val="none"/>
        <vertAlign val="baseline"/>
        <sz val="11"/>
        <color rgb="FF000000"/>
        <name val="Calibri"/>
        <family val="2"/>
        <scheme val="none"/>
      </font>
      <numFmt numFmtId="2" formatCode="0.00"/>
    </dxf>
    <dxf>
      <font>
        <b val="0"/>
        <i val="0"/>
        <strike val="0"/>
        <condense val="0"/>
        <extend val="0"/>
        <outline val="0"/>
        <shadow val="0"/>
        <u val="none"/>
        <vertAlign val="baseline"/>
        <sz val="11"/>
        <color rgb="FF000000"/>
        <name val="Calibri"/>
        <family val="2"/>
        <scheme val="none"/>
      </font>
      <numFmt numFmtId="2" formatCode="0.00"/>
    </dxf>
    <dxf>
      <font>
        <b val="0"/>
        <i val="0"/>
        <strike val="0"/>
        <condense val="0"/>
        <extend val="0"/>
        <outline val="0"/>
        <shadow val="0"/>
        <u val="none"/>
        <vertAlign val="baseline"/>
        <sz val="11"/>
        <color rgb="FF000000"/>
        <name val="Calibri"/>
        <family val="2"/>
        <scheme val="none"/>
      </font>
      <numFmt numFmtId="2" formatCode="0.0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204" formatCode="d/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FFD966"/>
        <name val="Calibri"/>
        <family val="2"/>
        <scheme val="none"/>
      </font>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2"/>
        <color auto="1"/>
        <name val="Arial"/>
        <scheme val="none"/>
      </font>
      <alignment horizontal="center" vertical="center" textRotation="0" wrapText="0" indent="0" justifyLastLine="0" shrinkToFit="0" readingOrder="0"/>
      <border diagonalUp="0" diagonalDown="0">
        <left/>
        <right style="thin">
          <color rgb="FF000000"/>
        </right>
        <top/>
        <bottom style="thin">
          <color rgb="FF000000"/>
        </bottom>
        <vertical/>
        <horizontal/>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4" formatCode="0.00%"/>
      <alignment horizontal="center" vertical="center"/>
    </dxf>
    <dxf>
      <alignment horizontal="center" vertical="center"/>
    </dxf>
    <dxf>
      <alignment horizontal="center" vertical="center"/>
    </dxf>
    <dxf>
      <font>
        <b/>
        <i val="0"/>
        <strike val="0"/>
        <condense val="0"/>
        <extend val="0"/>
        <outline val="0"/>
        <shadow val="0"/>
        <u val="none"/>
        <vertAlign val="baseline"/>
        <sz val="14"/>
        <color rgb="FFFFC000"/>
        <name val="Calibri"/>
        <family val="2"/>
        <scheme val="minor"/>
      </font>
      <fill>
        <patternFill patternType="solid">
          <fgColor indexed="64"/>
          <bgColor rgb="FF4472C4"/>
        </patternFill>
      </fill>
      <alignment horizontal="center" vertical="center" textRotation="0" wrapText="0" indent="0" justifyLastLine="0" shrinkToFit="0" readingOrder="0"/>
    </dxf>
    <dxf>
      <font>
        <b/>
      </font>
      <numFmt numFmtId="184" formatCode="&quot;$&quot;#,##0.00"/>
    </dxf>
    <dxf>
      <font>
        <b/>
      </font>
      <numFmt numFmtId="184" formatCode="&quot;$&quot;#,##0.00"/>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border>
        <left style="medium">
          <color rgb="FF000000"/>
        </left>
        <right style="medium">
          <color rgb="FF000000"/>
        </right>
        <top style="medium">
          <color rgb="FF000000"/>
        </top>
        <bottom style="medium">
          <color rgb="FF000000"/>
        </bottom>
      </border>
    </dxf>
    <dxf>
      <font>
        <b/>
      </font>
    </dxf>
    <dxf>
      <font>
        <b/>
        <i val="0"/>
        <strike val="0"/>
        <condense val="0"/>
        <extend val="0"/>
        <outline val="0"/>
        <shadow val="0"/>
        <u val="none"/>
        <vertAlign val="baseline"/>
        <sz val="14"/>
        <color rgb="FF000000"/>
        <name val="Calibri"/>
        <family val="2"/>
        <scheme val="minor"/>
      </font>
      <fill>
        <patternFill patternType="solid">
          <fgColor indexed="64"/>
          <bgColor rgb="FFFFC000"/>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2"/>
        <color auto="1"/>
        <name val="Arial"/>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78" formatCode="_(&quot;$&quot;* #,##0.00_);_(&quot;$&quot;* \(#,##0.00\);_(&quot;$&quot;* &quot;-&quot;??_);_(@_)"/>
      <fill>
        <patternFill patternType="solid">
          <fgColor indexed="64"/>
          <bgColor theme="7"/>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7"/>
        </patternFill>
      </fill>
      <border diagonalUp="0" diagonalDown="0" outline="0">
        <left/>
        <right style="thin">
          <color indexed="64"/>
        </right>
        <top style="thin">
          <color indexed="64"/>
        </top>
        <bottom style="thin">
          <color indexed="64"/>
        </bottom>
      </border>
    </dxf>
    <dxf>
      <font>
        <sz val="14"/>
      </font>
      <numFmt numFmtId="184" formatCode="&quot;$&quot;#,##0.00"/>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family val="2"/>
        <scheme val="minor"/>
      </font>
      <fill>
        <patternFill patternType="solid">
          <fgColor indexed="64"/>
          <bgColor theme="7"/>
        </patternFill>
      </fill>
      <border diagonalUp="0" diagonalDown="0" outline="0">
        <left/>
        <right style="thin">
          <color indexed="64"/>
        </right>
        <top style="thin">
          <color indexed="64"/>
        </top>
        <bottom style="thin">
          <color indexed="64"/>
        </bottom>
      </border>
    </dxf>
    <dxf>
      <font>
        <sz val="14"/>
      </font>
      <fill>
        <patternFill patternType="solid">
          <fgColor indexed="64"/>
          <bgColor theme="4" tint="0.79998168889431442"/>
        </patternFill>
      </fill>
      <border diagonalUp="0" diagonalDown="0">
        <left/>
        <right style="thin">
          <color indexed="64"/>
        </right>
        <top style="thin">
          <color indexed="64"/>
        </top>
        <bottom style="thin">
          <color indexed="64"/>
        </bottom>
        <vertical/>
        <horizontal/>
      </border>
    </dxf>
    <dxf>
      <border outline="0">
        <top style="thin">
          <color indexed="64"/>
        </top>
      </border>
    </dxf>
    <dxf>
      <font>
        <b val="0"/>
        <i val="0"/>
        <strike val="0"/>
        <condense val="0"/>
        <extend val="0"/>
        <outline val="0"/>
        <shadow val="0"/>
        <u val="none"/>
        <vertAlign val="baseline"/>
        <sz val="14"/>
        <color theme="1"/>
        <name val="Calibri"/>
        <family val="2"/>
        <scheme val="minor"/>
      </font>
      <fill>
        <patternFill patternType="solid">
          <fgColor indexed="64"/>
          <bgColor theme="7"/>
        </patternFill>
      </fill>
    </dxf>
    <dxf>
      <border outline="0">
        <right style="thin">
          <color indexed="64"/>
        </right>
      </border>
    </dxf>
    <dxf>
      <border outline="0">
        <bottom style="thin">
          <color indexed="64"/>
        </bottom>
      </border>
    </dxf>
    <dxf>
      <font>
        <b/>
        <i val="0"/>
        <strike val="0"/>
        <condense val="0"/>
        <extend val="0"/>
        <outline val="0"/>
        <shadow val="0"/>
        <u val="none"/>
        <vertAlign val="baseline"/>
        <sz val="14"/>
        <color theme="1"/>
        <name val="Calibri"/>
        <family val="2"/>
        <scheme val="minor"/>
      </font>
      <fill>
        <patternFill patternType="solid">
          <fgColor indexed="64"/>
          <bgColor theme="7"/>
        </patternFill>
      </fill>
    </dxf>
    <dxf>
      <font>
        <sz val="14"/>
      </font>
      <numFmt numFmtId="176" formatCode="&quot;$&quot;#,##0.00_);[Red]\(&quot;$&quot;#,##0.00\)"/>
      <fill>
        <patternFill patternType="solid">
          <fgColor indexed="64"/>
          <bgColor theme="4" tint="0.79998168889431442"/>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sz val="14"/>
      </font>
      <numFmt numFmtId="176" formatCode="&quot;$&quot;#,##0.00_);[Red]\(&quot;$&quot;#,##0.00\)"/>
      <fill>
        <patternFill patternType="solid">
          <fgColor indexed="64"/>
          <bgColor theme="4" tint="0.79998168889431442"/>
        </patternFill>
      </fill>
      <alignment horizontal="center" vertical="bottom" textRotation="0" wrapText="0" indent="0" justifyLastLine="0" shrinkToFit="0" readingOrder="0"/>
      <border diagonalUp="0" diagonalDown="0" outline="0">
        <left style="thin">
          <color rgb="FF000000"/>
        </left>
        <right/>
        <top style="thin">
          <color rgb="FF000000"/>
        </top>
        <bottom/>
      </border>
    </dxf>
    <dxf>
      <font>
        <sz val="14"/>
      </font>
      <numFmt numFmtId="176" formatCode="&quot;$&quot;#,##0.00_);[Red]\(&quot;$&quot;#,##0.00\)"/>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style="thin">
          <color rgb="FF000000"/>
        </top>
        <bottom/>
      </border>
    </dxf>
    <dxf>
      <font>
        <sz val="14"/>
      </font>
      <fill>
        <patternFill patternType="solid">
          <fgColor indexed="64"/>
          <bgColor theme="4" tint="0.79998168889431442"/>
        </patternFill>
      </fill>
      <alignment horizontal="center" vertical="bottom" textRotation="0" wrapText="0" indent="0" justifyLastLine="0" shrinkToFit="0" readingOrder="0"/>
    </dxf>
    <dxf>
      <border outline="0">
        <bottom style="thin">
          <color rgb="FF000000"/>
        </bottom>
      </border>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rgb="FF333333"/>
        <name val="Calibri"/>
        <family val="2"/>
        <scheme val="minor"/>
      </font>
      <fill>
        <patternFill patternType="solid">
          <fgColor indexed="64"/>
          <bgColor rgb="FFF1F1F1"/>
        </patternFill>
      </fill>
      <alignment horizontal="center" vertical="center" textRotation="0" wrapText="1" indent="0" justifyLastLine="0" shrinkToFit="0" readingOrder="0"/>
      <border diagonalUp="0" diagonalDown="0">
        <left style="thin">
          <color rgb="FF000000"/>
        </left>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4"/>
        <color rgb="FF333333"/>
        <name val="Calibri"/>
        <family val="2"/>
        <scheme val="minor"/>
      </font>
      <fill>
        <patternFill patternType="solid">
          <fgColor indexed="64"/>
          <bgColor rgb="FFF1F1F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4"/>
        <color rgb="FF333333"/>
        <name val="Calibri"/>
        <family val="2"/>
        <scheme val="minor"/>
      </font>
      <numFmt numFmtId="189" formatCode="&quot;$&quot;#,##0"/>
      <fill>
        <patternFill patternType="solid">
          <fgColor indexed="64"/>
          <bgColor rgb="FFF1F1F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ertAlign val="baseline"/>
        <sz val="14"/>
        <color theme="10"/>
        <name val="Calibri"/>
        <family val="2"/>
        <scheme val="minor"/>
      </font>
      <fill>
        <patternFill patternType="solid">
          <fgColor indexed="64"/>
          <bgColor rgb="FFF1F1F1"/>
        </patternFill>
      </fill>
      <alignment horizontal="center" vertical="center" textRotation="0" wrapText="1" indent="0" justifyLastLine="0" shrinkToFit="0" readingOrder="0"/>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font>
        <strike val="0"/>
        <outline val="0"/>
        <shadow val="0"/>
        <vertAlign val="baseline"/>
        <sz val="14"/>
        <name val="Calibri"/>
        <family val="2"/>
        <scheme val="minor"/>
      </font>
      <alignment horizontal="center" vertical="center" textRotation="0" indent="0" justifyLastLine="0" shrinkToFit="0" readingOrder="0"/>
    </dxf>
    <dxf>
      <border>
        <bottom style="thin">
          <color rgb="FF000000"/>
        </bottom>
      </border>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u val="none"/>
        <vertAlign val="baseline"/>
        <sz val="14"/>
        <color theme="1"/>
        <name val="Calibri"/>
        <family val="2"/>
        <scheme val="minor"/>
      </font>
      <alignment horizontal="center" vertical="bottom" textRotation="0" wrapText="0" indent="0" justifyLastLine="0" shrinkToFit="0" readingOrder="0"/>
      <border>
        <left style="thin">
          <color rgb="FF000000"/>
        </left>
        <right/>
        <top style="thin">
          <color rgb="FF000000"/>
        </top>
        <bottom style="thin">
          <color rgb="FF000000"/>
        </bottom>
        <vertical style="thin">
          <color rgb="FF000000"/>
        </vertical>
        <horizontal style="thin">
          <color rgb="FF000000"/>
        </horizontal>
      </border>
    </dxf>
    <dxf>
      <font>
        <strike val="0"/>
        <outline val="0"/>
        <shadow val="0"/>
        <u val="none"/>
        <vertAlign val="baseline"/>
        <sz val="14"/>
        <color theme="1"/>
        <name val="Calibri"/>
        <family val="2"/>
        <scheme val="minor"/>
      </font>
      <border outline="0">
        <left style="thin">
          <color rgb="FF000000"/>
        </left>
        <right style="thin">
          <color rgb="FF000000"/>
        </right>
        <top style="thin">
          <color rgb="FF000000"/>
        </top>
        <bottom style="thin">
          <color rgb="FF000000"/>
        </bottom>
      </border>
    </dxf>
    <dxf>
      <font>
        <strike val="0"/>
        <outline val="0"/>
        <shadow val="0"/>
        <u val="none"/>
        <vertAlign val="baseline"/>
        <sz val="14"/>
        <color theme="1"/>
        <name val="Calibri"/>
        <family val="2"/>
        <scheme val="minor"/>
      </font>
      <fill>
        <patternFill patternType="solid">
          <fgColor indexed="64"/>
          <bgColor theme="7" tint="0.79998168889431442"/>
        </patternFill>
      </fill>
      <border outline="0">
        <left style="thin">
          <color rgb="FF000000"/>
        </left>
        <right style="thin">
          <color rgb="FF000000"/>
        </right>
        <top style="thin">
          <color rgb="FF000000"/>
        </top>
        <bottom style="thin">
          <color rgb="FF000000"/>
        </bottom>
      </border>
    </dxf>
    <dxf>
      <font>
        <strike val="0"/>
        <outline val="0"/>
        <shadow val="0"/>
        <u val="none"/>
        <vertAlign val="baseline"/>
        <sz val="14"/>
        <color theme="1"/>
        <name val="Calibri"/>
        <family val="2"/>
        <scheme val="minor"/>
      </font>
      <numFmt numFmtId="14" formatCode="0.00%"/>
      <alignment horizontal="center" vertical="bottom" textRotation="0" wrapText="0"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u val="none"/>
        <vertAlign val="baseline"/>
        <sz val="14"/>
        <color theme="1"/>
        <name val="Calibri"/>
        <family val="2"/>
        <scheme val="minor"/>
      </font>
      <numFmt numFmtId="176" formatCode="&quot;$&quot;#,##0.00_);[Red]\(&quot;$&quot;#,##0.00\)"/>
      <fill>
        <patternFill patternType="solid">
          <fgColor indexed="64"/>
          <bgColor theme="7" tint="0.79998168889431442"/>
        </patternFill>
      </fill>
      <alignment horizontal="center" vertical="bottom" textRotation="0" wrapText="0" indent="0" justifyLastLine="0" shrinkToFit="0" readingOrder="0"/>
      <border outline="0">
        <left/>
        <right style="thin">
          <color rgb="FF000000"/>
        </right>
        <top style="thin">
          <color rgb="FF000000"/>
        </top>
        <bottom style="thin">
          <color rgb="FF000000"/>
        </bottom>
      </border>
    </dxf>
    <dxf>
      <border>
        <top style="thin">
          <color rgb="FF000000"/>
        </top>
      </border>
    </dxf>
    <dxf>
      <border>
        <left style="thin">
          <color rgb="FF000000"/>
        </left>
        <right style="thin">
          <color rgb="FF000000"/>
        </right>
        <top style="thin">
          <color rgb="FF000000"/>
        </top>
        <bottom style="thin">
          <color rgb="FF000000"/>
        </bottom>
      </border>
    </dxf>
    <dxf>
      <font>
        <strike val="0"/>
        <outline val="0"/>
        <shadow val="0"/>
        <u val="none"/>
        <vertAlign val="baseline"/>
        <sz val="14"/>
        <color theme="1"/>
        <name val="Calibri"/>
        <family val="2"/>
        <scheme val="minor"/>
      </font>
    </dxf>
    <dxf>
      <border>
        <bottom style="thin">
          <color rgb="FF000000"/>
        </bottom>
      </border>
    </dxf>
    <dxf>
      <font>
        <strike val="0"/>
        <outline val="0"/>
        <shadow val="0"/>
        <u val="none"/>
        <vertAlign val="baseline"/>
        <sz val="14"/>
        <color theme="1"/>
        <name val="Calibri"/>
        <family val="2"/>
        <scheme val="minor"/>
      </font>
      <border>
        <left style="thin">
          <color rgb="FF000000"/>
        </left>
        <right style="thin">
          <color rgb="FF000000"/>
        </right>
        <top/>
        <bottom/>
        <vertical style="thin">
          <color rgb="FF000000"/>
        </vertical>
        <horizontal style="thin">
          <color rgb="FF000000"/>
        </horizontal>
      </border>
    </dxf>
    <dxf>
      <font>
        <b/>
        <sz val="14"/>
        <color theme="0"/>
      </font>
      <fill>
        <patternFill patternType="solid">
          <fgColor indexed="64"/>
          <bgColor theme="4"/>
        </patternFill>
      </fill>
    </dxf>
    <dxf>
      <font>
        <b/>
        <sz val="14"/>
        <color theme="0"/>
      </font>
      <fill>
        <patternFill patternType="solid">
          <fgColor indexed="64"/>
          <bgColor theme="4"/>
        </patternFill>
      </fill>
    </dxf>
    <dxf>
      <font>
        <b/>
        <sz val="14"/>
        <color theme="0"/>
      </font>
      <fill>
        <patternFill patternType="solid">
          <fgColor indexed="64"/>
          <bgColor theme="4"/>
        </patternFill>
      </fill>
    </dxf>
    <dxf>
      <fill>
        <patternFill>
          <bgColor theme="4" tint="0.59999389629810485"/>
        </patternFill>
      </fill>
    </dxf>
    <dxf>
      <border>
        <top style="thin">
          <color indexed="64"/>
        </top>
        <horizontal style="thin">
          <color indexed="64"/>
        </horizontal>
      </border>
    </dxf>
    <dxf>
      <border>
        <left/>
        <right/>
        <top/>
        <bottom/>
        <vertical/>
      </border>
    </dxf>
    <dxf>
      <font>
        <color theme="0"/>
      </font>
    </dxf>
    <dxf>
      <font>
        <color theme="0"/>
      </font>
    </dxf>
    <dxf>
      <font>
        <color theme="0"/>
      </font>
    </dxf>
    <dxf>
      <fill>
        <patternFill patternType="solid">
          <bgColor theme="4"/>
        </patternFill>
      </fill>
    </dxf>
    <dxf>
      <fill>
        <patternFill patternType="solid">
          <bgColor theme="4"/>
        </patternFill>
      </fill>
    </dxf>
    <dxf>
      <fill>
        <patternFill patternType="solid">
          <bgColor theme="4"/>
        </patternFill>
      </fill>
    </dxf>
    <dxf>
      <font>
        <b/>
        <sz val="14"/>
      </font>
      <fill>
        <patternFill patternType="none">
          <fgColor indexed="64"/>
          <bgColor indexed="65"/>
        </patternFill>
      </fill>
    </dxf>
    <dxf>
      <font>
        <b/>
        <sz val="14"/>
      </font>
      <fill>
        <patternFill patternType="none">
          <fgColor indexed="64"/>
          <bgColor indexed="65"/>
        </patternFill>
      </fill>
    </dxf>
    <dxf>
      <font>
        <b/>
        <sz val="14"/>
      </font>
      <fill>
        <patternFill patternType="none">
          <fgColor indexed="64"/>
          <bgColor indexed="6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ont>
        <b/>
        <sz val="14"/>
        <color theme="0"/>
      </font>
      <fill>
        <patternFill patternType="solid">
          <fgColor indexed="64"/>
          <bgColor theme="4"/>
        </patternFill>
      </fill>
    </dxf>
    <dxf>
      <font>
        <b/>
        <sz val="14"/>
        <color theme="0"/>
      </font>
      <fill>
        <patternFill patternType="solid">
          <fgColor indexed="64"/>
          <bgColor theme="4"/>
        </patternFill>
      </fill>
    </dxf>
    <dxf>
      <font>
        <b/>
        <sz val="14"/>
        <color theme="0"/>
      </font>
      <fill>
        <patternFill patternType="solid">
          <fgColor indexed="64"/>
          <bgColor theme="4"/>
        </patternFill>
      </fill>
    </dxf>
    <dxf>
      <fill>
        <patternFill>
          <bgColor theme="4" tint="0.59999389629810485"/>
        </patternFill>
      </fill>
    </dxf>
    <dxf>
      <border>
        <top style="thin">
          <color indexed="64"/>
        </top>
        <horizontal style="thin">
          <color indexed="64"/>
        </horizontal>
      </border>
    </dxf>
    <dxf>
      <border>
        <left/>
        <right/>
        <top/>
        <bottom/>
        <vertical/>
      </border>
    </dxf>
    <dxf>
      <font>
        <color theme="0"/>
      </font>
    </dxf>
    <dxf>
      <font>
        <color theme="0"/>
      </font>
    </dxf>
    <dxf>
      <font>
        <color theme="0"/>
      </font>
    </dxf>
    <dxf>
      <fill>
        <patternFill patternType="solid">
          <bgColor theme="4"/>
        </patternFill>
      </fill>
    </dxf>
    <dxf>
      <fill>
        <patternFill patternType="solid">
          <bgColor theme="4"/>
        </patternFill>
      </fill>
    </dxf>
    <dxf>
      <fill>
        <patternFill patternType="solid">
          <bgColor theme="4"/>
        </patternFill>
      </fill>
    </dxf>
    <dxf>
      <font>
        <b/>
        <sz val="14"/>
      </font>
      <fill>
        <patternFill patternType="none">
          <fgColor indexed="64"/>
          <bgColor indexed="65"/>
        </patternFill>
      </fill>
    </dxf>
    <dxf>
      <font>
        <b/>
        <sz val="14"/>
      </font>
      <fill>
        <patternFill patternType="none">
          <fgColor indexed="64"/>
          <bgColor indexed="65"/>
        </patternFill>
      </fill>
    </dxf>
    <dxf>
      <font>
        <b/>
        <sz val="14"/>
      </font>
      <fill>
        <patternFill patternType="none">
          <fgColor indexed="64"/>
          <bgColor indexed="6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ont>
        <b/>
        <color theme="1"/>
      </font>
      <border>
        <bottom style="thin">
          <color theme="4"/>
        </bottom>
        <vertical/>
        <horizontal/>
      </border>
    </dxf>
    <dxf>
      <font>
        <color theme="1"/>
      </font>
      <border diagonalUp="0" diagonalDown="0">
        <left/>
        <right/>
        <top/>
        <bottom/>
        <vertical/>
        <horizontal/>
      </border>
    </dxf>
    <dxf>
      <font>
        <b val="0"/>
        <i val="0"/>
        <color theme="3" tint="0.24994659260841701"/>
      </font>
      <fill>
        <patternFill patternType="none">
          <bgColor auto="1"/>
        </patternFill>
      </fill>
      <border>
        <top style="double">
          <color theme="3" tint="9.9948118533890809E-2"/>
        </top>
      </border>
    </dxf>
    <dxf>
      <font>
        <b val="0"/>
        <i val="0"/>
        <color theme="4" tint="-0.24994659260841701"/>
      </font>
      <fill>
        <patternFill patternType="none">
          <fgColor indexed="64"/>
          <bgColor auto="1"/>
        </patternFill>
      </fill>
      <border diagonalUp="0" diagonalDown="0">
        <left/>
        <right/>
        <top/>
        <bottom style="thin">
          <color theme="2" tint="-0.24994659260841701"/>
        </bottom>
        <vertical/>
        <horizontal/>
      </border>
    </dxf>
    <dxf>
      <font>
        <b val="0"/>
        <i val="0"/>
        <color theme="3" tint="0.24994659260841701"/>
      </font>
      <fill>
        <patternFill patternType="none">
          <bgColor auto="1"/>
        </patternFill>
      </fill>
      <border diagonalUp="0" diagonalDown="0">
        <left/>
        <right/>
        <top/>
        <bottom/>
        <vertical/>
        <horizontal style="thin">
          <color theme="2" tint="-0.24994659260841701"/>
        </horizontal>
      </border>
    </dxf>
    <dxf>
      <font>
        <b val="0"/>
        <i val="0"/>
        <color theme="3" tint="0.24994659260841701"/>
      </font>
      <fill>
        <patternFill patternType="none">
          <bgColor auto="1"/>
        </patternFill>
      </fill>
      <border>
        <top style="double">
          <color theme="3" tint="9.9948118533890809E-2"/>
        </top>
      </border>
    </dxf>
    <dxf>
      <font>
        <b val="0"/>
        <i val="0"/>
        <color theme="4" tint="-0.24994659260841701"/>
      </font>
      <fill>
        <patternFill patternType="none">
          <fgColor indexed="64"/>
          <bgColor auto="1"/>
        </patternFill>
      </fill>
      <border diagonalUp="0" diagonalDown="0">
        <left/>
        <right/>
        <top/>
        <bottom style="thin">
          <color theme="2" tint="-0.24994659260841701"/>
        </bottom>
        <vertical/>
        <horizontal/>
      </border>
    </dxf>
    <dxf>
      <font>
        <b val="0"/>
        <i val="0"/>
        <color theme="3" tint="0.24994659260841701"/>
      </font>
      <fill>
        <patternFill patternType="none">
          <bgColor auto="1"/>
        </patternFill>
      </fill>
      <border diagonalUp="0" diagonalDown="0">
        <left/>
        <right/>
        <top/>
        <bottom/>
        <vertical/>
        <horizontal style="thin">
          <color theme="2" tint="-0.24994659260841701"/>
        </horizontal>
      </border>
    </dxf>
    <dxf>
      <font>
        <b val="0"/>
        <i val="0"/>
        <color theme="3" tint="0.24994659260841701"/>
      </font>
      <fill>
        <patternFill patternType="none">
          <bgColor auto="1"/>
        </patternFill>
      </fill>
      <border>
        <top style="double">
          <color theme="3" tint="9.9948118533890809E-2"/>
        </top>
      </border>
    </dxf>
    <dxf>
      <font>
        <b val="0"/>
        <i val="0"/>
        <color theme="4" tint="-0.24994659260841701"/>
      </font>
      <fill>
        <patternFill patternType="none">
          <fgColor indexed="64"/>
          <bgColor auto="1"/>
        </patternFill>
      </fill>
      <border diagonalUp="0" diagonalDown="0">
        <left/>
        <right/>
        <top/>
        <bottom style="thin">
          <color theme="2" tint="-0.24994659260841701"/>
        </bottom>
        <vertical/>
        <horizontal/>
      </border>
    </dxf>
    <dxf>
      <font>
        <b val="0"/>
        <i val="0"/>
        <color theme="3" tint="0.24994659260841701"/>
      </font>
      <fill>
        <patternFill patternType="none">
          <bgColor auto="1"/>
        </patternFill>
      </fill>
      <border diagonalUp="0" diagonalDown="0">
        <left/>
        <right/>
        <top/>
        <bottom/>
        <vertical/>
        <horizontal style="thin">
          <color theme="2" tint="-0.24994659260841701"/>
        </horizontal>
      </border>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style="thick">
          <color theme="0"/>
        </top>
        <bottom style="thin">
          <color theme="0" tint="-0.14996795556505021"/>
        </bottom>
        <vertical/>
        <horizontal style="thin">
          <color theme="0" tint="-0.14996795556505021"/>
        </horizontal>
      </border>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style="thick">
          <color theme="0"/>
        </top>
        <bottom style="thin">
          <color theme="0" tint="-0.14996795556505021"/>
        </bottom>
        <vertical/>
        <horizontal style="thin">
          <color theme="0" tint="-0.14996795556505021"/>
        </horizontal>
      </border>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style="thick">
          <color theme="0"/>
        </top>
        <bottom style="thin">
          <color theme="0" tint="-0.14996795556505021"/>
        </bottom>
        <vertical/>
        <horizontal style="thin">
          <color theme="0" tint="-0.14996795556505021"/>
        </horizontal>
      </border>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style="thick">
          <color theme="0"/>
        </top>
        <bottom style="thin">
          <color theme="0" tint="-0.14996795556505021"/>
        </bottom>
        <vertical/>
        <horizontal style="thin">
          <color theme="0" tint="-0.14996795556505021"/>
        </horizontal>
      </border>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style="thick">
          <color theme="0"/>
        </top>
        <bottom style="thin">
          <color theme="0" tint="-0.14996795556505021"/>
        </bottom>
        <vertical/>
        <horizontal style="thin">
          <color theme="0" tint="-0.14996795556505021"/>
        </horizontal>
      </border>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style="thick">
          <color theme="0"/>
        </top>
        <bottom style="thin">
          <color theme="0" tint="-0.14996795556505021"/>
        </bottom>
        <vertical/>
        <horizontal style="thin">
          <color theme="0" tint="-0.14996795556505021"/>
        </horizontal>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2065187536243"/>
          <bgColor theme="0" tint="-4.9989318521683403E-2"/>
        </patternFill>
      </fill>
    </dxf>
    <dxf>
      <font>
        <b/>
        <i val="0"/>
        <color theme="1" tint="0.24994659260841701"/>
      </font>
    </dxf>
    <dxf>
      <font>
        <b/>
        <i val="0"/>
        <color theme="1" tint="0.24994659260841701"/>
      </font>
    </dxf>
    <dxf>
      <font>
        <color theme="1" tint="0.24994659260841701"/>
      </font>
      <border>
        <top style="double">
          <color theme="4"/>
        </top>
      </border>
    </dxf>
    <dxf>
      <font>
        <b val="0"/>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
      <border>
        <left style="thick">
          <color theme="0"/>
        </left>
        <right style="thick">
          <color theme="0"/>
        </right>
        <vertical style="thick">
          <color theme="0"/>
        </vertical>
      </border>
    </dxf>
    <dxf>
      <border>
        <left style="thick">
          <color theme="0"/>
        </left>
        <right style="thick">
          <color theme="0"/>
        </right>
        <vertical style="thick">
          <color theme="0"/>
        </vertical>
      </border>
    </dxf>
    <dxf>
      <font>
        <color theme="1"/>
      </font>
      <fill>
        <patternFill>
          <bgColor theme="6" tint="0.79998168889431442"/>
        </patternFill>
      </fill>
      <border>
        <bottom style="medium">
          <color theme="0" tint="-0.14993743705557422"/>
        </bottom>
        <vertical style="thick">
          <color theme="0"/>
        </vertical>
      </border>
    </dxf>
    <dxf>
      <font>
        <b val="0"/>
        <i val="0"/>
      </font>
      <border>
        <top style="dotted">
          <color theme="0" tint="-0.499984740745262"/>
        </top>
      </border>
    </dxf>
    <dxf>
      <font>
        <color theme="3"/>
      </font>
      <border>
        <horizontal style="thin">
          <color theme="0" tint="-0.14996795556505021"/>
        </horizontal>
      </border>
    </dxf>
  </dxfs>
  <tableStyles count="12" defaultTableStyle="TableStyleMedium2" defaultPivotStyle="PivotStyleLight16">
    <tableStyle name="CashSummaryTable" pivot="0" count="5" xr9:uid="{53772B69-EBF2-421F-B9AE-82C814EA01F1}">
      <tableStyleElement type="wholeTable" dxfId="371"/>
      <tableStyleElement type="headerRow" dxfId="370"/>
      <tableStyleElement type="totalRow" dxfId="369"/>
      <tableStyleElement type="firstColumnStripe" dxfId="368"/>
      <tableStyleElement type="secondColumnStripe" dxfId="367"/>
    </tableStyle>
    <tableStyle name="Loan Calculator" pivot="0" count="7" xr9:uid="{BF50A04E-4926-45DE-8845-684D50610630}">
      <tableStyleElement type="wholeTable" dxfId="366"/>
      <tableStyleElement type="headerRow" dxfId="365"/>
      <tableStyleElement type="totalRow" dxfId="364"/>
      <tableStyleElement type="firstColumn" dxfId="363"/>
      <tableStyleElement type="lastColumn" dxfId="362"/>
      <tableStyleElement type="firstRowStripe" dxfId="361"/>
      <tableStyleElement type="firstColumnStripe" dxfId="360"/>
    </tableStyle>
    <tableStyle name="Mortgage calculator" pivot="0" count="4" xr9:uid="{70784736-C6A3-47AF-B262-9AD91BCFAE4D}">
      <tableStyleElement type="wholeTable" dxfId="359"/>
      <tableStyleElement type="headerRow" dxfId="358"/>
      <tableStyleElement type="lastColumn" dxfId="357"/>
      <tableStyleElement type="secondColumnStripe" dxfId="356"/>
    </tableStyle>
    <tableStyle name="Mortgage calculator 2" pivot="0" count="4" xr9:uid="{EE7AA799-5AA8-49F8-8B41-8FC307AB9D71}">
      <tableStyleElement type="wholeTable" dxfId="355"/>
      <tableStyleElement type="headerRow" dxfId="354"/>
      <tableStyleElement type="lastColumn" dxfId="353"/>
      <tableStyleElement type="secondColumnStripe" dxfId="352"/>
    </tableStyle>
    <tableStyle name="Mortgage calculator 3" pivot="0" count="4" xr9:uid="{3575C982-0D6C-440D-8D5D-D193D670BECE}">
      <tableStyleElement type="wholeTable" dxfId="351"/>
      <tableStyleElement type="headerRow" dxfId="350"/>
      <tableStyleElement type="lastColumn" dxfId="349"/>
      <tableStyleElement type="secondColumnStripe" dxfId="348"/>
    </tableStyle>
    <tableStyle name="Mortgage calculator 4" pivot="0" count="4" xr9:uid="{FE25F0C1-E8E4-4501-938F-58188FA5D857}">
      <tableStyleElement type="wholeTable" dxfId="347"/>
      <tableStyleElement type="headerRow" dxfId="346"/>
      <tableStyleElement type="lastColumn" dxfId="345"/>
      <tableStyleElement type="secondColumnStripe" dxfId="344"/>
    </tableStyle>
    <tableStyle name="Mortgage calculator 5" pivot="0" count="4" xr9:uid="{4C143B28-4B21-4819-B20F-03EE0AAA455A}">
      <tableStyleElement type="wholeTable" dxfId="343"/>
      <tableStyleElement type="headerRow" dxfId="342"/>
      <tableStyleElement type="lastColumn" dxfId="341"/>
      <tableStyleElement type="secondColumnStripe" dxfId="340"/>
    </tableStyle>
    <tableStyle name="Mortgage calculator 6" pivot="0" count="4" xr9:uid="{1AD84F2E-28C7-452B-A0CE-36A90CF71818}">
      <tableStyleElement type="wholeTable" dxfId="339"/>
      <tableStyleElement type="headerRow" dxfId="338"/>
      <tableStyleElement type="lastColumn" dxfId="337"/>
      <tableStyleElement type="secondColumnStripe" dxfId="336"/>
    </tableStyle>
    <tableStyle name="Personal budget table" pivot="0" count="3" xr9:uid="{8884DB74-C156-48D3-BCEC-89E376DB7517}">
      <tableStyleElement type="wholeTable" dxfId="335"/>
      <tableStyleElement type="headerRow" dxfId="334"/>
      <tableStyleElement type="totalRow" dxfId="333"/>
    </tableStyle>
    <tableStyle name="Personal budget table 2" pivot="0" count="3" xr9:uid="{56462A5C-7A55-4DDC-8438-82CA6CF3EE08}">
      <tableStyleElement type="wholeTable" dxfId="332"/>
      <tableStyleElement type="headerRow" dxfId="331"/>
      <tableStyleElement type="totalRow" dxfId="330"/>
    </tableStyle>
    <tableStyle name="Personal budget table 3" pivot="0" count="3" xr9:uid="{B9054C78-FEA2-48BE-A150-AB153B3832C3}">
      <tableStyleElement type="wholeTable" dxfId="329"/>
      <tableStyleElement type="headerRow" dxfId="328"/>
      <tableStyleElement type="totalRow" dxfId="327"/>
    </tableStyle>
    <tableStyle name="Stock Period Slicer" pivot="0" table="0" count="10" xr9:uid="{93DB43BB-449A-4AFA-9C11-B0A819AA97E5}">
      <tableStyleElement type="wholeTable" dxfId="326"/>
      <tableStyleElement type="headerRow" dxfId="325"/>
    </tableStyle>
  </tableStyles>
  <colors>
    <mruColors>
      <color rgb="FF5C5CE6"/>
      <color rgb="FFFDFD96"/>
      <color rgb="FFFFFFDF"/>
      <color rgb="FF9BCBE3"/>
      <color rgb="FFC8EDF7"/>
      <color rgb="FFFFD966"/>
      <color rgb="FFB1D9EC"/>
      <color rgb="FFFDEF3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tock Period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externalLink" Target="externalLinks/externalLink8.xml"/><Relationship Id="rId50" Type="http://schemas.openxmlformats.org/officeDocument/2006/relationships/externalLink" Target="externalLinks/externalLink11.xml"/><Relationship Id="rId55" Type="http://schemas.openxmlformats.org/officeDocument/2006/relationships/pivotCacheDefinition" Target="pivotCache/pivotCacheDefinition2.xml"/><Relationship Id="rId63" Type="http://schemas.openxmlformats.org/officeDocument/2006/relationships/pivotCacheDefinition" Target="pivotCache/pivotCacheDefinition10.xml"/><Relationship Id="rId68" Type="http://schemas.microsoft.com/office/2007/relationships/slicerCache" Target="slicerCaches/slicerCache3.xml"/><Relationship Id="rId76" Type="http://schemas.openxmlformats.org/officeDocument/2006/relationships/sheetMetadata" Target="metadata.xml"/><Relationship Id="rId84" Type="http://schemas.openxmlformats.org/officeDocument/2006/relationships/powerPivotData" Target="model/item.data"/><Relationship Id="rId89" Type="http://schemas.openxmlformats.org/officeDocument/2006/relationships/customXml" Target="../customXml/item3.xml"/><Relationship Id="rId7" Type="http://schemas.openxmlformats.org/officeDocument/2006/relationships/worksheet" Target="worksheets/sheet7.xml"/><Relationship Id="rId71" Type="http://schemas.microsoft.com/office/2007/relationships/slicerCache" Target="slicerCaches/slicerCache6.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3" Type="http://schemas.openxmlformats.org/officeDocument/2006/relationships/externalLink" Target="externalLinks/externalLink14.xml"/><Relationship Id="rId58" Type="http://schemas.openxmlformats.org/officeDocument/2006/relationships/pivotCacheDefinition" Target="pivotCache/pivotCacheDefinition5.xml"/><Relationship Id="rId66" Type="http://schemas.microsoft.com/office/2007/relationships/slicerCache" Target="slicerCaches/slicerCache1.xml"/><Relationship Id="rId74" Type="http://schemas.openxmlformats.org/officeDocument/2006/relationships/styles" Target="styles.xml"/><Relationship Id="rId79" Type="http://schemas.microsoft.com/office/2017/06/relationships/rdArray" Target="richData/rdarray.xml"/><Relationship Id="rId87"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8.xml"/><Relationship Id="rId82" Type="http://schemas.microsoft.com/office/2017/06/relationships/rdSupportingPropertyBag" Target="richData/rdsupportingpropertybag.xml"/><Relationship Id="rId90" Type="http://schemas.openxmlformats.org/officeDocument/2006/relationships/customXml" Target="../customXml/item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externalLink" Target="externalLinks/externalLink9.xml"/><Relationship Id="rId56" Type="http://schemas.openxmlformats.org/officeDocument/2006/relationships/pivotCacheDefinition" Target="pivotCache/pivotCacheDefinition3.xml"/><Relationship Id="rId64" Type="http://schemas.openxmlformats.org/officeDocument/2006/relationships/pivotCacheDefinition" Target="pivotCache/pivotCacheDefinition11.xml"/><Relationship Id="rId69" Type="http://schemas.microsoft.com/office/2007/relationships/slicerCache" Target="slicerCaches/slicerCache4.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externalLink" Target="externalLinks/externalLink12.xml"/><Relationship Id="rId72" Type="http://schemas.openxmlformats.org/officeDocument/2006/relationships/theme" Target="theme/theme1.xml"/><Relationship Id="rId80" Type="http://schemas.microsoft.com/office/2017/06/relationships/richStyles" Target="richData/richStyles.xml"/><Relationship Id="rId85"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7.xml"/><Relationship Id="rId59" Type="http://schemas.openxmlformats.org/officeDocument/2006/relationships/pivotCacheDefinition" Target="pivotCache/pivotCacheDefinition6.xml"/><Relationship Id="rId67" Type="http://schemas.microsoft.com/office/2007/relationships/slicerCache" Target="slicerCaches/slicerCache2.xml"/><Relationship Id="rId20" Type="http://schemas.openxmlformats.org/officeDocument/2006/relationships/worksheet" Target="worksheets/sheet20.xml"/><Relationship Id="rId41" Type="http://schemas.openxmlformats.org/officeDocument/2006/relationships/externalLink" Target="externalLinks/externalLink2.xml"/><Relationship Id="rId54" Type="http://schemas.openxmlformats.org/officeDocument/2006/relationships/pivotCacheDefinition" Target="pivotCache/pivotCacheDefinition1.xml"/><Relationship Id="rId62" Type="http://schemas.openxmlformats.org/officeDocument/2006/relationships/pivotCacheDefinition" Target="pivotCache/pivotCacheDefinition9.xml"/><Relationship Id="rId70" Type="http://schemas.microsoft.com/office/2007/relationships/slicerCache" Target="slicerCaches/slicerCache5.xml"/><Relationship Id="rId75" Type="http://schemas.openxmlformats.org/officeDocument/2006/relationships/sharedStrings" Target="sharedStrings.xml"/><Relationship Id="rId83" Type="http://schemas.microsoft.com/office/2017/06/relationships/rdRichValueTypes" Target="richData/rdRichValueTypes.xml"/><Relationship Id="rId88" Type="http://schemas.openxmlformats.org/officeDocument/2006/relationships/customXml" Target="../customXml/item2.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0.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5.xml"/><Relationship Id="rId52" Type="http://schemas.openxmlformats.org/officeDocument/2006/relationships/externalLink" Target="externalLinks/externalLink13.xml"/><Relationship Id="rId60" Type="http://schemas.openxmlformats.org/officeDocument/2006/relationships/pivotCacheDefinition" Target="pivotCache/pivotCacheDefinition7.xml"/><Relationship Id="rId65" Type="http://schemas.openxmlformats.org/officeDocument/2006/relationships/pivotCacheDefinition" Target="pivotCache/pivotCacheDefinition12.xml"/><Relationship Id="rId73" Type="http://schemas.openxmlformats.org/officeDocument/2006/relationships/connections" Target="connections.xml"/><Relationship Id="rId78" Type="http://schemas.microsoft.com/office/2017/06/relationships/rdRichValueStructure" Target="richData/rdrichvaluestructure.xml"/><Relationship Id="rId81" Type="http://schemas.microsoft.com/office/2017/06/relationships/rdSupportingPropertyBagStructure" Target="richData/rdsupportingpropertybagstructure.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8BD21D3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9.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1.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2.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3.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4.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5.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(Updated).xlsm]Savings Tracker !PivotTable13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1.4611975793647636E-3"/>
              <c:y val="5.34759470874451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3.8851060939877526E-3"/>
              <c:y val="2.408522971182471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'Savings Tracker '!$F$27:$F$28</c:f>
              <c:strCache>
                <c:ptCount val="1"/>
                <c:pt idx="0">
                  <c:v>Current Account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'Savings Tracker '!$E$29:$E$35</c:f>
              <c:strCache>
                <c:ptCount val="6"/>
                <c:pt idx="0">
                  <c:v>DBS</c:v>
                </c:pt>
                <c:pt idx="1">
                  <c:v>HSBC</c:v>
                </c:pt>
                <c:pt idx="2">
                  <c:v>ICBC</c:v>
                </c:pt>
                <c:pt idx="3">
                  <c:v>Maybank</c:v>
                </c:pt>
                <c:pt idx="4">
                  <c:v>OCBC</c:v>
                </c:pt>
                <c:pt idx="5">
                  <c:v>Standard Chartered</c:v>
                </c:pt>
              </c:strCache>
            </c:strRef>
          </c:cat>
          <c:val>
            <c:numRef>
              <c:f>'Savings Tracker '!$F$29:$F$35</c:f>
              <c:numCache>
                <c:formatCode>General</c:formatCode>
                <c:ptCount val="6"/>
                <c:pt idx="0">
                  <c:v>3500</c:v>
                </c:pt>
                <c:pt idx="4">
                  <c:v>5000</c:v>
                </c:pt>
              </c:numCache>
            </c:numRef>
          </c:val>
          <c:extLst>
            <c:ext xmlns:c16="http://schemas.microsoft.com/office/drawing/2014/chart" uri="{C3380CC4-5D6E-409C-BE32-E72D297353CC}">
              <c16:uniqueId val="{00000000-7CE8-4618-B43C-0BFA3223C340}"/>
            </c:ext>
          </c:extLst>
        </c:ser>
        <c:ser>
          <c:idx val="1"/>
          <c:order val="1"/>
          <c:tx>
            <c:strRef>
              <c:f>'Savings Tracker '!$G$27:$G$28</c:f>
              <c:strCache>
                <c:ptCount val="1"/>
                <c:pt idx="0">
                  <c:v>Fixed Deposit Account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'Savings Tracker '!$E$29:$E$35</c:f>
              <c:strCache>
                <c:ptCount val="6"/>
                <c:pt idx="0">
                  <c:v>DBS</c:v>
                </c:pt>
                <c:pt idx="1">
                  <c:v>HSBC</c:v>
                </c:pt>
                <c:pt idx="2">
                  <c:v>ICBC</c:v>
                </c:pt>
                <c:pt idx="3">
                  <c:v>Maybank</c:v>
                </c:pt>
                <c:pt idx="4">
                  <c:v>OCBC</c:v>
                </c:pt>
                <c:pt idx="5">
                  <c:v>Standard Chartered</c:v>
                </c:pt>
              </c:strCache>
            </c:strRef>
          </c:cat>
          <c:val>
            <c:numRef>
              <c:f>'Savings Tracker '!$G$29:$G$35</c:f>
              <c:numCache>
                <c:formatCode>General</c:formatCode>
                <c:ptCount val="6"/>
                <c:pt idx="0">
                  <c:v>4500</c:v>
                </c:pt>
                <c:pt idx="1">
                  <c:v>1000</c:v>
                </c:pt>
                <c:pt idx="3">
                  <c:v>40000</c:v>
                </c:pt>
              </c:numCache>
            </c:numRef>
          </c:val>
          <c:extLst>
            <c:ext xmlns:c16="http://schemas.microsoft.com/office/drawing/2014/chart" uri="{C3380CC4-5D6E-409C-BE32-E72D297353CC}">
              <c16:uniqueId val="{00000008-01C1-4485-B8F2-77C0EE41702F}"/>
            </c:ext>
          </c:extLst>
        </c:ser>
        <c:ser>
          <c:idx val="2"/>
          <c:order val="2"/>
          <c:tx>
            <c:strRef>
              <c:f>'Savings Tracker '!$H$27:$H$28</c:f>
              <c:strCache>
                <c:ptCount val="1"/>
                <c:pt idx="0">
                  <c:v>Savings Account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'Savings Tracker '!$E$29:$E$35</c:f>
              <c:strCache>
                <c:ptCount val="6"/>
                <c:pt idx="0">
                  <c:v>DBS</c:v>
                </c:pt>
                <c:pt idx="1">
                  <c:v>HSBC</c:v>
                </c:pt>
                <c:pt idx="2">
                  <c:v>ICBC</c:v>
                </c:pt>
                <c:pt idx="3">
                  <c:v>Maybank</c:v>
                </c:pt>
                <c:pt idx="4">
                  <c:v>OCBC</c:v>
                </c:pt>
                <c:pt idx="5">
                  <c:v>Standard Chartered</c:v>
                </c:pt>
              </c:strCache>
            </c:strRef>
          </c:cat>
          <c:val>
            <c:numRef>
              <c:f>'Savings Tracker '!$H$29:$H$35</c:f>
              <c:numCache>
                <c:formatCode>General</c:formatCode>
                <c:ptCount val="6"/>
                <c:pt idx="0">
                  <c:v>8000</c:v>
                </c:pt>
                <c:pt idx="1">
                  <c:v>2000</c:v>
                </c:pt>
                <c:pt idx="2">
                  <c:v>1000</c:v>
                </c:pt>
                <c:pt idx="5">
                  <c:v>3400</c:v>
                </c:pt>
              </c:numCache>
            </c:numRef>
          </c:val>
          <c:extLst>
            <c:ext xmlns:c16="http://schemas.microsoft.com/office/drawing/2014/chart" uri="{C3380CC4-5D6E-409C-BE32-E72D297353CC}">
              <c16:uniqueId val="{00000009-01C1-4485-B8F2-77C0EE41702F}"/>
            </c:ext>
          </c:extLst>
        </c:ser>
        <c:dLbls>
          <c:dLblPos val="outEnd"/>
          <c:showLegendKey val="0"/>
          <c:showVal val="1"/>
          <c:showCatName val="0"/>
          <c:showSerName val="0"/>
          <c:showPercent val="0"/>
          <c:showBubbleSize val="0"/>
        </c:dLbls>
        <c:gapWidth val="219"/>
        <c:axId val="523221327"/>
        <c:axId val="523221743"/>
      </c:barChart>
      <c:catAx>
        <c:axId val="52322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221743"/>
        <c:crosses val="autoZero"/>
        <c:auto val="1"/>
        <c:lblAlgn val="ctr"/>
        <c:lblOffset val="100"/>
        <c:noMultiLvlLbl val="0"/>
      </c:catAx>
      <c:valAx>
        <c:axId val="5232217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2213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(Updated).xlsm]Savings Tracker !PivotTable12</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2700">
            <a:solidFill>
              <a:schemeClr val="lt1"/>
            </a:solidFill>
          </a:ln>
          <a:effectLst>
            <a:glow>
              <a:schemeClr val="accent1">
                <a:alpha val="40000"/>
              </a:schemeClr>
            </a:glow>
            <a:outerShdw blurRad="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overflow" horzOverflow="overflow" vert="horz" wrap="square" anchor="ctr" anchorCtr="1">
              <a:noAutofit/>
            </a:bodyPr>
            <a:lstStyle/>
            <a:p>
              <a:pPr>
                <a:defRPr sz="1100" b="1" i="0" u="none" strike="noStrike" kern="1200" baseline="0">
                  <a:solidFill>
                    <a:schemeClr val="bg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2700">
            <a:solidFill>
              <a:schemeClr val="lt1"/>
            </a:solidFill>
          </a:ln>
          <a:effectLst>
            <a:glow>
              <a:schemeClr val="accent1">
                <a:alpha val="40000"/>
              </a:schemeClr>
            </a:glow>
            <a:outerShdw blurRad="50800" dir="5400000" sx="1000" sy="1000" algn="ctr" rotWithShape="0">
              <a:srgbClr val="000000">
                <a:alpha val="43137"/>
              </a:srgbClr>
            </a:outerShdw>
            <a:softEdge rad="0"/>
          </a:effectLst>
        </c:spPr>
        <c:dLbl>
          <c:idx val="0"/>
          <c:spPr>
            <a:noFill/>
            <a:ln>
              <a:noFill/>
            </a:ln>
            <a:effectLst/>
          </c:spPr>
          <c:txPr>
            <a:bodyPr rot="0" spcFirstLastPara="1" vertOverflow="overflow" horzOverflow="overflow" vert="horz" wrap="square" anchor="ctr" anchorCtr="1">
              <a:noAutofit/>
            </a:bodyPr>
            <a:lstStyle/>
            <a:p>
              <a:pPr>
                <a:defRPr sz="1100" b="1" i="0" u="none" strike="noStrike" kern="1200" baseline="0">
                  <a:solidFill>
                    <a:schemeClr val="bg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9.814634146341461E-2"/>
                  <c:h val="0.12776330590255167"/>
                </c:manualLayout>
              </c15:layout>
            </c:ext>
          </c:extLst>
        </c:dLbl>
      </c:pivotFmt>
      <c:pivotFmt>
        <c:idx val="3"/>
        <c:spPr>
          <a:solidFill>
            <a:schemeClr val="accent1"/>
          </a:solidFill>
          <a:ln w="12700">
            <a:solidFill>
              <a:schemeClr val="lt1"/>
            </a:solidFill>
          </a:ln>
          <a:effectLst>
            <a:glow>
              <a:schemeClr val="accent1">
                <a:alpha val="40000"/>
              </a:schemeClr>
            </a:glow>
            <a:outerShdw blurRad="50800" dir="5400000" sx="1000" sy="1000" algn="ctr" rotWithShape="0">
              <a:srgbClr val="000000">
                <a:alpha val="43137"/>
              </a:srgbClr>
            </a:outerShdw>
            <a:softEdge rad="0"/>
          </a:effectLst>
        </c:spPr>
        <c:dLbl>
          <c:idx val="0"/>
          <c:layout>
            <c:manualLayout>
              <c:x val="9.6024582270709566E-8"/>
              <c:y val="3.3834586466165412E-2"/>
            </c:manualLayout>
          </c:layout>
          <c:spPr>
            <a:noFill/>
            <a:ln>
              <a:noFill/>
            </a:ln>
            <a:effectLst/>
          </c:spPr>
          <c:txPr>
            <a:bodyPr rot="0" spcFirstLastPara="1" vertOverflow="overflow" horzOverflow="overflow" vert="horz" wrap="square" anchor="ctr" anchorCtr="1">
              <a:noAutofit/>
            </a:bodyPr>
            <a:lstStyle/>
            <a:p>
              <a:pPr>
                <a:defRPr sz="1100" b="1" i="0" u="none" strike="noStrike" kern="1200" baseline="0">
                  <a:solidFill>
                    <a:schemeClr val="bg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0058536585365853"/>
                  <c:h val="0.10144751642886744"/>
                </c:manualLayout>
              </c15:layout>
            </c:ext>
          </c:extLst>
        </c:dLbl>
      </c:pivotFmt>
      <c:pivotFmt>
        <c:idx val="4"/>
        <c:spPr>
          <a:solidFill>
            <a:schemeClr val="accent1"/>
          </a:solidFill>
          <a:ln w="12700">
            <a:solidFill>
              <a:schemeClr val="lt1"/>
            </a:solidFill>
          </a:ln>
          <a:effectLst>
            <a:glow>
              <a:schemeClr val="accent1">
                <a:alpha val="40000"/>
              </a:schemeClr>
            </a:glow>
            <a:outerShdw blurRad="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overflow" horzOverflow="overflow" vert="horz" wrap="square" anchor="ctr" anchorCtr="1">
              <a:noAutofit/>
            </a:bodyPr>
            <a:lstStyle/>
            <a:p>
              <a:pPr>
                <a:defRPr sz="1100" b="1" i="0" u="none" strike="noStrike" kern="1200" baseline="0">
                  <a:solidFill>
                    <a:schemeClr val="bg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2700">
            <a:solidFill>
              <a:schemeClr val="lt1"/>
            </a:solidFill>
          </a:ln>
          <a:effectLst>
            <a:glow>
              <a:schemeClr val="accent1">
                <a:alpha val="40000"/>
              </a:schemeClr>
            </a:glow>
            <a:outerShdw blurRad="50800" dir="5400000" sx="1000" sy="1000" algn="ctr" rotWithShape="0">
              <a:srgbClr val="000000">
                <a:alpha val="43137"/>
              </a:srgbClr>
            </a:outerShdw>
            <a:softEdge rad="0"/>
          </a:effectLst>
        </c:spPr>
        <c:dLbl>
          <c:idx val="0"/>
          <c:spPr>
            <a:noFill/>
            <a:ln>
              <a:noFill/>
            </a:ln>
            <a:effectLst/>
          </c:spPr>
          <c:txPr>
            <a:bodyPr rot="0" spcFirstLastPara="1" vertOverflow="overflow" horzOverflow="overflow" vert="horz" wrap="square" anchor="ctr" anchorCtr="1">
              <a:noAutofit/>
            </a:bodyPr>
            <a:lstStyle/>
            <a:p>
              <a:pPr>
                <a:defRPr sz="1100" b="1" i="0" u="none" strike="noStrike" kern="1200" baseline="0">
                  <a:solidFill>
                    <a:schemeClr val="bg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9.814634146341461E-2"/>
                  <c:h val="0.12776330590255167"/>
                </c:manualLayout>
              </c15:layout>
            </c:ext>
          </c:extLst>
        </c:dLbl>
      </c:pivotFmt>
      <c:pivotFmt>
        <c:idx val="6"/>
        <c:spPr>
          <a:solidFill>
            <a:schemeClr val="accent1"/>
          </a:solidFill>
          <a:ln w="12700">
            <a:solidFill>
              <a:schemeClr val="lt1"/>
            </a:solidFill>
          </a:ln>
          <a:effectLst>
            <a:glow>
              <a:schemeClr val="accent1">
                <a:alpha val="40000"/>
              </a:schemeClr>
            </a:glow>
            <a:outerShdw blurRad="50800" dir="5400000" sx="1000" sy="1000" algn="ctr" rotWithShape="0">
              <a:srgbClr val="000000">
                <a:alpha val="43137"/>
              </a:srgbClr>
            </a:outerShdw>
            <a:softEdge rad="0"/>
          </a:effectLst>
        </c:spPr>
        <c:dLbl>
          <c:idx val="0"/>
          <c:layout>
            <c:manualLayout>
              <c:x val="9.6024582270709566E-8"/>
              <c:y val="3.3834586466165412E-2"/>
            </c:manualLayout>
          </c:layout>
          <c:spPr>
            <a:noFill/>
            <a:ln>
              <a:noFill/>
            </a:ln>
            <a:effectLst/>
          </c:spPr>
          <c:txPr>
            <a:bodyPr rot="0" spcFirstLastPara="1" vertOverflow="overflow" horzOverflow="overflow" vert="horz" wrap="square" anchor="ctr" anchorCtr="1">
              <a:noAutofit/>
            </a:bodyPr>
            <a:lstStyle/>
            <a:p>
              <a:pPr>
                <a:defRPr sz="1100" b="1" i="0" u="none" strike="noStrike" kern="1200" baseline="0">
                  <a:solidFill>
                    <a:schemeClr val="bg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0058536585365853"/>
                  <c:h val="0.10144751642886744"/>
                </c:manualLayout>
              </c15:layout>
            </c:ext>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4.7618110236220474E-3"/>
              <c:y val="-6.1981844211622499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8.1047619047619035E-2"/>
                  <c:h val="0.31260330578512391"/>
                </c:manualLayout>
              </c15:layout>
            </c:ext>
          </c:extLst>
        </c:dLbl>
      </c:pivotFmt>
      <c:pivotFmt>
        <c:idx val="1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000952380952381"/>
                  <c:h val="0.18450413223140497"/>
                </c:manualLayout>
              </c15:layout>
            </c:ext>
          </c:extLst>
        </c:dLbl>
      </c:pivotFmt>
      <c:pivotFmt>
        <c:idx val="14"/>
        <c:spPr>
          <a:solidFill>
            <a:schemeClr val="accent1"/>
          </a:solidFill>
          <a:ln w="19050">
            <a:solidFill>
              <a:schemeClr val="lt1"/>
            </a:solidFill>
          </a:ln>
          <a:effectLst/>
        </c:spPr>
        <c:dLbl>
          <c:idx val="0"/>
          <c:layout>
            <c:manualLayout>
              <c:x val="4.7619985001874547E-3"/>
              <c:y val="2.4793551116027775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8.1047619047619035E-2"/>
                  <c:h val="0.20103305785123962"/>
                </c:manualLayout>
              </c15:layout>
            </c:ext>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'Savings Tracker '!$F$48:$F$49</c:f>
              <c:strCache>
                <c:ptCount val="1"/>
                <c:pt idx="0">
                  <c:v>DBS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0F61-4A9C-8D01-BF0E7307B81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0F61-4A9C-8D01-BF0E7307B8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8-0F61-4A9C-8D01-BF0E7307B81C}"/>
              </c:ext>
            </c:extLst>
          </c:dPt>
          <c:dLbls>
            <c:dLbl>
              <c:idx val="0"/>
              <c:layout>
                <c:manualLayout>
                  <c:x val="-4.7618110236220474E-3"/>
                  <c:y val="-6.1981844211622499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8.1047619047619035E-2"/>
                      <c:h val="0.31260330578512391"/>
                    </c:manualLayout>
                  </c15:layout>
                </c:ext>
                <c:ext xmlns:c16="http://schemas.microsoft.com/office/drawing/2014/chart" uri="{C3380CC4-5D6E-409C-BE32-E72D297353CC}">
                  <c16:uniqueId val="{00000006-0F61-4A9C-8D01-BF0E7307B81C}"/>
                </c:ext>
              </c:extLst>
            </c:dLbl>
            <c:dLbl>
              <c:idx val="1"/>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000952380952381"/>
                      <c:h val="0.18450413223140497"/>
                    </c:manualLayout>
                  </c15:layout>
                </c:ext>
                <c:ext xmlns:c16="http://schemas.microsoft.com/office/drawing/2014/chart" uri="{C3380CC4-5D6E-409C-BE32-E72D297353CC}">
                  <c16:uniqueId val="{00000007-0F61-4A9C-8D01-BF0E7307B81C}"/>
                </c:ext>
              </c:extLst>
            </c:dLbl>
            <c:dLbl>
              <c:idx val="2"/>
              <c:layout>
                <c:manualLayout>
                  <c:x val="4.7619985001874547E-3"/>
                  <c:y val="2.4793551116027775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8.1047619047619035E-2"/>
                      <c:h val="0.20103305785123962"/>
                    </c:manualLayout>
                  </c15:layout>
                </c:ext>
                <c:ext xmlns:c16="http://schemas.microsoft.com/office/drawing/2014/chart" uri="{C3380CC4-5D6E-409C-BE32-E72D297353CC}">
                  <c16:uniqueId val="{00000008-0F61-4A9C-8D01-BF0E7307B8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'Savings Tracker '!$E$50:$E$53</c:f>
              <c:strCache>
                <c:ptCount val="3"/>
                <c:pt idx="0">
                  <c:v>Current Account</c:v>
                </c:pt>
                <c:pt idx="1">
                  <c:v>Fixed Deposit Account</c:v>
                </c:pt>
                <c:pt idx="2">
                  <c:v>Savings Account</c:v>
                </c:pt>
              </c:strCache>
            </c:strRef>
          </c:cat>
          <c:val>
            <c:numRef>
              <c:f>'Savings Tracker '!$F$50:$F$53</c:f>
              <c:numCache>
                <c:formatCode>General</c:formatCode>
                <c:ptCount val="3"/>
                <c:pt idx="0">
                  <c:v>3500</c:v>
                </c:pt>
                <c:pt idx="1">
                  <c:v>4500</c:v>
                </c:pt>
                <c:pt idx="2">
                  <c:v>8000</c:v>
                </c:pt>
              </c:numCache>
            </c:numRef>
          </c:val>
          <c:extLst>
            <c:ext xmlns:c16="http://schemas.microsoft.com/office/drawing/2014/chart" uri="{C3380CC4-5D6E-409C-BE32-E72D297353CC}">
              <c16:uniqueId val="{00000005-0F61-4A9C-8D01-BF0E7307B81C}"/>
            </c:ext>
          </c:extLst>
        </c:ser>
        <c:dLbls>
          <c:showLegendKey val="0"/>
          <c:showVal val="1"/>
          <c:showCatName val="0"/>
          <c:showSerName val="0"/>
          <c:showPercent val="0"/>
          <c:showBubbleSize val="0"/>
          <c:showLeaderLines val="1"/>
        </c:dLbls>
        <c:firstSliceAng val="0"/>
        <c:holeSize val="54"/>
      </c:doughnutChart>
      <c:spPr>
        <a:noFill/>
        <a:ln>
          <a:noFill/>
        </a:ln>
        <a:effectLst>
          <a:glow>
            <a:schemeClr val="accent1">
              <a:alpha val="80000"/>
            </a:schemeClr>
          </a:glow>
          <a:outerShdw blurRad="25400" dist="50800" dir="3240000" sx="7000" sy="7000" algn="ctr" rotWithShape="0">
            <a:srgbClr val="000000">
              <a:alpha val="62000"/>
            </a:srgbClr>
          </a:outerShdw>
          <a:softEdge rad="88900"/>
        </a:effectLst>
      </c:spPr>
    </c:plotArea>
    <c:legend>
      <c:legendPos val="r"/>
      <c:layout>
        <c:manualLayout>
          <c:xMode val="edge"/>
          <c:yMode val="edge"/>
          <c:x val="0.68073900518532748"/>
          <c:y val="0.39438014327156468"/>
          <c:w val="0.2203372291032937"/>
          <c:h val="0.2774579901650224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a:schemeClr val="accent1">
          <a:alpha val="43000"/>
        </a:schemeClr>
      </a:glow>
      <a:outerShdw dir="5460000" sx="1000" sy="1000" algn="ctr" rotWithShape="0">
        <a:srgbClr val="000000">
          <a:alpha val="43137"/>
        </a:srgbClr>
      </a:outerShdw>
      <a:softEdge rad="0"/>
    </a:effectLst>
  </c:spPr>
  <c:txPr>
    <a:bodyPr/>
    <a:lstStyle/>
    <a:p>
      <a:pPr>
        <a:defRPr>
          <a:solidFill>
            <a:schemeClr val="tx1"/>
          </a:solidFill>
          <a:effectLst>
            <a:outerShdw dist="50800" dir="5400000" sx="1000" sy="1000" algn="ctr" rotWithShape="0">
              <a:srgbClr val="000000">
                <a:alpha val="43137"/>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9"/>
    </mc:Choice>
    <mc:Fallback>
      <c:style val="19"/>
    </mc:Fallback>
  </mc:AlternateContent>
  <c:chart>
    <c:autoTitleDeleted val="1"/>
    <c:plotArea>
      <c:layout/>
      <c:pieChart>
        <c:varyColors val="1"/>
        <c:ser>
          <c:idx val="0"/>
          <c:order val="0"/>
          <c:spPr>
            <a:effectLst/>
          </c:spPr>
          <c:explosion val="2"/>
          <c:dPt>
            <c:idx val="1"/>
            <c:bubble3D val="0"/>
            <c:spPr>
              <a:solidFill>
                <a:schemeClr val="accent1">
                  <a:lumMod val="50000"/>
                </a:schemeClr>
              </a:solidFill>
              <a:effectLst/>
            </c:spPr>
            <c:extLst>
              <c:ext xmlns:c16="http://schemas.microsoft.com/office/drawing/2014/chart" uri="{C3380CC4-5D6E-409C-BE32-E72D297353CC}">
                <c16:uniqueId val="{00000001-3A4E-444A-A9FC-32FCAD988074}"/>
              </c:ext>
            </c:extLst>
          </c:dPt>
          <c:dLbls>
            <c:delete val="1"/>
          </c:dLbls>
          <c:cat>
            <c:strLit>
              <c:ptCount val="2"/>
              <c:pt idx="0">
                <c:v>Saved</c:v>
              </c:pt>
              <c:pt idx="1">
                <c:v>Still need</c:v>
              </c:pt>
            </c:strLit>
          </c:cat>
          <c:val>
            <c:numRef>
              <c:f>'Savings Estimator'!$D$8:$D$9</c:f>
              <c:numCache>
                <c:formatCode>"$"#,##0</c:formatCode>
                <c:ptCount val="2"/>
                <c:pt idx="0">
                  <c:v>0</c:v>
                </c:pt>
                <c:pt idx="1">
                  <c:v>0</c:v>
                </c:pt>
              </c:numCache>
            </c:numRef>
          </c:val>
          <c:extLst>
            <c:ext xmlns:c16="http://schemas.microsoft.com/office/drawing/2014/chart" uri="{C3380CC4-5D6E-409C-BE32-E72D297353CC}">
              <c16:uniqueId val="{00000002-3A4E-444A-A9FC-32FCAD988074}"/>
            </c:ext>
          </c:extLst>
        </c:ser>
        <c:ser>
          <c:idx val="1"/>
          <c:order val="1"/>
          <c:dLbls>
            <c:spPr>
              <a:noFill/>
              <a:ln>
                <a:noFill/>
              </a:ln>
              <a:effectLst/>
            </c:spPr>
            <c:showLegendKey val="0"/>
            <c:showVal val="0"/>
            <c:showCatName val="0"/>
            <c:showSerName val="0"/>
            <c:showPercent val="1"/>
            <c:showBubbleSize val="0"/>
            <c:showLeaderLines val="0"/>
            <c:extLst>
              <c:ext xmlns:c15="http://schemas.microsoft.com/office/drawing/2012/chart" uri="{CE6537A1-D6FC-4f65-9D91-7224C49458BB}"/>
            </c:extLst>
          </c:dLbls>
          <c:cat>
            <c:strLit>
              <c:ptCount val="2"/>
              <c:pt idx="0">
                <c:v>Saved</c:v>
              </c:pt>
              <c:pt idx="1">
                <c:v>Still need</c:v>
              </c:pt>
            </c:strLit>
          </c:cat>
          <c:val>
            <c:numRef>
              <c:f>'Savings Estimator'!$E$8:$E$9</c:f>
              <c:numCache>
                <c:formatCode>"$"#,##0</c:formatCode>
                <c:ptCount val="2"/>
              </c:numCache>
            </c:numRef>
          </c:val>
          <c:extLst>
            <c:ext xmlns:c16="http://schemas.microsoft.com/office/drawing/2014/chart" uri="{C3380CC4-5D6E-409C-BE32-E72D297353CC}">
              <c16:uniqueId val="{00000003-3A4E-444A-A9FC-32FCAD988074}"/>
            </c:ext>
          </c:extLst>
        </c:ser>
        <c:dLbls>
          <c:showLegendKey val="0"/>
          <c:showVal val="0"/>
          <c:showCatName val="0"/>
          <c:showSerName val="0"/>
          <c:showPercent val="1"/>
          <c:showBubbleSize val="0"/>
          <c:showLeaderLines val="1"/>
        </c:dLbls>
        <c:firstSliceAng val="0"/>
      </c:pieChart>
    </c:plotArea>
    <c:legend>
      <c:legendPos val="b"/>
      <c:overlay val="0"/>
      <c:txPr>
        <a:bodyPr/>
        <a:lstStyle/>
        <a:p>
          <a:pPr rtl="0">
            <a:defRPr/>
          </a:pPr>
          <a:endParaRPr lang="en-US"/>
        </a:p>
      </c:txPr>
    </c:legend>
    <c:plotVisOnly val="1"/>
    <c:dispBlanksAs val="gap"/>
    <c:showDLblsOverMax val="0"/>
  </c:chart>
  <c:spPr>
    <a:noFill/>
    <a:ln>
      <a:noFill/>
    </a:ln>
  </c:spPr>
  <c:txPr>
    <a:bodyPr/>
    <a:lstStyle/>
    <a:p>
      <a:pPr>
        <a:defRPr>
          <a:solidFill>
            <a:schemeClr val="tx1">
              <a:lumMod val="65000"/>
              <a:lumOff val="35000"/>
            </a:schemeClr>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Value of Ordinary Account Compounded Annually (2.5% P.A.)</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'CPF Contribution &amp; Forecast'!$I$27</c:f>
              <c:strCache>
                <c:ptCount val="1"/>
                <c:pt idx="0">
                  <c:v>Year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'CPF Contribution &amp; Forecast'!$I$28:$I$42</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val>
          <c:smooth val="0"/>
          <c:extLst>
            <c:ext xmlns:c16="http://schemas.microsoft.com/office/drawing/2014/chart" uri="{C3380CC4-5D6E-409C-BE32-E72D297353CC}">
              <c16:uniqueId val="{00000001-1F88-43E0-B356-C3F37AD1C9F6}"/>
            </c:ext>
          </c:extLst>
        </c:ser>
        <c:ser>
          <c:idx val="1"/>
          <c:order val="1"/>
          <c:tx>
            <c:strRef>
              <c:f>'CPF Contribution &amp; Forecast'!$J$27</c:f>
              <c:strCache>
                <c:ptCount val="1"/>
                <c:pt idx="0">
                  <c:v>OA Account Value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'CPF Contribution &amp; Forecast'!$J$28:$J$42</c:f>
              <c:numCache>
                <c:formatCode>"$"#,##0.00</c:formatCode>
                <c:ptCount val="15"/>
                <c:pt idx="0">
                  <c:v>4708.076795532128</c:v>
                </c:pt>
                <c:pt idx="1">
                  <c:v>5434.0597606489391</c:v>
                </c:pt>
                <c:pt idx="2">
                  <c:v>6178.4017147497079</c:v>
                </c:pt>
                <c:pt idx="3">
                  <c:v>6941.5669283376083</c:v>
                </c:pt>
                <c:pt idx="4">
                  <c:v>7724.0314126004714</c:v>
                </c:pt>
                <c:pt idx="5">
                  <c:v>8526.2832163145722</c:v>
                </c:pt>
                <c:pt idx="6">
                  <c:v>9348.8227302566556</c:v>
                </c:pt>
                <c:pt idx="7">
                  <c:v>10192.162999314131</c:v>
                </c:pt>
                <c:pt idx="8">
                  <c:v>11056.830042487934</c:v>
                </c:pt>
                <c:pt idx="9">
                  <c:v>11943.363180987908</c:v>
                </c:pt>
                <c:pt idx="10">
                  <c:v>12852.315374625101</c:v>
                </c:pt>
                <c:pt idx="11">
                  <c:v>13784.253566710955</c:v>
                </c:pt>
                <c:pt idx="12">
                  <c:v>14739.759037678461</c:v>
                </c:pt>
                <c:pt idx="13">
                  <c:v>15719.427767645824</c:v>
                </c:pt>
                <c:pt idx="14">
                  <c:v>16723.870808148837</c:v>
                </c:pt>
              </c:numCache>
            </c:numRef>
          </c:val>
          <c:smooth val="0"/>
          <c:extLst>
            <c:ext xmlns:c16="http://schemas.microsoft.com/office/drawing/2014/chart" uri="{C3380CC4-5D6E-409C-BE32-E72D297353CC}">
              <c16:uniqueId val="{00000003-1F88-43E0-B356-C3F37AD1C9F6}"/>
            </c:ext>
          </c:extLst>
        </c:ser>
        <c:ser>
          <c:idx val="2"/>
          <c:order val="2"/>
          <c:tx>
            <c:strRef>
              <c:f>'CPF Contribution &amp; Forecast'!$K$27</c:f>
              <c:strCache>
                <c:ptCount val="1"/>
                <c:pt idx="0">
                  <c:v>Contributions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'CPF Contribution &amp; Forecast'!$K$28:$K$42</c:f>
              <c:numCache>
                <c:formatCode>"$"#,##0.00</c:formatCode>
                <c:ptCount val="15"/>
                <c:pt idx="0">
                  <c:v>4600</c:v>
                </c:pt>
                <c:pt idx="1">
                  <c:v>5200</c:v>
                </c:pt>
                <c:pt idx="2">
                  <c:v>5800</c:v>
                </c:pt>
                <c:pt idx="3">
                  <c:v>6400</c:v>
                </c:pt>
                <c:pt idx="4">
                  <c:v>7000</c:v>
                </c:pt>
                <c:pt idx="5">
                  <c:v>7600</c:v>
                </c:pt>
                <c:pt idx="6">
                  <c:v>8200</c:v>
                </c:pt>
                <c:pt idx="7">
                  <c:v>8800</c:v>
                </c:pt>
                <c:pt idx="8">
                  <c:v>9400</c:v>
                </c:pt>
                <c:pt idx="9">
                  <c:v>10000</c:v>
                </c:pt>
                <c:pt idx="10">
                  <c:v>10600</c:v>
                </c:pt>
                <c:pt idx="11">
                  <c:v>11200</c:v>
                </c:pt>
                <c:pt idx="12">
                  <c:v>11800</c:v>
                </c:pt>
                <c:pt idx="13">
                  <c:v>12400</c:v>
                </c:pt>
                <c:pt idx="14">
                  <c:v>13000</c:v>
                </c:pt>
              </c:numCache>
            </c:numRef>
          </c:val>
          <c:smooth val="0"/>
          <c:extLst>
            <c:ext xmlns:c16="http://schemas.microsoft.com/office/drawing/2014/chart" uri="{C3380CC4-5D6E-409C-BE32-E72D297353CC}">
              <c16:uniqueId val="{00000005-1F88-43E0-B356-C3F37AD1C9F6}"/>
            </c:ext>
          </c:extLst>
        </c:ser>
        <c:dLbls>
          <c:showLegendKey val="0"/>
          <c:showVal val="0"/>
          <c:showCatName val="0"/>
          <c:showSerName val="0"/>
          <c:showPercent val="0"/>
          <c:showBubbleSize val="0"/>
        </c:dLbls>
        <c:marker val="1"/>
        <c:smooth val="0"/>
        <c:axId val="712746487"/>
        <c:axId val="245457527"/>
      </c:lineChart>
      <c:catAx>
        <c:axId val="712746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457527"/>
        <c:crosses val="autoZero"/>
        <c:auto val="1"/>
        <c:lblAlgn val="ctr"/>
        <c:lblOffset val="100"/>
        <c:noMultiLvlLbl val="0"/>
      </c:catAx>
      <c:valAx>
        <c:axId val="245457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746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Value of Special Account Compounded Annually (4.0% P.A.)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'CPF Contribution &amp; Forecast'!$I$47</c:f>
              <c:strCache>
                <c:ptCount val="1"/>
                <c:pt idx="0">
                  <c:v>Year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'CPF Contribution &amp; Forecast'!$I$48:$I$62</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val>
          <c:smooth val="0"/>
          <c:extLst>
            <c:ext xmlns:c16="http://schemas.microsoft.com/office/drawing/2014/chart" uri="{C3380CC4-5D6E-409C-BE32-E72D297353CC}">
              <c16:uniqueId val="{00000001-D69C-4C32-AC22-26376D580E19}"/>
            </c:ext>
          </c:extLst>
        </c:ser>
        <c:ser>
          <c:idx val="1"/>
          <c:order val="1"/>
          <c:tx>
            <c:strRef>
              <c:f>'CPF Contribution &amp; Forecast'!$J$47</c:f>
              <c:strCache>
                <c:ptCount val="1"/>
                <c:pt idx="0">
                  <c:v>SA Account Value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'CPF Contribution &amp; Forecast'!$J$48:$J$62</c:f>
              <c:numCache>
                <c:formatCode>"$"#,##0.00</c:formatCode>
                <c:ptCount val="15"/>
                <c:pt idx="0">
                  <c:v>4774.0893154760251</c:v>
                </c:pt>
                <c:pt idx="1">
                  <c:v>5579.7162240222669</c:v>
                </c:pt>
                <c:pt idx="2">
                  <c:v>6418.165615840383</c:v>
                </c:pt>
                <c:pt idx="3">
                  <c:v>7290.7747295413337</c:v>
                </c:pt>
                <c:pt idx="4">
                  <c:v>8198.935284900328</c:v>
                </c:pt>
                <c:pt idx="5">
                  <c:v>9144.0957025035423</c:v>
                </c:pt>
                <c:pt idx="6">
                  <c:v>10127.763413826628</c:v>
                </c:pt>
                <c:pt idx="7">
                  <c:v>11151.507265429391</c:v>
                </c:pt>
                <c:pt idx="8">
                  <c:v>12216.960021101098</c:v>
                </c:pt>
                <c:pt idx="9">
                  <c:v>13325.820965947019</c:v>
                </c:pt>
                <c:pt idx="10">
                  <c:v>14479.858616569461</c:v>
                </c:pt>
                <c:pt idx="11">
                  <c:v>15680.913541665786</c:v>
                </c:pt>
                <c:pt idx="12">
                  <c:v>16930.901297541957</c:v>
                </c:pt>
                <c:pt idx="13">
                  <c:v>18231.815483223363</c:v>
                </c:pt>
                <c:pt idx="14">
                  <c:v>19585.730920035676</c:v>
                </c:pt>
              </c:numCache>
            </c:numRef>
          </c:val>
          <c:smooth val="0"/>
          <c:extLst>
            <c:ext xmlns:c16="http://schemas.microsoft.com/office/drawing/2014/chart" uri="{C3380CC4-5D6E-409C-BE32-E72D297353CC}">
              <c16:uniqueId val="{00000003-D69C-4C32-AC22-26376D580E19}"/>
            </c:ext>
          </c:extLst>
        </c:ser>
        <c:ser>
          <c:idx val="2"/>
          <c:order val="2"/>
          <c:tx>
            <c:strRef>
              <c:f>'CPF Contribution &amp; Forecast'!$K$47</c:f>
              <c:strCache>
                <c:ptCount val="1"/>
                <c:pt idx="0">
                  <c:v>Contributions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'CPF Contribution &amp; Forecast'!$K$48:$K$62</c:f>
              <c:numCache>
                <c:formatCode>"$"#,##0.00</c:formatCode>
                <c:ptCount val="15"/>
                <c:pt idx="0">
                  <c:v>4600</c:v>
                </c:pt>
                <c:pt idx="1">
                  <c:v>5200</c:v>
                </c:pt>
                <c:pt idx="2">
                  <c:v>5800</c:v>
                </c:pt>
                <c:pt idx="3">
                  <c:v>6400</c:v>
                </c:pt>
                <c:pt idx="4">
                  <c:v>7000</c:v>
                </c:pt>
                <c:pt idx="5">
                  <c:v>7600</c:v>
                </c:pt>
                <c:pt idx="6">
                  <c:v>8200</c:v>
                </c:pt>
                <c:pt idx="7">
                  <c:v>8800</c:v>
                </c:pt>
                <c:pt idx="8">
                  <c:v>9400</c:v>
                </c:pt>
                <c:pt idx="9">
                  <c:v>10000</c:v>
                </c:pt>
                <c:pt idx="10">
                  <c:v>10600</c:v>
                </c:pt>
                <c:pt idx="11">
                  <c:v>11200</c:v>
                </c:pt>
                <c:pt idx="12">
                  <c:v>11800</c:v>
                </c:pt>
                <c:pt idx="13">
                  <c:v>12400</c:v>
                </c:pt>
                <c:pt idx="14">
                  <c:v>13000</c:v>
                </c:pt>
              </c:numCache>
            </c:numRef>
          </c:val>
          <c:smooth val="0"/>
          <c:extLst>
            <c:ext xmlns:c16="http://schemas.microsoft.com/office/drawing/2014/chart" uri="{C3380CC4-5D6E-409C-BE32-E72D297353CC}">
              <c16:uniqueId val="{00000005-D69C-4C32-AC22-26376D580E19}"/>
            </c:ext>
          </c:extLst>
        </c:ser>
        <c:dLbls>
          <c:showLegendKey val="0"/>
          <c:showVal val="0"/>
          <c:showCatName val="0"/>
          <c:showSerName val="0"/>
          <c:showPercent val="0"/>
          <c:showBubbleSize val="0"/>
        </c:dLbls>
        <c:marker val="1"/>
        <c:smooth val="0"/>
        <c:axId val="722187799"/>
        <c:axId val="560388792"/>
      </c:lineChart>
      <c:catAx>
        <c:axId val="7221877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388792"/>
        <c:crosses val="autoZero"/>
        <c:auto val="1"/>
        <c:lblAlgn val="ctr"/>
        <c:lblOffset val="100"/>
        <c:noMultiLvlLbl val="0"/>
      </c:catAx>
      <c:valAx>
        <c:axId val="560388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1877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Value of Medisave Account Compounded Annually (4.0% P.A.)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'CPF Contribution &amp; Forecast'!$I$67</c:f>
              <c:strCache>
                <c:ptCount val="1"/>
                <c:pt idx="0">
                  <c:v>Year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'CPF Contribution &amp; Forecast'!$I$68:$I$82</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val>
          <c:smooth val="0"/>
          <c:extLst>
            <c:ext xmlns:c16="http://schemas.microsoft.com/office/drawing/2014/chart" uri="{C3380CC4-5D6E-409C-BE32-E72D297353CC}">
              <c16:uniqueId val="{00000001-23F4-4300-8433-65C994CA620E}"/>
            </c:ext>
          </c:extLst>
        </c:ser>
        <c:ser>
          <c:idx val="1"/>
          <c:order val="1"/>
          <c:tx>
            <c:strRef>
              <c:f>'CPF Contribution &amp; Forecast'!$J$67</c:f>
              <c:strCache>
                <c:ptCount val="1"/>
                <c:pt idx="0">
                  <c:v>Medisave Account Value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'CPF Contribution &amp; Forecast'!$J$68:$J$82</c:f>
              <c:numCache>
                <c:formatCode>"$"#,##0.00</c:formatCode>
                <c:ptCount val="15"/>
                <c:pt idx="0">
                  <c:v>10579.759181546216</c:v>
                </c:pt>
                <c:pt idx="1">
                  <c:v>17427.587904189266</c:v>
                </c:pt>
                <c:pt idx="2">
                  <c:v>24554.407734643253</c:v>
                </c:pt>
                <c:pt idx="3">
                  <c:v>31971.585201101334</c:v>
                </c:pt>
                <c:pt idx="4">
                  <c:v>39690.949921652791</c:v>
                </c:pt>
                <c:pt idx="5">
                  <c:v>47724.813471280111</c:v>
                </c:pt>
                <c:pt idx="6">
                  <c:v>56085.989017526328</c:v>
                </c:pt>
                <c:pt idx="7">
                  <c:v>64787.811756149822</c:v>
                </c:pt>
                <c:pt idx="8">
                  <c:v>73844.160179359344</c:v>
                </c:pt>
                <c:pt idx="9">
                  <c:v>83269.478210549671</c:v>
                </c:pt>
                <c:pt idx="10">
                  <c:v>93078.79824084042</c:v>
                </c:pt>
                <c:pt idx="11">
                  <c:v>103287.76510415919</c:v>
                </c:pt>
                <c:pt idx="12">
                  <c:v>113912.66102910665</c:v>
                </c:pt>
                <c:pt idx="13">
                  <c:v>124970.43160739858</c:v>
                </c:pt>
                <c:pt idx="14">
                  <c:v>136478.71282030325</c:v>
                </c:pt>
              </c:numCache>
            </c:numRef>
          </c:val>
          <c:smooth val="0"/>
          <c:extLst>
            <c:ext xmlns:c16="http://schemas.microsoft.com/office/drawing/2014/chart" uri="{C3380CC4-5D6E-409C-BE32-E72D297353CC}">
              <c16:uniqueId val="{00000003-23F4-4300-8433-65C994CA620E}"/>
            </c:ext>
          </c:extLst>
        </c:ser>
        <c:ser>
          <c:idx val="2"/>
          <c:order val="2"/>
          <c:tx>
            <c:strRef>
              <c:f>'CPF Contribution &amp; Forecast'!$K$67</c:f>
              <c:strCache>
                <c:ptCount val="1"/>
                <c:pt idx="0">
                  <c:v>Contributions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'CPF Contribution &amp; Forecast'!$K$68:$K$82</c:f>
              <c:numCache>
                <c:formatCode>"$"#,##0.00</c:formatCode>
                <c:ptCount val="15"/>
                <c:pt idx="0">
                  <c:v>4525</c:v>
                </c:pt>
                <c:pt idx="1">
                  <c:v>5050</c:v>
                </c:pt>
                <c:pt idx="2">
                  <c:v>5575</c:v>
                </c:pt>
                <c:pt idx="3">
                  <c:v>6100</c:v>
                </c:pt>
                <c:pt idx="4">
                  <c:v>6625</c:v>
                </c:pt>
                <c:pt idx="5">
                  <c:v>7150</c:v>
                </c:pt>
                <c:pt idx="6">
                  <c:v>7675</c:v>
                </c:pt>
                <c:pt idx="7">
                  <c:v>8200</c:v>
                </c:pt>
                <c:pt idx="8">
                  <c:v>8725</c:v>
                </c:pt>
                <c:pt idx="9">
                  <c:v>9250</c:v>
                </c:pt>
                <c:pt idx="10">
                  <c:v>9775</c:v>
                </c:pt>
                <c:pt idx="11">
                  <c:v>10300</c:v>
                </c:pt>
                <c:pt idx="12">
                  <c:v>10825</c:v>
                </c:pt>
                <c:pt idx="13">
                  <c:v>11350</c:v>
                </c:pt>
                <c:pt idx="14">
                  <c:v>11875</c:v>
                </c:pt>
              </c:numCache>
            </c:numRef>
          </c:val>
          <c:smooth val="0"/>
          <c:extLst>
            <c:ext xmlns:c16="http://schemas.microsoft.com/office/drawing/2014/chart" uri="{C3380CC4-5D6E-409C-BE32-E72D297353CC}">
              <c16:uniqueId val="{00000005-23F4-4300-8433-65C994CA620E}"/>
            </c:ext>
          </c:extLst>
        </c:ser>
        <c:dLbls>
          <c:showLegendKey val="0"/>
          <c:showVal val="0"/>
          <c:showCatName val="0"/>
          <c:showSerName val="0"/>
          <c:showPercent val="0"/>
          <c:showBubbleSize val="0"/>
        </c:dLbls>
        <c:marker val="1"/>
        <c:smooth val="0"/>
        <c:axId val="227014216"/>
        <c:axId val="556850871"/>
      </c:lineChart>
      <c:catAx>
        <c:axId val="227014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850871"/>
        <c:crosses val="autoZero"/>
        <c:auto val="1"/>
        <c:lblAlgn val="ctr"/>
        <c:lblOffset val="100"/>
        <c:noMultiLvlLbl val="0"/>
      </c:catAx>
      <c:valAx>
        <c:axId val="556850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01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(Updated).xlsm]CPF Tracker!PivotTable4</c:name>
    <c:fmtId val="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'CPF Tracker'!$E$45</c:f>
              <c:strCache>
                <c:ptCount val="1"/>
                <c:pt idx="0">
                  <c:v>Sum of Employer's Monthly Contribution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'CPF Tracker'!$D$46:$D$50</c:f>
              <c:strCache>
                <c:ptCount val="4"/>
                <c:pt idx="0">
                  <c:v>2019</c:v>
                </c:pt>
                <c:pt idx="1">
                  <c:v>2020</c:v>
                </c:pt>
                <c:pt idx="2">
                  <c:v>2021</c:v>
                </c:pt>
                <c:pt idx="3">
                  <c:v>2022</c:v>
                </c:pt>
              </c:strCache>
            </c:strRef>
          </c:cat>
          <c:val>
            <c:numRef>
              <c:f>'CPF Tracker'!$E$46:$E$50</c:f>
              <c:numCache>
                <c:formatCode>General</c:formatCode>
                <c:ptCount val="4"/>
                <c:pt idx="0">
                  <c:v>1292</c:v>
                </c:pt>
                <c:pt idx="1">
                  <c:v>3876</c:v>
                </c:pt>
                <c:pt idx="2">
                  <c:v>2601</c:v>
                </c:pt>
                <c:pt idx="3">
                  <c:v>1224.0000000000002</c:v>
                </c:pt>
              </c:numCache>
            </c:numRef>
          </c:val>
          <c:extLst>
            <c:ext xmlns:c16="http://schemas.microsoft.com/office/drawing/2014/chart" uri="{C3380CC4-5D6E-409C-BE32-E72D297353CC}">
              <c16:uniqueId val="{00000000-E591-4F4B-A0C7-DE8280FA67E0}"/>
            </c:ext>
          </c:extLst>
        </c:ser>
        <c:ser>
          <c:idx val="1"/>
          <c:order val="1"/>
          <c:tx>
            <c:strRef>
              <c:f>'CPF Tracker'!$F$45</c:f>
              <c:strCache>
                <c:ptCount val="1"/>
                <c:pt idx="0">
                  <c:v>Sum of Employee's Monthly Contribution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'CPF Tracker'!$D$46:$D$50</c:f>
              <c:strCache>
                <c:ptCount val="4"/>
                <c:pt idx="0">
                  <c:v>2019</c:v>
                </c:pt>
                <c:pt idx="1">
                  <c:v>2020</c:v>
                </c:pt>
                <c:pt idx="2">
                  <c:v>2021</c:v>
                </c:pt>
                <c:pt idx="3">
                  <c:v>2022</c:v>
                </c:pt>
              </c:strCache>
            </c:strRef>
          </c:cat>
          <c:val>
            <c:numRef>
              <c:f>'CPF Tracker'!$F$46:$F$50</c:f>
              <c:numCache>
                <c:formatCode>General</c:formatCode>
                <c:ptCount val="4"/>
                <c:pt idx="0">
                  <c:v>1520</c:v>
                </c:pt>
                <c:pt idx="1">
                  <c:v>4560</c:v>
                </c:pt>
                <c:pt idx="2">
                  <c:v>3060</c:v>
                </c:pt>
                <c:pt idx="3">
                  <c:v>1440</c:v>
                </c:pt>
              </c:numCache>
            </c:numRef>
          </c:val>
          <c:extLst>
            <c:ext xmlns:c16="http://schemas.microsoft.com/office/drawing/2014/chart" uri="{C3380CC4-5D6E-409C-BE32-E72D297353CC}">
              <c16:uniqueId val="{00000001-E591-4F4B-A0C7-DE8280FA67E0}"/>
            </c:ext>
          </c:extLst>
        </c:ser>
        <c:ser>
          <c:idx val="2"/>
          <c:order val="2"/>
          <c:tx>
            <c:strRef>
              <c:f>'CPF Tracker'!$G$45</c:f>
              <c:strCache>
                <c:ptCount val="1"/>
                <c:pt idx="0">
                  <c:v>Sum of Monthly Salary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'CPF Tracker'!$D$46:$D$50</c:f>
              <c:strCache>
                <c:ptCount val="4"/>
                <c:pt idx="0">
                  <c:v>2019</c:v>
                </c:pt>
                <c:pt idx="1">
                  <c:v>2020</c:v>
                </c:pt>
                <c:pt idx="2">
                  <c:v>2021</c:v>
                </c:pt>
                <c:pt idx="3">
                  <c:v>2022</c:v>
                </c:pt>
              </c:strCache>
            </c:strRef>
          </c:cat>
          <c:val>
            <c:numRef>
              <c:f>'CPF Tracker'!$G$46:$G$50</c:f>
              <c:numCache>
                <c:formatCode>General</c:formatCode>
                <c:ptCount val="4"/>
                <c:pt idx="0">
                  <c:v>7600</c:v>
                </c:pt>
                <c:pt idx="1">
                  <c:v>22800</c:v>
                </c:pt>
                <c:pt idx="2">
                  <c:v>15300</c:v>
                </c:pt>
                <c:pt idx="3">
                  <c:v>7200</c:v>
                </c:pt>
              </c:numCache>
            </c:numRef>
          </c:val>
          <c:extLst>
            <c:ext xmlns:c16="http://schemas.microsoft.com/office/drawing/2014/chart" uri="{C3380CC4-5D6E-409C-BE32-E72D297353CC}">
              <c16:uniqueId val="{00000002-E591-4F4B-A0C7-DE8280FA67E0}"/>
            </c:ext>
          </c:extLst>
        </c:ser>
        <c:dLbls>
          <c:dLblPos val="ctr"/>
          <c:showLegendKey val="0"/>
          <c:showVal val="1"/>
          <c:showCatName val="0"/>
          <c:showSerName val="0"/>
          <c:showPercent val="0"/>
          <c:showBubbleSize val="0"/>
        </c:dLbls>
        <c:gapWidth val="150"/>
        <c:overlap val="100"/>
        <c:axId val="1914024912"/>
        <c:axId val="1914047376"/>
      </c:barChart>
      <c:catAx>
        <c:axId val="191402491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047376"/>
        <c:crosses val="autoZero"/>
        <c:auto val="1"/>
        <c:lblAlgn val="ctr"/>
        <c:lblOffset val="100"/>
        <c:noMultiLvlLbl val="0"/>
      </c:catAx>
      <c:valAx>
        <c:axId val="19140473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02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(Updated).xlsm]CPF Tracker!PivotTable6</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'CPF Tracker'!$J$45</c:f>
              <c:strCache>
                <c:ptCount val="1"/>
                <c:pt idx="0">
                  <c:v>Sum of Ordinary acc </c:v>
                </c:pt>
              </c:strCache>
            </c:strRef>
          </c:tx>
          <c:spPr>
            <a:ln w="28575" cap="rnd">
              <a:solidFill>
                <a:schemeClr val="accent1"/>
              </a:solidFill>
              <a:round/>
            </a:ln>
            <a:effectLst/>
          </c:spPr>
          <c:marker>
            <c:symbol val="none"/>
          </c:marker>
          <c:cat>
            <c:multiLvlStrRef>
              <c:f>'CPF Tracker'!$I$46:$I$81</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'CPF Tracker'!$J$46:$J$81</c:f>
              <c:numCache>
                <c:formatCode>General</c:formatCode>
                <c:ptCount val="31"/>
                <c:pt idx="0">
                  <c:v>399</c:v>
                </c:pt>
                <c:pt idx="1">
                  <c:v>798</c:v>
                </c:pt>
                <c:pt idx="2">
                  <c:v>1197</c:v>
                </c:pt>
                <c:pt idx="3">
                  <c:v>1596</c:v>
                </c:pt>
                <c:pt idx="4">
                  <c:v>1995</c:v>
                </c:pt>
                <c:pt idx="5">
                  <c:v>2394</c:v>
                </c:pt>
                <c:pt idx="6">
                  <c:v>2793</c:v>
                </c:pt>
                <c:pt idx="7">
                  <c:v>3192</c:v>
                </c:pt>
                <c:pt idx="8">
                  <c:v>3591</c:v>
                </c:pt>
                <c:pt idx="9">
                  <c:v>3990</c:v>
                </c:pt>
                <c:pt idx="10">
                  <c:v>4389</c:v>
                </c:pt>
                <c:pt idx="11">
                  <c:v>4788</c:v>
                </c:pt>
                <c:pt idx="12">
                  <c:v>5187</c:v>
                </c:pt>
                <c:pt idx="13">
                  <c:v>5586</c:v>
                </c:pt>
                <c:pt idx="14">
                  <c:v>5985</c:v>
                </c:pt>
                <c:pt idx="15">
                  <c:v>6384</c:v>
                </c:pt>
                <c:pt idx="16">
                  <c:v>6137</c:v>
                </c:pt>
                <c:pt idx="17">
                  <c:v>6498</c:v>
                </c:pt>
                <c:pt idx="18">
                  <c:v>6859</c:v>
                </c:pt>
                <c:pt idx="19">
                  <c:v>7315</c:v>
                </c:pt>
                <c:pt idx="20">
                  <c:v>7771</c:v>
                </c:pt>
                <c:pt idx="21">
                  <c:v>8227</c:v>
                </c:pt>
                <c:pt idx="22">
                  <c:v>8683</c:v>
                </c:pt>
                <c:pt idx="23">
                  <c:v>8683</c:v>
                </c:pt>
                <c:pt idx="24">
                  <c:v>8683</c:v>
                </c:pt>
                <c:pt idx="25">
                  <c:v>8683</c:v>
                </c:pt>
                <c:pt idx="26">
                  <c:v>8683</c:v>
                </c:pt>
                <c:pt idx="27">
                  <c:v>8683</c:v>
                </c:pt>
                <c:pt idx="28">
                  <c:v>9139</c:v>
                </c:pt>
                <c:pt idx="29">
                  <c:v>9595</c:v>
                </c:pt>
                <c:pt idx="30">
                  <c:v>10051</c:v>
                </c:pt>
              </c:numCache>
            </c:numRef>
          </c:val>
          <c:smooth val="0"/>
          <c:extLst>
            <c:ext xmlns:c16="http://schemas.microsoft.com/office/drawing/2014/chart" uri="{C3380CC4-5D6E-409C-BE32-E72D297353CC}">
              <c16:uniqueId val="{00000000-9043-424A-AE42-4B1593988BD5}"/>
            </c:ext>
          </c:extLst>
        </c:ser>
        <c:ser>
          <c:idx val="1"/>
          <c:order val="1"/>
          <c:tx>
            <c:strRef>
              <c:f>'CPF Tracker'!$K$45</c:f>
              <c:strCache>
                <c:ptCount val="1"/>
                <c:pt idx="0">
                  <c:v>Sum of Special acc </c:v>
                </c:pt>
              </c:strCache>
            </c:strRef>
          </c:tx>
          <c:spPr>
            <a:ln w="28575" cap="rnd">
              <a:solidFill>
                <a:schemeClr val="accent2"/>
              </a:solidFill>
              <a:round/>
            </a:ln>
            <a:effectLst/>
          </c:spPr>
          <c:marker>
            <c:symbol val="none"/>
          </c:marker>
          <c:cat>
            <c:multiLvlStrRef>
              <c:f>'CPF Tracker'!$I$46:$I$81</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'CPF Tracker'!$K$46:$K$81</c:f>
              <c:numCache>
                <c:formatCode>General</c:formatCode>
                <c:ptCount val="31"/>
                <c:pt idx="0">
                  <c:v>133</c:v>
                </c:pt>
                <c:pt idx="1">
                  <c:v>266</c:v>
                </c:pt>
                <c:pt idx="2">
                  <c:v>399.00000000000006</c:v>
                </c:pt>
                <c:pt idx="3">
                  <c:v>532</c:v>
                </c:pt>
                <c:pt idx="4">
                  <c:v>665.00000000000011</c:v>
                </c:pt>
                <c:pt idx="5">
                  <c:v>798.00000000000011</c:v>
                </c:pt>
                <c:pt idx="6">
                  <c:v>931.00000000000011</c:v>
                </c:pt>
                <c:pt idx="7">
                  <c:v>1064</c:v>
                </c:pt>
                <c:pt idx="8">
                  <c:v>1197.0000000000002</c:v>
                </c:pt>
                <c:pt idx="9">
                  <c:v>1330.0000000000002</c:v>
                </c:pt>
                <c:pt idx="10">
                  <c:v>1463.0000000000002</c:v>
                </c:pt>
                <c:pt idx="11">
                  <c:v>1596.0000000000002</c:v>
                </c:pt>
                <c:pt idx="12">
                  <c:v>1729.0000000000002</c:v>
                </c:pt>
                <c:pt idx="13">
                  <c:v>1862.0000000000002</c:v>
                </c:pt>
                <c:pt idx="14">
                  <c:v>1995.0000000000002</c:v>
                </c:pt>
                <c:pt idx="15">
                  <c:v>2128</c:v>
                </c:pt>
                <c:pt idx="16">
                  <c:v>2584</c:v>
                </c:pt>
                <c:pt idx="17">
                  <c:v>2736</c:v>
                </c:pt>
                <c:pt idx="18">
                  <c:v>2888</c:v>
                </c:pt>
                <c:pt idx="19">
                  <c:v>3080</c:v>
                </c:pt>
                <c:pt idx="20">
                  <c:v>3272</c:v>
                </c:pt>
                <c:pt idx="21">
                  <c:v>3464</c:v>
                </c:pt>
                <c:pt idx="22">
                  <c:v>3656</c:v>
                </c:pt>
                <c:pt idx="23">
                  <c:v>3656</c:v>
                </c:pt>
                <c:pt idx="24">
                  <c:v>3656</c:v>
                </c:pt>
                <c:pt idx="25">
                  <c:v>3656</c:v>
                </c:pt>
                <c:pt idx="26">
                  <c:v>3656</c:v>
                </c:pt>
                <c:pt idx="27">
                  <c:v>3656</c:v>
                </c:pt>
                <c:pt idx="28">
                  <c:v>3848</c:v>
                </c:pt>
                <c:pt idx="29">
                  <c:v>4040</c:v>
                </c:pt>
                <c:pt idx="30">
                  <c:v>4232</c:v>
                </c:pt>
              </c:numCache>
            </c:numRef>
          </c:val>
          <c:smooth val="0"/>
          <c:extLst>
            <c:ext xmlns:c16="http://schemas.microsoft.com/office/drawing/2014/chart" uri="{C3380CC4-5D6E-409C-BE32-E72D297353CC}">
              <c16:uniqueId val="{00000001-9043-424A-AE42-4B1593988BD5}"/>
            </c:ext>
          </c:extLst>
        </c:ser>
        <c:ser>
          <c:idx val="2"/>
          <c:order val="2"/>
          <c:tx>
            <c:strRef>
              <c:f>'CPF Tracker'!$L$45</c:f>
              <c:strCache>
                <c:ptCount val="1"/>
                <c:pt idx="0">
                  <c:v>Sum of Medisave </c:v>
                </c:pt>
              </c:strCache>
            </c:strRef>
          </c:tx>
          <c:spPr>
            <a:ln w="28575" cap="rnd">
              <a:solidFill>
                <a:schemeClr val="accent3"/>
              </a:solidFill>
              <a:round/>
            </a:ln>
            <a:effectLst/>
          </c:spPr>
          <c:marker>
            <c:symbol val="none"/>
          </c:marker>
          <c:cat>
            <c:multiLvlStrRef>
              <c:f>'CPF Tracker'!$I$46:$I$81</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'CPF Tracker'!$L$46:$L$81</c:f>
              <c:numCache>
                <c:formatCode>General</c:formatCode>
                <c:ptCount val="31"/>
                <c:pt idx="0">
                  <c:v>171</c:v>
                </c:pt>
                <c:pt idx="1">
                  <c:v>342</c:v>
                </c:pt>
                <c:pt idx="2">
                  <c:v>513</c:v>
                </c:pt>
                <c:pt idx="3">
                  <c:v>684</c:v>
                </c:pt>
                <c:pt idx="4">
                  <c:v>855</c:v>
                </c:pt>
                <c:pt idx="5">
                  <c:v>1026</c:v>
                </c:pt>
                <c:pt idx="6">
                  <c:v>1197</c:v>
                </c:pt>
                <c:pt idx="7">
                  <c:v>1368</c:v>
                </c:pt>
                <c:pt idx="8">
                  <c:v>1539</c:v>
                </c:pt>
                <c:pt idx="9">
                  <c:v>1710</c:v>
                </c:pt>
                <c:pt idx="10">
                  <c:v>1881</c:v>
                </c:pt>
                <c:pt idx="11">
                  <c:v>2052</c:v>
                </c:pt>
                <c:pt idx="12">
                  <c:v>2223</c:v>
                </c:pt>
                <c:pt idx="13">
                  <c:v>2394</c:v>
                </c:pt>
                <c:pt idx="14">
                  <c:v>2565</c:v>
                </c:pt>
                <c:pt idx="15">
                  <c:v>2736</c:v>
                </c:pt>
                <c:pt idx="16">
                  <c:v>3230</c:v>
                </c:pt>
                <c:pt idx="17">
                  <c:v>3420</c:v>
                </c:pt>
                <c:pt idx="18">
                  <c:v>3610</c:v>
                </c:pt>
                <c:pt idx="19">
                  <c:v>3850</c:v>
                </c:pt>
                <c:pt idx="20">
                  <c:v>4090</c:v>
                </c:pt>
                <c:pt idx="21">
                  <c:v>4330</c:v>
                </c:pt>
                <c:pt idx="22">
                  <c:v>4570</c:v>
                </c:pt>
                <c:pt idx="23">
                  <c:v>4570</c:v>
                </c:pt>
                <c:pt idx="24">
                  <c:v>4570</c:v>
                </c:pt>
                <c:pt idx="25">
                  <c:v>4570</c:v>
                </c:pt>
                <c:pt idx="26">
                  <c:v>4570</c:v>
                </c:pt>
                <c:pt idx="27">
                  <c:v>4570</c:v>
                </c:pt>
                <c:pt idx="28">
                  <c:v>4810</c:v>
                </c:pt>
                <c:pt idx="29">
                  <c:v>5050</c:v>
                </c:pt>
                <c:pt idx="30">
                  <c:v>5290</c:v>
                </c:pt>
              </c:numCache>
            </c:numRef>
          </c:val>
          <c:smooth val="0"/>
          <c:extLst>
            <c:ext xmlns:c16="http://schemas.microsoft.com/office/drawing/2014/chart" uri="{C3380CC4-5D6E-409C-BE32-E72D297353CC}">
              <c16:uniqueId val="{00000002-9043-424A-AE42-4B1593988BD5}"/>
            </c:ext>
          </c:extLst>
        </c:ser>
        <c:dLbls>
          <c:showLegendKey val="0"/>
          <c:showVal val="0"/>
          <c:showCatName val="0"/>
          <c:showSerName val="0"/>
          <c:showPercent val="0"/>
          <c:showBubbleSize val="0"/>
        </c:dLbls>
        <c:smooth val="0"/>
        <c:axId val="1913999120"/>
        <c:axId val="1914002864"/>
      </c:lineChart>
      <c:catAx>
        <c:axId val="191399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002864"/>
        <c:crosses val="autoZero"/>
        <c:auto val="1"/>
        <c:lblAlgn val="ctr"/>
        <c:lblOffset val="100"/>
        <c:noMultiLvlLbl val="0"/>
      </c:catAx>
      <c:valAx>
        <c:axId val="191400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999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(Updated).xlsm]CPF Tracker!PivotTable7</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'CPF Tracker'!$P$45</c:f>
              <c:strCache>
                <c:ptCount val="1"/>
                <c:pt idx="0">
                  <c:v>Sum of Ordinary acc Int</c:v>
                </c:pt>
              </c:strCache>
            </c:strRef>
          </c:tx>
          <c:spPr>
            <a:ln w="28575" cap="rnd">
              <a:solidFill>
                <a:schemeClr val="accent1"/>
              </a:solidFill>
              <a:round/>
            </a:ln>
            <a:effectLst/>
          </c:spPr>
          <c:marker>
            <c:symbol val="none"/>
          </c:marker>
          <c:cat>
            <c:multiLvlStrRef>
              <c:f>'CPF Tracker'!$O$46:$O$81</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'CPF Tracker'!$P$46:$P$81</c:f>
              <c:numCache>
                <c:formatCode>0.00</c:formatCode>
                <c:ptCount val="31"/>
                <c:pt idx="0">
                  <c:v>1.1637499999999932</c:v>
                </c:pt>
                <c:pt idx="1">
                  <c:v>2.3274999999999864</c:v>
                </c:pt>
                <c:pt idx="2">
                  <c:v>3.4912500000000364</c:v>
                </c:pt>
                <c:pt idx="3">
                  <c:v>4.6549999999999727</c:v>
                </c:pt>
                <c:pt idx="4">
                  <c:v>5.8187500000001364</c:v>
                </c:pt>
                <c:pt idx="5">
                  <c:v>6.9825000000000728</c:v>
                </c:pt>
                <c:pt idx="6">
                  <c:v>8.1462500000002365</c:v>
                </c:pt>
                <c:pt idx="7">
                  <c:v>9.3099999999999454</c:v>
                </c:pt>
                <c:pt idx="8">
                  <c:v>10.473750000000109</c:v>
                </c:pt>
                <c:pt idx="9">
                  <c:v>11.637500000000273</c:v>
                </c:pt>
                <c:pt idx="10">
                  <c:v>12.801250000000437</c:v>
                </c:pt>
                <c:pt idx="11">
                  <c:v>13.965000000000146</c:v>
                </c:pt>
                <c:pt idx="12">
                  <c:v>15.128749999999854</c:v>
                </c:pt>
                <c:pt idx="13">
                  <c:v>16.292500000000473</c:v>
                </c:pt>
                <c:pt idx="14">
                  <c:v>17.456250000000182</c:v>
                </c:pt>
                <c:pt idx="15">
                  <c:v>18.619999999999891</c:v>
                </c:pt>
                <c:pt idx="16">
                  <c:v>17.899583333333794</c:v>
                </c:pt>
                <c:pt idx="17">
                  <c:v>18.952500000000327</c:v>
                </c:pt>
                <c:pt idx="18">
                  <c:v>20.005416666666861</c:v>
                </c:pt>
                <c:pt idx="19">
                  <c:v>21.335416666666788</c:v>
                </c:pt>
                <c:pt idx="20">
                  <c:v>22.665416666666715</c:v>
                </c:pt>
                <c:pt idx="21">
                  <c:v>23.995416666666642</c:v>
                </c:pt>
                <c:pt idx="22">
                  <c:v>25.32541666666657</c:v>
                </c:pt>
                <c:pt idx="23">
                  <c:v>25.32541666666657</c:v>
                </c:pt>
                <c:pt idx="24">
                  <c:v>25.32541666666657</c:v>
                </c:pt>
                <c:pt idx="25">
                  <c:v>25.32541666666657</c:v>
                </c:pt>
                <c:pt idx="26">
                  <c:v>25.32541666666657</c:v>
                </c:pt>
                <c:pt idx="27">
                  <c:v>25.32541666666657</c:v>
                </c:pt>
                <c:pt idx="28">
                  <c:v>26.655416666666497</c:v>
                </c:pt>
                <c:pt idx="29">
                  <c:v>27.985416666666424</c:v>
                </c:pt>
                <c:pt idx="30">
                  <c:v>29.315416666666351</c:v>
                </c:pt>
              </c:numCache>
            </c:numRef>
          </c:val>
          <c:smooth val="0"/>
          <c:extLst>
            <c:ext xmlns:c16="http://schemas.microsoft.com/office/drawing/2014/chart" uri="{C3380CC4-5D6E-409C-BE32-E72D297353CC}">
              <c16:uniqueId val="{00000000-628C-416D-A0F3-D65CD3F0E1CC}"/>
            </c:ext>
          </c:extLst>
        </c:ser>
        <c:ser>
          <c:idx val="1"/>
          <c:order val="1"/>
          <c:tx>
            <c:strRef>
              <c:f>'CPF Tracker'!$Q$45</c:f>
              <c:strCache>
                <c:ptCount val="1"/>
                <c:pt idx="0">
                  <c:v>Sum of Special acc Int</c:v>
                </c:pt>
              </c:strCache>
            </c:strRef>
          </c:tx>
          <c:spPr>
            <a:ln w="28575" cap="rnd">
              <a:solidFill>
                <a:schemeClr val="accent2"/>
              </a:solidFill>
              <a:round/>
            </a:ln>
            <a:effectLst/>
          </c:spPr>
          <c:marker>
            <c:symbol val="none"/>
          </c:marker>
          <c:cat>
            <c:multiLvlStrRef>
              <c:f>'CPF Tracker'!$O$46:$O$81</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'CPF Tracker'!$Q$46:$Q$81</c:f>
              <c:numCache>
                <c:formatCode>0.00</c:formatCode>
                <c:ptCount val="31"/>
                <c:pt idx="0">
                  <c:v>0.55416666666667425</c:v>
                </c:pt>
                <c:pt idx="1">
                  <c:v>1.1083333333333485</c:v>
                </c:pt>
                <c:pt idx="2">
                  <c:v>1.6625000000000227</c:v>
                </c:pt>
                <c:pt idx="3">
                  <c:v>2.216666666666697</c:v>
                </c:pt>
                <c:pt idx="4">
                  <c:v>2.7708333333333712</c:v>
                </c:pt>
                <c:pt idx="5">
                  <c:v>3.3250000000000455</c:v>
                </c:pt>
                <c:pt idx="6">
                  <c:v>3.879166666666606</c:v>
                </c:pt>
                <c:pt idx="7">
                  <c:v>4.433333333333394</c:v>
                </c:pt>
                <c:pt idx="8">
                  <c:v>4.9874999999999545</c:v>
                </c:pt>
                <c:pt idx="9">
                  <c:v>5.5416666666667425</c:v>
                </c:pt>
                <c:pt idx="10">
                  <c:v>6.095833333333303</c:v>
                </c:pt>
                <c:pt idx="11">
                  <c:v>6.6500000000000909</c:v>
                </c:pt>
                <c:pt idx="12">
                  <c:v>7.2041666666666515</c:v>
                </c:pt>
                <c:pt idx="13">
                  <c:v>7.7583333333332121</c:v>
                </c:pt>
                <c:pt idx="14">
                  <c:v>8.3125</c:v>
                </c:pt>
                <c:pt idx="15">
                  <c:v>8.8666666666667879</c:v>
                </c:pt>
                <c:pt idx="16">
                  <c:v>10.766666666666424</c:v>
                </c:pt>
                <c:pt idx="17">
                  <c:v>11.400000000000091</c:v>
                </c:pt>
                <c:pt idx="18">
                  <c:v>12.033333333333303</c:v>
                </c:pt>
                <c:pt idx="19">
                  <c:v>12.833333333333485</c:v>
                </c:pt>
                <c:pt idx="20">
                  <c:v>13.633333333333212</c:v>
                </c:pt>
                <c:pt idx="21">
                  <c:v>14.433333333333394</c:v>
                </c:pt>
                <c:pt idx="22">
                  <c:v>15.233333333333121</c:v>
                </c:pt>
                <c:pt idx="23">
                  <c:v>15.233333333333121</c:v>
                </c:pt>
                <c:pt idx="24">
                  <c:v>15.233333333333121</c:v>
                </c:pt>
                <c:pt idx="25">
                  <c:v>15.233333333333121</c:v>
                </c:pt>
                <c:pt idx="26">
                  <c:v>15.233333333333121</c:v>
                </c:pt>
                <c:pt idx="27">
                  <c:v>15.233333333333121</c:v>
                </c:pt>
                <c:pt idx="28">
                  <c:v>16.033333333333303</c:v>
                </c:pt>
                <c:pt idx="29">
                  <c:v>16.833333333333485</c:v>
                </c:pt>
                <c:pt idx="30">
                  <c:v>17.633333333333212</c:v>
                </c:pt>
              </c:numCache>
            </c:numRef>
          </c:val>
          <c:smooth val="0"/>
          <c:extLst>
            <c:ext xmlns:c16="http://schemas.microsoft.com/office/drawing/2014/chart" uri="{C3380CC4-5D6E-409C-BE32-E72D297353CC}">
              <c16:uniqueId val="{00000001-628C-416D-A0F3-D65CD3F0E1CC}"/>
            </c:ext>
          </c:extLst>
        </c:ser>
        <c:ser>
          <c:idx val="2"/>
          <c:order val="2"/>
          <c:tx>
            <c:strRef>
              <c:f>'CPF Tracker'!$R$45</c:f>
              <c:strCache>
                <c:ptCount val="1"/>
                <c:pt idx="0">
                  <c:v>Sum of Medisave acc Int</c:v>
                </c:pt>
              </c:strCache>
            </c:strRef>
          </c:tx>
          <c:spPr>
            <a:ln w="28575" cap="rnd">
              <a:solidFill>
                <a:schemeClr val="accent3"/>
              </a:solidFill>
              <a:round/>
            </a:ln>
            <a:effectLst/>
          </c:spPr>
          <c:marker>
            <c:symbol val="none"/>
          </c:marker>
          <c:cat>
            <c:multiLvlStrRef>
              <c:f>'CPF Tracker'!$O$46:$O$81</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'CPF Tracker'!$R$46:$R$81</c:f>
              <c:numCache>
                <c:formatCode>0.00</c:formatCode>
                <c:ptCount val="31"/>
                <c:pt idx="0">
                  <c:v>0.71250000000000568</c:v>
                </c:pt>
                <c:pt idx="1">
                  <c:v>1.4250000000000114</c:v>
                </c:pt>
                <c:pt idx="2">
                  <c:v>2.1375000000000455</c:v>
                </c:pt>
                <c:pt idx="3">
                  <c:v>2.8500000000000227</c:v>
                </c:pt>
                <c:pt idx="4">
                  <c:v>3.5625</c:v>
                </c:pt>
                <c:pt idx="5">
                  <c:v>4.2750000000000909</c:v>
                </c:pt>
                <c:pt idx="6">
                  <c:v>4.9874999999999545</c:v>
                </c:pt>
                <c:pt idx="7">
                  <c:v>5.7000000000000455</c:v>
                </c:pt>
                <c:pt idx="8">
                  <c:v>6.4124999999999091</c:v>
                </c:pt>
                <c:pt idx="9">
                  <c:v>7.125</c:v>
                </c:pt>
                <c:pt idx="10">
                  <c:v>7.8374999999998636</c:v>
                </c:pt>
                <c:pt idx="11">
                  <c:v>8.5500000000001819</c:v>
                </c:pt>
                <c:pt idx="12">
                  <c:v>9.2624999999998181</c:v>
                </c:pt>
                <c:pt idx="13">
                  <c:v>9.9749999999999091</c:v>
                </c:pt>
                <c:pt idx="14">
                  <c:v>10.6875</c:v>
                </c:pt>
                <c:pt idx="15">
                  <c:v>11.400000000000091</c:v>
                </c:pt>
                <c:pt idx="16">
                  <c:v>13.458333333333485</c:v>
                </c:pt>
                <c:pt idx="17">
                  <c:v>14.25</c:v>
                </c:pt>
                <c:pt idx="18">
                  <c:v>15.041666666666515</c:v>
                </c:pt>
                <c:pt idx="19">
                  <c:v>16.041666666666515</c:v>
                </c:pt>
                <c:pt idx="20">
                  <c:v>17.04166666666697</c:v>
                </c:pt>
                <c:pt idx="21">
                  <c:v>18.04166666666697</c:v>
                </c:pt>
                <c:pt idx="22">
                  <c:v>19.04166666666697</c:v>
                </c:pt>
                <c:pt idx="23">
                  <c:v>19.04166666666697</c:v>
                </c:pt>
                <c:pt idx="24">
                  <c:v>19.04166666666697</c:v>
                </c:pt>
                <c:pt idx="25">
                  <c:v>19.04166666666697</c:v>
                </c:pt>
                <c:pt idx="26">
                  <c:v>19.04166666666697</c:v>
                </c:pt>
                <c:pt idx="27">
                  <c:v>19.04166666666697</c:v>
                </c:pt>
                <c:pt idx="28">
                  <c:v>20.04166666666697</c:v>
                </c:pt>
                <c:pt idx="29">
                  <c:v>21.04166666666697</c:v>
                </c:pt>
                <c:pt idx="30">
                  <c:v>22.04166666666697</c:v>
                </c:pt>
              </c:numCache>
            </c:numRef>
          </c:val>
          <c:smooth val="0"/>
          <c:extLst>
            <c:ext xmlns:c16="http://schemas.microsoft.com/office/drawing/2014/chart" uri="{C3380CC4-5D6E-409C-BE32-E72D297353CC}">
              <c16:uniqueId val="{00000002-628C-416D-A0F3-D65CD3F0E1CC}"/>
            </c:ext>
          </c:extLst>
        </c:ser>
        <c:dLbls>
          <c:showLegendKey val="0"/>
          <c:showVal val="0"/>
          <c:showCatName val="0"/>
          <c:showSerName val="0"/>
          <c:showPercent val="0"/>
          <c:showBubbleSize val="0"/>
        </c:dLbls>
        <c:smooth val="0"/>
        <c:axId val="886984912"/>
        <c:axId val="887003216"/>
      </c:lineChart>
      <c:catAx>
        <c:axId val="88698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003216"/>
        <c:crosses val="autoZero"/>
        <c:auto val="1"/>
        <c:lblAlgn val="ctr"/>
        <c:lblOffset val="100"/>
        <c:noMultiLvlLbl val="0"/>
      </c:catAx>
      <c:valAx>
        <c:axId val="88700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8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(Updated).xlsm]New CPF Tracker!PivotTable3</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'New CPF Tracker'!$D$42</c:f>
              <c:strCache>
                <c:ptCount val="1"/>
                <c:pt idx="0">
                  <c:v>Sum of Accumulated Interest SA</c:v>
                </c:pt>
              </c:strCache>
            </c:strRef>
          </c:tx>
          <c:spPr>
            <a:ln w="28575" cap="rnd">
              <a:solidFill>
                <a:schemeClr val="accent1"/>
              </a:solidFill>
              <a:round/>
            </a:ln>
            <a:effectLst/>
          </c:spPr>
          <c:marker>
            <c:symbol val="none"/>
          </c:marker>
          <c:cat>
            <c:multiLvlStrRef>
              <c:f>'New CPF Tracker'!$C$43:$C$80</c:f>
              <c:multiLvlStrCache>
                <c:ptCount val="32"/>
                <c:lvl>
                  <c:pt idx="0">
                    <c:v>01/09/2019</c:v>
                  </c:pt>
                  <c:pt idx="1">
                    <c:v>01/10/2019</c:v>
                  </c:pt>
                  <c:pt idx="2">
                    <c:v>01/11/2019</c:v>
                  </c:pt>
                  <c:pt idx="3">
                    <c:v>01/12/2019</c:v>
                  </c:pt>
                  <c:pt idx="4">
                    <c:v>01/01/2020</c:v>
                  </c:pt>
                  <c:pt idx="5">
                    <c:v>01/02/2020</c:v>
                  </c:pt>
                  <c:pt idx="6">
                    <c:v>01/03/2020</c:v>
                  </c:pt>
                  <c:pt idx="7">
                    <c:v>01/04/2020</c:v>
                  </c:pt>
                  <c:pt idx="8">
                    <c:v>01/05/2020</c:v>
                  </c:pt>
                  <c:pt idx="9">
                    <c:v>01/06/2020</c:v>
                  </c:pt>
                  <c:pt idx="10">
                    <c:v>01/07/2020</c:v>
                  </c:pt>
                  <c:pt idx="11">
                    <c:v>01/08/2020</c:v>
                  </c:pt>
                  <c:pt idx="12">
                    <c:v>01/09/2020</c:v>
                  </c:pt>
                  <c:pt idx="13">
                    <c:v>01/10/2020</c:v>
                  </c:pt>
                  <c:pt idx="14">
                    <c:v>01/11/2020</c:v>
                  </c:pt>
                  <c:pt idx="15">
                    <c:v>01/12/2020</c:v>
                  </c:pt>
                  <c:pt idx="16">
                    <c:v>01/01/2021</c:v>
                  </c:pt>
                  <c:pt idx="17">
                    <c:v>01/02/2021</c:v>
                  </c:pt>
                  <c:pt idx="18">
                    <c:v>01/03/2021</c:v>
                  </c:pt>
                  <c:pt idx="19">
                    <c:v>01/04/2021</c:v>
                  </c:pt>
                  <c:pt idx="20">
                    <c:v>01/05/2021</c:v>
                  </c:pt>
                  <c:pt idx="21">
                    <c:v>01/06/2021</c:v>
                  </c:pt>
                  <c:pt idx="22">
                    <c:v>01/07/2021</c:v>
                  </c:pt>
                  <c:pt idx="23">
                    <c:v>01/08/2021</c:v>
                  </c:pt>
                  <c:pt idx="24">
                    <c:v>01/09/2021</c:v>
                  </c:pt>
                  <c:pt idx="25">
                    <c:v>01/10/2021</c:v>
                  </c:pt>
                  <c:pt idx="26">
                    <c:v>01/11/2021</c:v>
                  </c:pt>
                  <c:pt idx="27">
                    <c:v>01/12/2021</c:v>
                  </c:pt>
                  <c:pt idx="28">
                    <c:v>01/01/2022</c:v>
                  </c:pt>
                  <c:pt idx="29">
                    <c:v>01/02/2022</c:v>
                  </c:pt>
                  <c:pt idx="30">
                    <c:v>01/03/2022</c:v>
                  </c:pt>
                  <c:pt idx="31">
                    <c:v>(blank)</c:v>
                  </c:pt>
                </c:lvl>
                <c:lvl>
                  <c:pt idx="0">
                    <c:v>2019</c:v>
                  </c:pt>
                  <c:pt idx="4">
                    <c:v>2020</c:v>
                  </c:pt>
                  <c:pt idx="16">
                    <c:v>2021</c:v>
                  </c:pt>
                  <c:pt idx="28">
                    <c:v>2022</c:v>
                  </c:pt>
                  <c:pt idx="31">
                    <c:v>(blank)</c:v>
                  </c:pt>
                </c:lvl>
              </c:multiLvlStrCache>
            </c:multiLvlStrRef>
          </c:cat>
          <c:val>
            <c:numRef>
              <c:f>'New CPF Tracker'!$D$43:$D$80</c:f>
              <c:numCache>
                <c:formatCode>General</c:formatCode>
                <c:ptCount val="32"/>
                <c:pt idx="0">
                  <c:v>0</c:v>
                </c:pt>
                <c:pt idx="1">
                  <c:v>0.13750000000000284</c:v>
                </c:pt>
                <c:pt idx="2">
                  <c:v>0.41307291666666401</c:v>
                </c:pt>
                <c:pt idx="3">
                  <c:v>0.82729405381944332</c:v>
                </c:pt>
                <c:pt idx="4">
                  <c:v>1.3807411123770095</c:v>
                </c:pt>
                <c:pt idx="5">
                  <c:v>2.4906608670119255</c:v>
                </c:pt>
                <c:pt idx="6">
                  <c:v>4.1593719539578302</c:v>
                </c:pt>
                <c:pt idx="7">
                  <c:v>5.5558693370993097</c:v>
                </c:pt>
                <c:pt idx="8">
                  <c:v>7.5123521260038757</c:v>
                </c:pt>
                <c:pt idx="9">
                  <c:v>10.031153593195555</c:v>
                </c:pt>
                <c:pt idx="10">
                  <c:v>13.114616733167182</c:v>
                </c:pt>
                <c:pt idx="11">
                  <c:v>16.76509430288867</c:v>
                </c:pt>
                <c:pt idx="12">
                  <c:v>20.568282195817361</c:v>
                </c:pt>
                <c:pt idx="13">
                  <c:v>24.524816704966625</c:v>
                </c:pt>
                <c:pt idx="14">
                  <c:v>28.635336774570661</c:v>
                </c:pt>
                <c:pt idx="15">
                  <c:v>32.900484011131439</c:v>
                </c:pt>
                <c:pt idx="16">
                  <c:v>37.737569361177876</c:v>
                </c:pt>
                <c:pt idx="17">
                  <c:v>43.228142566849456</c:v>
                </c:pt>
                <c:pt idx="18">
                  <c:v>49.166593160878065</c:v>
                </c:pt>
                <c:pt idx="19">
                  <c:v>55.929787299048385</c:v>
                </c:pt>
                <c:pt idx="20">
                  <c:v>84.354494746127912</c:v>
                </c:pt>
                <c:pt idx="21">
                  <c:v>113.69763847423668</c:v>
                </c:pt>
                <c:pt idx="22">
                  <c:v>141.87971196787942</c:v>
                </c:pt>
                <c:pt idx="23">
                  <c:v>168.895877434412</c:v>
                </c:pt>
                <c:pt idx="24">
                  <c:v>193.9412769237216</c:v>
                </c:pt>
                <c:pt idx="25">
                  <c:v>219.091032244237</c:v>
                </c:pt>
                <c:pt idx="26">
                  <c:v>241.84557821192095</c:v>
                </c:pt>
                <c:pt idx="27">
                  <c:v>264.69493478780362</c:v>
                </c:pt>
                <c:pt idx="28">
                  <c:v>288.43949701608574</c:v>
                </c:pt>
                <c:pt idx="29">
                  <c:v>313.08299492031904</c:v>
                </c:pt>
                <c:pt idx="30">
                  <c:v>338.62917406581994</c:v>
                </c:pt>
              </c:numCache>
            </c:numRef>
          </c:val>
          <c:smooth val="0"/>
          <c:extLst>
            <c:ext xmlns:c16="http://schemas.microsoft.com/office/drawing/2014/chart" uri="{C3380CC4-5D6E-409C-BE32-E72D297353CC}">
              <c16:uniqueId val="{00000000-99B2-4252-8413-AA9D406DAF33}"/>
            </c:ext>
          </c:extLst>
        </c:ser>
        <c:ser>
          <c:idx val="1"/>
          <c:order val="1"/>
          <c:tx>
            <c:strRef>
              <c:f>'New CPF Tracker'!$E$42</c:f>
              <c:strCache>
                <c:ptCount val="1"/>
                <c:pt idx="0">
                  <c:v>Sum of Accumulated Interest MA</c:v>
                </c:pt>
              </c:strCache>
            </c:strRef>
          </c:tx>
          <c:spPr>
            <a:ln w="28575" cap="rnd">
              <a:solidFill>
                <a:schemeClr val="accent2"/>
              </a:solidFill>
              <a:round/>
            </a:ln>
            <a:effectLst/>
          </c:spPr>
          <c:marker>
            <c:symbol val="none"/>
          </c:marker>
          <c:cat>
            <c:multiLvlStrRef>
              <c:f>'New CPF Tracker'!$C$43:$C$80</c:f>
              <c:multiLvlStrCache>
                <c:ptCount val="32"/>
                <c:lvl>
                  <c:pt idx="0">
                    <c:v>01/09/2019</c:v>
                  </c:pt>
                  <c:pt idx="1">
                    <c:v>01/10/2019</c:v>
                  </c:pt>
                  <c:pt idx="2">
                    <c:v>01/11/2019</c:v>
                  </c:pt>
                  <c:pt idx="3">
                    <c:v>01/12/2019</c:v>
                  </c:pt>
                  <c:pt idx="4">
                    <c:v>01/01/2020</c:v>
                  </c:pt>
                  <c:pt idx="5">
                    <c:v>01/02/2020</c:v>
                  </c:pt>
                  <c:pt idx="6">
                    <c:v>01/03/2020</c:v>
                  </c:pt>
                  <c:pt idx="7">
                    <c:v>01/04/2020</c:v>
                  </c:pt>
                  <c:pt idx="8">
                    <c:v>01/05/2020</c:v>
                  </c:pt>
                  <c:pt idx="9">
                    <c:v>01/06/2020</c:v>
                  </c:pt>
                  <c:pt idx="10">
                    <c:v>01/07/2020</c:v>
                  </c:pt>
                  <c:pt idx="11">
                    <c:v>01/08/2020</c:v>
                  </c:pt>
                  <c:pt idx="12">
                    <c:v>01/09/2020</c:v>
                  </c:pt>
                  <c:pt idx="13">
                    <c:v>01/10/2020</c:v>
                  </c:pt>
                  <c:pt idx="14">
                    <c:v>01/11/2020</c:v>
                  </c:pt>
                  <c:pt idx="15">
                    <c:v>01/12/2020</c:v>
                  </c:pt>
                  <c:pt idx="16">
                    <c:v>01/01/2021</c:v>
                  </c:pt>
                  <c:pt idx="17">
                    <c:v>01/02/2021</c:v>
                  </c:pt>
                  <c:pt idx="18">
                    <c:v>01/03/2021</c:v>
                  </c:pt>
                  <c:pt idx="19">
                    <c:v>01/04/2021</c:v>
                  </c:pt>
                  <c:pt idx="20">
                    <c:v>01/05/2021</c:v>
                  </c:pt>
                  <c:pt idx="21">
                    <c:v>01/06/2021</c:v>
                  </c:pt>
                  <c:pt idx="22">
                    <c:v>01/07/2021</c:v>
                  </c:pt>
                  <c:pt idx="23">
                    <c:v>01/08/2021</c:v>
                  </c:pt>
                  <c:pt idx="24">
                    <c:v>01/09/2021</c:v>
                  </c:pt>
                  <c:pt idx="25">
                    <c:v>01/10/2021</c:v>
                  </c:pt>
                  <c:pt idx="26">
                    <c:v>01/11/2021</c:v>
                  </c:pt>
                  <c:pt idx="27">
                    <c:v>01/12/2021</c:v>
                  </c:pt>
                  <c:pt idx="28">
                    <c:v>01/01/2022</c:v>
                  </c:pt>
                  <c:pt idx="29">
                    <c:v>01/02/2022</c:v>
                  </c:pt>
                  <c:pt idx="30">
                    <c:v>01/03/2022</c:v>
                  </c:pt>
                  <c:pt idx="31">
                    <c:v>(blank)</c:v>
                  </c:pt>
                </c:lvl>
                <c:lvl>
                  <c:pt idx="0">
                    <c:v>2019</c:v>
                  </c:pt>
                  <c:pt idx="4">
                    <c:v>2020</c:v>
                  </c:pt>
                  <c:pt idx="16">
                    <c:v>2021</c:v>
                  </c:pt>
                  <c:pt idx="28">
                    <c:v>2022</c:v>
                  </c:pt>
                  <c:pt idx="31">
                    <c:v>(blank)</c:v>
                  </c:pt>
                </c:lvl>
              </c:multiLvlStrCache>
            </c:multiLvlStrRef>
          </c:cat>
          <c:val>
            <c:numRef>
              <c:f>'New CPF Tracker'!$E$43:$E$80</c:f>
              <c:numCache>
                <c:formatCode>General</c:formatCode>
                <c:ptCount val="32"/>
                <c:pt idx="0">
                  <c:v>0</c:v>
                </c:pt>
                <c:pt idx="1">
                  <c:v>0.49875000000000114</c:v>
                </c:pt>
                <c:pt idx="2">
                  <c:v>1.4977046875000326</c:v>
                </c:pt>
                <c:pt idx="3">
                  <c:v>2.9983229928385811</c:v>
                </c:pt>
                <c:pt idx="4">
                  <c:v>5.002068101567744</c:v>
                </c:pt>
                <c:pt idx="5">
                  <c:v>7.5104074668639953</c:v>
                </c:pt>
                <c:pt idx="6">
                  <c:v>10.524812821975644</c:v>
                </c:pt>
                <c:pt idx="7">
                  <c:v>14.04676019270633</c:v>
                </c:pt>
                <c:pt idx="8">
                  <c:v>18.07772990993513</c:v>
                </c:pt>
                <c:pt idx="9">
                  <c:v>22.619206622172356</c:v>
                </c:pt>
                <c:pt idx="10">
                  <c:v>27.672679308153789</c:v>
                </c:pt>
                <c:pt idx="11">
                  <c:v>33.239641289469233</c:v>
                </c:pt>
                <c:pt idx="12">
                  <c:v>33.488256909896847</c:v>
                </c:pt>
                <c:pt idx="13">
                  <c:v>34.236347659217358</c:v>
                </c:pt>
                <c:pt idx="14">
                  <c:v>35.485370339890096</c:v>
                </c:pt>
                <c:pt idx="15">
                  <c:v>37.23678600338144</c:v>
                </c:pt>
                <c:pt idx="16">
                  <c:v>39.49205996255796</c:v>
                </c:pt>
                <c:pt idx="17">
                  <c:v>42.308078470782107</c:v>
                </c:pt>
                <c:pt idx="18">
                  <c:v>45.686477032988591</c:v>
                </c:pt>
                <c:pt idx="19">
                  <c:v>49.774729257668128</c:v>
                </c:pt>
                <c:pt idx="20">
                  <c:v>54.574905551336428</c:v>
                </c:pt>
                <c:pt idx="21">
                  <c:v>60.089082359194549</c:v>
                </c:pt>
                <c:pt idx="22">
                  <c:v>66.319342182742389</c:v>
                </c:pt>
                <c:pt idx="23">
                  <c:v>73.267773597442215</c:v>
                </c:pt>
                <c:pt idx="24">
                  <c:v>75.861471270434777</c:v>
                </c:pt>
                <c:pt idx="25">
                  <c:v>78.462733894973553</c:v>
                </c:pt>
                <c:pt idx="26">
                  <c:v>81.071583535500622</c:v>
                </c:pt>
                <c:pt idx="27">
                  <c:v>83.688042320812542</c:v>
                </c:pt>
                <c:pt idx="28">
                  <c:v>87.012132444248323</c:v>
                </c:pt>
                <c:pt idx="29">
                  <c:v>91.045917830543999</c:v>
                </c:pt>
                <c:pt idx="30">
                  <c:v>95.791468424216532</c:v>
                </c:pt>
              </c:numCache>
            </c:numRef>
          </c:val>
          <c:smooth val="0"/>
          <c:extLst>
            <c:ext xmlns:c16="http://schemas.microsoft.com/office/drawing/2014/chart" uri="{C3380CC4-5D6E-409C-BE32-E72D297353CC}">
              <c16:uniqueId val="{00000001-99B2-4252-8413-AA9D406DAF33}"/>
            </c:ext>
          </c:extLst>
        </c:ser>
        <c:ser>
          <c:idx val="2"/>
          <c:order val="2"/>
          <c:tx>
            <c:strRef>
              <c:f>'New CPF Tracker'!$F$42</c:f>
              <c:strCache>
                <c:ptCount val="1"/>
                <c:pt idx="0">
                  <c:v>Sum of Accumulated Interest OA</c:v>
                </c:pt>
              </c:strCache>
            </c:strRef>
          </c:tx>
          <c:spPr>
            <a:ln w="28575" cap="rnd">
              <a:solidFill>
                <a:schemeClr val="accent3"/>
              </a:solidFill>
              <a:round/>
            </a:ln>
            <a:effectLst/>
          </c:spPr>
          <c:marker>
            <c:symbol val="none"/>
          </c:marker>
          <c:cat>
            <c:multiLvlStrRef>
              <c:f>'New CPF Tracker'!$C$43:$C$80</c:f>
              <c:multiLvlStrCache>
                <c:ptCount val="32"/>
                <c:lvl>
                  <c:pt idx="0">
                    <c:v>01/09/2019</c:v>
                  </c:pt>
                  <c:pt idx="1">
                    <c:v>01/10/2019</c:v>
                  </c:pt>
                  <c:pt idx="2">
                    <c:v>01/11/2019</c:v>
                  </c:pt>
                  <c:pt idx="3">
                    <c:v>01/12/2019</c:v>
                  </c:pt>
                  <c:pt idx="4">
                    <c:v>01/01/2020</c:v>
                  </c:pt>
                  <c:pt idx="5">
                    <c:v>01/02/2020</c:v>
                  </c:pt>
                  <c:pt idx="6">
                    <c:v>01/03/2020</c:v>
                  </c:pt>
                  <c:pt idx="7">
                    <c:v>01/04/2020</c:v>
                  </c:pt>
                  <c:pt idx="8">
                    <c:v>01/05/2020</c:v>
                  </c:pt>
                  <c:pt idx="9">
                    <c:v>01/06/2020</c:v>
                  </c:pt>
                  <c:pt idx="10">
                    <c:v>01/07/2020</c:v>
                  </c:pt>
                  <c:pt idx="11">
                    <c:v>01/08/2020</c:v>
                  </c:pt>
                  <c:pt idx="12">
                    <c:v>01/09/2020</c:v>
                  </c:pt>
                  <c:pt idx="13">
                    <c:v>01/10/2020</c:v>
                  </c:pt>
                  <c:pt idx="14">
                    <c:v>01/11/2020</c:v>
                  </c:pt>
                  <c:pt idx="15">
                    <c:v>01/12/2020</c:v>
                  </c:pt>
                  <c:pt idx="16">
                    <c:v>01/01/2021</c:v>
                  </c:pt>
                  <c:pt idx="17">
                    <c:v>01/02/2021</c:v>
                  </c:pt>
                  <c:pt idx="18">
                    <c:v>01/03/2021</c:v>
                  </c:pt>
                  <c:pt idx="19">
                    <c:v>01/04/2021</c:v>
                  </c:pt>
                  <c:pt idx="20">
                    <c:v>01/05/2021</c:v>
                  </c:pt>
                  <c:pt idx="21">
                    <c:v>01/06/2021</c:v>
                  </c:pt>
                  <c:pt idx="22">
                    <c:v>01/07/2021</c:v>
                  </c:pt>
                  <c:pt idx="23">
                    <c:v>01/08/2021</c:v>
                  </c:pt>
                  <c:pt idx="24">
                    <c:v>01/09/2021</c:v>
                  </c:pt>
                  <c:pt idx="25">
                    <c:v>01/10/2021</c:v>
                  </c:pt>
                  <c:pt idx="26">
                    <c:v>01/11/2021</c:v>
                  </c:pt>
                  <c:pt idx="27">
                    <c:v>01/12/2021</c:v>
                  </c:pt>
                  <c:pt idx="28">
                    <c:v>01/01/2022</c:v>
                  </c:pt>
                  <c:pt idx="29">
                    <c:v>01/02/2022</c:v>
                  </c:pt>
                  <c:pt idx="30">
                    <c:v>01/03/2022</c:v>
                  </c:pt>
                  <c:pt idx="31">
                    <c:v>(blank)</c:v>
                  </c:pt>
                </c:lvl>
                <c:lvl>
                  <c:pt idx="0">
                    <c:v>2019</c:v>
                  </c:pt>
                  <c:pt idx="4">
                    <c:v>2020</c:v>
                  </c:pt>
                  <c:pt idx="16">
                    <c:v>2021</c:v>
                  </c:pt>
                  <c:pt idx="28">
                    <c:v>2022</c:v>
                  </c:pt>
                  <c:pt idx="31">
                    <c:v>(blank)</c:v>
                  </c:pt>
                </c:lvl>
              </c:multiLvlStrCache>
            </c:multiLvlStrRef>
          </c:cat>
          <c:val>
            <c:numRef>
              <c:f>'New CPF Tracker'!$F$43:$F$80</c:f>
              <c:numCache>
                <c:formatCode>General</c:formatCode>
                <c:ptCount val="32"/>
                <c:pt idx="0">
                  <c:v>0</c:v>
                </c:pt>
                <c:pt idx="1">
                  <c:v>1.1637499999999932</c:v>
                </c:pt>
                <c:pt idx="2">
                  <c:v>3.494644270833362</c:v>
                </c:pt>
                <c:pt idx="3">
                  <c:v>6.9960869832898993</c:v>
                </c:pt>
                <c:pt idx="4">
                  <c:v>11.671492236991128</c:v>
                </c:pt>
                <c:pt idx="5">
                  <c:v>17.524284089349123</c:v>
                </c:pt>
                <c:pt idx="6">
                  <c:v>24.557896584609637</c:v>
                </c:pt>
                <c:pt idx="7">
                  <c:v>32.775773782981389</c:v>
                </c:pt>
                <c:pt idx="8">
                  <c:v>42.181369789848588</c:v>
                </c:pt>
                <c:pt idx="9">
                  <c:v>52.778148785069163</c:v>
                </c:pt>
                <c:pt idx="10">
                  <c:v>63.986251719025688</c:v>
                </c:pt>
                <c:pt idx="11">
                  <c:v>76.39079495320658</c:v>
                </c:pt>
                <c:pt idx="12">
                  <c:v>89.995268105153457</c:v>
                </c:pt>
                <c:pt idx="13">
                  <c:v>104.80317097045992</c:v>
                </c:pt>
                <c:pt idx="14">
                  <c:v>120.81801355245699</c:v>
                </c:pt>
                <c:pt idx="15">
                  <c:v>138.04331609198545</c:v>
                </c:pt>
                <c:pt idx="16">
                  <c:v>156.4826090972536</c:v>
                </c:pt>
                <c:pt idx="17">
                  <c:v>174.57026670712077</c:v>
                </c:pt>
                <c:pt idx="18">
                  <c:v>192.30526331834955</c:v>
                </c:pt>
                <c:pt idx="19">
                  <c:v>209.96365366969513</c:v>
                </c:pt>
                <c:pt idx="20">
                  <c:v>227.5452143262317</c:v>
                </c:pt>
                <c:pt idx="21">
                  <c:v>245.04972120134954</c:v>
                </c:pt>
                <c:pt idx="22">
                  <c:v>262.47694955485332</c:v>
                </c:pt>
                <c:pt idx="23">
                  <c:v>279.82667399105486</c:v>
                </c:pt>
                <c:pt idx="24">
                  <c:v>295.76866845686237</c:v>
                </c:pt>
                <c:pt idx="25">
                  <c:v>310.29882707319467</c:v>
                </c:pt>
                <c:pt idx="26">
                  <c:v>324.87136531882499</c:v>
                </c:pt>
                <c:pt idx="27">
                  <c:v>337.82390680100508</c:v>
                </c:pt>
                <c:pt idx="28">
                  <c:v>350.48172652917475</c:v>
                </c:pt>
                <c:pt idx="29">
                  <c:v>362.8439648982183</c:v>
                </c:pt>
                <c:pt idx="30">
                  <c:v>374.90975979583783</c:v>
                </c:pt>
              </c:numCache>
            </c:numRef>
          </c:val>
          <c:smooth val="0"/>
          <c:extLst>
            <c:ext xmlns:c16="http://schemas.microsoft.com/office/drawing/2014/chart" uri="{C3380CC4-5D6E-409C-BE32-E72D297353CC}">
              <c16:uniqueId val="{00000001-EA02-4D96-AD02-0D5D1BA76A31}"/>
            </c:ext>
          </c:extLst>
        </c:ser>
        <c:dLbls>
          <c:showLegendKey val="0"/>
          <c:showVal val="0"/>
          <c:showCatName val="0"/>
          <c:showSerName val="0"/>
          <c:showPercent val="0"/>
          <c:showBubbleSize val="0"/>
        </c:dLbls>
        <c:smooth val="0"/>
        <c:axId val="1272280000"/>
        <c:axId val="1272286240"/>
      </c:lineChart>
      <c:catAx>
        <c:axId val="127228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286240"/>
        <c:crosses val="autoZero"/>
        <c:auto val="1"/>
        <c:lblAlgn val="ctr"/>
        <c:lblOffset val="100"/>
        <c:noMultiLvlLbl val="0"/>
      </c:catAx>
      <c:valAx>
        <c:axId val="1272286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280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(Updated).xlsm]New CPF Tracker!PivotTable6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'New CPF Tracker'!$I$42</c:f>
              <c:strCache>
                <c:ptCount val="1"/>
                <c:pt idx="0">
                  <c:v>Sum of Monthly Salary</c:v>
                </c:pt>
              </c:strCache>
            </c:strRef>
          </c:tx>
          <c:spPr>
            <a:solidFill>
              <a:schemeClr val="accent1"/>
            </a:solidFill>
            <a:ln>
              <a:noFill/>
            </a:ln>
            <a:effectLst/>
          </c:spPr>
          <c:invertIfNegative val="0"/>
          <c:cat>
            <c:strRef>
              <c:f>'New CPF Tracker'!$H$43:$H$48</c:f>
              <c:strCache>
                <c:ptCount val="5"/>
                <c:pt idx="0">
                  <c:v>2019</c:v>
                </c:pt>
                <c:pt idx="1">
                  <c:v>2020</c:v>
                </c:pt>
                <c:pt idx="2">
                  <c:v>2021</c:v>
                </c:pt>
                <c:pt idx="3">
                  <c:v>2022</c:v>
                </c:pt>
                <c:pt idx="4">
                  <c:v>(blank)</c:v>
                </c:pt>
              </c:strCache>
            </c:strRef>
          </c:cat>
          <c:val>
            <c:numRef>
              <c:f>'New CPF Tracker'!$I$43:$I$48</c:f>
              <c:numCache>
                <c:formatCode>General</c:formatCode>
                <c:ptCount val="5"/>
                <c:pt idx="0">
                  <c:v>7600</c:v>
                </c:pt>
                <c:pt idx="1">
                  <c:v>22800</c:v>
                </c:pt>
                <c:pt idx="2">
                  <c:v>18200</c:v>
                </c:pt>
                <c:pt idx="3">
                  <c:v>7200</c:v>
                </c:pt>
                <c:pt idx="4">
                  <c:v>0</c:v>
                </c:pt>
              </c:numCache>
            </c:numRef>
          </c:val>
          <c:extLst>
            <c:ext xmlns:c16="http://schemas.microsoft.com/office/drawing/2014/chart" uri="{C3380CC4-5D6E-409C-BE32-E72D297353CC}">
              <c16:uniqueId val="{00000000-747C-4148-BCAC-8E0904151543}"/>
            </c:ext>
          </c:extLst>
        </c:ser>
        <c:ser>
          <c:idx val="1"/>
          <c:order val="1"/>
          <c:tx>
            <c:strRef>
              <c:f>'New CPF Tracker'!$J$42</c:f>
              <c:strCache>
                <c:ptCount val="1"/>
                <c:pt idx="0">
                  <c:v>Sum of Employer's Monthly Contribution</c:v>
                </c:pt>
              </c:strCache>
            </c:strRef>
          </c:tx>
          <c:spPr>
            <a:solidFill>
              <a:schemeClr val="accent2"/>
            </a:solidFill>
            <a:ln>
              <a:noFill/>
            </a:ln>
            <a:effectLst/>
          </c:spPr>
          <c:invertIfNegative val="0"/>
          <c:cat>
            <c:strRef>
              <c:f>'New CPF Tracker'!$H$43:$H$48</c:f>
              <c:strCache>
                <c:ptCount val="5"/>
                <c:pt idx="0">
                  <c:v>2019</c:v>
                </c:pt>
                <c:pt idx="1">
                  <c:v>2020</c:v>
                </c:pt>
                <c:pt idx="2">
                  <c:v>2021</c:v>
                </c:pt>
                <c:pt idx="3">
                  <c:v>2022</c:v>
                </c:pt>
                <c:pt idx="4">
                  <c:v>(blank)</c:v>
                </c:pt>
              </c:strCache>
            </c:strRef>
          </c:cat>
          <c:val>
            <c:numRef>
              <c:f>'New CPF Tracker'!$J$43:$J$48</c:f>
              <c:numCache>
                <c:formatCode>General</c:formatCode>
                <c:ptCount val="5"/>
                <c:pt idx="0">
                  <c:v>1292</c:v>
                </c:pt>
                <c:pt idx="1">
                  <c:v>3876</c:v>
                </c:pt>
                <c:pt idx="2">
                  <c:v>3094</c:v>
                </c:pt>
                <c:pt idx="3">
                  <c:v>1224.0000000000002</c:v>
                </c:pt>
                <c:pt idx="4">
                  <c:v>0</c:v>
                </c:pt>
              </c:numCache>
            </c:numRef>
          </c:val>
          <c:extLst>
            <c:ext xmlns:c16="http://schemas.microsoft.com/office/drawing/2014/chart" uri="{C3380CC4-5D6E-409C-BE32-E72D297353CC}">
              <c16:uniqueId val="{00000001-747C-4148-BCAC-8E0904151543}"/>
            </c:ext>
          </c:extLst>
        </c:ser>
        <c:ser>
          <c:idx val="2"/>
          <c:order val="2"/>
          <c:tx>
            <c:strRef>
              <c:f>'New CPF Tracker'!$K$42</c:f>
              <c:strCache>
                <c:ptCount val="1"/>
                <c:pt idx="0">
                  <c:v>Sum of Employee's Monthly Contribution</c:v>
                </c:pt>
              </c:strCache>
            </c:strRef>
          </c:tx>
          <c:spPr>
            <a:solidFill>
              <a:schemeClr val="accent3"/>
            </a:solidFill>
            <a:ln>
              <a:noFill/>
            </a:ln>
            <a:effectLst/>
          </c:spPr>
          <c:invertIfNegative val="0"/>
          <c:cat>
            <c:strRef>
              <c:f>'New CPF Tracker'!$H$43:$H$48</c:f>
              <c:strCache>
                <c:ptCount val="5"/>
                <c:pt idx="0">
                  <c:v>2019</c:v>
                </c:pt>
                <c:pt idx="1">
                  <c:v>2020</c:v>
                </c:pt>
                <c:pt idx="2">
                  <c:v>2021</c:v>
                </c:pt>
                <c:pt idx="3">
                  <c:v>2022</c:v>
                </c:pt>
                <c:pt idx="4">
                  <c:v>(blank)</c:v>
                </c:pt>
              </c:strCache>
            </c:strRef>
          </c:cat>
          <c:val>
            <c:numRef>
              <c:f>'New CPF Tracker'!$K$43:$K$48</c:f>
              <c:numCache>
                <c:formatCode>General</c:formatCode>
                <c:ptCount val="5"/>
                <c:pt idx="0">
                  <c:v>1520</c:v>
                </c:pt>
                <c:pt idx="1">
                  <c:v>4560</c:v>
                </c:pt>
                <c:pt idx="2">
                  <c:v>3640</c:v>
                </c:pt>
                <c:pt idx="3">
                  <c:v>1440</c:v>
                </c:pt>
                <c:pt idx="4">
                  <c:v>0</c:v>
                </c:pt>
              </c:numCache>
            </c:numRef>
          </c:val>
          <c:extLst>
            <c:ext xmlns:c16="http://schemas.microsoft.com/office/drawing/2014/chart" uri="{C3380CC4-5D6E-409C-BE32-E72D297353CC}">
              <c16:uniqueId val="{00000002-747C-4148-BCAC-8E0904151543}"/>
            </c:ext>
          </c:extLst>
        </c:ser>
        <c:dLbls>
          <c:showLegendKey val="0"/>
          <c:showVal val="0"/>
          <c:showCatName val="0"/>
          <c:showSerName val="0"/>
          <c:showPercent val="0"/>
          <c:showBubbleSize val="0"/>
        </c:dLbls>
        <c:gapWidth val="150"/>
        <c:overlap val="100"/>
        <c:axId val="1323210688"/>
        <c:axId val="1323220672"/>
      </c:barChart>
      <c:catAx>
        <c:axId val="1323210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220672"/>
        <c:crosses val="autoZero"/>
        <c:auto val="1"/>
        <c:lblAlgn val="ctr"/>
        <c:lblOffset val="100"/>
        <c:noMultiLvlLbl val="0"/>
      </c:catAx>
      <c:valAx>
        <c:axId val="132322067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210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(Updated).xlsm]New CPF Tracker!PivotTable7</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'New CPF Tracker'!$N$42</c:f>
              <c:strCache>
                <c:ptCount val="1"/>
                <c:pt idx="0">
                  <c:v>Sum of Accumulated amount (OA)</c:v>
                </c:pt>
              </c:strCache>
            </c:strRef>
          </c:tx>
          <c:spPr>
            <a:ln w="28575" cap="rnd">
              <a:solidFill>
                <a:schemeClr val="accent1"/>
              </a:solidFill>
              <a:round/>
            </a:ln>
            <a:effectLst/>
          </c:spPr>
          <c:marker>
            <c:symbol val="none"/>
          </c:marker>
          <c:cat>
            <c:multiLvlStrRef>
              <c:f>'New CPF Tracker'!$M$43:$M$78</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'New CPF Tracker'!$N$43:$N$78</c:f>
              <c:numCache>
                <c:formatCode>General</c:formatCode>
                <c:ptCount val="31"/>
                <c:pt idx="0">
                  <c:v>399</c:v>
                </c:pt>
                <c:pt idx="1">
                  <c:v>799.16374999999994</c:v>
                </c:pt>
                <c:pt idx="2">
                  <c:v>1200.4946442708333</c:v>
                </c:pt>
                <c:pt idx="3">
                  <c:v>1602.9960869832898</c:v>
                </c:pt>
                <c:pt idx="4">
                  <c:v>2006.6714922369911</c:v>
                </c:pt>
                <c:pt idx="5">
                  <c:v>2411.5242840893488</c:v>
                </c:pt>
                <c:pt idx="6">
                  <c:v>2817.5578965846094</c:v>
                </c:pt>
                <c:pt idx="7">
                  <c:v>3224.7757737829811</c:v>
                </c:pt>
                <c:pt idx="8">
                  <c:v>3633.1813697898483</c:v>
                </c:pt>
                <c:pt idx="9">
                  <c:v>3842.7781487850689</c:v>
                </c:pt>
                <c:pt idx="10">
                  <c:v>4252.9862517190249</c:v>
                </c:pt>
                <c:pt idx="11">
                  <c:v>4664.3907949532058</c:v>
                </c:pt>
                <c:pt idx="12">
                  <c:v>5076.9952681051527</c:v>
                </c:pt>
                <c:pt idx="13">
                  <c:v>5490.8031709704592</c:v>
                </c:pt>
                <c:pt idx="14">
                  <c:v>5905.8180135524563</c:v>
                </c:pt>
                <c:pt idx="15">
                  <c:v>6322.0433160919847</c:v>
                </c:pt>
                <c:pt idx="16">
                  <c:v>6201.4826090972529</c:v>
                </c:pt>
                <c:pt idx="17">
                  <c:v>6080.57026670712</c:v>
                </c:pt>
                <c:pt idx="18">
                  <c:v>6054.3052633183488</c:v>
                </c:pt>
                <c:pt idx="19">
                  <c:v>6027.9636536696944</c:v>
                </c:pt>
                <c:pt idx="20">
                  <c:v>6001.545214326231</c:v>
                </c:pt>
                <c:pt idx="21">
                  <c:v>5975.0497212013488</c:v>
                </c:pt>
                <c:pt idx="22">
                  <c:v>5948.4769495548526</c:v>
                </c:pt>
                <c:pt idx="23">
                  <c:v>5465.8266739910541</c:v>
                </c:pt>
                <c:pt idx="24">
                  <c:v>4981.7686684568616</c:v>
                </c:pt>
                <c:pt idx="25">
                  <c:v>4996.2988270731939</c:v>
                </c:pt>
                <c:pt idx="26">
                  <c:v>4440.8713653188242</c:v>
                </c:pt>
                <c:pt idx="27">
                  <c:v>4339.8239068010043</c:v>
                </c:pt>
                <c:pt idx="28">
                  <c:v>4238.481726529174</c:v>
                </c:pt>
                <c:pt idx="29">
                  <c:v>4136.8439648982176</c:v>
                </c:pt>
                <c:pt idx="30">
                  <c:v>4034.9097597958371</c:v>
                </c:pt>
              </c:numCache>
            </c:numRef>
          </c:val>
          <c:smooth val="0"/>
          <c:extLst>
            <c:ext xmlns:c16="http://schemas.microsoft.com/office/drawing/2014/chart" uri="{C3380CC4-5D6E-409C-BE32-E72D297353CC}">
              <c16:uniqueId val="{00000000-648B-4325-8DC6-8FBE735B0E8B}"/>
            </c:ext>
          </c:extLst>
        </c:ser>
        <c:ser>
          <c:idx val="1"/>
          <c:order val="1"/>
          <c:tx>
            <c:strRef>
              <c:f>'New CPF Tracker'!$O$42</c:f>
              <c:strCache>
                <c:ptCount val="1"/>
                <c:pt idx="0">
                  <c:v>Sum of Accumulated amount (SA)</c:v>
                </c:pt>
              </c:strCache>
            </c:strRef>
          </c:tx>
          <c:spPr>
            <a:ln w="28575" cap="rnd">
              <a:solidFill>
                <a:schemeClr val="accent2"/>
              </a:solidFill>
              <a:round/>
            </a:ln>
            <a:effectLst/>
          </c:spPr>
          <c:marker>
            <c:symbol val="none"/>
          </c:marker>
          <c:cat>
            <c:multiLvlStrRef>
              <c:f>'New CPF Tracker'!$M$43:$M$78</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'New CPF Tracker'!$O$43:$O$78</c:f>
              <c:numCache>
                <c:formatCode>General</c:formatCode>
                <c:ptCount val="31"/>
                <c:pt idx="0">
                  <c:v>33</c:v>
                </c:pt>
                <c:pt idx="1">
                  <c:v>66.137499999999989</c:v>
                </c:pt>
                <c:pt idx="2">
                  <c:v>99.413072916666636</c:v>
                </c:pt>
                <c:pt idx="3">
                  <c:v>132.8272940538194</c:v>
                </c:pt>
                <c:pt idx="4">
                  <c:v>266.380741112377</c:v>
                </c:pt>
                <c:pt idx="5">
                  <c:v>400.49066086701191</c:v>
                </c:pt>
                <c:pt idx="6">
                  <c:v>335.15937195395782</c:v>
                </c:pt>
                <c:pt idx="7">
                  <c:v>469.5558693370993</c:v>
                </c:pt>
                <c:pt idx="8">
                  <c:v>604.51235212600386</c:v>
                </c:pt>
                <c:pt idx="9">
                  <c:v>740.03115359319554</c:v>
                </c:pt>
                <c:pt idx="10">
                  <c:v>876.11461673316717</c:v>
                </c:pt>
                <c:pt idx="11">
                  <c:v>912.76509430288866</c:v>
                </c:pt>
                <c:pt idx="12">
                  <c:v>949.56828219581735</c:v>
                </c:pt>
                <c:pt idx="13">
                  <c:v>986.52481670496672</c:v>
                </c:pt>
                <c:pt idx="14">
                  <c:v>1023.6353367745708</c:v>
                </c:pt>
                <c:pt idx="15">
                  <c:v>1160.9004840111315</c:v>
                </c:pt>
                <c:pt idx="16">
                  <c:v>1317.737569361178</c:v>
                </c:pt>
                <c:pt idx="17">
                  <c:v>1425.2281425668496</c:v>
                </c:pt>
                <c:pt idx="18">
                  <c:v>1623.1665931608782</c:v>
                </c:pt>
                <c:pt idx="19">
                  <c:v>6821.9297872990483</c:v>
                </c:pt>
                <c:pt idx="20">
                  <c:v>7042.3544947461278</c:v>
                </c:pt>
                <c:pt idx="21">
                  <c:v>6763.6976384742366</c:v>
                </c:pt>
                <c:pt idx="22">
                  <c:v>6483.8797119678793</c:v>
                </c:pt>
                <c:pt idx="23">
                  <c:v>6010.8958774344119</c:v>
                </c:pt>
                <c:pt idx="24">
                  <c:v>6035.9412769237215</c:v>
                </c:pt>
                <c:pt idx="25">
                  <c:v>5461.0910322442369</c:v>
                </c:pt>
                <c:pt idx="26">
                  <c:v>5483.8455782119208</c:v>
                </c:pt>
                <c:pt idx="27">
                  <c:v>5698.6949347878035</c:v>
                </c:pt>
                <c:pt idx="28">
                  <c:v>5914.4394970160856</c:v>
                </c:pt>
                <c:pt idx="29">
                  <c:v>6131.0829949203189</c:v>
                </c:pt>
                <c:pt idx="30">
                  <c:v>5348.6291740658198</c:v>
                </c:pt>
              </c:numCache>
            </c:numRef>
          </c:val>
          <c:smooth val="0"/>
          <c:extLst>
            <c:ext xmlns:c16="http://schemas.microsoft.com/office/drawing/2014/chart" uri="{C3380CC4-5D6E-409C-BE32-E72D297353CC}">
              <c16:uniqueId val="{00000001-648B-4325-8DC6-8FBE735B0E8B}"/>
            </c:ext>
          </c:extLst>
        </c:ser>
        <c:ser>
          <c:idx val="2"/>
          <c:order val="2"/>
          <c:tx>
            <c:strRef>
              <c:f>'New CPF Tracker'!$P$42</c:f>
              <c:strCache>
                <c:ptCount val="1"/>
                <c:pt idx="0">
                  <c:v>Sum of Accumulated amount (MA)</c:v>
                </c:pt>
              </c:strCache>
            </c:strRef>
          </c:tx>
          <c:spPr>
            <a:ln w="28575" cap="rnd">
              <a:solidFill>
                <a:schemeClr val="accent3"/>
              </a:solidFill>
              <a:round/>
            </a:ln>
            <a:effectLst/>
          </c:spPr>
          <c:marker>
            <c:symbol val="none"/>
          </c:marker>
          <c:cat>
            <c:multiLvlStrRef>
              <c:f>'New CPF Tracker'!$M$43:$M$78</c:f>
              <c:multiLvlStrCache>
                <c:ptCount val="31"/>
                <c:lvl>
                  <c:pt idx="0">
                    <c:v>Sep</c:v>
                  </c:pt>
                  <c:pt idx="1">
                    <c:v>Oct</c:v>
                  </c:pt>
                  <c:pt idx="2">
                    <c:v>Nov</c:v>
                  </c:pt>
                  <c:pt idx="3">
                    <c:v>Dec</c:v>
                  </c:pt>
                  <c:pt idx="4">
                    <c:v>Jan</c:v>
                  </c:pt>
                  <c:pt idx="5">
                    <c:v>Feb</c:v>
                  </c:pt>
                  <c:pt idx="6">
                    <c:v>Mar</c:v>
                  </c:pt>
                  <c:pt idx="7">
                    <c:v>Apr</c:v>
                  </c:pt>
                  <c:pt idx="8">
                    <c:v>May</c:v>
                  </c:pt>
                  <c:pt idx="9">
                    <c:v>Jun</c:v>
                  </c:pt>
                  <c:pt idx="10">
                    <c:v>Jul</c:v>
                  </c:pt>
                  <c:pt idx="11">
                    <c:v>Aug</c:v>
                  </c:pt>
                  <c:pt idx="12">
                    <c:v>Sep</c:v>
                  </c:pt>
                  <c:pt idx="13">
                    <c:v>Oct</c:v>
                  </c:pt>
                  <c:pt idx="14">
                    <c:v>Nov</c:v>
                  </c:pt>
                  <c:pt idx="15">
                    <c:v>Dec</c:v>
                  </c:pt>
                  <c:pt idx="16">
                    <c:v>Jan</c:v>
                  </c:pt>
                  <c:pt idx="17">
                    <c:v>Feb</c:v>
                  </c:pt>
                  <c:pt idx="18">
                    <c:v>Mar</c:v>
                  </c:pt>
                  <c:pt idx="19">
                    <c:v>Apr</c:v>
                  </c:pt>
                  <c:pt idx="20">
                    <c:v>May</c:v>
                  </c:pt>
                  <c:pt idx="21">
                    <c:v>Jun</c:v>
                  </c:pt>
                  <c:pt idx="22">
                    <c:v>Jul</c:v>
                  </c:pt>
                  <c:pt idx="23">
                    <c:v>Aug</c:v>
                  </c:pt>
                  <c:pt idx="24">
                    <c:v>Sep</c:v>
                  </c:pt>
                  <c:pt idx="25">
                    <c:v>Oct</c:v>
                  </c:pt>
                  <c:pt idx="26">
                    <c:v>Nov</c:v>
                  </c:pt>
                  <c:pt idx="27">
                    <c:v>Dec</c:v>
                  </c:pt>
                  <c:pt idx="28">
                    <c:v>Jan</c:v>
                  </c:pt>
                  <c:pt idx="29">
                    <c:v>Feb</c:v>
                  </c:pt>
                  <c:pt idx="30">
                    <c:v>Mar</c:v>
                  </c:pt>
                </c:lvl>
                <c:lvl>
                  <c:pt idx="0">
                    <c:v>2019</c:v>
                  </c:pt>
                  <c:pt idx="4">
                    <c:v>2020</c:v>
                  </c:pt>
                  <c:pt idx="16">
                    <c:v>2021</c:v>
                  </c:pt>
                  <c:pt idx="28">
                    <c:v>2022</c:v>
                  </c:pt>
                </c:lvl>
              </c:multiLvlStrCache>
            </c:multiLvlStrRef>
          </c:cat>
          <c:val>
            <c:numRef>
              <c:f>'New CPF Tracker'!$P$43:$P$78</c:f>
              <c:numCache>
                <c:formatCode>General</c:formatCode>
                <c:ptCount val="31"/>
                <c:pt idx="0">
                  <c:v>171</c:v>
                </c:pt>
                <c:pt idx="1">
                  <c:v>342.49874999999997</c:v>
                </c:pt>
                <c:pt idx="2">
                  <c:v>514.4977046875</c:v>
                </c:pt>
                <c:pt idx="3">
                  <c:v>686.99832299283855</c:v>
                </c:pt>
                <c:pt idx="4">
                  <c:v>860.00206810156772</c:v>
                </c:pt>
                <c:pt idx="5">
                  <c:v>1033.5104074668639</c:v>
                </c:pt>
                <c:pt idx="6">
                  <c:v>1207.5248128219755</c:v>
                </c:pt>
                <c:pt idx="7">
                  <c:v>1382.0467601927062</c:v>
                </c:pt>
                <c:pt idx="8">
                  <c:v>1557.077729909935</c:v>
                </c:pt>
                <c:pt idx="9">
                  <c:v>1732.6192066221722</c:v>
                </c:pt>
                <c:pt idx="10">
                  <c:v>1908.6726793081536</c:v>
                </c:pt>
                <c:pt idx="11">
                  <c:v>85.239641289469091</c:v>
                </c:pt>
                <c:pt idx="12">
                  <c:v>256.48825690989668</c:v>
                </c:pt>
                <c:pt idx="13">
                  <c:v>428.23634765921719</c:v>
                </c:pt>
                <c:pt idx="14">
                  <c:v>600.48537033988987</c:v>
                </c:pt>
                <c:pt idx="15">
                  <c:v>773.23678600338121</c:v>
                </c:pt>
                <c:pt idx="16">
                  <c:v>965.49205996255773</c:v>
                </c:pt>
                <c:pt idx="17">
                  <c:v>1158.3080784707818</c:v>
                </c:pt>
                <c:pt idx="18">
                  <c:v>1401.6864770329883</c:v>
                </c:pt>
                <c:pt idx="19">
                  <c:v>1645.7747292576678</c:v>
                </c:pt>
                <c:pt idx="20">
                  <c:v>1890.5749055513361</c:v>
                </c:pt>
                <c:pt idx="21">
                  <c:v>2136.0890823591944</c:v>
                </c:pt>
                <c:pt idx="22">
                  <c:v>2382.3193421827423</c:v>
                </c:pt>
                <c:pt idx="23">
                  <c:v>889.2677735974421</c:v>
                </c:pt>
                <c:pt idx="24">
                  <c:v>891.86147127043466</c:v>
                </c:pt>
                <c:pt idx="25">
                  <c:v>894.46273389497344</c:v>
                </c:pt>
                <c:pt idx="26">
                  <c:v>897.07158353550051</c:v>
                </c:pt>
                <c:pt idx="27">
                  <c:v>1139.6880423208124</c:v>
                </c:pt>
                <c:pt idx="28">
                  <c:v>1383.0121324442482</c:v>
                </c:pt>
                <c:pt idx="29">
                  <c:v>1627.0459178305439</c:v>
                </c:pt>
                <c:pt idx="30">
                  <c:v>1371.7914684242164</c:v>
                </c:pt>
              </c:numCache>
            </c:numRef>
          </c:val>
          <c:smooth val="0"/>
          <c:extLst>
            <c:ext xmlns:c16="http://schemas.microsoft.com/office/drawing/2014/chart" uri="{C3380CC4-5D6E-409C-BE32-E72D297353CC}">
              <c16:uniqueId val="{00000002-648B-4325-8DC6-8FBE735B0E8B}"/>
            </c:ext>
          </c:extLst>
        </c:ser>
        <c:dLbls>
          <c:showLegendKey val="0"/>
          <c:showVal val="0"/>
          <c:showCatName val="0"/>
          <c:showSerName val="0"/>
          <c:showPercent val="0"/>
          <c:showBubbleSize val="0"/>
        </c:dLbls>
        <c:smooth val="0"/>
        <c:axId val="155599760"/>
        <c:axId val="155600176"/>
      </c:lineChart>
      <c:catAx>
        <c:axId val="15559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00176"/>
        <c:crosses val="autoZero"/>
        <c:auto val="1"/>
        <c:lblAlgn val="ctr"/>
        <c:lblOffset val="100"/>
        <c:noMultiLvlLbl val="0"/>
      </c:catAx>
      <c:valAx>
        <c:axId val="15560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9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Acquisition</a:t>
            </a:r>
            <a:r>
              <a:rPr lang="en-US" baseline="0"/>
              <a:t> cost with profit/loss</a:t>
            </a:r>
            <a:endParaRPr lang="en-US"/>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'Cryptocurrency Holdings'!$D$5</c:f>
              <c:strCache>
                <c:ptCount val="1"/>
                <c:pt idx="0">
                  <c:v>Total Invested $</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'Cryptocurrency Holdings'!$A$6:$A$13</c:f>
              <c:strCache>
                <c:ptCount val="8"/>
                <c:pt idx="0">
                  <c:v>Bitcoin</c:v>
                </c:pt>
                <c:pt idx="1">
                  <c:v>Ethereum</c:v>
                </c:pt>
                <c:pt idx="2">
                  <c:v>Solana</c:v>
                </c:pt>
                <c:pt idx="3">
                  <c:v>Cosmos</c:v>
                </c:pt>
                <c:pt idx="4">
                  <c:v>Polkadot</c:v>
                </c:pt>
                <c:pt idx="5">
                  <c:v>Chainlink</c:v>
                </c:pt>
                <c:pt idx="6">
                  <c:v>Fantom</c:v>
                </c:pt>
                <c:pt idx="7">
                  <c:v>Binance Coin</c:v>
                </c:pt>
              </c:strCache>
            </c:strRef>
          </c:cat>
          <c:val>
            <c:numRef>
              <c:f>'Cryptocurrency Holdings'!$D$6:$D$13</c:f>
              <c:numCache>
                <c:formatCode>_("$"* #,##0.00_);_("$"* \(#,##0.00\);_("$"* "-"??_);_(@_)</c:formatCode>
                <c:ptCount val="8"/>
                <c:pt idx="0">
                  <c:v>6000</c:v>
                </c:pt>
                <c:pt idx="1">
                  <c:v>3000</c:v>
                </c:pt>
                <c:pt idx="2">
                  <c:v>1000</c:v>
                </c:pt>
                <c:pt idx="3">
                  <c:v>5000</c:v>
                </c:pt>
                <c:pt idx="4">
                  <c:v>10000</c:v>
                </c:pt>
                <c:pt idx="5">
                  <c:v>2000</c:v>
                </c:pt>
                <c:pt idx="6">
                  <c:v>2000</c:v>
                </c:pt>
                <c:pt idx="7">
                  <c:v>4000</c:v>
                </c:pt>
              </c:numCache>
            </c:numRef>
          </c:val>
          <c:extLst>
            <c:ext xmlns:c16="http://schemas.microsoft.com/office/drawing/2014/chart" uri="{C3380CC4-5D6E-409C-BE32-E72D297353CC}">
              <c16:uniqueId val="{00000000-874A-4BE5-ADC7-DC924EFEB1D2}"/>
            </c:ext>
          </c:extLst>
        </c:ser>
        <c:ser>
          <c:idx val="1"/>
          <c:order val="1"/>
          <c:tx>
            <c:strRef>
              <c:f>'Cryptocurrency Holdings'!$F$5</c:f>
              <c:strCache>
                <c:ptCount val="1"/>
                <c:pt idx="0">
                  <c:v>Profit &amp; Loss</c:v>
                </c:pt>
              </c:strCache>
            </c:strRef>
          </c:tx>
          <c:spPr>
            <a:pattFill prst="ltDnDiag">
              <a:fgClr>
                <a:schemeClr val="accent2"/>
              </a:fgClr>
              <a:bgClr>
                <a:schemeClr val="accent2">
                  <a:lumMod val="20000"/>
                  <a:lumOff val="80000"/>
                </a:schemeClr>
              </a:bgClr>
            </a:pattFill>
            <a:ln>
              <a:solidFill>
                <a:schemeClr val="accent2"/>
              </a:solidFill>
            </a:ln>
            <a:effectLst/>
            <a:sp3d>
              <a:contourClr>
                <a:schemeClr val="accent2"/>
              </a:contourClr>
            </a:sp3d>
          </c:spPr>
          <c:invertIfNegative val="0"/>
          <c:cat>
            <c:strRef>
              <c:f>'Cryptocurrency Holdings'!$A$6:$A$13</c:f>
              <c:strCache>
                <c:ptCount val="8"/>
                <c:pt idx="0">
                  <c:v>Bitcoin</c:v>
                </c:pt>
                <c:pt idx="1">
                  <c:v>Ethereum</c:v>
                </c:pt>
                <c:pt idx="2">
                  <c:v>Solana</c:v>
                </c:pt>
                <c:pt idx="3">
                  <c:v>Cosmos</c:v>
                </c:pt>
                <c:pt idx="4">
                  <c:v>Polkadot</c:v>
                </c:pt>
                <c:pt idx="5">
                  <c:v>Chainlink</c:v>
                </c:pt>
                <c:pt idx="6">
                  <c:v>Fantom</c:v>
                </c:pt>
                <c:pt idx="7">
                  <c:v>Binance Coin</c:v>
                </c:pt>
              </c:strCache>
            </c:strRef>
          </c:cat>
          <c:val>
            <c:numRef>
              <c:f>'Cryptocurrency Holdings'!$F$6:$F$13</c:f>
              <c:numCache>
                <c:formatCode>_("$"* #,##0.00_);_("$"* \(#,##0.00\);_("$"* "-"??_);_(@_)</c:formatCode>
                <c:ptCount val="8"/>
                <c:pt idx="0">
                  <c:v>3534.3999999999996</c:v>
                </c:pt>
                <c:pt idx="1">
                  <c:v>8261.16</c:v>
                </c:pt>
                <c:pt idx="2">
                  <c:v>3384.75</c:v>
                </c:pt>
                <c:pt idx="3">
                  <c:v>4050</c:v>
                </c:pt>
                <c:pt idx="4">
                  <c:v>3925</c:v>
                </c:pt>
                <c:pt idx="5">
                  <c:v>2052.0000000000005</c:v>
                </c:pt>
                <c:pt idx="6">
                  <c:v>4250</c:v>
                </c:pt>
                <c:pt idx="7">
                  <c:v>3857.3000000000011</c:v>
                </c:pt>
              </c:numCache>
            </c:numRef>
          </c:val>
          <c:extLst>
            <c:ext xmlns:c16="http://schemas.microsoft.com/office/drawing/2014/chart" uri="{C3380CC4-5D6E-409C-BE32-E72D297353CC}">
              <c16:uniqueId val="{00000001-874A-4BE5-ADC7-DC924EFEB1D2}"/>
            </c:ext>
          </c:extLst>
        </c:ser>
        <c:dLbls>
          <c:showLegendKey val="0"/>
          <c:showVal val="0"/>
          <c:showCatName val="0"/>
          <c:showSerName val="0"/>
          <c:showPercent val="0"/>
          <c:showBubbleSize val="0"/>
        </c:dLbls>
        <c:gapWidth val="150"/>
        <c:shape val="box"/>
        <c:axId val="486600496"/>
        <c:axId val="486602992"/>
        <c:axId val="0"/>
      </c:bar3DChart>
      <c:catAx>
        <c:axId val="48660049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2992"/>
        <c:crosses val="autoZero"/>
        <c:auto val="1"/>
        <c:lblAlgn val="ctr"/>
        <c:lblOffset val="100"/>
        <c:noMultiLvlLbl val="0"/>
      </c:catAx>
      <c:valAx>
        <c:axId val="486602992"/>
        <c:scaling>
          <c:orientation val="minMax"/>
        </c:scaling>
        <c:delete val="0"/>
        <c:axPos val="l"/>
        <c:majorGridlines>
          <c:spPr>
            <a:ln>
              <a:solidFill>
                <a:schemeClr val="tx1">
                  <a:lumMod val="15000"/>
                  <a:lumOff val="85000"/>
                </a:schemeClr>
              </a:solidFill>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04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 RETURN</a:t>
            </a:r>
            <a:r>
              <a:rPr lang="en-US" baseline="0"/>
              <a:t> ON INVESTMENT</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bar"/>
        <c:grouping val="clustered"/>
        <c:varyColors val="0"/>
        <c:ser>
          <c:idx val="0"/>
          <c:order val="0"/>
          <c:tx>
            <c:strRef>
              <c:f>'Cryptocurrency Holdings'!$G$5</c:f>
              <c:strCache>
                <c:ptCount val="1"/>
                <c:pt idx="0">
                  <c:v>ROI</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'Cryptocurrency Holdings'!$A$6:$A$13</c:f>
              <c:strCache>
                <c:ptCount val="8"/>
                <c:pt idx="0">
                  <c:v>Bitcoin</c:v>
                </c:pt>
                <c:pt idx="1">
                  <c:v>Ethereum</c:v>
                </c:pt>
                <c:pt idx="2">
                  <c:v>Solana</c:v>
                </c:pt>
                <c:pt idx="3">
                  <c:v>Cosmos</c:v>
                </c:pt>
                <c:pt idx="4">
                  <c:v>Polkadot</c:v>
                </c:pt>
                <c:pt idx="5">
                  <c:v>Chainlink</c:v>
                </c:pt>
                <c:pt idx="6">
                  <c:v>Fantom</c:v>
                </c:pt>
                <c:pt idx="7">
                  <c:v>Binance Coin</c:v>
                </c:pt>
              </c:strCache>
            </c:strRef>
          </c:cat>
          <c:val>
            <c:numRef>
              <c:f>'Cryptocurrency Holdings'!$G$6:$G$13</c:f>
              <c:numCache>
                <c:formatCode>0.00%</c:formatCode>
                <c:ptCount val="8"/>
                <c:pt idx="0">
                  <c:v>0.58906666666666663</c:v>
                </c:pt>
                <c:pt idx="1">
                  <c:v>2.7537199999999999</c:v>
                </c:pt>
                <c:pt idx="2">
                  <c:v>3.3847499999999999</c:v>
                </c:pt>
                <c:pt idx="3">
                  <c:v>0.81</c:v>
                </c:pt>
                <c:pt idx="4">
                  <c:v>0.39250000000000002</c:v>
                </c:pt>
                <c:pt idx="5">
                  <c:v>1.0260000000000002</c:v>
                </c:pt>
                <c:pt idx="6">
                  <c:v>2.125</c:v>
                </c:pt>
                <c:pt idx="7">
                  <c:v>0.96432500000000032</c:v>
                </c:pt>
              </c:numCache>
            </c:numRef>
          </c:val>
          <c:extLst>
            <c:ext xmlns:c16="http://schemas.microsoft.com/office/drawing/2014/chart" uri="{C3380CC4-5D6E-409C-BE32-E72D297353CC}">
              <c16:uniqueId val="{00000000-C288-4ED6-B18A-5FFE83576CF1}"/>
            </c:ext>
          </c:extLst>
        </c:ser>
        <c:dLbls>
          <c:dLblPos val="outEnd"/>
          <c:showLegendKey val="0"/>
          <c:showVal val="1"/>
          <c:showCatName val="0"/>
          <c:showSerName val="0"/>
          <c:showPercent val="0"/>
          <c:showBubbleSize val="0"/>
        </c:dLbls>
        <c:gapWidth val="247"/>
        <c:axId val="520284304"/>
        <c:axId val="520288880"/>
      </c:barChart>
      <c:catAx>
        <c:axId val="520284304"/>
        <c:scaling>
          <c:orientation val="minMax"/>
        </c:scaling>
        <c:delete val="0"/>
        <c:axPos val="l"/>
        <c:majorGridlines>
          <c:spPr>
            <a:ln w="6350"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20288880"/>
        <c:crosses val="autoZero"/>
        <c:auto val="1"/>
        <c:lblAlgn val="ctr"/>
        <c:lblOffset val="100"/>
        <c:noMultiLvlLbl val="0"/>
      </c:catAx>
      <c:valAx>
        <c:axId val="520288880"/>
        <c:scaling>
          <c:orientation val="minMax"/>
        </c:scaling>
        <c:delete val="0"/>
        <c:axPos val="b"/>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20284304"/>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a:t>Holding</a:t>
            </a:r>
            <a:r>
              <a:rPr lang="en-US" sz="1600" baseline="0"/>
              <a:t> </a:t>
            </a:r>
            <a:r>
              <a:rPr lang="en-US" sz="1600"/>
              <a:t>Market Value by Industry</a:t>
            </a:r>
          </a:p>
        </c:rich>
      </c:tx>
      <c:layout>
        <c:manualLayout>
          <c:xMode val="edge"/>
          <c:yMode val="edge"/>
          <c:x val="0.44648474853862963"/>
          <c:y val="4.202801320952728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'Stock Investment Tracker'!$D$15</c:f>
              <c:strCache>
                <c:ptCount val="1"/>
                <c:pt idx="0">
                  <c:v>Market Value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760-42BC-B654-DF3AA904000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760-42BC-B654-DF3AA904000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760-42BC-B654-DF3AA904000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760-42BC-B654-DF3AA904000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760-42BC-B654-DF3AA904000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760-42BC-B654-DF3AA9040004}"/>
              </c:ext>
            </c:extLst>
          </c:dPt>
          <c:dLbls>
            <c:dLbl>
              <c:idx val="0"/>
              <c:dLblPos val="outEnd"/>
              <c:showLegendKey val="0"/>
              <c:showVal val="0"/>
              <c:showCatName val="1"/>
              <c:showSerName val="0"/>
              <c:showPercent val="1"/>
              <c:showBubbleSize val="0"/>
              <c:extLst>
                <c:ext xmlns:c15="http://schemas.microsoft.com/office/drawing/2012/chart" uri="{CE6537A1-D6FC-4f65-9D91-7224C49458BB}">
                  <c15:layout>
                    <c:manualLayout>
                      <c:w val="0.25683652333975648"/>
                      <c:h val="0.33144825061521671"/>
                    </c:manualLayout>
                  </c15:layout>
                </c:ext>
                <c:ext xmlns:c16="http://schemas.microsoft.com/office/drawing/2014/chart" uri="{C3380CC4-5D6E-409C-BE32-E72D297353CC}">
                  <c16:uniqueId val="{00000001-3760-42BC-B654-DF3AA9040004}"/>
                </c:ext>
              </c:extLst>
            </c:dLbl>
            <c:dLbl>
              <c:idx val="1"/>
              <c:layout>
                <c:manualLayout>
                  <c:x val="-0.11269679873115225"/>
                  <c:y val="-1.721928831461131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760-42BC-B654-DF3AA9040004}"/>
                </c:ext>
              </c:extLst>
            </c:dLbl>
            <c:dLbl>
              <c:idx val="2"/>
              <c:layout>
                <c:manualLayout>
                  <c:x val="-7.6548768949461915E-2"/>
                  <c:y val="9.901090780901496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760-42BC-B654-DF3AA9040004}"/>
                </c:ext>
              </c:extLst>
            </c:dLbl>
            <c:dLbl>
              <c:idx val="3"/>
              <c:layout>
                <c:manualLayout>
                  <c:x val="-0.1946137542578662"/>
                  <c:y val="0.1875957166355829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3760-42BC-B654-DF3AA9040004}"/>
                </c:ext>
              </c:extLst>
            </c:dLbl>
            <c:dLbl>
              <c:idx val="4"/>
              <c:layout>
                <c:manualLayout>
                  <c:x val="-0.15918680475642505"/>
                  <c:y val="1.284246575342465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3760-42BC-B654-DF3AA9040004}"/>
                </c:ext>
              </c:extLst>
            </c:dLbl>
            <c:dLbl>
              <c:idx val="5"/>
              <c:layout>
                <c:manualLayout>
                  <c:x val="-0.10508379215708753"/>
                  <c:y val="3.2254760116862131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6952923679102605"/>
                      <c:h val="0.20408517446393101"/>
                    </c:manualLayout>
                  </c15:layout>
                </c:ext>
                <c:ext xmlns:c16="http://schemas.microsoft.com/office/drawing/2014/chart" uri="{C3380CC4-5D6E-409C-BE32-E72D297353CC}">
                  <c16:uniqueId val="{0000000B-3760-42BC-B654-DF3AA904000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'Stock Investment Tracker'!$C$16:$C$21</c:f>
              <c:strCache>
                <c:ptCount val="5"/>
                <c:pt idx="0">
                  <c:v>Investment Banking &amp; Investment Services</c:v>
                </c:pt>
                <c:pt idx="1">
                  <c:v>Electronic Equipment &amp; Parts</c:v>
                </c:pt>
                <c:pt idx="2">
                  <c:v>Banking Services</c:v>
                </c:pt>
                <c:pt idx="3">
                  <c:v>Aerospace &amp; Defense</c:v>
                </c:pt>
                <c:pt idx="4">
                  <c:v>Software &amp; IT Services</c:v>
                </c:pt>
              </c:strCache>
            </c:strRef>
          </c:cat>
          <c:val>
            <c:numRef>
              <c:f>'Stock Investment Tracker'!$D$16:$D$21</c:f>
              <c:numCache>
                <c:formatCode>_("$"* #,##0.00_);_("$"* \(#,##0.00\);_("$"* "-"??_);_(@_)</c:formatCode>
                <c:ptCount val="6"/>
                <c:pt idx="0">
                  <c:v>13237.019999999999</c:v>
                </c:pt>
                <c:pt idx="1">
                  <c:v>5814</c:v>
                </c:pt>
                <c:pt idx="2">
                  <c:v>6302.45</c:v>
                </c:pt>
                <c:pt idx="3">
                  <c:v>1323.9749999999999</c:v>
                </c:pt>
                <c:pt idx="4">
                  <c:v>1823.2</c:v>
                </c:pt>
              </c:numCache>
            </c:numRef>
          </c:val>
          <c:extLst>
            <c:ext xmlns:c16="http://schemas.microsoft.com/office/drawing/2014/chart" uri="{C3380CC4-5D6E-409C-BE32-E72D297353CC}">
              <c16:uniqueId val="{0000000C-3760-42BC-B654-DF3AA904000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'Watch List - BLD'!$B$1</c:f>
          <c:strCache>
            <c:ptCount val="1"/>
            <c:pt idx="0">
              <c:v>BORAL LIMITED (XASX:BLD)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'Watch List - BLD'!$B$6</c:f>
              <c:strCache>
                <c:ptCount val="1"/>
                <c:pt idx="0">
                  <c:v>Volume</c:v>
                </c:pt>
              </c:strCache>
            </c:strRef>
          </c:tx>
          <c:spPr>
            <a:solidFill>
              <a:schemeClr val="accent1"/>
            </a:solidFill>
            <a:ln w="19050">
              <a:noFill/>
            </a:ln>
            <a:effectLst/>
          </c:spPr>
          <c:invertIfNegative val="0"/>
          <c:cat>
            <c:numRef>
              <c:f>'Watch List - BLD'!$A$7:$A$28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BLD'!$B$7:$B$28</c:f>
              <c:numCache>
                <c:formatCode>#,##0</c:formatCode>
                <c:ptCount val="22"/>
                <c:pt idx="0">
                  <c:v>811097</c:v>
                </c:pt>
                <c:pt idx="1">
                  <c:v>423886</c:v>
                </c:pt>
                <c:pt idx="2">
                  <c:v>314793</c:v>
                </c:pt>
                <c:pt idx="3">
                  <c:v>383280</c:v>
                </c:pt>
                <c:pt idx="4">
                  <c:v>618348</c:v>
                </c:pt>
                <c:pt idx="5">
                  <c:v>696593</c:v>
                </c:pt>
                <c:pt idx="6">
                  <c:v>429896</c:v>
                </c:pt>
                <c:pt idx="7">
                  <c:v>572147</c:v>
                </c:pt>
                <c:pt idx="8">
                  <c:v>957337</c:v>
                </c:pt>
                <c:pt idx="9">
                  <c:v>530149</c:v>
                </c:pt>
                <c:pt idx="10">
                  <c:v>530331</c:v>
                </c:pt>
                <c:pt idx="11">
                  <c:v>1159971</c:v>
                </c:pt>
                <c:pt idx="12">
                  <c:v>1636720</c:v>
                </c:pt>
                <c:pt idx="13">
                  <c:v>1053948</c:v>
                </c:pt>
                <c:pt idx="14">
                  <c:v>712061</c:v>
                </c:pt>
                <c:pt idx="15">
                  <c:v>1786992</c:v>
                </c:pt>
                <c:pt idx="16">
                  <c:v>1421493</c:v>
                </c:pt>
                <c:pt idx="17">
                  <c:v>1250325</c:v>
                </c:pt>
                <c:pt idx="18">
                  <c:v>1677629</c:v>
                </c:pt>
              </c:numCache>
            </c:numRef>
          </c:val>
          <c:extLst>
            <c:ext xmlns:c16="http://schemas.microsoft.com/office/drawing/2014/chart" uri="{C3380CC4-5D6E-409C-BE32-E72D297353CC}">
              <c16:uniqueId val="{00000000-D801-450D-AD5D-BF010F8850B5}"/>
            </c:ext>
          </c:extLst>
        </c:ser>
        <c:dLbls>
          <c:showLegendKey val="0"/>
          <c:showVal val="0"/>
          <c:showCatName val="0"/>
          <c:showSerName val="0"/>
          <c:showPercent val="0"/>
          <c:showBubbleSize val="0"/>
        </c:dLbls>
        <c:gapWidth val="150"/>
        <c:axId val="663077935"/>
        <c:axId val="663078767"/>
      </c:barChart>
      <c:stockChart>
        <c:ser>
          <c:idx val="1"/>
          <c:order val="1"/>
          <c:tx>
            <c:strRef>
              <c:f>'Watch List - BLD'!$C$6</c:f>
              <c:strCache>
                <c:ptCount val="1"/>
                <c:pt idx="0">
                  <c:v>Open</c:v>
                </c:pt>
              </c:strCache>
            </c:strRef>
          </c:tx>
          <c:spPr>
            <a:ln w="19050" cap="rnd">
              <a:noFill/>
              <a:round/>
            </a:ln>
            <a:effectLst/>
          </c:spPr>
          <c:marker>
            <c:symbol val="none"/>
          </c:marker>
          <c:cat>
            <c:numRef>
              <c:f>'Watch List - BLD'!$A$7:$A$28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BLD'!$C$7:$C$28</c:f>
              <c:numCache>
                <c:formatCode>_-[$$-C09]* #,##0.00_-;\-[$$-C09]* #,##0.00_-;_-[$$-C09]* "-"??_-;_-@_-</c:formatCode>
                <c:ptCount val="22"/>
                <c:pt idx="0">
                  <c:v>6.09</c:v>
                </c:pt>
                <c:pt idx="1">
                  <c:v>6.17</c:v>
                </c:pt>
                <c:pt idx="2">
                  <c:v>6.18</c:v>
                </c:pt>
                <c:pt idx="3">
                  <c:v>6.08</c:v>
                </c:pt>
                <c:pt idx="4">
                  <c:v>6.2</c:v>
                </c:pt>
                <c:pt idx="5">
                  <c:v>6.15</c:v>
                </c:pt>
                <c:pt idx="6">
                  <c:v>6.08</c:v>
                </c:pt>
                <c:pt idx="7">
                  <c:v>6.05</c:v>
                </c:pt>
                <c:pt idx="8">
                  <c:v>6.01</c:v>
                </c:pt>
                <c:pt idx="9">
                  <c:v>6.02</c:v>
                </c:pt>
                <c:pt idx="10">
                  <c:v>6.03</c:v>
                </c:pt>
                <c:pt idx="11">
                  <c:v>5.94</c:v>
                </c:pt>
                <c:pt idx="12">
                  <c:v>5.79</c:v>
                </c:pt>
                <c:pt idx="13">
                  <c:v>5.78</c:v>
                </c:pt>
                <c:pt idx="14">
                  <c:v>5.79</c:v>
                </c:pt>
                <c:pt idx="15">
                  <c:v>5.75</c:v>
                </c:pt>
                <c:pt idx="16">
                  <c:v>5.73</c:v>
                </c:pt>
                <c:pt idx="17">
                  <c:v>5.89</c:v>
                </c:pt>
                <c:pt idx="18">
                  <c:v>5.9</c:v>
                </c:pt>
              </c:numCache>
            </c:numRef>
          </c:val>
          <c:smooth val="0"/>
          <c:extLst>
            <c:ext xmlns:c16="http://schemas.microsoft.com/office/drawing/2014/chart" uri="{C3380CC4-5D6E-409C-BE32-E72D297353CC}">
              <c16:uniqueId val="{00000001-D801-450D-AD5D-BF010F8850B5}"/>
            </c:ext>
          </c:extLst>
        </c:ser>
        <c:ser>
          <c:idx val="2"/>
          <c:order val="2"/>
          <c:tx>
            <c:strRef>
              <c:f>'Watch List - BLD'!$D$6</c:f>
              <c:strCache>
                <c:ptCount val="1"/>
                <c:pt idx="0">
                  <c:v>High</c:v>
                </c:pt>
              </c:strCache>
            </c:strRef>
          </c:tx>
          <c:spPr>
            <a:ln w="19050" cap="rnd">
              <a:noFill/>
              <a:round/>
            </a:ln>
            <a:effectLst/>
          </c:spPr>
          <c:marker>
            <c:symbol val="none"/>
          </c:marker>
          <c:cat>
            <c:numRef>
              <c:f>'Watch List - BLD'!$A$7:$A$28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BLD'!$D$7:$D$28</c:f>
              <c:numCache>
                <c:formatCode>_-[$$-C09]* #,##0.00_-;\-[$$-C09]* #,##0.00_-;_-[$$-C09]* "-"??_-;_-@_-</c:formatCode>
                <c:ptCount val="22"/>
                <c:pt idx="0">
                  <c:v>6.18</c:v>
                </c:pt>
                <c:pt idx="1">
                  <c:v>6.18</c:v>
                </c:pt>
                <c:pt idx="2">
                  <c:v>6.1950000000000003</c:v>
                </c:pt>
                <c:pt idx="3">
                  <c:v>6.21</c:v>
                </c:pt>
                <c:pt idx="4">
                  <c:v>6.33</c:v>
                </c:pt>
                <c:pt idx="5">
                  <c:v>6.27</c:v>
                </c:pt>
                <c:pt idx="6">
                  <c:v>6.14</c:v>
                </c:pt>
                <c:pt idx="7">
                  <c:v>6.1</c:v>
                </c:pt>
                <c:pt idx="8">
                  <c:v>6.08</c:v>
                </c:pt>
                <c:pt idx="9">
                  <c:v>6.07</c:v>
                </c:pt>
                <c:pt idx="10">
                  <c:v>6.05</c:v>
                </c:pt>
                <c:pt idx="11">
                  <c:v>5.99</c:v>
                </c:pt>
                <c:pt idx="12">
                  <c:v>5.85</c:v>
                </c:pt>
                <c:pt idx="13">
                  <c:v>5.8250000000000002</c:v>
                </c:pt>
                <c:pt idx="14">
                  <c:v>5.85</c:v>
                </c:pt>
                <c:pt idx="15">
                  <c:v>5.7750000000000004</c:v>
                </c:pt>
                <c:pt idx="16">
                  <c:v>5.9</c:v>
                </c:pt>
                <c:pt idx="17">
                  <c:v>5.93</c:v>
                </c:pt>
                <c:pt idx="18">
                  <c:v>5.91</c:v>
                </c:pt>
              </c:numCache>
            </c:numRef>
          </c:val>
          <c:smooth val="0"/>
          <c:extLst>
            <c:ext xmlns:c16="http://schemas.microsoft.com/office/drawing/2014/chart" uri="{C3380CC4-5D6E-409C-BE32-E72D297353CC}">
              <c16:uniqueId val="{00000002-D801-450D-AD5D-BF010F8850B5}"/>
            </c:ext>
          </c:extLst>
        </c:ser>
        <c:ser>
          <c:idx val="3"/>
          <c:order val="3"/>
          <c:tx>
            <c:strRef>
              <c:f>'Watch List - BLD'!$E$6</c:f>
              <c:strCache>
                <c:ptCount val="1"/>
                <c:pt idx="0">
                  <c:v>Low</c:v>
                </c:pt>
              </c:strCache>
            </c:strRef>
          </c:tx>
          <c:spPr>
            <a:ln w="19050" cap="rnd">
              <a:noFill/>
              <a:round/>
            </a:ln>
            <a:effectLst/>
          </c:spPr>
          <c:marker>
            <c:symbol val="none"/>
          </c:marker>
          <c:cat>
            <c:numRef>
              <c:f>'Watch List - BLD'!$A$7:$A$28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BLD'!$E$7:$E$28</c:f>
              <c:numCache>
                <c:formatCode>_-[$$-C09]* #,##0.00_-;\-[$$-C09]* #,##0.00_-;_-[$$-C09]* "-"??_-;_-@_-</c:formatCode>
                <c:ptCount val="22"/>
                <c:pt idx="0">
                  <c:v>6.09</c:v>
                </c:pt>
                <c:pt idx="1">
                  <c:v>6.12</c:v>
                </c:pt>
                <c:pt idx="2">
                  <c:v>6.1</c:v>
                </c:pt>
                <c:pt idx="3">
                  <c:v>6.08</c:v>
                </c:pt>
                <c:pt idx="4">
                  <c:v>6.19</c:v>
                </c:pt>
                <c:pt idx="5">
                  <c:v>6.05</c:v>
                </c:pt>
                <c:pt idx="6">
                  <c:v>6.05</c:v>
                </c:pt>
                <c:pt idx="7">
                  <c:v>6</c:v>
                </c:pt>
                <c:pt idx="8">
                  <c:v>5.99</c:v>
                </c:pt>
                <c:pt idx="9">
                  <c:v>5.98</c:v>
                </c:pt>
                <c:pt idx="10">
                  <c:v>5.93</c:v>
                </c:pt>
                <c:pt idx="11">
                  <c:v>5.78</c:v>
                </c:pt>
                <c:pt idx="12">
                  <c:v>5.72</c:v>
                </c:pt>
                <c:pt idx="13">
                  <c:v>5.75</c:v>
                </c:pt>
                <c:pt idx="14">
                  <c:v>5.75</c:v>
                </c:pt>
                <c:pt idx="15">
                  <c:v>5.67</c:v>
                </c:pt>
                <c:pt idx="16">
                  <c:v>5.72</c:v>
                </c:pt>
                <c:pt idx="17">
                  <c:v>5.81</c:v>
                </c:pt>
                <c:pt idx="18">
                  <c:v>5.71</c:v>
                </c:pt>
              </c:numCache>
            </c:numRef>
          </c:val>
          <c:smooth val="0"/>
          <c:extLst>
            <c:ext xmlns:c16="http://schemas.microsoft.com/office/drawing/2014/chart" uri="{C3380CC4-5D6E-409C-BE32-E72D297353CC}">
              <c16:uniqueId val="{00000003-D801-450D-AD5D-BF010F8850B5}"/>
            </c:ext>
          </c:extLst>
        </c:ser>
        <c:ser>
          <c:idx val="4"/>
          <c:order val="4"/>
          <c:tx>
            <c:strRef>
              <c:f>'Watch List - BLD'!$F$6</c:f>
              <c:strCache>
                <c:ptCount val="1"/>
                <c:pt idx="0">
                  <c:v>Close</c:v>
                </c:pt>
              </c:strCache>
            </c:strRef>
          </c:tx>
          <c:spPr>
            <a:ln w="19050" cap="rnd">
              <a:noFill/>
              <a:round/>
            </a:ln>
            <a:effectLst/>
          </c:spPr>
          <c:marker>
            <c:symbol val="none"/>
          </c:marker>
          <c:cat>
            <c:numRef>
              <c:f>'Watch List - BLD'!$A$7:$A$28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BLD'!$F$7:$F$28</c:f>
              <c:numCache>
                <c:formatCode>_-[$$-C09]* #,##0.00_-;\-[$$-C09]* #,##0.00_-;_-[$$-C09]* "-"??_-;_-@_-</c:formatCode>
                <c:ptCount val="22"/>
                <c:pt idx="0">
                  <c:v>6.12</c:v>
                </c:pt>
                <c:pt idx="1">
                  <c:v>6.18</c:v>
                </c:pt>
                <c:pt idx="2">
                  <c:v>6.1</c:v>
                </c:pt>
                <c:pt idx="3">
                  <c:v>6.2</c:v>
                </c:pt>
                <c:pt idx="4">
                  <c:v>6.29</c:v>
                </c:pt>
                <c:pt idx="5">
                  <c:v>6.07</c:v>
                </c:pt>
                <c:pt idx="6">
                  <c:v>6.07</c:v>
                </c:pt>
                <c:pt idx="7">
                  <c:v>6.01</c:v>
                </c:pt>
                <c:pt idx="8">
                  <c:v>6</c:v>
                </c:pt>
                <c:pt idx="9">
                  <c:v>6.01</c:v>
                </c:pt>
                <c:pt idx="10">
                  <c:v>5.93</c:v>
                </c:pt>
                <c:pt idx="11">
                  <c:v>5.78</c:v>
                </c:pt>
                <c:pt idx="12">
                  <c:v>5.78</c:v>
                </c:pt>
                <c:pt idx="13">
                  <c:v>5.79</c:v>
                </c:pt>
                <c:pt idx="14">
                  <c:v>5.77</c:v>
                </c:pt>
                <c:pt idx="15">
                  <c:v>5.74</c:v>
                </c:pt>
                <c:pt idx="16">
                  <c:v>5.86</c:v>
                </c:pt>
                <c:pt idx="17">
                  <c:v>5.91</c:v>
                </c:pt>
                <c:pt idx="18">
                  <c:v>5.81</c:v>
                </c:pt>
              </c:numCache>
            </c:numRef>
          </c:val>
          <c:smooth val="0"/>
          <c:extLst>
            <c:ext xmlns:c16="http://schemas.microsoft.com/office/drawing/2014/chart" uri="{C3380CC4-5D6E-409C-BE32-E72D297353CC}">
              <c16:uniqueId val="{00000004-D801-450D-AD5D-BF010F8850B5}"/>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663070447"/>
        <c:axId val="663069199"/>
      </c:stockChart>
      <c:dateAx>
        <c:axId val="663077935"/>
        <c:scaling>
          <c:orientation val="minMax"/>
        </c:scaling>
        <c:delete val="0"/>
        <c:axPos val="b"/>
        <c:numFmt formatCode="d/m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8767"/>
        <c:crosses val="autoZero"/>
        <c:auto val="1"/>
        <c:lblOffset val="100"/>
        <c:baseTimeUnit val="days"/>
      </c:dateAx>
      <c:valAx>
        <c:axId val="663078767"/>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7935"/>
        <c:crosses val="autoZero"/>
        <c:crossBetween val="between"/>
      </c:valAx>
      <c:valAx>
        <c:axId val="663069199"/>
        <c:scaling>
          <c:orientation val="minMax"/>
        </c:scaling>
        <c:delete val="0"/>
        <c:axPos val="r"/>
        <c:majorGridlines>
          <c:spPr>
            <a:ln w="9525" cap="flat" cmpd="sng" algn="ctr">
              <a:solidFill>
                <a:schemeClr val="tx1">
                  <a:lumMod val="15000"/>
                  <a:lumOff val="85000"/>
                </a:schemeClr>
              </a:solidFill>
              <a:round/>
            </a:ln>
            <a:effectLst/>
          </c:spPr>
        </c:majorGridlines>
        <c:numFmt formatCode="_-[$$-C09]* #,##0.00_-;\-[$$-C09]* #,##0.00_-;_-[$$-C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0447"/>
        <c:crosses val="max"/>
        <c:crossBetween val="between"/>
      </c:valAx>
      <c:dateAx>
        <c:axId val="663070447"/>
        <c:scaling>
          <c:orientation val="minMax"/>
        </c:scaling>
        <c:delete val="1"/>
        <c:axPos val="b"/>
        <c:numFmt formatCode="m/d/yyyy" sourceLinked="1"/>
        <c:majorTickMark val="out"/>
        <c:minorTickMark val="none"/>
        <c:tickLblPos val="nextTo"/>
        <c:crossAx val="663069199"/>
        <c:crosses val="autoZero"/>
        <c:auto val="1"/>
        <c:lblOffset val="100"/>
        <c:baseTimeUnit val="days"/>
      </c:dateAx>
      <c:spPr>
        <a:noFill/>
        <a:ln>
          <a:noFill/>
        </a:ln>
        <a:effectLst/>
      </c:spPr>
    </c:plotArea>
    <c:legend>
      <c:legendPos val="b"/>
      <c:layout>
        <c:manualLayout>
          <c:xMode val="edge"/>
          <c:yMode val="edge"/>
          <c:x val="0.23656424197303907"/>
          <c:y val="0.9014565746327865"/>
          <c:w val="0.56994635973741203"/>
          <c:h val="7.26961029903859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Close</a:t>
            </a:r>
            <a:r>
              <a:rPr lang="en-US" baseline="0"/>
              <a:t> Last 12 Months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gradFill>
              <a:gsLst>
                <a:gs pos="0">
                  <a:schemeClr val="accent1"/>
                </a:gs>
                <a:gs pos="74000">
                  <a:schemeClr val="accent1">
                    <a:lumMod val="45000"/>
                    <a:lumOff val="55000"/>
                  </a:schemeClr>
                </a:gs>
                <a:gs pos="84000">
                  <a:schemeClr val="accent1">
                    <a:lumMod val="45000"/>
                    <a:lumOff val="55000"/>
                  </a:schemeClr>
                </a:gs>
                <a:gs pos="100000">
                  <a:schemeClr val="accent1">
                    <a:lumMod val="75000"/>
                  </a:schemeClr>
                </a:gs>
              </a:gsLst>
              <a:lin ang="5400000" scaled="1"/>
            </a:gradFill>
            <a:ln>
              <a:noFill/>
            </a:ln>
            <a:effectLst/>
          </c:spPr>
          <c:val>
            <c:numRef>
              <c:f>'Watch List - BLD'!$C$4:$IV$4</c:f>
              <c:numCache>
                <c:formatCode>_-[$$-C09]* #,##0.00_-;\-[$$-C09]* #,##0.00_-;_-[$$-C09]* "-"??_-;_-@_-</c:formatCode>
                <c:ptCount val="254"/>
                <c:pt idx="0">
                  <c:v>5.03</c:v>
                </c:pt>
                <c:pt idx="1">
                  <c:v>5.08</c:v>
                </c:pt>
                <c:pt idx="2">
                  <c:v>4.83</c:v>
                </c:pt>
                <c:pt idx="3">
                  <c:v>4.84</c:v>
                </c:pt>
                <c:pt idx="4">
                  <c:v>4.99</c:v>
                </c:pt>
                <c:pt idx="5">
                  <c:v>5.2</c:v>
                </c:pt>
                <c:pt idx="6">
                  <c:v>5.36</c:v>
                </c:pt>
                <c:pt idx="7">
                  <c:v>5.42</c:v>
                </c:pt>
                <c:pt idx="8">
                  <c:v>5.47</c:v>
                </c:pt>
                <c:pt idx="9">
                  <c:v>5.41</c:v>
                </c:pt>
                <c:pt idx="10">
                  <c:v>5.01</c:v>
                </c:pt>
                <c:pt idx="11">
                  <c:v>5.0599999999999996</c:v>
                </c:pt>
                <c:pt idx="12">
                  <c:v>5.07</c:v>
                </c:pt>
                <c:pt idx="13">
                  <c:v>5.04</c:v>
                </c:pt>
                <c:pt idx="14">
                  <c:v>5.09</c:v>
                </c:pt>
                <c:pt idx="15">
                  <c:v>5.0599999999999996</c:v>
                </c:pt>
                <c:pt idx="16">
                  <c:v>5.12</c:v>
                </c:pt>
                <c:pt idx="17">
                  <c:v>5.12</c:v>
                </c:pt>
                <c:pt idx="18">
                  <c:v>5.1100000000000003</c:v>
                </c:pt>
                <c:pt idx="19">
                  <c:v>5.08</c:v>
                </c:pt>
                <c:pt idx="20">
                  <c:v>5.15</c:v>
                </c:pt>
                <c:pt idx="21">
                  <c:v>5.1100000000000003</c:v>
                </c:pt>
                <c:pt idx="22">
                  <c:v>5.24</c:v>
                </c:pt>
                <c:pt idx="23">
                  <c:v>5.18</c:v>
                </c:pt>
                <c:pt idx="24">
                  <c:v>5.3</c:v>
                </c:pt>
                <c:pt idx="25">
                  <c:v>5.29</c:v>
                </c:pt>
                <c:pt idx="26">
                  <c:v>5.37</c:v>
                </c:pt>
                <c:pt idx="27">
                  <c:v>5.29</c:v>
                </c:pt>
                <c:pt idx="28">
                  <c:v>5.28</c:v>
                </c:pt>
                <c:pt idx="29">
                  <c:v>5.36</c:v>
                </c:pt>
                <c:pt idx="30">
                  <c:v>5.52</c:v>
                </c:pt>
                <c:pt idx="31">
                  <c:v>5.56</c:v>
                </c:pt>
                <c:pt idx="32">
                  <c:v>5.53</c:v>
                </c:pt>
                <c:pt idx="33">
                  <c:v>5.65</c:v>
                </c:pt>
                <c:pt idx="34">
                  <c:v>5.66</c:v>
                </c:pt>
                <c:pt idx="35">
                  <c:v>5.67</c:v>
                </c:pt>
                <c:pt idx="36">
                  <c:v>5.62</c:v>
                </c:pt>
                <c:pt idx="37">
                  <c:v>5.5</c:v>
                </c:pt>
                <c:pt idx="38">
                  <c:v>5.48</c:v>
                </c:pt>
                <c:pt idx="39">
                  <c:v>5.5</c:v>
                </c:pt>
                <c:pt idx="40">
                  <c:v>5.4</c:v>
                </c:pt>
                <c:pt idx="41">
                  <c:v>5.4</c:v>
                </c:pt>
                <c:pt idx="42">
                  <c:v>5.47</c:v>
                </c:pt>
                <c:pt idx="43">
                  <c:v>5.49</c:v>
                </c:pt>
                <c:pt idx="44">
                  <c:v>5.44</c:v>
                </c:pt>
                <c:pt idx="45">
                  <c:v>5.35</c:v>
                </c:pt>
                <c:pt idx="46">
                  <c:v>5.49</c:v>
                </c:pt>
                <c:pt idx="47">
                  <c:v>5.86</c:v>
                </c:pt>
                <c:pt idx="48">
                  <c:v>5.85</c:v>
                </c:pt>
                <c:pt idx="49">
                  <c:v>5.83</c:v>
                </c:pt>
                <c:pt idx="50">
                  <c:v>5.94</c:v>
                </c:pt>
                <c:pt idx="51">
                  <c:v>5.96</c:v>
                </c:pt>
                <c:pt idx="52">
                  <c:v>5.95</c:v>
                </c:pt>
                <c:pt idx="53">
                  <c:v>5.95</c:v>
                </c:pt>
                <c:pt idx="54">
                  <c:v>5.98</c:v>
                </c:pt>
                <c:pt idx="55">
                  <c:v>6.01</c:v>
                </c:pt>
                <c:pt idx="56">
                  <c:v>5.95</c:v>
                </c:pt>
                <c:pt idx="57">
                  <c:v>6.06</c:v>
                </c:pt>
                <c:pt idx="58">
                  <c:v>5.98</c:v>
                </c:pt>
                <c:pt idx="59">
                  <c:v>6.05</c:v>
                </c:pt>
                <c:pt idx="60">
                  <c:v>6.15</c:v>
                </c:pt>
                <c:pt idx="61">
                  <c:v>6.23</c:v>
                </c:pt>
                <c:pt idx="62">
                  <c:v>6.26</c:v>
                </c:pt>
                <c:pt idx="63">
                  <c:v>6.3</c:v>
                </c:pt>
                <c:pt idx="64">
                  <c:v>6.35</c:v>
                </c:pt>
                <c:pt idx="65">
                  <c:v>6.28</c:v>
                </c:pt>
                <c:pt idx="66">
                  <c:v>6.2</c:v>
                </c:pt>
                <c:pt idx="67">
                  <c:v>6.17</c:v>
                </c:pt>
                <c:pt idx="68">
                  <c:v>6.28</c:v>
                </c:pt>
                <c:pt idx="69">
                  <c:v>6.33</c:v>
                </c:pt>
                <c:pt idx="70">
                  <c:v>6.4</c:v>
                </c:pt>
                <c:pt idx="71">
                  <c:v>6.44</c:v>
                </c:pt>
                <c:pt idx="72">
                  <c:v>6.5</c:v>
                </c:pt>
                <c:pt idx="73">
                  <c:v>6.72</c:v>
                </c:pt>
                <c:pt idx="74">
                  <c:v>6.8</c:v>
                </c:pt>
                <c:pt idx="75">
                  <c:v>6.76</c:v>
                </c:pt>
                <c:pt idx="76">
                  <c:v>6.77</c:v>
                </c:pt>
                <c:pt idx="77">
                  <c:v>6.78</c:v>
                </c:pt>
                <c:pt idx="78">
                  <c:v>6.79</c:v>
                </c:pt>
                <c:pt idx="79">
                  <c:v>6.75</c:v>
                </c:pt>
                <c:pt idx="80">
                  <c:v>6.78</c:v>
                </c:pt>
                <c:pt idx="81">
                  <c:v>6.78</c:v>
                </c:pt>
                <c:pt idx="82">
                  <c:v>6.73</c:v>
                </c:pt>
                <c:pt idx="83">
                  <c:v>6.74</c:v>
                </c:pt>
                <c:pt idx="84">
                  <c:v>6.8</c:v>
                </c:pt>
                <c:pt idx="85">
                  <c:v>6.74</c:v>
                </c:pt>
                <c:pt idx="86">
                  <c:v>6.86</c:v>
                </c:pt>
                <c:pt idx="87">
                  <c:v>6.81</c:v>
                </c:pt>
                <c:pt idx="88">
                  <c:v>6.82</c:v>
                </c:pt>
                <c:pt idx="89">
                  <c:v>6.91</c:v>
                </c:pt>
                <c:pt idx="90">
                  <c:v>6.91</c:v>
                </c:pt>
                <c:pt idx="91">
                  <c:v>6.92</c:v>
                </c:pt>
                <c:pt idx="92">
                  <c:v>6.92</c:v>
                </c:pt>
                <c:pt idx="93">
                  <c:v>6.85</c:v>
                </c:pt>
                <c:pt idx="94">
                  <c:v>6.88</c:v>
                </c:pt>
                <c:pt idx="95">
                  <c:v>6.83</c:v>
                </c:pt>
                <c:pt idx="96">
                  <c:v>6.76</c:v>
                </c:pt>
                <c:pt idx="97">
                  <c:v>6.79</c:v>
                </c:pt>
                <c:pt idx="98">
                  <c:v>6.76</c:v>
                </c:pt>
                <c:pt idx="99">
                  <c:v>6.73</c:v>
                </c:pt>
                <c:pt idx="100">
                  <c:v>6.78</c:v>
                </c:pt>
                <c:pt idx="101">
                  <c:v>6.87</c:v>
                </c:pt>
                <c:pt idx="102">
                  <c:v>6.85</c:v>
                </c:pt>
                <c:pt idx="103">
                  <c:v>7.16</c:v>
                </c:pt>
                <c:pt idx="104">
                  <c:v>6.9</c:v>
                </c:pt>
                <c:pt idx="105">
                  <c:v>7.34</c:v>
                </c:pt>
                <c:pt idx="106">
                  <c:v>7.34</c:v>
                </c:pt>
                <c:pt idx="107">
                  <c:v>7.34</c:v>
                </c:pt>
                <c:pt idx="108">
                  <c:v>7.35</c:v>
                </c:pt>
                <c:pt idx="109">
                  <c:v>7.36</c:v>
                </c:pt>
                <c:pt idx="110">
                  <c:v>7.36</c:v>
                </c:pt>
                <c:pt idx="111">
                  <c:v>7.37</c:v>
                </c:pt>
                <c:pt idx="112">
                  <c:v>7.38</c:v>
                </c:pt>
                <c:pt idx="113">
                  <c:v>7.4</c:v>
                </c:pt>
                <c:pt idx="114">
                  <c:v>7.39</c:v>
                </c:pt>
                <c:pt idx="115">
                  <c:v>7.39</c:v>
                </c:pt>
                <c:pt idx="116">
                  <c:v>7.39</c:v>
                </c:pt>
                <c:pt idx="117">
                  <c:v>7.39</c:v>
                </c:pt>
                <c:pt idx="118">
                  <c:v>7.35</c:v>
                </c:pt>
                <c:pt idx="119">
                  <c:v>7.38</c:v>
                </c:pt>
                <c:pt idx="120">
                  <c:v>7.38</c:v>
                </c:pt>
                <c:pt idx="121">
                  <c:v>7.38</c:v>
                </c:pt>
                <c:pt idx="122">
                  <c:v>7.38</c:v>
                </c:pt>
                <c:pt idx="123">
                  <c:v>7.4</c:v>
                </c:pt>
                <c:pt idx="124">
                  <c:v>7.4</c:v>
                </c:pt>
                <c:pt idx="125">
                  <c:v>7.41</c:v>
                </c:pt>
                <c:pt idx="126">
                  <c:v>7.41</c:v>
                </c:pt>
                <c:pt idx="127">
                  <c:v>7.4</c:v>
                </c:pt>
                <c:pt idx="128">
                  <c:v>7.4</c:v>
                </c:pt>
                <c:pt idx="129">
                  <c:v>7.34</c:v>
                </c:pt>
                <c:pt idx="130">
                  <c:v>7.18</c:v>
                </c:pt>
                <c:pt idx="131">
                  <c:v>6.88</c:v>
                </c:pt>
                <c:pt idx="132">
                  <c:v>7.13</c:v>
                </c:pt>
                <c:pt idx="133">
                  <c:v>7.08</c:v>
                </c:pt>
                <c:pt idx="134">
                  <c:v>7.11</c:v>
                </c:pt>
                <c:pt idx="135">
                  <c:v>7.03</c:v>
                </c:pt>
                <c:pt idx="136">
                  <c:v>7.04</c:v>
                </c:pt>
                <c:pt idx="137">
                  <c:v>7.01</c:v>
                </c:pt>
                <c:pt idx="138">
                  <c:v>7.02</c:v>
                </c:pt>
                <c:pt idx="139">
                  <c:v>6.97</c:v>
                </c:pt>
                <c:pt idx="140">
                  <c:v>6.95</c:v>
                </c:pt>
                <c:pt idx="141">
                  <c:v>6.83</c:v>
                </c:pt>
                <c:pt idx="142">
                  <c:v>6.79</c:v>
                </c:pt>
                <c:pt idx="143">
                  <c:v>6.71</c:v>
                </c:pt>
                <c:pt idx="144">
                  <c:v>6.66</c:v>
                </c:pt>
                <c:pt idx="145">
                  <c:v>6.73</c:v>
                </c:pt>
                <c:pt idx="146">
                  <c:v>6.85</c:v>
                </c:pt>
                <c:pt idx="147">
                  <c:v>6.47</c:v>
                </c:pt>
                <c:pt idx="148">
                  <c:v>6.3</c:v>
                </c:pt>
                <c:pt idx="149">
                  <c:v>6.14</c:v>
                </c:pt>
                <c:pt idx="150">
                  <c:v>6.12</c:v>
                </c:pt>
                <c:pt idx="151">
                  <c:v>6.09</c:v>
                </c:pt>
                <c:pt idx="152">
                  <c:v>6.1</c:v>
                </c:pt>
                <c:pt idx="153">
                  <c:v>6.02</c:v>
                </c:pt>
                <c:pt idx="154">
                  <c:v>5.97</c:v>
                </c:pt>
                <c:pt idx="155">
                  <c:v>6.03</c:v>
                </c:pt>
                <c:pt idx="156">
                  <c:v>5.95</c:v>
                </c:pt>
                <c:pt idx="157">
                  <c:v>5.99</c:v>
                </c:pt>
                <c:pt idx="158">
                  <c:v>5.86</c:v>
                </c:pt>
                <c:pt idx="159">
                  <c:v>5.79</c:v>
                </c:pt>
                <c:pt idx="160">
                  <c:v>5.87</c:v>
                </c:pt>
                <c:pt idx="161">
                  <c:v>6</c:v>
                </c:pt>
                <c:pt idx="162">
                  <c:v>6.11</c:v>
                </c:pt>
                <c:pt idx="163">
                  <c:v>6.07</c:v>
                </c:pt>
                <c:pt idx="164">
                  <c:v>6.16</c:v>
                </c:pt>
                <c:pt idx="165">
                  <c:v>6.07</c:v>
                </c:pt>
                <c:pt idx="166">
                  <c:v>6.09</c:v>
                </c:pt>
                <c:pt idx="167">
                  <c:v>5.97</c:v>
                </c:pt>
                <c:pt idx="168">
                  <c:v>6.01</c:v>
                </c:pt>
                <c:pt idx="169">
                  <c:v>6.21</c:v>
                </c:pt>
                <c:pt idx="170">
                  <c:v>6.09</c:v>
                </c:pt>
                <c:pt idx="171">
                  <c:v>6.06</c:v>
                </c:pt>
                <c:pt idx="172">
                  <c:v>6.15</c:v>
                </c:pt>
                <c:pt idx="173">
                  <c:v>6.01</c:v>
                </c:pt>
                <c:pt idx="174">
                  <c:v>6.14</c:v>
                </c:pt>
                <c:pt idx="175">
                  <c:v>5.97</c:v>
                </c:pt>
                <c:pt idx="176">
                  <c:v>6.22</c:v>
                </c:pt>
                <c:pt idx="177">
                  <c:v>6.24</c:v>
                </c:pt>
                <c:pt idx="178">
                  <c:v>6.25</c:v>
                </c:pt>
                <c:pt idx="179">
                  <c:v>6.28</c:v>
                </c:pt>
                <c:pt idx="180">
                  <c:v>6.19</c:v>
                </c:pt>
                <c:pt idx="181">
                  <c:v>6.24</c:v>
                </c:pt>
                <c:pt idx="182">
                  <c:v>6.18</c:v>
                </c:pt>
                <c:pt idx="183">
                  <c:v>6.23</c:v>
                </c:pt>
                <c:pt idx="184">
                  <c:v>6.27</c:v>
                </c:pt>
                <c:pt idx="185">
                  <c:v>6.31</c:v>
                </c:pt>
                <c:pt idx="186">
                  <c:v>6.27</c:v>
                </c:pt>
                <c:pt idx="187">
                  <c:v>6.24</c:v>
                </c:pt>
                <c:pt idx="188">
                  <c:v>6.25</c:v>
                </c:pt>
                <c:pt idx="189">
                  <c:v>6.31</c:v>
                </c:pt>
                <c:pt idx="190">
                  <c:v>6.36</c:v>
                </c:pt>
                <c:pt idx="191">
                  <c:v>6.37</c:v>
                </c:pt>
                <c:pt idx="192">
                  <c:v>6.4</c:v>
                </c:pt>
                <c:pt idx="193">
                  <c:v>6.32</c:v>
                </c:pt>
                <c:pt idx="194">
                  <c:v>6.61</c:v>
                </c:pt>
                <c:pt idx="195">
                  <c:v>6.38</c:v>
                </c:pt>
                <c:pt idx="196">
                  <c:v>6.41</c:v>
                </c:pt>
                <c:pt idx="197">
                  <c:v>6.34</c:v>
                </c:pt>
                <c:pt idx="198">
                  <c:v>6.5</c:v>
                </c:pt>
                <c:pt idx="199">
                  <c:v>6.5</c:v>
                </c:pt>
                <c:pt idx="200">
                  <c:v>6.63</c:v>
                </c:pt>
                <c:pt idx="201">
                  <c:v>6.76</c:v>
                </c:pt>
                <c:pt idx="202">
                  <c:v>6.61</c:v>
                </c:pt>
                <c:pt idx="203">
                  <c:v>6.57</c:v>
                </c:pt>
                <c:pt idx="204">
                  <c:v>6.5</c:v>
                </c:pt>
                <c:pt idx="205">
                  <c:v>6.5</c:v>
                </c:pt>
                <c:pt idx="206">
                  <c:v>6.45</c:v>
                </c:pt>
                <c:pt idx="207">
                  <c:v>6.29</c:v>
                </c:pt>
                <c:pt idx="208">
                  <c:v>6.3</c:v>
                </c:pt>
                <c:pt idx="209">
                  <c:v>6.33</c:v>
                </c:pt>
                <c:pt idx="210">
                  <c:v>6.36</c:v>
                </c:pt>
                <c:pt idx="211">
                  <c:v>6.36</c:v>
                </c:pt>
                <c:pt idx="212">
                  <c:v>6.45</c:v>
                </c:pt>
                <c:pt idx="213">
                  <c:v>6.4</c:v>
                </c:pt>
                <c:pt idx="214">
                  <c:v>6.33</c:v>
                </c:pt>
                <c:pt idx="215">
                  <c:v>6.23</c:v>
                </c:pt>
                <c:pt idx="216">
                  <c:v>6.12</c:v>
                </c:pt>
                <c:pt idx="217">
                  <c:v>6.15</c:v>
                </c:pt>
                <c:pt idx="218">
                  <c:v>6.08</c:v>
                </c:pt>
                <c:pt idx="219">
                  <c:v>6.04</c:v>
                </c:pt>
                <c:pt idx="220">
                  <c:v>6.17</c:v>
                </c:pt>
                <c:pt idx="221">
                  <c:v>6.27</c:v>
                </c:pt>
                <c:pt idx="222">
                  <c:v>6.11</c:v>
                </c:pt>
                <c:pt idx="223">
                  <c:v>6.09</c:v>
                </c:pt>
                <c:pt idx="224">
                  <c:v>6.1</c:v>
                </c:pt>
                <c:pt idx="225">
                  <c:v>6.02</c:v>
                </c:pt>
                <c:pt idx="226">
                  <c:v>6.03</c:v>
                </c:pt>
                <c:pt idx="227">
                  <c:v>6.08</c:v>
                </c:pt>
                <c:pt idx="228">
                  <c:v>5.96</c:v>
                </c:pt>
                <c:pt idx="229">
                  <c:v>5.91</c:v>
                </c:pt>
                <c:pt idx="230">
                  <c:v>5.94</c:v>
                </c:pt>
                <c:pt idx="231">
                  <c:v>6</c:v>
                </c:pt>
                <c:pt idx="232">
                  <c:v>6.02</c:v>
                </c:pt>
                <c:pt idx="233">
                  <c:v>6.01</c:v>
                </c:pt>
                <c:pt idx="234">
                  <c:v>6.06</c:v>
                </c:pt>
                <c:pt idx="235">
                  <c:v>6.06</c:v>
                </c:pt>
                <c:pt idx="236">
                  <c:v>6.12</c:v>
                </c:pt>
                <c:pt idx="237">
                  <c:v>6.18</c:v>
                </c:pt>
                <c:pt idx="238">
                  <c:v>6.1</c:v>
                </c:pt>
                <c:pt idx="239">
                  <c:v>6.2</c:v>
                </c:pt>
                <c:pt idx="240">
                  <c:v>6.29</c:v>
                </c:pt>
                <c:pt idx="241">
                  <c:v>6.07</c:v>
                </c:pt>
                <c:pt idx="242">
                  <c:v>6.07</c:v>
                </c:pt>
                <c:pt idx="243">
                  <c:v>6.01</c:v>
                </c:pt>
                <c:pt idx="244">
                  <c:v>6</c:v>
                </c:pt>
                <c:pt idx="245">
                  <c:v>6.01</c:v>
                </c:pt>
                <c:pt idx="246">
                  <c:v>5.93</c:v>
                </c:pt>
                <c:pt idx="247">
                  <c:v>5.78</c:v>
                </c:pt>
                <c:pt idx="248">
                  <c:v>5.78</c:v>
                </c:pt>
                <c:pt idx="249">
                  <c:v>5.79</c:v>
                </c:pt>
                <c:pt idx="250">
                  <c:v>5.77</c:v>
                </c:pt>
                <c:pt idx="251">
                  <c:v>5.74</c:v>
                </c:pt>
                <c:pt idx="252">
                  <c:v>5.86</c:v>
                </c:pt>
                <c:pt idx="253">
                  <c:v>5.91</c:v>
                </c:pt>
              </c:numCache>
            </c:numRef>
          </c:val>
          <c:extLst>
            <c:ext xmlns:c16="http://schemas.microsoft.com/office/drawing/2014/chart" uri="{C3380CC4-5D6E-409C-BE32-E72D297353CC}">
              <c16:uniqueId val="{00000000-AB2E-431A-A1ED-0237D4818BA6}"/>
            </c:ext>
          </c:extLst>
        </c:ser>
        <c:dLbls>
          <c:showLegendKey val="0"/>
          <c:showVal val="0"/>
          <c:showCatName val="0"/>
          <c:showSerName val="0"/>
          <c:showPercent val="0"/>
          <c:showBubbleSize val="0"/>
        </c:dLbls>
        <c:axId val="663074607"/>
        <c:axId val="663072943"/>
      </c:areaChart>
      <c:catAx>
        <c:axId val="663074607"/>
        <c:scaling>
          <c:orientation val="minMax"/>
        </c:scaling>
        <c:delete val="1"/>
        <c:axPos val="b"/>
        <c:majorTickMark val="out"/>
        <c:minorTickMark val="none"/>
        <c:tickLblPos val="nextTo"/>
        <c:crossAx val="663072943"/>
        <c:crosses val="autoZero"/>
        <c:auto val="1"/>
        <c:lblAlgn val="ctr"/>
        <c:lblOffset val="100"/>
        <c:noMultiLvlLbl val="0"/>
      </c:catAx>
      <c:valAx>
        <c:axId val="663072943"/>
        <c:scaling>
          <c:orientation val="minMax"/>
        </c:scaling>
        <c:delete val="0"/>
        <c:axPos val="l"/>
        <c:majorGridlines>
          <c:spPr>
            <a:ln w="9525" cap="flat" cmpd="sng" algn="ctr">
              <a:solidFill>
                <a:schemeClr val="tx1">
                  <a:lumMod val="15000"/>
                  <a:lumOff val="85000"/>
                </a:schemeClr>
              </a:solidFill>
              <a:round/>
            </a:ln>
            <a:effectLst/>
          </c:spPr>
        </c:majorGridlines>
        <c:numFmt formatCode="_-[$$-C09]* #,##0.00_-;\-[$$-C09]* #,##0.00_-;_-[$$-C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460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'Watch List - ASB'!$B$1</c:f>
          <c:strCache>
            <c:ptCount val="1"/>
            <c:pt idx="0">
              <c:v>AUSTAL LIMITED (XASX:ASB)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'Watch List - ASB'!$B$6</c:f>
              <c:strCache>
                <c:ptCount val="1"/>
                <c:pt idx="0">
                  <c:v>Volume</c:v>
                </c:pt>
              </c:strCache>
            </c:strRef>
          </c:tx>
          <c:spPr>
            <a:solidFill>
              <a:schemeClr val="accent1"/>
            </a:solidFill>
            <a:ln w="19050">
              <a:noFill/>
            </a:ln>
            <a:effectLst/>
          </c:spPr>
          <c:invertIfNegative val="0"/>
          <c:cat>
            <c:numRef>
              <c:f>'Watch List - ASB'!$A$7:$A$28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ASB'!$B$7:$B$28</c:f>
              <c:numCache>
                <c:formatCode>#,##0</c:formatCode>
                <c:ptCount val="22"/>
                <c:pt idx="0">
                  <c:v>1276178</c:v>
                </c:pt>
                <c:pt idx="1">
                  <c:v>292514</c:v>
                </c:pt>
                <c:pt idx="2">
                  <c:v>255406</c:v>
                </c:pt>
                <c:pt idx="3">
                  <c:v>859419</c:v>
                </c:pt>
                <c:pt idx="4">
                  <c:v>688628</c:v>
                </c:pt>
                <c:pt idx="5">
                  <c:v>534522</c:v>
                </c:pt>
                <c:pt idx="6">
                  <c:v>231647</c:v>
                </c:pt>
                <c:pt idx="7">
                  <c:v>235280</c:v>
                </c:pt>
                <c:pt idx="8">
                  <c:v>224029</c:v>
                </c:pt>
                <c:pt idx="9">
                  <c:v>673543</c:v>
                </c:pt>
                <c:pt idx="10">
                  <c:v>910138</c:v>
                </c:pt>
                <c:pt idx="11">
                  <c:v>938792</c:v>
                </c:pt>
                <c:pt idx="12">
                  <c:v>1467453</c:v>
                </c:pt>
                <c:pt idx="13">
                  <c:v>1137519</c:v>
                </c:pt>
                <c:pt idx="14">
                  <c:v>1318824</c:v>
                </c:pt>
                <c:pt idx="15">
                  <c:v>957400</c:v>
                </c:pt>
                <c:pt idx="16">
                  <c:v>1084025</c:v>
                </c:pt>
                <c:pt idx="17">
                  <c:v>1279002</c:v>
                </c:pt>
                <c:pt idx="18">
                  <c:v>1157165</c:v>
                </c:pt>
              </c:numCache>
            </c:numRef>
          </c:val>
          <c:extLst>
            <c:ext xmlns:c16="http://schemas.microsoft.com/office/drawing/2014/chart" uri="{C3380CC4-5D6E-409C-BE32-E72D297353CC}">
              <c16:uniqueId val="{00000000-A694-46E5-9D76-5510795E9F47}"/>
            </c:ext>
          </c:extLst>
        </c:ser>
        <c:dLbls>
          <c:showLegendKey val="0"/>
          <c:showVal val="0"/>
          <c:showCatName val="0"/>
          <c:showSerName val="0"/>
          <c:showPercent val="0"/>
          <c:showBubbleSize val="0"/>
        </c:dLbls>
        <c:gapWidth val="150"/>
        <c:axId val="663073775"/>
        <c:axId val="663074191"/>
      </c:barChart>
      <c:stockChart>
        <c:ser>
          <c:idx val="1"/>
          <c:order val="1"/>
          <c:tx>
            <c:strRef>
              <c:f>'Watch List - ASB'!$C$6</c:f>
              <c:strCache>
                <c:ptCount val="1"/>
                <c:pt idx="0">
                  <c:v>Open</c:v>
                </c:pt>
              </c:strCache>
            </c:strRef>
          </c:tx>
          <c:spPr>
            <a:ln w="19050" cap="rnd">
              <a:noFill/>
              <a:round/>
            </a:ln>
            <a:effectLst/>
          </c:spPr>
          <c:marker>
            <c:symbol val="none"/>
          </c:marker>
          <c:cat>
            <c:numRef>
              <c:f>'Watch List - ASB'!$A$7:$A$28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ASB'!$C$7:$C$28</c:f>
              <c:numCache>
                <c:formatCode>_-[$$-C09]* #,##0.00_-;\-[$$-C09]* #,##0.00_-;_-[$$-C09]* "-"??_-;_-@_-</c:formatCode>
                <c:ptCount val="22"/>
                <c:pt idx="0">
                  <c:v>1.925</c:v>
                </c:pt>
                <c:pt idx="1">
                  <c:v>1.9650000000000001</c:v>
                </c:pt>
                <c:pt idx="2">
                  <c:v>1.96</c:v>
                </c:pt>
                <c:pt idx="3">
                  <c:v>1.9750000000000001</c:v>
                </c:pt>
                <c:pt idx="4">
                  <c:v>2</c:v>
                </c:pt>
                <c:pt idx="5">
                  <c:v>1.9850000000000001</c:v>
                </c:pt>
                <c:pt idx="6">
                  <c:v>1.9550000000000001</c:v>
                </c:pt>
                <c:pt idx="7">
                  <c:v>1.98</c:v>
                </c:pt>
                <c:pt idx="8">
                  <c:v>1.9650000000000001</c:v>
                </c:pt>
                <c:pt idx="9">
                  <c:v>1.9850000000000001</c:v>
                </c:pt>
                <c:pt idx="10">
                  <c:v>1.9550000000000001</c:v>
                </c:pt>
                <c:pt idx="11">
                  <c:v>1.99</c:v>
                </c:pt>
                <c:pt idx="12">
                  <c:v>1.9850000000000001</c:v>
                </c:pt>
                <c:pt idx="13">
                  <c:v>2.0099999999999998</c:v>
                </c:pt>
                <c:pt idx="14">
                  <c:v>2.0299999999999998</c:v>
                </c:pt>
                <c:pt idx="15">
                  <c:v>2.02</c:v>
                </c:pt>
                <c:pt idx="16">
                  <c:v>2.08</c:v>
                </c:pt>
                <c:pt idx="17">
                  <c:v>1.99</c:v>
                </c:pt>
                <c:pt idx="18">
                  <c:v>1.97</c:v>
                </c:pt>
              </c:numCache>
            </c:numRef>
          </c:val>
          <c:smooth val="0"/>
          <c:extLst>
            <c:ext xmlns:c16="http://schemas.microsoft.com/office/drawing/2014/chart" uri="{C3380CC4-5D6E-409C-BE32-E72D297353CC}">
              <c16:uniqueId val="{00000001-A694-46E5-9D76-5510795E9F47}"/>
            </c:ext>
          </c:extLst>
        </c:ser>
        <c:ser>
          <c:idx val="2"/>
          <c:order val="2"/>
          <c:tx>
            <c:strRef>
              <c:f>'Watch List - ASB'!$D$6</c:f>
              <c:strCache>
                <c:ptCount val="1"/>
                <c:pt idx="0">
                  <c:v>High</c:v>
                </c:pt>
              </c:strCache>
            </c:strRef>
          </c:tx>
          <c:spPr>
            <a:ln w="19050" cap="rnd">
              <a:noFill/>
              <a:round/>
            </a:ln>
            <a:effectLst/>
          </c:spPr>
          <c:marker>
            <c:symbol val="none"/>
          </c:marker>
          <c:cat>
            <c:numRef>
              <c:f>'Watch List - ASB'!$A$7:$A$28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ASB'!$D$7:$D$28</c:f>
              <c:numCache>
                <c:formatCode>_-[$$-C09]* #,##0.00_-;\-[$$-C09]* #,##0.00_-;_-[$$-C09]* "-"??_-;_-@_-</c:formatCode>
                <c:ptCount val="22"/>
                <c:pt idx="0">
                  <c:v>1.9750000000000001</c:v>
                </c:pt>
                <c:pt idx="1">
                  <c:v>1.9650000000000001</c:v>
                </c:pt>
                <c:pt idx="2">
                  <c:v>1.9750000000000001</c:v>
                </c:pt>
                <c:pt idx="3">
                  <c:v>2.0099999999999998</c:v>
                </c:pt>
                <c:pt idx="4">
                  <c:v>2.0299999999999998</c:v>
                </c:pt>
                <c:pt idx="5">
                  <c:v>1.9950000000000001</c:v>
                </c:pt>
                <c:pt idx="6">
                  <c:v>1.9750000000000001</c:v>
                </c:pt>
                <c:pt idx="7">
                  <c:v>1.9950000000000001</c:v>
                </c:pt>
                <c:pt idx="8">
                  <c:v>1.99</c:v>
                </c:pt>
                <c:pt idx="9">
                  <c:v>2</c:v>
                </c:pt>
                <c:pt idx="10">
                  <c:v>2.0099999999999998</c:v>
                </c:pt>
                <c:pt idx="11">
                  <c:v>2.0150000000000001</c:v>
                </c:pt>
                <c:pt idx="12">
                  <c:v>2.04</c:v>
                </c:pt>
                <c:pt idx="13">
                  <c:v>2.04</c:v>
                </c:pt>
                <c:pt idx="14">
                  <c:v>2.04</c:v>
                </c:pt>
                <c:pt idx="15">
                  <c:v>2.09</c:v>
                </c:pt>
                <c:pt idx="16">
                  <c:v>2.08</c:v>
                </c:pt>
                <c:pt idx="17">
                  <c:v>2.0099999999999998</c:v>
                </c:pt>
                <c:pt idx="18">
                  <c:v>1.9750000000000001</c:v>
                </c:pt>
              </c:numCache>
            </c:numRef>
          </c:val>
          <c:smooth val="0"/>
          <c:extLst>
            <c:ext xmlns:c16="http://schemas.microsoft.com/office/drawing/2014/chart" uri="{C3380CC4-5D6E-409C-BE32-E72D297353CC}">
              <c16:uniqueId val="{00000002-A694-46E5-9D76-5510795E9F47}"/>
            </c:ext>
          </c:extLst>
        </c:ser>
        <c:ser>
          <c:idx val="3"/>
          <c:order val="3"/>
          <c:tx>
            <c:strRef>
              <c:f>'Watch List - ASB'!$E$6</c:f>
              <c:strCache>
                <c:ptCount val="1"/>
                <c:pt idx="0">
                  <c:v>Low</c:v>
                </c:pt>
              </c:strCache>
            </c:strRef>
          </c:tx>
          <c:spPr>
            <a:ln w="19050" cap="rnd">
              <a:noFill/>
              <a:round/>
            </a:ln>
            <a:effectLst/>
          </c:spPr>
          <c:marker>
            <c:symbol val="none"/>
          </c:marker>
          <c:cat>
            <c:numRef>
              <c:f>'Watch List - ASB'!$A$7:$A$28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ASB'!$E$7:$E$28</c:f>
              <c:numCache>
                <c:formatCode>_-[$$-C09]* #,##0.00_-;\-[$$-C09]* #,##0.00_-;_-[$$-C09]* "-"??_-;_-@_-</c:formatCode>
                <c:ptCount val="22"/>
                <c:pt idx="0">
                  <c:v>1.925</c:v>
                </c:pt>
                <c:pt idx="1">
                  <c:v>1.9450000000000001</c:v>
                </c:pt>
                <c:pt idx="2">
                  <c:v>1.9450000000000001</c:v>
                </c:pt>
                <c:pt idx="3">
                  <c:v>1.9675</c:v>
                </c:pt>
                <c:pt idx="4">
                  <c:v>1.9850000000000001</c:v>
                </c:pt>
                <c:pt idx="5">
                  <c:v>1.9475</c:v>
                </c:pt>
                <c:pt idx="6">
                  <c:v>1.95</c:v>
                </c:pt>
                <c:pt idx="7">
                  <c:v>1.9650000000000001</c:v>
                </c:pt>
                <c:pt idx="8">
                  <c:v>1.9650000000000001</c:v>
                </c:pt>
                <c:pt idx="9">
                  <c:v>1.9524999999999999</c:v>
                </c:pt>
                <c:pt idx="10">
                  <c:v>1.9550000000000001</c:v>
                </c:pt>
                <c:pt idx="11">
                  <c:v>1.98</c:v>
                </c:pt>
                <c:pt idx="12">
                  <c:v>1.9850000000000001</c:v>
                </c:pt>
                <c:pt idx="13">
                  <c:v>2</c:v>
                </c:pt>
                <c:pt idx="14">
                  <c:v>2.0099999999999998</c:v>
                </c:pt>
                <c:pt idx="15">
                  <c:v>2</c:v>
                </c:pt>
                <c:pt idx="16">
                  <c:v>1.99</c:v>
                </c:pt>
                <c:pt idx="17">
                  <c:v>1.9624999999999999</c:v>
                </c:pt>
                <c:pt idx="18">
                  <c:v>1.92</c:v>
                </c:pt>
              </c:numCache>
            </c:numRef>
          </c:val>
          <c:smooth val="0"/>
          <c:extLst>
            <c:ext xmlns:c16="http://schemas.microsoft.com/office/drawing/2014/chart" uri="{C3380CC4-5D6E-409C-BE32-E72D297353CC}">
              <c16:uniqueId val="{00000003-A694-46E5-9D76-5510795E9F47}"/>
            </c:ext>
          </c:extLst>
        </c:ser>
        <c:ser>
          <c:idx val="4"/>
          <c:order val="4"/>
          <c:tx>
            <c:strRef>
              <c:f>'Watch List - ASB'!$F$6</c:f>
              <c:strCache>
                <c:ptCount val="1"/>
                <c:pt idx="0">
                  <c:v>Close</c:v>
                </c:pt>
              </c:strCache>
            </c:strRef>
          </c:tx>
          <c:spPr>
            <a:ln w="19050" cap="rnd">
              <a:noFill/>
              <a:round/>
            </a:ln>
            <a:effectLst/>
          </c:spPr>
          <c:marker>
            <c:symbol val="none"/>
          </c:marker>
          <c:cat>
            <c:numRef>
              <c:f>'Watch List - ASB'!$A$7:$A$28</c:f>
              <c:numCache>
                <c:formatCode>m/d/yyyy</c:formatCode>
                <c:ptCount val="22"/>
                <c:pt idx="0">
                  <c:v>44559</c:v>
                </c:pt>
                <c:pt idx="1">
                  <c:v>44560</c:v>
                </c:pt>
                <c:pt idx="2">
                  <c:v>44561</c:v>
                </c:pt>
                <c:pt idx="3">
                  <c:v>44565</c:v>
                </c:pt>
                <c:pt idx="4">
                  <c:v>44566</c:v>
                </c:pt>
                <c:pt idx="5">
                  <c:v>44567</c:v>
                </c:pt>
                <c:pt idx="6">
                  <c:v>44568</c:v>
                </c:pt>
                <c:pt idx="7">
                  <c:v>44571</c:v>
                </c:pt>
                <c:pt idx="8">
                  <c:v>44572</c:v>
                </c:pt>
                <c:pt idx="9">
                  <c:v>44573</c:v>
                </c:pt>
                <c:pt idx="10">
                  <c:v>44574</c:v>
                </c:pt>
                <c:pt idx="11">
                  <c:v>44575</c:v>
                </c:pt>
                <c:pt idx="12">
                  <c:v>44578</c:v>
                </c:pt>
                <c:pt idx="13">
                  <c:v>44579</c:v>
                </c:pt>
                <c:pt idx="14">
                  <c:v>44580</c:v>
                </c:pt>
                <c:pt idx="15">
                  <c:v>44581</c:v>
                </c:pt>
                <c:pt idx="16">
                  <c:v>44582</c:v>
                </c:pt>
                <c:pt idx="17">
                  <c:v>44585</c:v>
                </c:pt>
                <c:pt idx="18">
                  <c:v>44586</c:v>
                </c:pt>
              </c:numCache>
            </c:numRef>
          </c:cat>
          <c:val>
            <c:numRef>
              <c:f>'Watch List - ASB'!$F$7:$F$28</c:f>
              <c:numCache>
                <c:formatCode>_-[$$-C09]* #,##0.00_-;\-[$$-C09]* #,##0.00_-;_-[$$-C09]* "-"??_-;_-@_-</c:formatCode>
                <c:ptCount val="22"/>
                <c:pt idx="0">
                  <c:v>1.97</c:v>
                </c:pt>
                <c:pt idx="1">
                  <c:v>1.95</c:v>
                </c:pt>
                <c:pt idx="2">
                  <c:v>1.95</c:v>
                </c:pt>
                <c:pt idx="3">
                  <c:v>1.9750000000000001</c:v>
                </c:pt>
                <c:pt idx="4">
                  <c:v>2</c:v>
                </c:pt>
                <c:pt idx="5">
                  <c:v>1.96</c:v>
                </c:pt>
                <c:pt idx="6">
                  <c:v>1.96</c:v>
                </c:pt>
                <c:pt idx="7">
                  <c:v>1.9650000000000001</c:v>
                </c:pt>
                <c:pt idx="8">
                  <c:v>1.9750000000000001</c:v>
                </c:pt>
                <c:pt idx="9">
                  <c:v>1.9650000000000001</c:v>
                </c:pt>
                <c:pt idx="10">
                  <c:v>1.99</c:v>
                </c:pt>
                <c:pt idx="11">
                  <c:v>2.0099999999999998</c:v>
                </c:pt>
                <c:pt idx="12">
                  <c:v>2.0299999999999998</c:v>
                </c:pt>
                <c:pt idx="13">
                  <c:v>2.0299999999999998</c:v>
                </c:pt>
                <c:pt idx="14">
                  <c:v>2.02</c:v>
                </c:pt>
                <c:pt idx="15">
                  <c:v>2.08</c:v>
                </c:pt>
                <c:pt idx="16">
                  <c:v>2.0099999999999998</c:v>
                </c:pt>
                <c:pt idx="17">
                  <c:v>1.98</c:v>
                </c:pt>
                <c:pt idx="18">
                  <c:v>1.95</c:v>
                </c:pt>
              </c:numCache>
            </c:numRef>
          </c:val>
          <c:smooth val="0"/>
          <c:extLst>
            <c:ext xmlns:c16="http://schemas.microsoft.com/office/drawing/2014/chart" uri="{C3380CC4-5D6E-409C-BE32-E72D297353CC}">
              <c16:uniqueId val="{00000004-A694-46E5-9D76-5510795E9F47}"/>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663075023"/>
        <c:axId val="663076687"/>
      </c:stockChart>
      <c:dateAx>
        <c:axId val="66307377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4191"/>
        <c:crosses val="autoZero"/>
        <c:auto val="1"/>
        <c:lblOffset val="100"/>
        <c:baseTimeUnit val="days"/>
      </c:dateAx>
      <c:valAx>
        <c:axId val="663074191"/>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3775"/>
        <c:crosses val="autoZero"/>
        <c:crossBetween val="between"/>
      </c:valAx>
      <c:valAx>
        <c:axId val="663076687"/>
        <c:scaling>
          <c:orientation val="minMax"/>
        </c:scaling>
        <c:delete val="0"/>
        <c:axPos val="r"/>
        <c:majorGridlines>
          <c:spPr>
            <a:ln w="9525" cap="flat" cmpd="sng" algn="ctr">
              <a:solidFill>
                <a:schemeClr val="tx1">
                  <a:lumMod val="15000"/>
                  <a:lumOff val="85000"/>
                </a:schemeClr>
              </a:solidFill>
              <a:round/>
            </a:ln>
            <a:effectLst/>
          </c:spPr>
        </c:majorGridlines>
        <c:numFmt formatCode="_-[$$-C09]* #,##0.00_-;\-[$$-C09]* #,##0.00_-;_-[$$-C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075023"/>
        <c:crosses val="max"/>
        <c:crossBetween val="between"/>
      </c:valAx>
      <c:dateAx>
        <c:axId val="663075023"/>
        <c:scaling>
          <c:orientation val="minMax"/>
        </c:scaling>
        <c:delete val="1"/>
        <c:axPos val="b"/>
        <c:numFmt formatCode="m/d/yyyy" sourceLinked="1"/>
        <c:majorTickMark val="out"/>
        <c:minorTickMark val="none"/>
        <c:tickLblPos val="nextTo"/>
        <c:crossAx val="663076687"/>
        <c:crosses val="autoZero"/>
        <c:auto val="1"/>
        <c:lblOffset val="100"/>
        <c:baseTimeUnit val="days"/>
      </c:dateAx>
      <c:spPr>
        <a:noFill/>
        <a:ln>
          <a:noFill/>
        </a:ln>
        <a:effectLst/>
      </c:spPr>
    </c:plotArea>
    <c:legend>
      <c:legendPos val="b"/>
      <c:layout>
        <c:manualLayout>
          <c:xMode val="edge"/>
          <c:yMode val="edge"/>
          <c:x val="0.23376588331830184"/>
          <c:y val="0.90135033172535894"/>
          <c:w val="0.48178660892745778"/>
          <c:h val="7.27744790495859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Close Last 12 Months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gradFill>
              <a:gsLst>
                <a:gs pos="0">
                  <a:schemeClr val="accent1"/>
                </a:gs>
                <a:gs pos="74000">
                  <a:schemeClr val="accent1">
                    <a:lumMod val="45000"/>
                    <a:lumOff val="55000"/>
                  </a:schemeClr>
                </a:gs>
                <a:gs pos="84000">
                  <a:schemeClr val="accent1">
                    <a:lumMod val="45000"/>
                    <a:lumOff val="55000"/>
                  </a:schemeClr>
                </a:gs>
                <a:gs pos="100000">
                  <a:schemeClr val="accent1">
                    <a:lumMod val="75000"/>
                  </a:schemeClr>
                </a:gs>
              </a:gsLst>
              <a:lin ang="5400000" scaled="1"/>
            </a:gradFill>
            <a:ln>
              <a:noFill/>
            </a:ln>
            <a:effectLst/>
          </c:spPr>
          <c:val>
            <c:numRef>
              <c:f>'Watch List - ASB'!$C$4:$IV$4</c:f>
              <c:numCache>
                <c:formatCode>_-[$$-C09]* #,##0.00_-;\-[$$-C09]* #,##0.00_-;_-[$$-C09]* "-"??_-;_-@_-</c:formatCode>
                <c:ptCount val="254"/>
                <c:pt idx="0">
                  <c:v>2.5099999999999998</c:v>
                </c:pt>
                <c:pt idx="1">
                  <c:v>2.59</c:v>
                </c:pt>
                <c:pt idx="2">
                  <c:v>2.5099999999999998</c:v>
                </c:pt>
                <c:pt idx="3">
                  <c:v>2.57</c:v>
                </c:pt>
                <c:pt idx="4">
                  <c:v>2.52</c:v>
                </c:pt>
                <c:pt idx="5">
                  <c:v>2.5299999999999998</c:v>
                </c:pt>
                <c:pt idx="6">
                  <c:v>2.5099999999999998</c:v>
                </c:pt>
                <c:pt idx="7">
                  <c:v>2.4700000000000002</c:v>
                </c:pt>
                <c:pt idx="8">
                  <c:v>2.52</c:v>
                </c:pt>
                <c:pt idx="9">
                  <c:v>2.5099999999999998</c:v>
                </c:pt>
                <c:pt idx="10">
                  <c:v>2.48</c:v>
                </c:pt>
                <c:pt idx="11">
                  <c:v>2.5499999999999998</c:v>
                </c:pt>
                <c:pt idx="12">
                  <c:v>2.5099999999999998</c:v>
                </c:pt>
                <c:pt idx="13">
                  <c:v>2.5</c:v>
                </c:pt>
                <c:pt idx="14">
                  <c:v>2.5099999999999998</c:v>
                </c:pt>
                <c:pt idx="15">
                  <c:v>2.58</c:v>
                </c:pt>
                <c:pt idx="16">
                  <c:v>2.5</c:v>
                </c:pt>
                <c:pt idx="17">
                  <c:v>2.5099999999999998</c:v>
                </c:pt>
                <c:pt idx="18">
                  <c:v>2.5</c:v>
                </c:pt>
                <c:pt idx="19">
                  <c:v>2.4700000000000002</c:v>
                </c:pt>
                <c:pt idx="20">
                  <c:v>2.2000000000000002</c:v>
                </c:pt>
                <c:pt idx="21">
                  <c:v>2.21</c:v>
                </c:pt>
                <c:pt idx="22">
                  <c:v>2.2999999999999998</c:v>
                </c:pt>
                <c:pt idx="23">
                  <c:v>2.37</c:v>
                </c:pt>
                <c:pt idx="24">
                  <c:v>2.57</c:v>
                </c:pt>
                <c:pt idx="25">
                  <c:v>2.5499999999999998</c:v>
                </c:pt>
                <c:pt idx="26">
                  <c:v>2.4700000000000002</c:v>
                </c:pt>
                <c:pt idx="27">
                  <c:v>2.46</c:v>
                </c:pt>
                <c:pt idx="28">
                  <c:v>2.4500000000000002</c:v>
                </c:pt>
                <c:pt idx="29">
                  <c:v>2.41</c:v>
                </c:pt>
                <c:pt idx="30">
                  <c:v>2.39</c:v>
                </c:pt>
                <c:pt idx="31">
                  <c:v>2.4900000000000002</c:v>
                </c:pt>
                <c:pt idx="32">
                  <c:v>2.4700000000000002</c:v>
                </c:pt>
                <c:pt idx="33">
                  <c:v>2.4500000000000002</c:v>
                </c:pt>
                <c:pt idx="34">
                  <c:v>2.4500000000000002</c:v>
                </c:pt>
                <c:pt idx="35">
                  <c:v>2.4500000000000002</c:v>
                </c:pt>
                <c:pt idx="36">
                  <c:v>2.41</c:v>
                </c:pt>
                <c:pt idx="37">
                  <c:v>2.34</c:v>
                </c:pt>
                <c:pt idx="38">
                  <c:v>2.2599999999999998</c:v>
                </c:pt>
                <c:pt idx="39">
                  <c:v>2.21</c:v>
                </c:pt>
                <c:pt idx="40">
                  <c:v>2.2000000000000002</c:v>
                </c:pt>
                <c:pt idx="41">
                  <c:v>2.1800000000000002</c:v>
                </c:pt>
                <c:pt idx="42">
                  <c:v>2.16</c:v>
                </c:pt>
                <c:pt idx="43">
                  <c:v>2.3199999999999998</c:v>
                </c:pt>
                <c:pt idx="44">
                  <c:v>2.21</c:v>
                </c:pt>
                <c:pt idx="45">
                  <c:v>2.2000000000000002</c:v>
                </c:pt>
                <c:pt idx="46">
                  <c:v>2.2400000000000002</c:v>
                </c:pt>
                <c:pt idx="47">
                  <c:v>2.35</c:v>
                </c:pt>
                <c:pt idx="48">
                  <c:v>2.41</c:v>
                </c:pt>
                <c:pt idx="49">
                  <c:v>2.41</c:v>
                </c:pt>
                <c:pt idx="50">
                  <c:v>2.4300000000000002</c:v>
                </c:pt>
                <c:pt idx="51">
                  <c:v>2.44</c:v>
                </c:pt>
                <c:pt idx="52">
                  <c:v>2.4300000000000002</c:v>
                </c:pt>
                <c:pt idx="53">
                  <c:v>2.38</c:v>
                </c:pt>
                <c:pt idx="54">
                  <c:v>2.4700000000000002</c:v>
                </c:pt>
                <c:pt idx="55">
                  <c:v>2.5499999999999998</c:v>
                </c:pt>
                <c:pt idx="56">
                  <c:v>2.56</c:v>
                </c:pt>
                <c:pt idx="57">
                  <c:v>2.4900000000000002</c:v>
                </c:pt>
                <c:pt idx="58">
                  <c:v>2.5</c:v>
                </c:pt>
                <c:pt idx="59">
                  <c:v>2.46</c:v>
                </c:pt>
                <c:pt idx="60">
                  <c:v>2.48</c:v>
                </c:pt>
                <c:pt idx="61">
                  <c:v>2.5099999999999998</c:v>
                </c:pt>
                <c:pt idx="62">
                  <c:v>2.48</c:v>
                </c:pt>
                <c:pt idx="63">
                  <c:v>2.4900000000000002</c:v>
                </c:pt>
                <c:pt idx="64">
                  <c:v>2.4500000000000002</c:v>
                </c:pt>
                <c:pt idx="65">
                  <c:v>2.4700000000000002</c:v>
                </c:pt>
                <c:pt idx="66">
                  <c:v>2.41</c:v>
                </c:pt>
                <c:pt idx="67">
                  <c:v>2.39</c:v>
                </c:pt>
                <c:pt idx="68">
                  <c:v>2.37</c:v>
                </c:pt>
                <c:pt idx="69">
                  <c:v>2.33</c:v>
                </c:pt>
                <c:pt idx="70">
                  <c:v>2.37</c:v>
                </c:pt>
                <c:pt idx="71">
                  <c:v>2.39</c:v>
                </c:pt>
                <c:pt idx="72">
                  <c:v>2.44</c:v>
                </c:pt>
                <c:pt idx="73">
                  <c:v>2.37</c:v>
                </c:pt>
                <c:pt idx="74">
                  <c:v>2.33</c:v>
                </c:pt>
                <c:pt idx="75">
                  <c:v>2.2599999999999998</c:v>
                </c:pt>
                <c:pt idx="76">
                  <c:v>2.25</c:v>
                </c:pt>
                <c:pt idx="77">
                  <c:v>2.27</c:v>
                </c:pt>
                <c:pt idx="78">
                  <c:v>2.25</c:v>
                </c:pt>
                <c:pt idx="79">
                  <c:v>2.25</c:v>
                </c:pt>
                <c:pt idx="80">
                  <c:v>2.2400000000000002</c:v>
                </c:pt>
                <c:pt idx="81">
                  <c:v>2.2799999999999998</c:v>
                </c:pt>
                <c:pt idx="82">
                  <c:v>2.2999999999999998</c:v>
                </c:pt>
                <c:pt idx="83">
                  <c:v>2.34</c:v>
                </c:pt>
                <c:pt idx="84">
                  <c:v>2.34</c:v>
                </c:pt>
                <c:pt idx="85">
                  <c:v>2.35</c:v>
                </c:pt>
                <c:pt idx="86">
                  <c:v>2.38</c:v>
                </c:pt>
                <c:pt idx="87">
                  <c:v>2.2599999999999998</c:v>
                </c:pt>
                <c:pt idx="88">
                  <c:v>2.2200000000000002</c:v>
                </c:pt>
                <c:pt idx="89">
                  <c:v>2.2200000000000002</c:v>
                </c:pt>
                <c:pt idx="90">
                  <c:v>2.23</c:v>
                </c:pt>
                <c:pt idx="91">
                  <c:v>2.2400000000000002</c:v>
                </c:pt>
                <c:pt idx="92">
                  <c:v>2.33</c:v>
                </c:pt>
                <c:pt idx="93">
                  <c:v>2.31</c:v>
                </c:pt>
                <c:pt idx="94">
                  <c:v>2.3199999999999998</c:v>
                </c:pt>
                <c:pt idx="95">
                  <c:v>2.27</c:v>
                </c:pt>
                <c:pt idx="96">
                  <c:v>2.33</c:v>
                </c:pt>
                <c:pt idx="97">
                  <c:v>2.12</c:v>
                </c:pt>
                <c:pt idx="98">
                  <c:v>2</c:v>
                </c:pt>
                <c:pt idx="99">
                  <c:v>2.09</c:v>
                </c:pt>
                <c:pt idx="100">
                  <c:v>2.14</c:v>
                </c:pt>
                <c:pt idx="101">
                  <c:v>2.09</c:v>
                </c:pt>
                <c:pt idx="102">
                  <c:v>2.09</c:v>
                </c:pt>
                <c:pt idx="103">
                  <c:v>2.04</c:v>
                </c:pt>
                <c:pt idx="104">
                  <c:v>2.06</c:v>
                </c:pt>
                <c:pt idx="105">
                  <c:v>2.06</c:v>
                </c:pt>
                <c:pt idx="106">
                  <c:v>2.06</c:v>
                </c:pt>
                <c:pt idx="107">
                  <c:v>2.09</c:v>
                </c:pt>
                <c:pt idx="108">
                  <c:v>2.0499999999999998</c:v>
                </c:pt>
                <c:pt idx="109">
                  <c:v>2.08</c:v>
                </c:pt>
                <c:pt idx="110">
                  <c:v>2.06</c:v>
                </c:pt>
                <c:pt idx="111">
                  <c:v>2.08</c:v>
                </c:pt>
                <c:pt idx="112">
                  <c:v>2.09</c:v>
                </c:pt>
                <c:pt idx="113">
                  <c:v>2.09</c:v>
                </c:pt>
                <c:pt idx="114">
                  <c:v>2.11</c:v>
                </c:pt>
                <c:pt idx="115">
                  <c:v>2.0499999999999998</c:v>
                </c:pt>
                <c:pt idx="116">
                  <c:v>2.04</c:v>
                </c:pt>
                <c:pt idx="117">
                  <c:v>2.0499999999999998</c:v>
                </c:pt>
                <c:pt idx="118">
                  <c:v>2.11</c:v>
                </c:pt>
                <c:pt idx="119">
                  <c:v>2.1</c:v>
                </c:pt>
                <c:pt idx="120">
                  <c:v>2.19</c:v>
                </c:pt>
                <c:pt idx="121">
                  <c:v>2.17</c:v>
                </c:pt>
                <c:pt idx="122">
                  <c:v>2.17</c:v>
                </c:pt>
                <c:pt idx="123">
                  <c:v>2.17</c:v>
                </c:pt>
                <c:pt idx="124">
                  <c:v>2.16</c:v>
                </c:pt>
                <c:pt idx="125">
                  <c:v>2.2000000000000002</c:v>
                </c:pt>
                <c:pt idx="126">
                  <c:v>2.17</c:v>
                </c:pt>
                <c:pt idx="127">
                  <c:v>2.16</c:v>
                </c:pt>
                <c:pt idx="128">
                  <c:v>2.12</c:v>
                </c:pt>
                <c:pt idx="129">
                  <c:v>2.16</c:v>
                </c:pt>
                <c:pt idx="130">
                  <c:v>2.16</c:v>
                </c:pt>
                <c:pt idx="131">
                  <c:v>2.1800000000000002</c:v>
                </c:pt>
                <c:pt idx="132">
                  <c:v>2.21</c:v>
                </c:pt>
                <c:pt idx="133">
                  <c:v>2.1800000000000002</c:v>
                </c:pt>
                <c:pt idx="134">
                  <c:v>2.2000000000000002</c:v>
                </c:pt>
                <c:pt idx="135">
                  <c:v>2.25</c:v>
                </c:pt>
                <c:pt idx="136">
                  <c:v>2.27</c:v>
                </c:pt>
                <c:pt idx="137">
                  <c:v>2.3199999999999998</c:v>
                </c:pt>
                <c:pt idx="138">
                  <c:v>2.29</c:v>
                </c:pt>
                <c:pt idx="139">
                  <c:v>2.3199999999999998</c:v>
                </c:pt>
                <c:pt idx="140">
                  <c:v>2.4</c:v>
                </c:pt>
                <c:pt idx="141">
                  <c:v>2.48</c:v>
                </c:pt>
                <c:pt idx="142">
                  <c:v>2.46</c:v>
                </c:pt>
                <c:pt idx="143">
                  <c:v>2.4</c:v>
                </c:pt>
                <c:pt idx="144">
                  <c:v>2.46</c:v>
                </c:pt>
                <c:pt idx="145">
                  <c:v>2.42</c:v>
                </c:pt>
                <c:pt idx="146">
                  <c:v>2.5099999999999998</c:v>
                </c:pt>
                <c:pt idx="147">
                  <c:v>2.1800000000000002</c:v>
                </c:pt>
                <c:pt idx="148">
                  <c:v>2.08</c:v>
                </c:pt>
                <c:pt idx="149">
                  <c:v>1.95</c:v>
                </c:pt>
                <c:pt idx="150">
                  <c:v>1.95</c:v>
                </c:pt>
                <c:pt idx="151">
                  <c:v>1.9650000000000001</c:v>
                </c:pt>
                <c:pt idx="152">
                  <c:v>1.9550000000000001</c:v>
                </c:pt>
                <c:pt idx="153">
                  <c:v>1.9750000000000001</c:v>
                </c:pt>
                <c:pt idx="154">
                  <c:v>1.915</c:v>
                </c:pt>
                <c:pt idx="155">
                  <c:v>1.915</c:v>
                </c:pt>
                <c:pt idx="156">
                  <c:v>1.905</c:v>
                </c:pt>
                <c:pt idx="157">
                  <c:v>1.855</c:v>
                </c:pt>
                <c:pt idx="158">
                  <c:v>1.81</c:v>
                </c:pt>
                <c:pt idx="159">
                  <c:v>1.7450000000000001</c:v>
                </c:pt>
                <c:pt idx="160">
                  <c:v>1.76</c:v>
                </c:pt>
                <c:pt idx="161">
                  <c:v>1.73</c:v>
                </c:pt>
                <c:pt idx="162">
                  <c:v>1.72</c:v>
                </c:pt>
                <c:pt idx="163">
                  <c:v>1.6850000000000001</c:v>
                </c:pt>
                <c:pt idx="164">
                  <c:v>1.73</c:v>
                </c:pt>
                <c:pt idx="165">
                  <c:v>1.7150000000000001</c:v>
                </c:pt>
                <c:pt idx="166">
                  <c:v>1.68</c:v>
                </c:pt>
                <c:pt idx="167">
                  <c:v>1.675</c:v>
                </c:pt>
                <c:pt idx="168">
                  <c:v>1.76</c:v>
                </c:pt>
                <c:pt idx="169">
                  <c:v>1.845</c:v>
                </c:pt>
                <c:pt idx="170">
                  <c:v>1.85</c:v>
                </c:pt>
                <c:pt idx="171">
                  <c:v>1.845</c:v>
                </c:pt>
                <c:pt idx="172">
                  <c:v>1.86</c:v>
                </c:pt>
                <c:pt idx="173">
                  <c:v>1.86</c:v>
                </c:pt>
                <c:pt idx="174">
                  <c:v>1.88</c:v>
                </c:pt>
                <c:pt idx="175">
                  <c:v>1.87</c:v>
                </c:pt>
                <c:pt idx="176">
                  <c:v>1.89</c:v>
                </c:pt>
                <c:pt idx="177">
                  <c:v>1.87</c:v>
                </c:pt>
                <c:pt idx="178">
                  <c:v>1.93</c:v>
                </c:pt>
                <c:pt idx="179">
                  <c:v>1.9</c:v>
                </c:pt>
                <c:pt idx="180">
                  <c:v>1.93</c:v>
                </c:pt>
                <c:pt idx="181">
                  <c:v>1.905</c:v>
                </c:pt>
                <c:pt idx="182">
                  <c:v>1.895</c:v>
                </c:pt>
                <c:pt idx="183">
                  <c:v>1.9</c:v>
                </c:pt>
                <c:pt idx="184">
                  <c:v>1.875</c:v>
                </c:pt>
                <c:pt idx="185">
                  <c:v>1.88</c:v>
                </c:pt>
                <c:pt idx="186">
                  <c:v>1.895</c:v>
                </c:pt>
                <c:pt idx="187">
                  <c:v>1.885</c:v>
                </c:pt>
                <c:pt idx="188">
                  <c:v>1.9</c:v>
                </c:pt>
                <c:pt idx="189">
                  <c:v>1.88</c:v>
                </c:pt>
                <c:pt idx="190">
                  <c:v>1.895</c:v>
                </c:pt>
                <c:pt idx="191">
                  <c:v>1.895</c:v>
                </c:pt>
                <c:pt idx="192">
                  <c:v>1.895</c:v>
                </c:pt>
                <c:pt idx="193">
                  <c:v>1.895</c:v>
                </c:pt>
                <c:pt idx="194">
                  <c:v>1.875</c:v>
                </c:pt>
                <c:pt idx="195">
                  <c:v>1.88</c:v>
                </c:pt>
                <c:pt idx="196">
                  <c:v>1.9</c:v>
                </c:pt>
                <c:pt idx="197">
                  <c:v>1.9</c:v>
                </c:pt>
                <c:pt idx="198">
                  <c:v>1.87</c:v>
                </c:pt>
                <c:pt idx="199">
                  <c:v>1.89</c:v>
                </c:pt>
                <c:pt idx="200">
                  <c:v>1.895</c:v>
                </c:pt>
                <c:pt idx="201">
                  <c:v>1.89</c:v>
                </c:pt>
                <c:pt idx="202">
                  <c:v>1.7649999999999999</c:v>
                </c:pt>
                <c:pt idx="203">
                  <c:v>1.78</c:v>
                </c:pt>
                <c:pt idx="204">
                  <c:v>1.875</c:v>
                </c:pt>
                <c:pt idx="205">
                  <c:v>1.92</c:v>
                </c:pt>
                <c:pt idx="206">
                  <c:v>1.91</c:v>
                </c:pt>
                <c:pt idx="207">
                  <c:v>1.91</c:v>
                </c:pt>
                <c:pt idx="208">
                  <c:v>1.88</c:v>
                </c:pt>
                <c:pt idx="209">
                  <c:v>1.885</c:v>
                </c:pt>
                <c:pt idx="210">
                  <c:v>1.865</c:v>
                </c:pt>
                <c:pt idx="211">
                  <c:v>1.855</c:v>
                </c:pt>
                <c:pt idx="212">
                  <c:v>1.855</c:v>
                </c:pt>
                <c:pt idx="213">
                  <c:v>1.88</c:v>
                </c:pt>
                <c:pt idx="214">
                  <c:v>1.875</c:v>
                </c:pt>
                <c:pt idx="215">
                  <c:v>1.835</c:v>
                </c:pt>
                <c:pt idx="216">
                  <c:v>1.8</c:v>
                </c:pt>
                <c:pt idx="217">
                  <c:v>1.825</c:v>
                </c:pt>
                <c:pt idx="218">
                  <c:v>1.82</c:v>
                </c:pt>
                <c:pt idx="219">
                  <c:v>1.825</c:v>
                </c:pt>
                <c:pt idx="220">
                  <c:v>1.845</c:v>
                </c:pt>
                <c:pt idx="221">
                  <c:v>1.83</c:v>
                </c:pt>
                <c:pt idx="222">
                  <c:v>1.845</c:v>
                </c:pt>
                <c:pt idx="223">
                  <c:v>1.85</c:v>
                </c:pt>
                <c:pt idx="224">
                  <c:v>1.855</c:v>
                </c:pt>
                <c:pt idx="225">
                  <c:v>1.92</c:v>
                </c:pt>
                <c:pt idx="226">
                  <c:v>1.89</c:v>
                </c:pt>
                <c:pt idx="227">
                  <c:v>1.915</c:v>
                </c:pt>
                <c:pt idx="228">
                  <c:v>1.885</c:v>
                </c:pt>
                <c:pt idx="229">
                  <c:v>1.875</c:v>
                </c:pt>
                <c:pt idx="230">
                  <c:v>1.92</c:v>
                </c:pt>
                <c:pt idx="231">
                  <c:v>1.88</c:v>
                </c:pt>
                <c:pt idx="232">
                  <c:v>1.88</c:v>
                </c:pt>
                <c:pt idx="233">
                  <c:v>1.91</c:v>
                </c:pt>
                <c:pt idx="234">
                  <c:v>1.925</c:v>
                </c:pt>
                <c:pt idx="235">
                  <c:v>1.925</c:v>
                </c:pt>
                <c:pt idx="236">
                  <c:v>1.97</c:v>
                </c:pt>
                <c:pt idx="237">
                  <c:v>1.95</c:v>
                </c:pt>
                <c:pt idx="238">
                  <c:v>1.95</c:v>
                </c:pt>
                <c:pt idx="239">
                  <c:v>1.9750000000000001</c:v>
                </c:pt>
                <c:pt idx="240">
                  <c:v>2</c:v>
                </c:pt>
                <c:pt idx="241">
                  <c:v>1.96</c:v>
                </c:pt>
                <c:pt idx="242">
                  <c:v>1.96</c:v>
                </c:pt>
                <c:pt idx="243">
                  <c:v>1.9650000000000001</c:v>
                </c:pt>
                <c:pt idx="244">
                  <c:v>1.9750000000000001</c:v>
                </c:pt>
                <c:pt idx="245">
                  <c:v>1.9650000000000001</c:v>
                </c:pt>
                <c:pt idx="246">
                  <c:v>1.99</c:v>
                </c:pt>
                <c:pt idx="247">
                  <c:v>2.0099999999999998</c:v>
                </c:pt>
                <c:pt idx="248">
                  <c:v>2.0299999999999998</c:v>
                </c:pt>
                <c:pt idx="249">
                  <c:v>2.0299999999999998</c:v>
                </c:pt>
                <c:pt idx="250">
                  <c:v>2.02</c:v>
                </c:pt>
                <c:pt idx="251">
                  <c:v>2.08</c:v>
                </c:pt>
                <c:pt idx="252">
                  <c:v>2.0099999999999998</c:v>
                </c:pt>
                <c:pt idx="253">
                  <c:v>1.98</c:v>
                </c:pt>
              </c:numCache>
            </c:numRef>
          </c:val>
          <c:extLst>
            <c:ext xmlns:c16="http://schemas.microsoft.com/office/drawing/2014/chart" uri="{C3380CC4-5D6E-409C-BE32-E72D297353CC}">
              <c16:uniqueId val="{00000000-D7E2-4B88-9E78-04A395E4ADCD}"/>
            </c:ext>
          </c:extLst>
        </c:ser>
        <c:dLbls>
          <c:showLegendKey val="0"/>
          <c:showVal val="0"/>
          <c:showCatName val="0"/>
          <c:showSerName val="0"/>
          <c:showPercent val="0"/>
          <c:showBubbleSize val="0"/>
        </c:dLbls>
        <c:axId val="1963727183"/>
        <c:axId val="1963747151"/>
      </c:areaChart>
      <c:catAx>
        <c:axId val="1963727183"/>
        <c:scaling>
          <c:orientation val="minMax"/>
        </c:scaling>
        <c:delete val="1"/>
        <c:axPos val="b"/>
        <c:majorTickMark val="out"/>
        <c:minorTickMark val="none"/>
        <c:tickLblPos val="nextTo"/>
        <c:crossAx val="1963747151"/>
        <c:crosses val="autoZero"/>
        <c:auto val="1"/>
        <c:lblAlgn val="ctr"/>
        <c:lblOffset val="100"/>
        <c:noMultiLvlLbl val="0"/>
      </c:catAx>
      <c:valAx>
        <c:axId val="1963747151"/>
        <c:scaling>
          <c:orientation val="minMax"/>
        </c:scaling>
        <c:delete val="0"/>
        <c:axPos val="l"/>
        <c:majorGridlines>
          <c:spPr>
            <a:ln w="9525" cap="flat" cmpd="sng" algn="ctr">
              <a:solidFill>
                <a:schemeClr val="tx1">
                  <a:lumMod val="15000"/>
                  <a:lumOff val="85000"/>
                </a:schemeClr>
              </a:solidFill>
              <a:round/>
            </a:ln>
            <a:effectLst/>
          </c:spPr>
        </c:majorGridlines>
        <c:numFmt formatCode="_-[$$-C09]* #,##0.00_-;\-[$$-C09]* #,##0.00_-;_-[$$-C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372718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(Updated).xlsm]Fixed Assets Tracker!PivotTable17</c:name>
    <c:fmtId val="1"/>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
        <c:idx val="5"/>
        <c:spPr>
          <a:solidFill>
            <a:schemeClr val="lt1"/>
          </a:solidFill>
          <a:ln w="19050">
            <a:solidFill>
              <a:schemeClr val="accent1"/>
            </a:solidFill>
          </a:ln>
          <a:effectLst/>
        </c:spPr>
      </c:pivotFmt>
    </c:pivotFmts>
    <c:plotArea>
      <c:layout/>
      <c:pieChart>
        <c:varyColors val="1"/>
        <c:ser>
          <c:idx val="0"/>
          <c:order val="0"/>
          <c:tx>
            <c:strRef>
              <c:f>'Fixed Assets Tracker'!$E$23</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A080-4396-A681-052867D5EBBC}"/>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A080-4396-A681-052867D5EBBC}"/>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A080-4396-A681-052867D5EBBC}"/>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A080-4396-A681-052867D5EBBC}"/>
              </c:ext>
            </c:extLst>
          </c:dPt>
          <c:dPt>
            <c:idx val="4"/>
            <c:bubble3D val="0"/>
            <c:spPr>
              <a:solidFill>
                <a:schemeClr val="lt1"/>
              </a:solidFill>
              <a:ln w="19050">
                <a:solidFill>
                  <a:schemeClr val="accent1"/>
                </a:solidFill>
              </a:ln>
              <a:effectLst/>
            </c:spPr>
            <c:extLst>
              <c:ext xmlns:c16="http://schemas.microsoft.com/office/drawing/2014/chart" uri="{C3380CC4-5D6E-409C-BE32-E72D297353CC}">
                <c16:uniqueId val="{00000009-A080-4396-A681-052867D5EBBC}"/>
              </c:ext>
            </c:extLst>
          </c:dPt>
          <c:dLbls>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'Fixed Assets Tracker'!$D$24:$D$29</c:f>
              <c:strCache>
                <c:ptCount val="5"/>
                <c:pt idx="0">
                  <c:v>Condominium</c:v>
                </c:pt>
                <c:pt idx="1">
                  <c:v>Electronic Equipment</c:v>
                </c:pt>
                <c:pt idx="2">
                  <c:v>HDB</c:v>
                </c:pt>
                <c:pt idx="3">
                  <c:v>Home Appliance</c:v>
                </c:pt>
                <c:pt idx="4">
                  <c:v>Vehicles</c:v>
                </c:pt>
              </c:strCache>
            </c:strRef>
          </c:cat>
          <c:val>
            <c:numRef>
              <c:f>'Fixed Assets Tracker'!$E$24:$E$29</c:f>
              <c:numCache>
                <c:formatCode>General</c:formatCode>
                <c:ptCount val="5"/>
                <c:pt idx="0">
                  <c:v>2040000</c:v>
                </c:pt>
                <c:pt idx="1">
                  <c:v>5188</c:v>
                </c:pt>
                <c:pt idx="2">
                  <c:v>267500</c:v>
                </c:pt>
                <c:pt idx="3">
                  <c:v>2857</c:v>
                </c:pt>
                <c:pt idx="4">
                  <c:v>342888</c:v>
                </c:pt>
              </c:numCache>
            </c:numRef>
          </c:val>
          <c:extLst>
            <c:ext xmlns:c16="http://schemas.microsoft.com/office/drawing/2014/chart" uri="{C3380CC4-5D6E-409C-BE32-E72D297353CC}">
              <c16:uniqueId val="{00000000-38A1-479E-9AF2-69F10A4CFDD8}"/>
            </c:ext>
          </c:extLst>
        </c:ser>
        <c:dLbls>
          <c:dLblPos val="inEnd"/>
          <c:showLegendKey val="0"/>
          <c:showVal val="0"/>
          <c:showCatName val="1"/>
          <c:showSerName val="0"/>
          <c:showPercent val="1"/>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(Updated).xlsm]Fixed Assets Tracker!PivotTable18</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'Fixed Assets Tracker'!$H$23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F2A-4855-B7F4-B6D0BF419C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F2A-4855-B7F4-B6D0BF419C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F2A-4855-B7F4-B6D0BF419C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F2A-4855-B7F4-B6D0BF419C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F2A-4855-B7F4-B6D0BF419CE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'Fixed Assets Tracker'!$G$24:$G$29</c:f>
              <c:strCache>
                <c:ptCount val="5"/>
                <c:pt idx="0">
                  <c:v>Condominium</c:v>
                </c:pt>
                <c:pt idx="1">
                  <c:v>Electronic Equipment</c:v>
                </c:pt>
                <c:pt idx="2">
                  <c:v>HDB</c:v>
                </c:pt>
                <c:pt idx="3">
                  <c:v>Home Appliance</c:v>
                </c:pt>
                <c:pt idx="4">
                  <c:v>Vehicles</c:v>
                </c:pt>
              </c:strCache>
            </c:strRef>
          </c:cat>
          <c:val>
            <c:numRef>
              <c:f>'Fixed Assets Tracker'!$H$24:$H$29</c:f>
              <c:numCache>
                <c:formatCode>General</c:formatCode>
                <c:ptCount val="5"/>
                <c:pt idx="0">
                  <c:v>1</c:v>
                </c:pt>
                <c:pt idx="1">
                  <c:v>3</c:v>
                </c:pt>
                <c:pt idx="2">
                  <c:v>1</c:v>
                </c:pt>
                <c:pt idx="3">
                  <c:v>3</c:v>
                </c:pt>
                <c:pt idx="4">
                  <c:v>2</c:v>
                </c:pt>
              </c:numCache>
            </c:numRef>
          </c:val>
          <c:extLst>
            <c:ext xmlns:c16="http://schemas.microsoft.com/office/drawing/2014/chart" uri="{C3380CC4-5D6E-409C-BE32-E72D297353CC}">
              <c16:uniqueId val="{0000000A-5F2A-4855-B7F4-B6D0BF419CE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(Updated).xlsm]Fixed Assets Tracker!PivotTable19</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'Fixed Assets Tracker'!$K$23</c:f>
              <c:strCache>
                <c:ptCount val="1"/>
                <c:pt idx="0">
                  <c:v>Sum of Purchased value</c:v>
                </c:pt>
              </c:strCache>
            </c:strRef>
          </c:tx>
          <c:spPr>
            <a:solidFill>
              <a:schemeClr val="accent1"/>
            </a:solidFill>
            <a:ln>
              <a:noFill/>
            </a:ln>
            <a:effectLst/>
          </c:spPr>
          <c:invertIfNegative val="0"/>
          <c:cat>
            <c:strRef>
              <c:f>'Fixed Assets Tracker'!$J$24:$J$29</c:f>
              <c:strCache>
                <c:ptCount val="5"/>
                <c:pt idx="0">
                  <c:v>Condominium</c:v>
                </c:pt>
                <c:pt idx="1">
                  <c:v>Electronic Equipment</c:v>
                </c:pt>
                <c:pt idx="2">
                  <c:v>HDB</c:v>
                </c:pt>
                <c:pt idx="3">
                  <c:v>Home Appliance</c:v>
                </c:pt>
                <c:pt idx="4">
                  <c:v>Vehicles</c:v>
                </c:pt>
              </c:strCache>
            </c:strRef>
          </c:cat>
          <c:val>
            <c:numRef>
              <c:f>'Fixed Assets Tracker'!$K$24:$K$29</c:f>
              <c:numCache>
                <c:formatCode>General</c:formatCode>
                <c:ptCount val="5"/>
                <c:pt idx="0">
                  <c:v>2040000</c:v>
                </c:pt>
                <c:pt idx="1">
                  <c:v>5188</c:v>
                </c:pt>
                <c:pt idx="2">
                  <c:v>267500</c:v>
                </c:pt>
                <c:pt idx="3">
                  <c:v>2857</c:v>
                </c:pt>
                <c:pt idx="4">
                  <c:v>342888</c:v>
                </c:pt>
              </c:numCache>
            </c:numRef>
          </c:val>
          <c:extLst>
            <c:ext xmlns:c16="http://schemas.microsoft.com/office/drawing/2014/chart" uri="{C3380CC4-5D6E-409C-BE32-E72D297353CC}">
              <c16:uniqueId val="{00000000-28C1-4F69-BE00-9145A487E317}"/>
            </c:ext>
          </c:extLst>
        </c:ser>
        <c:ser>
          <c:idx val="1"/>
          <c:order val="1"/>
          <c:tx>
            <c:strRef>
              <c:f>'Fixed Assets Tracker'!$L$23</c:f>
              <c:strCache>
                <c:ptCount val="1"/>
                <c:pt idx="0">
                  <c:v>Sum of Current Value (Estimated)</c:v>
                </c:pt>
              </c:strCache>
            </c:strRef>
          </c:tx>
          <c:spPr>
            <a:solidFill>
              <a:schemeClr val="accent2"/>
            </a:solidFill>
            <a:ln>
              <a:noFill/>
            </a:ln>
            <a:effectLst/>
          </c:spPr>
          <c:invertIfNegative val="0"/>
          <c:cat>
            <c:strRef>
              <c:f>'Fixed Assets Tracker'!$J$24:$J$29</c:f>
              <c:strCache>
                <c:ptCount val="5"/>
                <c:pt idx="0">
                  <c:v>Condominium</c:v>
                </c:pt>
                <c:pt idx="1">
                  <c:v>Electronic Equipment</c:v>
                </c:pt>
                <c:pt idx="2">
                  <c:v>HDB</c:v>
                </c:pt>
                <c:pt idx="3">
                  <c:v>Home Appliance</c:v>
                </c:pt>
                <c:pt idx="4">
                  <c:v>Vehicles</c:v>
                </c:pt>
              </c:strCache>
            </c:strRef>
          </c:cat>
          <c:val>
            <c:numRef>
              <c:f>'Fixed Assets Tracker'!$L$24:$L$29</c:f>
              <c:numCache>
                <c:formatCode>General</c:formatCode>
                <c:ptCount val="5"/>
                <c:pt idx="0">
                  <c:v>2306986.2575342469</c:v>
                </c:pt>
                <c:pt idx="1">
                  <c:v>1781.2136164383562</c:v>
                </c:pt>
                <c:pt idx="2">
                  <c:v>331186.98630136991</c:v>
                </c:pt>
                <c:pt idx="3">
                  <c:v>942.05150684931505</c:v>
                </c:pt>
                <c:pt idx="4">
                  <c:v>310718.30607780826</c:v>
                </c:pt>
              </c:numCache>
            </c:numRef>
          </c:val>
          <c:extLst>
            <c:ext xmlns:c16="http://schemas.microsoft.com/office/drawing/2014/chart" uri="{C3380CC4-5D6E-409C-BE32-E72D297353CC}">
              <c16:uniqueId val="{00000001-28C1-4F69-BE00-9145A487E317}"/>
            </c:ext>
          </c:extLst>
        </c:ser>
        <c:ser>
          <c:idx val="2"/>
          <c:order val="2"/>
          <c:tx>
            <c:strRef>
              <c:f>'Fixed Assets Tracker'!$M$23</c:f>
              <c:strCache>
                <c:ptCount val="1"/>
                <c:pt idx="0">
                  <c:v>Sum of Profit &amp; Loss</c:v>
                </c:pt>
              </c:strCache>
            </c:strRef>
          </c:tx>
          <c:spPr>
            <a:solidFill>
              <a:schemeClr val="accent3"/>
            </a:solidFill>
            <a:ln>
              <a:noFill/>
            </a:ln>
            <a:effectLst/>
          </c:spPr>
          <c:invertIfNegative val="0"/>
          <c:cat>
            <c:strRef>
              <c:f>'Fixed Assets Tracker'!$J$24:$J$29</c:f>
              <c:strCache>
                <c:ptCount val="5"/>
                <c:pt idx="0">
                  <c:v>Condominium</c:v>
                </c:pt>
                <c:pt idx="1">
                  <c:v>Electronic Equipment</c:v>
                </c:pt>
                <c:pt idx="2">
                  <c:v>HDB</c:v>
                </c:pt>
                <c:pt idx="3">
                  <c:v>Home Appliance</c:v>
                </c:pt>
                <c:pt idx="4">
                  <c:v>Vehicles</c:v>
                </c:pt>
              </c:strCache>
            </c:strRef>
          </c:cat>
          <c:val>
            <c:numRef>
              <c:f>'Fixed Assets Tracker'!$M$24:$M$29</c:f>
              <c:numCache>
                <c:formatCode>General</c:formatCode>
                <c:ptCount val="5"/>
                <c:pt idx="0">
                  <c:v>266986.25753424689</c:v>
                </c:pt>
                <c:pt idx="1">
                  <c:v>-3406.7863835616436</c:v>
                </c:pt>
                <c:pt idx="2">
                  <c:v>63686.986301369907</c:v>
                </c:pt>
                <c:pt idx="3">
                  <c:v>-1914.948493150685</c:v>
                </c:pt>
                <c:pt idx="4">
                  <c:v>-32169.693922191771</c:v>
                </c:pt>
              </c:numCache>
            </c:numRef>
          </c:val>
          <c:extLst>
            <c:ext xmlns:c16="http://schemas.microsoft.com/office/drawing/2014/chart" uri="{C3380CC4-5D6E-409C-BE32-E72D297353CC}">
              <c16:uniqueId val="{00000002-28C1-4F69-BE00-9145A487E317}"/>
            </c:ext>
          </c:extLst>
        </c:ser>
        <c:dLbls>
          <c:showLegendKey val="0"/>
          <c:showVal val="0"/>
          <c:showCatName val="0"/>
          <c:showSerName val="0"/>
          <c:showPercent val="0"/>
          <c:showBubbleSize val="0"/>
        </c:dLbls>
        <c:gapWidth val="150"/>
        <c:overlap val="100"/>
        <c:axId val="1889581775"/>
        <c:axId val="1889582191"/>
      </c:barChart>
      <c:catAx>
        <c:axId val="188958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9582191"/>
        <c:crosses val="autoZero"/>
        <c:auto val="1"/>
        <c:lblAlgn val="ctr"/>
        <c:lblOffset val="100"/>
        <c:noMultiLvlLbl val="0"/>
      </c:catAx>
      <c:valAx>
        <c:axId val="1889582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9581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(Updated).xlsm]Fixed Assets Tracker!PivotTable20</c:name>
    <c:fmtId val="1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'Fixed Assets Tracker'!$J$55</c:f>
              <c:strCache>
                <c:ptCount val="1"/>
                <c:pt idx="0">
                  <c:v>Sum of Purchased value</c:v>
                </c:pt>
              </c:strCache>
            </c:strRef>
          </c:tx>
          <c:spPr>
            <a:solidFill>
              <a:schemeClr val="accent1"/>
            </a:solidFill>
            <a:ln>
              <a:noFill/>
            </a:ln>
            <a:effectLst/>
          </c:spPr>
          <c:invertIfNegative val="0"/>
          <c:cat>
            <c:strRef>
              <c:f>'Fixed Assets Tracker'!$I$56:$I$61</c:f>
              <c:strCache>
                <c:ptCount val="5"/>
                <c:pt idx="0">
                  <c:v>Condominium</c:v>
                </c:pt>
                <c:pt idx="1">
                  <c:v>Electronic Equipment</c:v>
                </c:pt>
                <c:pt idx="2">
                  <c:v>HDB</c:v>
                </c:pt>
                <c:pt idx="3">
                  <c:v>Home Appliance</c:v>
                </c:pt>
                <c:pt idx="4">
                  <c:v>Vehicles</c:v>
                </c:pt>
              </c:strCache>
            </c:strRef>
          </c:cat>
          <c:val>
            <c:numRef>
              <c:f>'Fixed Assets Tracker'!$J$56:$J$61</c:f>
              <c:numCache>
                <c:formatCode>General</c:formatCode>
                <c:ptCount val="5"/>
                <c:pt idx="0">
                  <c:v>2040000</c:v>
                </c:pt>
                <c:pt idx="1">
                  <c:v>5188</c:v>
                </c:pt>
                <c:pt idx="2">
                  <c:v>267500</c:v>
                </c:pt>
                <c:pt idx="3">
                  <c:v>2857</c:v>
                </c:pt>
                <c:pt idx="4">
                  <c:v>342888</c:v>
                </c:pt>
              </c:numCache>
            </c:numRef>
          </c:val>
          <c:extLst>
            <c:ext xmlns:c16="http://schemas.microsoft.com/office/drawing/2014/chart" uri="{C3380CC4-5D6E-409C-BE32-E72D297353CC}">
              <c16:uniqueId val="{00000000-D1D1-45A0-B0CD-930B40EC7B89}"/>
            </c:ext>
          </c:extLst>
        </c:ser>
        <c:ser>
          <c:idx val="1"/>
          <c:order val="1"/>
          <c:tx>
            <c:strRef>
              <c:f>'Fixed Assets Tracker'!$K$55</c:f>
              <c:strCache>
                <c:ptCount val="1"/>
                <c:pt idx="0">
                  <c:v>Sum of Forecasted Values</c:v>
                </c:pt>
              </c:strCache>
            </c:strRef>
          </c:tx>
          <c:spPr>
            <a:solidFill>
              <a:schemeClr val="accent2"/>
            </a:solidFill>
            <a:ln>
              <a:noFill/>
            </a:ln>
            <a:effectLst/>
          </c:spPr>
          <c:invertIfNegative val="0"/>
          <c:cat>
            <c:strRef>
              <c:f>'Fixed Assets Tracker'!$I$56:$I$61</c:f>
              <c:strCache>
                <c:ptCount val="5"/>
                <c:pt idx="0">
                  <c:v>Condominium</c:v>
                </c:pt>
                <c:pt idx="1">
                  <c:v>Electronic Equipment</c:v>
                </c:pt>
                <c:pt idx="2">
                  <c:v>HDB</c:v>
                </c:pt>
                <c:pt idx="3">
                  <c:v>Home Appliance</c:v>
                </c:pt>
                <c:pt idx="4">
                  <c:v>Vehicles</c:v>
                </c:pt>
              </c:strCache>
            </c:strRef>
          </c:cat>
          <c:val>
            <c:numRef>
              <c:f>'Fixed Assets Tracker'!$K$56:$K$61</c:f>
              <c:numCache>
                <c:formatCode>General</c:formatCode>
                <c:ptCount val="5"/>
                <c:pt idx="0">
                  <c:v>2666688</c:v>
                </c:pt>
                <c:pt idx="1">
                  <c:v>12.990000000000011</c:v>
                </c:pt>
                <c:pt idx="2">
                  <c:v>401250</c:v>
                </c:pt>
                <c:pt idx="3">
                  <c:v>173.59999999999997</c:v>
                </c:pt>
                <c:pt idx="4">
                  <c:v>244349.14720000001</c:v>
                </c:pt>
              </c:numCache>
            </c:numRef>
          </c:val>
          <c:extLst>
            <c:ext xmlns:c16="http://schemas.microsoft.com/office/drawing/2014/chart" uri="{C3380CC4-5D6E-409C-BE32-E72D297353CC}">
              <c16:uniqueId val="{00000001-D1D1-45A0-B0CD-930B40EC7B89}"/>
            </c:ext>
          </c:extLst>
        </c:ser>
        <c:ser>
          <c:idx val="2"/>
          <c:order val="2"/>
          <c:tx>
            <c:strRef>
              <c:f>'Fixed Assets Tracker'!$L$55</c:f>
              <c:strCache>
                <c:ptCount val="1"/>
                <c:pt idx="0">
                  <c:v>Sum of Predicted Profit &amp; Loss</c:v>
                </c:pt>
              </c:strCache>
            </c:strRef>
          </c:tx>
          <c:spPr>
            <a:solidFill>
              <a:schemeClr val="accent3"/>
            </a:solidFill>
            <a:ln>
              <a:noFill/>
            </a:ln>
            <a:effectLst/>
          </c:spPr>
          <c:invertIfNegative val="0"/>
          <c:cat>
            <c:strRef>
              <c:f>'Fixed Assets Tracker'!$I$56:$I$61</c:f>
              <c:strCache>
                <c:ptCount val="5"/>
                <c:pt idx="0">
                  <c:v>Condominium</c:v>
                </c:pt>
                <c:pt idx="1">
                  <c:v>Electronic Equipment</c:v>
                </c:pt>
                <c:pt idx="2">
                  <c:v>HDB</c:v>
                </c:pt>
                <c:pt idx="3">
                  <c:v>Home Appliance</c:v>
                </c:pt>
                <c:pt idx="4">
                  <c:v>Vehicles</c:v>
                </c:pt>
              </c:strCache>
            </c:strRef>
          </c:cat>
          <c:val>
            <c:numRef>
              <c:f>'Fixed Assets Tracker'!$L$56:$L$61</c:f>
              <c:numCache>
                <c:formatCode>General</c:formatCode>
                <c:ptCount val="5"/>
                <c:pt idx="0">
                  <c:v>266986.25753424689</c:v>
                </c:pt>
                <c:pt idx="1">
                  <c:v>-3406.7863835616436</c:v>
                </c:pt>
                <c:pt idx="2">
                  <c:v>63686.986301369907</c:v>
                </c:pt>
                <c:pt idx="3">
                  <c:v>-1914.948493150685</c:v>
                </c:pt>
                <c:pt idx="4">
                  <c:v>-32169.693922191771</c:v>
                </c:pt>
              </c:numCache>
            </c:numRef>
          </c:val>
          <c:extLst>
            <c:ext xmlns:c16="http://schemas.microsoft.com/office/drawing/2014/chart" uri="{C3380CC4-5D6E-409C-BE32-E72D297353CC}">
              <c16:uniqueId val="{00000002-D1D1-45A0-B0CD-930B40EC7B89}"/>
            </c:ext>
          </c:extLst>
        </c:ser>
        <c:dLbls>
          <c:showLegendKey val="0"/>
          <c:showVal val="0"/>
          <c:showCatName val="0"/>
          <c:showSerName val="0"/>
          <c:showPercent val="0"/>
          <c:showBubbleSize val="0"/>
        </c:dLbls>
        <c:gapWidth val="150"/>
        <c:overlap val="100"/>
        <c:axId val="910753071"/>
        <c:axId val="910765551"/>
      </c:barChart>
      <c:catAx>
        <c:axId val="910753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765551"/>
        <c:crosses val="autoZero"/>
        <c:auto val="1"/>
        <c:lblAlgn val="ctr"/>
        <c:lblOffset val="100"/>
        <c:noMultiLvlLbl val="0"/>
      </c:catAx>
      <c:valAx>
        <c:axId val="910765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753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 Off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Months</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'Credit Card pay off calculator'!$D$24:$D$25</c:f>
              <c:strCache>
                <c:ptCount val="2"/>
                <c:pt idx="0">
                  <c:v>Months To Payoff Based On Minimum Payment</c:v>
                </c:pt>
                <c:pt idx="1">
                  <c:v>Months To Payoff Based On Proposed Payment</c:v>
                </c:pt>
              </c:strCache>
            </c:strRef>
          </c:cat>
          <c:val>
            <c:numRef>
              <c:f>'Credit Card pay off calculator'!$E$24:$E$25</c:f>
              <c:numCache>
                <c:formatCode>General</c:formatCode>
                <c:ptCount val="2"/>
                <c:pt idx="0">
                  <c:v>3</c:v>
                </c:pt>
                <c:pt idx="1">
                  <c:v>2</c:v>
                </c:pt>
              </c:numCache>
            </c:numRef>
          </c:val>
          <c:extLst>
            <c:ext xmlns:c16="http://schemas.microsoft.com/office/drawing/2014/chart" uri="{C3380CC4-5D6E-409C-BE32-E72D297353CC}">
              <c16:uniqueId val="{00000001-76C9-478A-9275-77A6DF47B742}"/>
            </c:ext>
          </c:extLst>
        </c:ser>
        <c:dLbls>
          <c:showLegendKey val="0"/>
          <c:showVal val="0"/>
          <c:showCatName val="0"/>
          <c:showSerName val="0"/>
          <c:showPercent val="0"/>
          <c:showBubbleSize val="0"/>
        </c:dLbls>
        <c:gapWidth val="219"/>
        <c:overlap val="-27"/>
        <c:axId val="1126136904"/>
        <c:axId val="964056775"/>
      </c:barChart>
      <c:catAx>
        <c:axId val="1126136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056775"/>
        <c:crosses val="autoZero"/>
        <c:auto val="1"/>
        <c:lblAlgn val="ctr"/>
        <c:lblOffset val="100"/>
        <c:noMultiLvlLbl val="0"/>
      </c:catAx>
      <c:valAx>
        <c:axId val="964056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13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Interest Payment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Interest To Be Paid</c:v>
          </c:tx>
          <c:spPr>
            <a:solidFill>
              <a:srgbClr val="ED7D3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'Credit Card pay off calculator'!$D$26:$D$27</c:f>
              <c:strCache>
                <c:ptCount val="2"/>
                <c:pt idx="0">
                  <c:v>Total Interest Based On Minimum Payment</c:v>
                </c:pt>
                <c:pt idx="1">
                  <c:v>Total Interest Based On Proposed Payment</c:v>
                </c:pt>
              </c:strCache>
            </c:strRef>
          </c:cat>
          <c:val>
            <c:numRef>
              <c:f>'Credit Card pay off calculator'!$E$26:$E$27</c:f>
              <c:numCache>
                <c:formatCode>"$"#,##0.00;[Red]\-"$"#,##0.00</c:formatCode>
                <c:ptCount val="2"/>
                <c:pt idx="0">
                  <c:v>10.151390688772153</c:v>
                </c:pt>
                <c:pt idx="1">
                  <c:v>7.0926683910521433</c:v>
                </c:pt>
              </c:numCache>
            </c:numRef>
          </c:val>
          <c:extLst>
            <c:ext xmlns:c16="http://schemas.microsoft.com/office/drawing/2014/chart" uri="{C3380CC4-5D6E-409C-BE32-E72D297353CC}">
              <c16:uniqueId val="{00000001-2728-4444-ADAC-42ED9CD82349}"/>
            </c:ext>
          </c:extLst>
        </c:ser>
        <c:dLbls>
          <c:showLegendKey val="0"/>
          <c:showVal val="0"/>
          <c:showCatName val="0"/>
          <c:showSerName val="0"/>
          <c:showPercent val="0"/>
          <c:showBubbleSize val="0"/>
        </c:dLbls>
        <c:gapWidth val="219"/>
        <c:overlap val="-27"/>
        <c:axId val="1570199832"/>
        <c:axId val="1933784760"/>
      </c:barChart>
      <c:catAx>
        <c:axId val="1570199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784760"/>
        <c:crosses val="autoZero"/>
        <c:auto val="1"/>
        <c:lblAlgn val="ctr"/>
        <c:lblOffset val="100"/>
        <c:noMultiLvlLbl val="0"/>
      </c:catAx>
      <c:valAx>
        <c:axId val="19337847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0199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[SDD Assignment Team C with VBA (Updated).xlsm]Credit Card pay off calculator!PivotTable2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Total </a:t>
            </a:r>
            <a:r>
              <a:rPr lang="en-US" altLang="zh-CN"/>
              <a:t>sum of spending</a:t>
            </a:r>
            <a:endParaRPr lang="en-US"/>
          </a:p>
        </c:rich>
      </c:tx>
      <c:layout>
        <c:manualLayout>
          <c:xMode val="edge"/>
          <c:yMode val="edge"/>
          <c:x val="0.23690741454520983"/>
          <c:y val="2.406738868832731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5.0355113725342807E-2"/>
              <c:y val="-0.1315557576963529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9.0961732408747234E-2"/>
              <c:y val="6.677203255730217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0.20481085449044409"/>
              <c:y val="1.729213451206683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0.16523205482369596"/>
              <c:y val="-5.5798440357410417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4.044172800078312E-2"/>
              <c:y val="1.296872187005505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2.1992181047299102E-2"/>
              <c:y val="5.0893999260922486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pivotFmt>
    </c:pivotFmts>
    <c:plotArea>
      <c:layout/>
      <c:pieChart>
        <c:varyColors val="1"/>
        <c:ser>
          <c:idx val="0"/>
          <c:order val="0"/>
          <c:tx>
            <c:strRef>
              <c:f>'Credit Card pay off calculator'!$H$13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50D-437D-BD81-A938FA18578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50D-437D-BD81-A938FA18578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50D-437D-BD81-A938FA18578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50D-437D-BD81-A938FA18578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50D-437D-BD81-A938FA18578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50D-437D-BD81-A938FA18578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50D-437D-BD81-A938FA185785}"/>
              </c:ext>
            </c:extLst>
          </c:dPt>
          <c:dLbls>
            <c:dLbl>
              <c:idx val="0"/>
              <c:layout>
                <c:manualLayout>
                  <c:x val="-4.044172800078312E-2"/>
                  <c:y val="1.2968721870055051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50D-437D-BD81-A938FA185785}"/>
                </c:ext>
              </c:extLst>
            </c:dLbl>
            <c:dLbl>
              <c:idx val="1"/>
              <c:layout>
                <c:manualLayout>
                  <c:x val="5.0355113725342807E-2"/>
                  <c:y val="-0.1315557576963529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50D-437D-BD81-A938FA185785}"/>
                </c:ext>
              </c:extLst>
            </c:dLbl>
            <c:dLbl>
              <c:idx val="2"/>
              <c:layout>
                <c:manualLayout>
                  <c:x val="-9.0961732408747234E-2"/>
                  <c:y val="6.677203255730217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50D-437D-BD81-A938FA185785}"/>
                </c:ext>
              </c:extLst>
            </c:dLbl>
            <c:dLbl>
              <c:idx val="3"/>
              <c:layout>
                <c:manualLayout>
                  <c:x val="-0.20481085449044409"/>
                  <c:y val="1.7292134512066838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50D-437D-BD81-A938FA185785}"/>
                </c:ext>
              </c:extLst>
            </c:dLbl>
            <c:dLbl>
              <c:idx val="4"/>
              <c:layout>
                <c:manualLayout>
                  <c:x val="-0.16523205482369596"/>
                  <c:y val="-5.5798440357410417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50D-437D-BD81-A938FA185785}"/>
                </c:ext>
              </c:extLst>
            </c:dLbl>
            <c:dLbl>
              <c:idx val="5"/>
              <c:layout>
                <c:manualLayout>
                  <c:x val="2.1992181047299102E-2"/>
                  <c:y val="5.0893999260922486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50D-437D-BD81-A938FA185785}"/>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'Credit Card pay off calculator'!$G$14:$G$20</c:f>
              <c:strCache>
                <c:ptCount val="6"/>
                <c:pt idx="0">
                  <c:v>Phone</c:v>
                </c:pt>
                <c:pt idx="1">
                  <c:v>Entertainment</c:v>
                </c:pt>
                <c:pt idx="2">
                  <c:v>Fuel</c:v>
                </c:pt>
                <c:pt idx="3">
                  <c:v>Lodging</c:v>
                </c:pt>
                <c:pt idx="4">
                  <c:v>Meals &amp; Tips</c:v>
                </c:pt>
                <c:pt idx="5">
                  <c:v>Air &amp; Trans.</c:v>
                </c:pt>
              </c:strCache>
            </c:strRef>
          </c:cat>
          <c:val>
            <c:numRef>
              <c:f>'Credit Card pay off calculator'!$H$14:$H$20</c:f>
              <c:numCache>
                <c:formatCode>"$"#,##0.00</c:formatCode>
                <c:ptCount val="6"/>
                <c:pt idx="0">
                  <c:v>706</c:v>
                </c:pt>
                <c:pt idx="1">
                  <c:v>158</c:v>
                </c:pt>
                <c:pt idx="2">
                  <c:v>122</c:v>
                </c:pt>
                <c:pt idx="3">
                  <c:v>95</c:v>
                </c:pt>
                <c:pt idx="4">
                  <c:v>60.5</c:v>
                </c:pt>
                <c:pt idx="5">
                  <c:v>36</c:v>
                </c:pt>
              </c:numCache>
            </c:numRef>
          </c:val>
          <c:extLst>
            <c:ext xmlns:c16="http://schemas.microsoft.com/office/drawing/2014/chart" uri="{C3380CC4-5D6E-409C-BE32-E72D297353CC}">
              <c16:uniqueId val="{00000001-868E-4B62-A436-29C35E28634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sum of payment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'Credit card summary'!$D$22</c:f>
              <c:strCache>
                <c:ptCount val="1"/>
                <c:pt idx="0">
                  <c:v>Sum of Interest Based on Minimum Payment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'Credit card summary'!$D$23</c:f>
              <c:numCache>
                <c:formatCode>_-[$$-409]* #,##0.00_ ;_-[$$-409]* \-#,##0.00\ ;_-[$$-409]* "-"??_ ;_-@_ </c:formatCode>
                <c:ptCount val="1"/>
                <c:pt idx="0">
                  <c:v>8184</c:v>
                </c:pt>
              </c:numCache>
            </c:numRef>
          </c:val>
          <c:extLst>
            <c:ext xmlns:c16="http://schemas.microsoft.com/office/drawing/2014/chart" uri="{C3380CC4-5D6E-409C-BE32-E72D297353CC}">
              <c16:uniqueId val="{00000001-D006-40D7-ACAB-B0F2AC296854}"/>
            </c:ext>
          </c:extLst>
        </c:ser>
        <c:ser>
          <c:idx val="1"/>
          <c:order val="1"/>
          <c:tx>
            <c:strRef>
              <c:f>'Credit card summary'!$E$22</c:f>
              <c:strCache>
                <c:ptCount val="1"/>
                <c:pt idx="0">
                  <c:v>Sum of Interest Based on Proposed Payment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'Credit card summary'!$E$23</c:f>
              <c:numCache>
                <c:formatCode>_-[$$-409]* #,##0.00_ ;_-[$$-409]* \-#,##0.00\ ;_-[$$-409]* "-"??_ ;_-@_ </c:formatCode>
                <c:ptCount val="1"/>
                <c:pt idx="0">
                  <c:v>6144</c:v>
                </c:pt>
              </c:numCache>
            </c:numRef>
          </c:val>
          <c:extLst>
            <c:ext xmlns:c16="http://schemas.microsoft.com/office/drawing/2014/chart" uri="{C3380CC4-5D6E-409C-BE32-E72D297353CC}">
              <c16:uniqueId val="{00000003-D006-40D7-ACAB-B0F2AC296854}"/>
            </c:ext>
          </c:extLst>
        </c:ser>
        <c:dLbls>
          <c:showLegendKey val="0"/>
          <c:showVal val="0"/>
          <c:showCatName val="0"/>
          <c:showSerName val="0"/>
          <c:showPercent val="0"/>
          <c:showBubbleSize val="0"/>
        </c:dLbls>
        <c:gapWidth val="219"/>
        <c:overlap val="-27"/>
        <c:axId val="1970397736"/>
        <c:axId val="1558415656"/>
      </c:barChart>
      <c:catAx>
        <c:axId val="1970397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415656"/>
        <c:crosses val="autoZero"/>
        <c:auto val="1"/>
        <c:lblAlgn val="ctr"/>
        <c:lblOffset val="100"/>
        <c:noMultiLvlLbl val="0"/>
      </c:catAx>
      <c:valAx>
        <c:axId val="1558415656"/>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39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'SGDUSD Forcast Data'!$B$1</c:f>
              <c:strCache>
                <c:ptCount val="1"/>
                <c:pt idx="0">
                  <c:v>Open</c:v>
                </c:pt>
              </c:strCache>
            </c:strRef>
          </c:tx>
          <c:spPr>
            <a:ln w="28575" cap="rnd">
              <a:solidFill>
                <a:schemeClr val="accent1"/>
              </a:solidFill>
              <a:round/>
            </a:ln>
            <a:effectLst/>
          </c:spPr>
          <c:marker>
            <c:symbol val="none"/>
          </c:marker>
          <c:val>
            <c:numRef>
              <c:f>'SGDUSD Forcast Data'!$B$2:$B$92</c:f>
              <c:numCache>
                <c:formatCode>General</c:formatCode>
                <c:ptCount val="91"/>
                <c:pt idx="0">
                  <c:v>0.75588599999999995</c:v>
                </c:pt>
                <c:pt idx="1">
                  <c:v>0.75097100000000006</c:v>
                </c:pt>
                <c:pt idx="2">
                  <c:v>0.75294399999999995</c:v>
                </c:pt>
                <c:pt idx="3">
                  <c:v>0.75165899999999997</c:v>
                </c:pt>
                <c:pt idx="4">
                  <c:v>0.75000800000000001</c:v>
                </c:pt>
                <c:pt idx="5">
                  <c:v>0.75468299999999999</c:v>
                </c:pt>
                <c:pt idx="6">
                  <c:v>0.75545799999999996</c:v>
                </c:pt>
                <c:pt idx="7">
                  <c:v>0.75238899999999997</c:v>
                </c:pt>
                <c:pt idx="8">
                  <c:v>0.74582899999999996</c:v>
                </c:pt>
                <c:pt idx="9">
                  <c:v>0.74409199999999998</c:v>
                </c:pt>
                <c:pt idx="10">
                  <c:v>0.74393100000000001</c:v>
                </c:pt>
                <c:pt idx="11">
                  <c:v>0.74299700000000002</c:v>
                </c:pt>
                <c:pt idx="12">
                  <c:v>0.74309099999999995</c:v>
                </c:pt>
                <c:pt idx="13">
                  <c:v>0.74571200000000004</c:v>
                </c:pt>
                <c:pt idx="14">
                  <c:v>0.74934400000000001</c:v>
                </c:pt>
                <c:pt idx="15">
                  <c:v>0.75343800000000005</c:v>
                </c:pt>
                <c:pt idx="16">
                  <c:v>0.75169900000000001</c:v>
                </c:pt>
                <c:pt idx="17">
                  <c:v>0.75493900000000003</c:v>
                </c:pt>
                <c:pt idx="18">
                  <c:v>0.75027200000000005</c:v>
                </c:pt>
                <c:pt idx="19">
                  <c:v>0.75109499999999996</c:v>
                </c:pt>
                <c:pt idx="20">
                  <c:v>0.755687</c:v>
                </c:pt>
                <c:pt idx="21">
                  <c:v>0.75509300000000001</c:v>
                </c:pt>
                <c:pt idx="22">
                  <c:v>0.754301</c:v>
                </c:pt>
                <c:pt idx="23">
                  <c:v>0.74351699999999998</c:v>
                </c:pt>
                <c:pt idx="24">
                  <c:v>0.74491200000000002</c:v>
                </c:pt>
                <c:pt idx="25">
                  <c:v>0.74217</c:v>
                </c:pt>
                <c:pt idx="26">
                  <c:v>0.74031800000000003</c:v>
                </c:pt>
                <c:pt idx="27">
                  <c:v>0.73708799999999997</c:v>
                </c:pt>
                <c:pt idx="28">
                  <c:v>0.734981</c:v>
                </c:pt>
                <c:pt idx="29">
                  <c:v>0.73821999999999999</c:v>
                </c:pt>
                <c:pt idx="30">
                  <c:v>0.73739200000000005</c:v>
                </c:pt>
                <c:pt idx="31">
                  <c:v>0.73833400000000005</c:v>
                </c:pt>
                <c:pt idx="32">
                  <c:v>0.73453800000000002</c:v>
                </c:pt>
                <c:pt idx="33">
                  <c:v>0.74330099999999999</c:v>
                </c:pt>
                <c:pt idx="34">
                  <c:v>0.74576799999999999</c:v>
                </c:pt>
                <c:pt idx="35">
                  <c:v>0.74561200000000005</c:v>
                </c:pt>
                <c:pt idx="36">
                  <c:v>0.74134500000000003</c:v>
                </c:pt>
                <c:pt idx="37">
                  <c:v>0.73906000000000005</c:v>
                </c:pt>
                <c:pt idx="38">
                  <c:v>0.73751699999999998</c:v>
                </c:pt>
                <c:pt idx="39">
                  <c:v>0.73787700000000001</c:v>
                </c:pt>
                <c:pt idx="40">
                  <c:v>0.74159200000000003</c:v>
                </c:pt>
                <c:pt idx="41">
                  <c:v>0.74189499999999997</c:v>
                </c:pt>
                <c:pt idx="42">
                  <c:v>0.74121800000000004</c:v>
                </c:pt>
                <c:pt idx="43">
                  <c:v>0.74073</c:v>
                </c:pt>
                <c:pt idx="44">
                  <c:v>0.73958500000000005</c:v>
                </c:pt>
                <c:pt idx="45">
                  <c:v>0.73412299999999997</c:v>
                </c:pt>
                <c:pt idx="46">
                  <c:v>0.72995900000000002</c:v>
                </c:pt>
                <c:pt idx="47">
                  <c:v>0.72948500000000005</c:v>
                </c:pt>
                <c:pt idx="48">
                  <c:v>0.73322900000000002</c:v>
                </c:pt>
                <c:pt idx="49">
                  <c:v>0.73148100000000005</c:v>
                </c:pt>
                <c:pt idx="50">
                  <c:v>0.73655099999999996</c:v>
                </c:pt>
                <c:pt idx="51">
                  <c:v>0.74171299999999996</c:v>
                </c:pt>
                <c:pt idx="52">
                  <c:v>0.74021199999999998</c:v>
                </c:pt>
              </c:numCache>
            </c:numRef>
          </c:val>
          <c:smooth val="0"/>
          <c:extLst>
            <c:ext xmlns:c16="http://schemas.microsoft.com/office/drawing/2014/chart" uri="{C3380CC4-5D6E-409C-BE32-E72D297353CC}">
              <c16:uniqueId val="{00000000-FF99-4A61-AAF8-2C8F145BB881}"/>
            </c:ext>
          </c:extLst>
        </c:ser>
        <c:ser>
          <c:idx val="1"/>
          <c:order val="1"/>
          <c:tx>
            <c:strRef>
              <c:f>'SGDUSD Forcast Data'!$C$1</c:f>
              <c:strCache>
                <c:ptCount val="1"/>
                <c:pt idx="0">
                  <c:v>Forecast(Open)</c:v>
                </c:pt>
              </c:strCache>
            </c:strRef>
          </c:tx>
          <c:spPr>
            <a:ln w="25400" cap="rnd">
              <a:solidFill>
                <a:schemeClr val="accent2"/>
              </a:solidFill>
              <a:round/>
            </a:ln>
            <a:effectLst/>
          </c:spPr>
          <c:marker>
            <c:symbol val="none"/>
          </c:marker>
          <c:cat>
            <c:numRef>
              <c:f>'SGDUSD Forcast Data'!$A$2:$A$92</c:f>
              <c:numCache>
                <c:formatCode>m/d/yyyy</c:formatCode>
                <c:ptCount val="91"/>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pt idx="67">
                  <c:v>44676</c:v>
                </c:pt>
                <c:pt idx="68">
                  <c:v>44683</c:v>
                </c:pt>
                <c:pt idx="69">
                  <c:v>44690</c:v>
                </c:pt>
                <c:pt idx="70">
                  <c:v>44697</c:v>
                </c:pt>
                <c:pt idx="71">
                  <c:v>44704</c:v>
                </c:pt>
                <c:pt idx="72">
                  <c:v>44711</c:v>
                </c:pt>
                <c:pt idx="73">
                  <c:v>44718</c:v>
                </c:pt>
                <c:pt idx="74">
                  <c:v>44725</c:v>
                </c:pt>
                <c:pt idx="75">
                  <c:v>44732</c:v>
                </c:pt>
                <c:pt idx="76">
                  <c:v>44739</c:v>
                </c:pt>
                <c:pt idx="77">
                  <c:v>44746</c:v>
                </c:pt>
                <c:pt idx="78">
                  <c:v>44753</c:v>
                </c:pt>
                <c:pt idx="79">
                  <c:v>44760</c:v>
                </c:pt>
                <c:pt idx="80">
                  <c:v>44767</c:v>
                </c:pt>
                <c:pt idx="81">
                  <c:v>44774</c:v>
                </c:pt>
                <c:pt idx="82">
                  <c:v>44781</c:v>
                </c:pt>
                <c:pt idx="83">
                  <c:v>44788</c:v>
                </c:pt>
                <c:pt idx="84">
                  <c:v>44795</c:v>
                </c:pt>
                <c:pt idx="85">
                  <c:v>44802</c:v>
                </c:pt>
                <c:pt idx="86">
                  <c:v>44809</c:v>
                </c:pt>
                <c:pt idx="87">
                  <c:v>44816</c:v>
                </c:pt>
                <c:pt idx="88">
                  <c:v>44823</c:v>
                </c:pt>
                <c:pt idx="89">
                  <c:v>44830</c:v>
                </c:pt>
                <c:pt idx="90">
                  <c:v>44837</c:v>
                </c:pt>
              </c:numCache>
            </c:numRef>
          </c:cat>
          <c:val>
            <c:numRef>
              <c:f>'SGDUSD Forcast Data'!$C$2:$C$92</c:f>
              <c:numCache>
                <c:formatCode>General</c:formatCode>
                <c:ptCount val="91"/>
                <c:pt idx="52">
                  <c:v>0.74021199999999998</c:v>
                </c:pt>
                <c:pt idx="53">
                  <c:v>0.74011221960151208</c:v>
                </c:pt>
                <c:pt idx="54">
                  <c:v>0.73924339130042926</c:v>
                </c:pt>
                <c:pt idx="55">
                  <c:v>0.73853088192693994</c:v>
                </c:pt>
                <c:pt idx="56">
                  <c:v>0.7364859477782264</c:v>
                </c:pt>
                <c:pt idx="57">
                  <c:v>0.73671086518854023</c:v>
                </c:pt>
                <c:pt idx="58">
                  <c:v>0.73892030976899259</c:v>
                </c:pt>
                <c:pt idx="59">
                  <c:v>0.73972761415068122</c:v>
                </c:pt>
                <c:pt idx="60">
                  <c:v>0.73907405901535628</c:v>
                </c:pt>
                <c:pt idx="61">
                  <c:v>0.73209280497917717</c:v>
                </c:pt>
                <c:pt idx="62">
                  <c:v>0.73351227188073065</c:v>
                </c:pt>
                <c:pt idx="63">
                  <c:v>0.7316974310173</c:v>
                </c:pt>
                <c:pt idx="64">
                  <c:v>0.72880217741059017</c:v>
                </c:pt>
                <c:pt idx="65">
                  <c:v>0.72543373533860056</c:v>
                </c:pt>
                <c:pt idx="66">
                  <c:v>0.72393602881875041</c:v>
                </c:pt>
                <c:pt idx="67">
                  <c:v>0.726199613434383</c:v>
                </c:pt>
                <c:pt idx="68">
                  <c:v>0.72517203613628767</c:v>
                </c:pt>
                <c:pt idx="69">
                  <c:v>0.72690950095010742</c:v>
                </c:pt>
                <c:pt idx="70">
                  <c:v>0.72761054353361443</c:v>
                </c:pt>
                <c:pt idx="71">
                  <c:v>0.73201045135732956</c:v>
                </c:pt>
                <c:pt idx="72">
                  <c:v>0.7344080061014302</c:v>
                </c:pt>
                <c:pt idx="73">
                  <c:v>0.73353917780034739</c:v>
                </c:pt>
                <c:pt idx="74">
                  <c:v>0.73282666842685806</c:v>
                </c:pt>
                <c:pt idx="75">
                  <c:v>0.73078173427814463</c:v>
                </c:pt>
                <c:pt idx="76">
                  <c:v>0.73100665168845835</c:v>
                </c:pt>
                <c:pt idx="77">
                  <c:v>0.73321609626891071</c:v>
                </c:pt>
                <c:pt idx="78">
                  <c:v>0.73402340065059934</c:v>
                </c:pt>
                <c:pt idx="79">
                  <c:v>0.7333698455152744</c:v>
                </c:pt>
                <c:pt idx="80">
                  <c:v>0.72638859147909529</c:v>
                </c:pt>
                <c:pt idx="81">
                  <c:v>0.72780805838064877</c:v>
                </c:pt>
                <c:pt idx="82">
                  <c:v>0.72599321751721813</c:v>
                </c:pt>
                <c:pt idx="83">
                  <c:v>0.7230979639105084</c:v>
                </c:pt>
                <c:pt idx="84">
                  <c:v>0.71972952183851868</c:v>
                </c:pt>
                <c:pt idx="85">
                  <c:v>0.71823181531866853</c:v>
                </c:pt>
                <c:pt idx="86">
                  <c:v>0.72049539993430112</c:v>
                </c:pt>
                <c:pt idx="87">
                  <c:v>0.71946782263620579</c:v>
                </c:pt>
                <c:pt idx="88">
                  <c:v>0.72120528745002555</c:v>
                </c:pt>
                <c:pt idx="89">
                  <c:v>0.72190633003353255</c:v>
                </c:pt>
                <c:pt idx="90">
                  <c:v>0.72630623785724768</c:v>
                </c:pt>
              </c:numCache>
            </c:numRef>
          </c:val>
          <c:smooth val="0"/>
          <c:extLst>
            <c:ext xmlns:c16="http://schemas.microsoft.com/office/drawing/2014/chart" uri="{C3380CC4-5D6E-409C-BE32-E72D297353CC}">
              <c16:uniqueId val="{00000001-FF99-4A61-AAF8-2C8F145BB881}"/>
            </c:ext>
          </c:extLst>
        </c:ser>
        <c:ser>
          <c:idx val="2"/>
          <c:order val="2"/>
          <c:tx>
            <c:strRef>
              <c:f>'SGDUSD Forcast Data'!$D$1</c:f>
              <c:strCache>
                <c:ptCount val="1"/>
                <c:pt idx="0">
                  <c:v>Lower Confidence Bound(Open)</c:v>
                </c:pt>
              </c:strCache>
            </c:strRef>
          </c:tx>
          <c:spPr>
            <a:ln w="12700" cap="rnd">
              <a:solidFill>
                <a:srgbClr val="ED7D31"/>
              </a:solidFill>
              <a:prstDash val="solid"/>
              <a:round/>
            </a:ln>
            <a:effectLst/>
          </c:spPr>
          <c:marker>
            <c:symbol val="none"/>
          </c:marker>
          <c:cat>
            <c:numRef>
              <c:f>'SGDUSD Forcast Data'!$A$2:$A$92</c:f>
              <c:numCache>
                <c:formatCode>m/d/yyyy</c:formatCode>
                <c:ptCount val="91"/>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pt idx="67">
                  <c:v>44676</c:v>
                </c:pt>
                <c:pt idx="68">
                  <c:v>44683</c:v>
                </c:pt>
                <c:pt idx="69">
                  <c:v>44690</c:v>
                </c:pt>
                <c:pt idx="70">
                  <c:v>44697</c:v>
                </c:pt>
                <c:pt idx="71">
                  <c:v>44704</c:v>
                </c:pt>
                <c:pt idx="72">
                  <c:v>44711</c:v>
                </c:pt>
                <c:pt idx="73">
                  <c:v>44718</c:v>
                </c:pt>
                <c:pt idx="74">
                  <c:v>44725</c:v>
                </c:pt>
                <c:pt idx="75">
                  <c:v>44732</c:v>
                </c:pt>
                <c:pt idx="76">
                  <c:v>44739</c:v>
                </c:pt>
                <c:pt idx="77">
                  <c:v>44746</c:v>
                </c:pt>
                <c:pt idx="78">
                  <c:v>44753</c:v>
                </c:pt>
                <c:pt idx="79">
                  <c:v>44760</c:v>
                </c:pt>
                <c:pt idx="80">
                  <c:v>44767</c:v>
                </c:pt>
                <c:pt idx="81">
                  <c:v>44774</c:v>
                </c:pt>
                <c:pt idx="82">
                  <c:v>44781</c:v>
                </c:pt>
                <c:pt idx="83">
                  <c:v>44788</c:v>
                </c:pt>
                <c:pt idx="84">
                  <c:v>44795</c:v>
                </c:pt>
                <c:pt idx="85">
                  <c:v>44802</c:v>
                </c:pt>
                <c:pt idx="86">
                  <c:v>44809</c:v>
                </c:pt>
                <c:pt idx="87">
                  <c:v>44816</c:v>
                </c:pt>
                <c:pt idx="88">
                  <c:v>44823</c:v>
                </c:pt>
                <c:pt idx="89">
                  <c:v>44830</c:v>
                </c:pt>
                <c:pt idx="90">
                  <c:v>44837</c:v>
                </c:pt>
              </c:numCache>
            </c:numRef>
          </c:cat>
          <c:val>
            <c:numRef>
              <c:f>'SGDUSD Forcast Data'!$D$2:$D$92</c:f>
              <c:numCache>
                <c:formatCode>General</c:formatCode>
                <c:ptCount val="91"/>
                <c:pt idx="52" formatCode="0.00">
                  <c:v>0.74021199999999998</c:v>
                </c:pt>
                <c:pt idx="53" formatCode="0.00">
                  <c:v>0.73198060448973157</c:v>
                </c:pt>
                <c:pt idx="54" formatCode="0.00">
                  <c:v>0.73111173959646303</c:v>
                </c:pt>
                <c:pt idx="55" formatCode="0.00">
                  <c:v>0.73039916517060577</c:v>
                </c:pt>
                <c:pt idx="56" formatCode="0.00">
                  <c:v>0.72835412937860911</c:v>
                </c:pt>
                <c:pt idx="57" formatCode="0.00">
                  <c:v>0.7285789004248272</c:v>
                </c:pt>
                <c:pt idx="58" formatCode="0.00">
                  <c:v>0.73078814579171558</c:v>
                </c:pt>
                <c:pt idx="59" formatCode="0.00">
                  <c:v>0.73159518998344553</c:v>
                </c:pt>
                <c:pt idx="60" formatCode="0.00">
                  <c:v>0.73094130555713877</c:v>
                </c:pt>
                <c:pt idx="61" formatCode="0.00">
                  <c:v>0.72395964500727317</c:v>
                </c:pt>
                <c:pt idx="62" formatCode="0.00">
                  <c:v>0.72537862005443121</c:v>
                </c:pt>
                <c:pt idx="63" formatCode="0.00">
                  <c:v>0.723563193882379</c:v>
                </c:pt>
                <c:pt idx="64" formatCode="0.00">
                  <c:v>0.72066725340468207</c:v>
                </c:pt>
                <c:pt idx="65" formatCode="0.00">
                  <c:v>0.71729801479754784</c:v>
                </c:pt>
                <c:pt idx="66" formatCode="0.00">
                  <c:v>0.71579939398399961</c:v>
                </c:pt>
                <c:pt idx="67" formatCode="0.00">
                  <c:v>0.71806193846150856</c:v>
                </c:pt>
                <c:pt idx="68" formatCode="0.00">
                  <c:v>0.71703318710472075</c:v>
                </c:pt>
                <c:pt idx="69" formatCode="0.00">
                  <c:v>0.71876933587414737</c:v>
                </c:pt>
                <c:pt idx="70" formatCode="0.00">
                  <c:v>0.7194689123747986</c:v>
                </c:pt>
                <c:pt idx="71" formatCode="0.00">
                  <c:v>0.72386719603823679</c:v>
                </c:pt>
                <c:pt idx="72" formatCode="0.00">
                  <c:v>0.72597184829688388</c:v>
                </c:pt>
                <c:pt idx="73" formatCode="0.00">
                  <c:v>0.72510112339694721</c:v>
                </c:pt>
                <c:pt idx="74" formatCode="0.00">
                  <c:v>0.72438654157540194</c:v>
                </c:pt>
                <c:pt idx="75" formatCode="0.00">
                  <c:v>0.72233935142664341</c:v>
                </c:pt>
                <c:pt idx="76" formatCode="0.00">
                  <c:v>0.72256182160200744</c:v>
                </c:pt>
                <c:pt idx="77" formatCode="0.00">
                  <c:v>0.7247686200512401</c:v>
                </c:pt>
                <c:pt idx="78" formatCode="0.00">
                  <c:v>0.7255730717673603</c:v>
                </c:pt>
                <c:pt idx="79" formatCode="0.00">
                  <c:v>0.72491644981912151</c:v>
                </c:pt>
                <c:pt idx="80" formatCode="0.00">
                  <c:v>0.7179319072366197</c:v>
                </c:pt>
                <c:pt idx="81" formatCode="0.00">
                  <c:v>0.71934785630121667</c:v>
                </c:pt>
                <c:pt idx="82" formatCode="0.00">
                  <c:v>0.71752926078376622</c:v>
                </c:pt>
                <c:pt idx="83" formatCode="0.00">
                  <c:v>0.71463000821234757</c:v>
                </c:pt>
                <c:pt idx="84" formatCode="0.00">
                  <c:v>0.71125731540619153</c:v>
                </c:pt>
                <c:pt idx="85" formatCode="0.00">
                  <c:v>0.70975509896090783</c:v>
                </c:pt>
                <c:pt idx="86" formatCode="0.00">
                  <c:v>0.71201390707713108</c:v>
                </c:pt>
                <c:pt idx="87" formatCode="0.00">
                  <c:v>0.7109812793642255</c:v>
                </c:pt>
                <c:pt idx="88" formatCode="0.00">
                  <c:v>0.71271341254991338</c:v>
                </c:pt>
                <c:pt idx="89" formatCode="0.00">
                  <c:v>0.7134088350398039</c:v>
                </c:pt>
                <c:pt idx="90" formatCode="0.00">
                  <c:v>0.71780282710029941</c:v>
                </c:pt>
              </c:numCache>
            </c:numRef>
          </c:val>
          <c:smooth val="0"/>
          <c:extLst>
            <c:ext xmlns:c16="http://schemas.microsoft.com/office/drawing/2014/chart" uri="{C3380CC4-5D6E-409C-BE32-E72D297353CC}">
              <c16:uniqueId val="{00000002-FF99-4A61-AAF8-2C8F145BB881}"/>
            </c:ext>
          </c:extLst>
        </c:ser>
        <c:ser>
          <c:idx val="3"/>
          <c:order val="3"/>
          <c:tx>
            <c:strRef>
              <c:f>'SGDUSD Forcast Data'!$E$1</c:f>
              <c:strCache>
                <c:ptCount val="1"/>
                <c:pt idx="0">
                  <c:v>Upper Confidence Bound(Open)</c:v>
                </c:pt>
              </c:strCache>
            </c:strRef>
          </c:tx>
          <c:spPr>
            <a:ln w="12700" cap="rnd">
              <a:solidFill>
                <a:srgbClr val="ED7D31"/>
              </a:solidFill>
              <a:prstDash val="solid"/>
              <a:round/>
            </a:ln>
            <a:effectLst/>
          </c:spPr>
          <c:marker>
            <c:symbol val="none"/>
          </c:marker>
          <c:cat>
            <c:numRef>
              <c:f>'SGDUSD Forcast Data'!$A$2:$A$92</c:f>
              <c:numCache>
                <c:formatCode>m/d/yyyy</c:formatCode>
                <c:ptCount val="91"/>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pt idx="67">
                  <c:v>44676</c:v>
                </c:pt>
                <c:pt idx="68">
                  <c:v>44683</c:v>
                </c:pt>
                <c:pt idx="69">
                  <c:v>44690</c:v>
                </c:pt>
                <c:pt idx="70">
                  <c:v>44697</c:v>
                </c:pt>
                <c:pt idx="71">
                  <c:v>44704</c:v>
                </c:pt>
                <c:pt idx="72">
                  <c:v>44711</c:v>
                </c:pt>
                <c:pt idx="73">
                  <c:v>44718</c:v>
                </c:pt>
                <c:pt idx="74">
                  <c:v>44725</c:v>
                </c:pt>
                <c:pt idx="75">
                  <c:v>44732</c:v>
                </c:pt>
                <c:pt idx="76">
                  <c:v>44739</c:v>
                </c:pt>
                <c:pt idx="77">
                  <c:v>44746</c:v>
                </c:pt>
                <c:pt idx="78">
                  <c:v>44753</c:v>
                </c:pt>
                <c:pt idx="79">
                  <c:v>44760</c:v>
                </c:pt>
                <c:pt idx="80">
                  <c:v>44767</c:v>
                </c:pt>
                <c:pt idx="81">
                  <c:v>44774</c:v>
                </c:pt>
                <c:pt idx="82">
                  <c:v>44781</c:v>
                </c:pt>
                <c:pt idx="83">
                  <c:v>44788</c:v>
                </c:pt>
                <c:pt idx="84">
                  <c:v>44795</c:v>
                </c:pt>
                <c:pt idx="85">
                  <c:v>44802</c:v>
                </c:pt>
                <c:pt idx="86">
                  <c:v>44809</c:v>
                </c:pt>
                <c:pt idx="87">
                  <c:v>44816</c:v>
                </c:pt>
                <c:pt idx="88">
                  <c:v>44823</c:v>
                </c:pt>
                <c:pt idx="89">
                  <c:v>44830</c:v>
                </c:pt>
                <c:pt idx="90">
                  <c:v>44837</c:v>
                </c:pt>
              </c:numCache>
            </c:numRef>
          </c:cat>
          <c:val>
            <c:numRef>
              <c:f>'SGDUSD Forcast Data'!$E$2:$E$92</c:f>
              <c:numCache>
                <c:formatCode>General</c:formatCode>
                <c:ptCount val="91"/>
                <c:pt idx="52" formatCode="0.00">
                  <c:v>0.74021199999999998</c:v>
                </c:pt>
                <c:pt idx="53" formatCode="0.00">
                  <c:v>0.74824383471329259</c:v>
                </c:pt>
                <c:pt idx="54" formatCode="0.00">
                  <c:v>0.7473750430043955</c:v>
                </c:pt>
                <c:pt idx="55" formatCode="0.00">
                  <c:v>0.74666259868327411</c:v>
                </c:pt>
                <c:pt idx="56" formatCode="0.00">
                  <c:v>0.7446177661778437</c:v>
                </c:pt>
                <c:pt idx="57" formatCode="0.00">
                  <c:v>0.74484282995225326</c:v>
                </c:pt>
                <c:pt idx="58" formatCode="0.00">
                  <c:v>0.7470524737462696</c:v>
                </c:pt>
                <c:pt idx="59" formatCode="0.00">
                  <c:v>0.74786003831791692</c:v>
                </c:pt>
                <c:pt idx="60" formatCode="0.00">
                  <c:v>0.74720681247357379</c:v>
                </c:pt>
                <c:pt idx="61" formatCode="0.00">
                  <c:v>0.74022596495108117</c:v>
                </c:pt>
                <c:pt idx="62" formatCode="0.00">
                  <c:v>0.74164592370703009</c:v>
                </c:pt>
                <c:pt idx="63" formatCode="0.00">
                  <c:v>0.73983166815222101</c:v>
                </c:pt>
                <c:pt idx="64" formatCode="0.00">
                  <c:v>0.73693710141649826</c:v>
                </c:pt>
                <c:pt idx="65" formatCode="0.00">
                  <c:v>0.73356945587965328</c:v>
                </c:pt>
                <c:pt idx="66" formatCode="0.00">
                  <c:v>0.73207266365350121</c:v>
                </c:pt>
                <c:pt idx="67" formatCode="0.00">
                  <c:v>0.73433728840725743</c:v>
                </c:pt>
                <c:pt idx="68" formatCode="0.00">
                  <c:v>0.73331088516785459</c:v>
                </c:pt>
                <c:pt idx="69" formatCode="0.00">
                  <c:v>0.73504966602606747</c:v>
                </c:pt>
                <c:pt idx="70" formatCode="0.00">
                  <c:v>0.73575217469243026</c:v>
                </c:pt>
                <c:pt idx="71" formatCode="0.00">
                  <c:v>0.74015370667642233</c:v>
                </c:pt>
                <c:pt idx="72" formatCode="0.00">
                  <c:v>0.74284416390597652</c:v>
                </c:pt>
                <c:pt idx="73" formatCode="0.00">
                  <c:v>0.74197723220374756</c:v>
                </c:pt>
                <c:pt idx="74" formatCode="0.00">
                  <c:v>0.74126679527831418</c:v>
                </c:pt>
                <c:pt idx="75" formatCode="0.00">
                  <c:v>0.73922411712964586</c:v>
                </c:pt>
                <c:pt idx="76" formatCode="0.00">
                  <c:v>0.73945148177490927</c:v>
                </c:pt>
                <c:pt idx="77" formatCode="0.00">
                  <c:v>0.74166357248658132</c:v>
                </c:pt>
                <c:pt idx="78" formatCode="0.00">
                  <c:v>0.74247372953383839</c:v>
                </c:pt>
                <c:pt idx="79" formatCode="0.00">
                  <c:v>0.74182324121142729</c:v>
                </c:pt>
                <c:pt idx="80" formatCode="0.00">
                  <c:v>0.73484527572157088</c:v>
                </c:pt>
                <c:pt idx="81" formatCode="0.00">
                  <c:v>0.73626826046008087</c:v>
                </c:pt>
                <c:pt idx="82" formatCode="0.00">
                  <c:v>0.73445717425067003</c:v>
                </c:pt>
                <c:pt idx="83" formatCode="0.00">
                  <c:v>0.73156591960866924</c:v>
                </c:pt>
                <c:pt idx="84" formatCode="0.00">
                  <c:v>0.72820172827084584</c:v>
                </c:pt>
                <c:pt idx="85" formatCode="0.00">
                  <c:v>0.72670853167642924</c:v>
                </c:pt>
                <c:pt idx="86" formatCode="0.00">
                  <c:v>0.72897689279147115</c:v>
                </c:pt>
                <c:pt idx="87" formatCode="0.00">
                  <c:v>0.72795436590818607</c:v>
                </c:pt>
                <c:pt idx="88" formatCode="0.00">
                  <c:v>0.72969716235013771</c:v>
                </c:pt>
                <c:pt idx="89" formatCode="0.00">
                  <c:v>0.7304038250272612</c:v>
                </c:pt>
                <c:pt idx="90" formatCode="0.00">
                  <c:v>0.73480964861419595</c:v>
                </c:pt>
              </c:numCache>
            </c:numRef>
          </c:val>
          <c:smooth val="0"/>
          <c:extLst>
            <c:ext xmlns:c16="http://schemas.microsoft.com/office/drawing/2014/chart" uri="{C3380CC4-5D6E-409C-BE32-E72D297353CC}">
              <c16:uniqueId val="{00000003-FF99-4A61-AAF8-2C8F145BB881}"/>
            </c:ext>
          </c:extLst>
        </c:ser>
        <c:dLbls>
          <c:showLegendKey val="0"/>
          <c:showVal val="0"/>
          <c:showCatName val="0"/>
          <c:showSerName val="0"/>
          <c:showPercent val="0"/>
          <c:showBubbleSize val="0"/>
        </c:dLbls>
        <c:smooth val="0"/>
        <c:axId val="980118816"/>
        <c:axId val="980106752"/>
      </c:lineChart>
      <c:catAx>
        <c:axId val="98011881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06752"/>
        <c:crosses val="autoZero"/>
        <c:auto val="1"/>
        <c:lblAlgn val="ctr"/>
        <c:lblOffset val="100"/>
        <c:noMultiLvlLbl val="0"/>
      </c:catAx>
      <c:valAx>
        <c:axId val="980106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1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'USDEUR Forcast Data'!$B$1</c:f>
              <c:strCache>
                <c:ptCount val="1"/>
                <c:pt idx="0">
                  <c:v>Open</c:v>
                </c:pt>
              </c:strCache>
            </c:strRef>
          </c:tx>
          <c:spPr>
            <a:ln w="28575" cap="rnd">
              <a:solidFill>
                <a:schemeClr val="accent1"/>
              </a:solidFill>
              <a:round/>
            </a:ln>
            <a:effectLst/>
          </c:spPr>
          <c:marker>
            <c:symbol val="none"/>
          </c:marker>
          <c:val>
            <c:numRef>
              <c:f>'USDEUR Forcast Data'!$B$2:$B$68</c:f>
              <c:numCache>
                <c:formatCode>General</c:formatCode>
                <c:ptCount val="67"/>
                <c:pt idx="0">
                  <c:v>0.61861999999999995</c:v>
                </c:pt>
                <c:pt idx="1">
                  <c:v>0.62222999999999995</c:v>
                </c:pt>
                <c:pt idx="2">
                  <c:v>0.61867000000000005</c:v>
                </c:pt>
                <c:pt idx="3">
                  <c:v>0.61994700000000003</c:v>
                </c:pt>
                <c:pt idx="4">
                  <c:v>0.622359</c:v>
                </c:pt>
                <c:pt idx="5">
                  <c:v>0.622533</c:v>
                </c:pt>
                <c:pt idx="6">
                  <c:v>0.62299899999999997</c:v>
                </c:pt>
                <c:pt idx="7">
                  <c:v>0.62218799999999996</c:v>
                </c:pt>
                <c:pt idx="8">
                  <c:v>0.62536700000000001</c:v>
                </c:pt>
                <c:pt idx="9">
                  <c:v>0.622525</c:v>
                </c:pt>
                <c:pt idx="10">
                  <c:v>0.62590400000000002</c:v>
                </c:pt>
                <c:pt idx="11">
                  <c:v>0.63004000000000004</c:v>
                </c:pt>
                <c:pt idx="12">
                  <c:v>0.63153599999999999</c:v>
                </c:pt>
                <c:pt idx="13">
                  <c:v>0.62636999999999998</c:v>
                </c:pt>
                <c:pt idx="14">
                  <c:v>0.62586399999999998</c:v>
                </c:pt>
                <c:pt idx="15">
                  <c:v>0.62304099999999996</c:v>
                </c:pt>
                <c:pt idx="16">
                  <c:v>0.625</c:v>
                </c:pt>
                <c:pt idx="17">
                  <c:v>0.62036999999999998</c:v>
                </c:pt>
                <c:pt idx="18">
                  <c:v>0.61753999999999998</c:v>
                </c:pt>
                <c:pt idx="19">
                  <c:v>0.61652300000000004</c:v>
                </c:pt>
                <c:pt idx="20">
                  <c:v>0.61983600000000005</c:v>
                </c:pt>
                <c:pt idx="21">
                  <c:v>0.62058000000000002</c:v>
                </c:pt>
                <c:pt idx="22">
                  <c:v>0.62278900000000004</c:v>
                </c:pt>
                <c:pt idx="23">
                  <c:v>0.62634000000000001</c:v>
                </c:pt>
                <c:pt idx="24">
                  <c:v>0.62370999999999999</c:v>
                </c:pt>
                <c:pt idx="25">
                  <c:v>0.62590800000000002</c:v>
                </c:pt>
                <c:pt idx="26">
                  <c:v>0.62316899999999997</c:v>
                </c:pt>
                <c:pt idx="27">
                  <c:v>0.62395</c:v>
                </c:pt>
                <c:pt idx="28">
                  <c:v>0.62420799999999999</c:v>
                </c:pt>
                <c:pt idx="29">
                  <c:v>0.62208399999999997</c:v>
                </c:pt>
                <c:pt idx="30">
                  <c:v>0.62756999999999996</c:v>
                </c:pt>
                <c:pt idx="31">
                  <c:v>0.625614</c:v>
                </c:pt>
                <c:pt idx="32">
                  <c:v>0.62754200000000004</c:v>
                </c:pt>
                <c:pt idx="33">
                  <c:v>0.62944500000000003</c:v>
                </c:pt>
                <c:pt idx="34">
                  <c:v>0.62680199999999997</c:v>
                </c:pt>
                <c:pt idx="35">
                  <c:v>0.63079499999999999</c:v>
                </c:pt>
                <c:pt idx="36">
                  <c:v>0.63172799999999996</c:v>
                </c:pt>
                <c:pt idx="37">
                  <c:v>0.63022699999999998</c:v>
                </c:pt>
                <c:pt idx="38">
                  <c:v>0.63512199999999996</c:v>
                </c:pt>
                <c:pt idx="39">
                  <c:v>0.63788900000000004</c:v>
                </c:pt>
                <c:pt idx="40">
                  <c:v>0.6391</c:v>
                </c:pt>
                <c:pt idx="41">
                  <c:v>0.63697000000000004</c:v>
                </c:pt>
                <c:pt idx="42">
                  <c:v>0.64110999999999996</c:v>
                </c:pt>
                <c:pt idx="43">
                  <c:v>0.64020900000000003</c:v>
                </c:pt>
                <c:pt idx="44">
                  <c:v>0.64627000000000001</c:v>
                </c:pt>
                <c:pt idx="45">
                  <c:v>0.65097799999999995</c:v>
                </c:pt>
                <c:pt idx="46">
                  <c:v>0.64639599999999997</c:v>
                </c:pt>
                <c:pt idx="47">
                  <c:v>0.64532</c:v>
                </c:pt>
                <c:pt idx="48">
                  <c:v>0.64804600000000001</c:v>
                </c:pt>
                <c:pt idx="49">
                  <c:v>0.65054599999999996</c:v>
                </c:pt>
                <c:pt idx="50">
                  <c:v>0.65019499999999997</c:v>
                </c:pt>
                <c:pt idx="51">
                  <c:v>0.65203100000000003</c:v>
                </c:pt>
                <c:pt idx="52">
                  <c:v>0.64905000000000002</c:v>
                </c:pt>
              </c:numCache>
            </c:numRef>
          </c:val>
          <c:smooth val="0"/>
          <c:extLst>
            <c:ext xmlns:c16="http://schemas.microsoft.com/office/drawing/2014/chart" uri="{C3380CC4-5D6E-409C-BE32-E72D297353CC}">
              <c16:uniqueId val="{00000000-D664-4802-B7AE-9680A1E1990F}"/>
            </c:ext>
          </c:extLst>
        </c:ser>
        <c:ser>
          <c:idx val="1"/>
          <c:order val="1"/>
          <c:tx>
            <c:strRef>
              <c:f>'USDEUR Forcast Data'!$C$1</c:f>
              <c:strCache>
                <c:ptCount val="1"/>
                <c:pt idx="0">
                  <c:v>Forecast(Open)</c:v>
                </c:pt>
              </c:strCache>
            </c:strRef>
          </c:tx>
          <c:spPr>
            <a:ln w="25400" cap="rnd">
              <a:solidFill>
                <a:schemeClr val="accent2"/>
              </a:solidFill>
              <a:round/>
            </a:ln>
            <a:effectLst/>
          </c:spPr>
          <c:marker>
            <c:symbol val="none"/>
          </c:marker>
          <c:cat>
            <c:numRef>
              <c:f>'USDEUR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'USDEUR Forcast Data'!$C$2:$C$68</c:f>
              <c:numCache>
                <c:formatCode>General</c:formatCode>
                <c:ptCount val="67"/>
                <c:pt idx="52">
                  <c:v>0.64905000000000002</c:v>
                </c:pt>
                <c:pt idx="53">
                  <c:v>0.65081598300085419</c:v>
                </c:pt>
                <c:pt idx="54">
                  <c:v>0.65127135776402523</c:v>
                </c:pt>
                <c:pt idx="55">
                  <c:v>0.65172673252719626</c:v>
                </c:pt>
                <c:pt idx="56">
                  <c:v>0.65218210729036741</c:v>
                </c:pt>
                <c:pt idx="57">
                  <c:v>0.65263748205353844</c:v>
                </c:pt>
                <c:pt idx="58">
                  <c:v>0.65309285681670948</c:v>
                </c:pt>
                <c:pt idx="59">
                  <c:v>0.65354823157988051</c:v>
                </c:pt>
                <c:pt idx="60">
                  <c:v>0.65400360634305155</c:v>
                </c:pt>
                <c:pt idx="61">
                  <c:v>0.65445898110622258</c:v>
                </c:pt>
                <c:pt idx="62">
                  <c:v>0.65491435586939373</c:v>
                </c:pt>
                <c:pt idx="63">
                  <c:v>0.65536973063256476</c:v>
                </c:pt>
                <c:pt idx="64">
                  <c:v>0.6558251053957358</c:v>
                </c:pt>
                <c:pt idx="65">
                  <c:v>0.65628048015890683</c:v>
                </c:pt>
                <c:pt idx="66">
                  <c:v>0.65673585492207787</c:v>
                </c:pt>
              </c:numCache>
            </c:numRef>
          </c:val>
          <c:smooth val="0"/>
          <c:extLst>
            <c:ext xmlns:c16="http://schemas.microsoft.com/office/drawing/2014/chart" uri="{C3380CC4-5D6E-409C-BE32-E72D297353CC}">
              <c16:uniqueId val="{00000001-D664-4802-B7AE-9680A1E1990F}"/>
            </c:ext>
          </c:extLst>
        </c:ser>
        <c:ser>
          <c:idx val="2"/>
          <c:order val="2"/>
          <c:tx>
            <c:strRef>
              <c:f>'USDEUR Forcast Data'!$D$1</c:f>
              <c:strCache>
                <c:ptCount val="1"/>
                <c:pt idx="0">
                  <c:v>Lower Confidence Bound(Open)</c:v>
                </c:pt>
              </c:strCache>
            </c:strRef>
          </c:tx>
          <c:spPr>
            <a:ln w="12700" cap="rnd">
              <a:solidFill>
                <a:srgbClr val="ED7D31"/>
              </a:solidFill>
              <a:prstDash val="solid"/>
              <a:round/>
            </a:ln>
            <a:effectLst/>
          </c:spPr>
          <c:marker>
            <c:symbol val="none"/>
          </c:marker>
          <c:cat>
            <c:numRef>
              <c:f>'USDEUR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'USDEUR Forcast Data'!$D$2:$D$68</c:f>
              <c:numCache>
                <c:formatCode>General</c:formatCode>
                <c:ptCount val="67"/>
                <c:pt idx="52" formatCode="0.00">
                  <c:v>0.64905000000000002</c:v>
                </c:pt>
                <c:pt idx="53" formatCode="0.00">
                  <c:v>0.64513252369838248</c:v>
                </c:pt>
                <c:pt idx="54" formatCode="0.00">
                  <c:v>0.64387314930919026</c:v>
                </c:pt>
                <c:pt idx="55" formatCode="0.00">
                  <c:v>0.64239746339250547</c:v>
                </c:pt>
                <c:pt idx="56" formatCode="0.00">
                  <c:v>0.64073651517005614</c:v>
                </c:pt>
                <c:pt idx="57" formatCode="0.00">
                  <c:v>0.63891061117430792</c:v>
                </c:pt>
                <c:pt idx="58" formatCode="0.00">
                  <c:v>0.63693408134819485</c:v>
                </c:pt>
                <c:pt idx="59" formatCode="0.00">
                  <c:v>0.63481768841883712</c:v>
                </c:pt>
                <c:pt idx="60" formatCode="0.00">
                  <c:v>0.6325699132843331</c:v>
                </c:pt>
                <c:pt idx="61" formatCode="0.00">
                  <c:v>0.63019768632775774</c:v>
                </c:pt>
                <c:pt idx="62" formatCode="0.00">
                  <c:v>0.62770682984648751</c:v>
                </c:pt>
                <c:pt idx="63" formatCode="0.00">
                  <c:v>0.62510234077785842</c:v>
                </c:pt>
                <c:pt idx="64" formatCode="0.00">
                  <c:v>0.62238858015881393</c:v>
                </c:pt>
                <c:pt idx="65" formatCode="0.00">
                  <c:v>0.61956940536127258</c:v>
                </c:pt>
                <c:pt idx="66" formatCode="0.00">
                  <c:v>0.61664826564741482</c:v>
                </c:pt>
              </c:numCache>
            </c:numRef>
          </c:val>
          <c:smooth val="0"/>
          <c:extLst>
            <c:ext xmlns:c16="http://schemas.microsoft.com/office/drawing/2014/chart" uri="{C3380CC4-5D6E-409C-BE32-E72D297353CC}">
              <c16:uniqueId val="{00000002-D664-4802-B7AE-9680A1E1990F}"/>
            </c:ext>
          </c:extLst>
        </c:ser>
        <c:ser>
          <c:idx val="3"/>
          <c:order val="3"/>
          <c:tx>
            <c:strRef>
              <c:f>'USDEUR Forcast Data'!$E$1</c:f>
              <c:strCache>
                <c:ptCount val="1"/>
                <c:pt idx="0">
                  <c:v>Upper Confidence Bound(Open)</c:v>
                </c:pt>
              </c:strCache>
            </c:strRef>
          </c:tx>
          <c:spPr>
            <a:ln w="12700" cap="rnd">
              <a:solidFill>
                <a:srgbClr val="ED7D31"/>
              </a:solidFill>
              <a:prstDash val="solid"/>
              <a:round/>
            </a:ln>
            <a:effectLst/>
          </c:spPr>
          <c:marker>
            <c:symbol val="none"/>
          </c:marker>
          <c:cat>
            <c:numRef>
              <c:f>'USDEUR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'USDEUR Forcast Data'!$E$2:$E$68</c:f>
              <c:numCache>
                <c:formatCode>General</c:formatCode>
                <c:ptCount val="67"/>
                <c:pt idx="52" formatCode="0.00">
                  <c:v>0.64905000000000002</c:v>
                </c:pt>
                <c:pt idx="53" formatCode="0.00">
                  <c:v>0.65649944230332591</c:v>
                </c:pt>
                <c:pt idx="54" formatCode="0.00">
                  <c:v>0.65866956621886019</c:v>
                </c:pt>
                <c:pt idx="55" formatCode="0.00">
                  <c:v>0.66105600166188705</c:v>
                </c:pt>
                <c:pt idx="56" formatCode="0.00">
                  <c:v>0.66362769941067867</c:v>
                </c:pt>
                <c:pt idx="57" formatCode="0.00">
                  <c:v>0.66636435293276897</c:v>
                </c:pt>
                <c:pt idx="58" formatCode="0.00">
                  <c:v>0.66925163228522411</c:v>
                </c:pt>
                <c:pt idx="59" formatCode="0.00">
                  <c:v>0.6722787747409239</c:v>
                </c:pt>
                <c:pt idx="60" formatCode="0.00">
                  <c:v>0.67543729940177</c:v>
                </c:pt>
                <c:pt idx="61" formatCode="0.00">
                  <c:v>0.67872027588468742</c:v>
                </c:pt>
                <c:pt idx="62" formatCode="0.00">
                  <c:v>0.68212188189229994</c:v>
                </c:pt>
                <c:pt idx="63" formatCode="0.00">
                  <c:v>0.6856371204872711</c:v>
                </c:pt>
                <c:pt idx="64" formatCode="0.00">
                  <c:v>0.68926163063265766</c:v>
                </c:pt>
                <c:pt idx="65" formatCode="0.00">
                  <c:v>0.69299155495654108</c:v>
                </c:pt>
                <c:pt idx="66" formatCode="0.00">
                  <c:v>0.69682344419674092</c:v>
                </c:pt>
              </c:numCache>
            </c:numRef>
          </c:val>
          <c:smooth val="0"/>
          <c:extLst>
            <c:ext xmlns:c16="http://schemas.microsoft.com/office/drawing/2014/chart" uri="{C3380CC4-5D6E-409C-BE32-E72D297353CC}">
              <c16:uniqueId val="{00000003-D664-4802-B7AE-9680A1E1990F}"/>
            </c:ext>
          </c:extLst>
        </c:ser>
        <c:dLbls>
          <c:showLegendKey val="0"/>
          <c:showVal val="0"/>
          <c:showCatName val="0"/>
          <c:showSerName val="0"/>
          <c:showPercent val="0"/>
          <c:showBubbleSize val="0"/>
        </c:dLbls>
        <c:smooth val="0"/>
        <c:axId val="808900672"/>
        <c:axId val="808905664"/>
      </c:lineChart>
      <c:catAx>
        <c:axId val="80890067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05664"/>
        <c:crosses val="autoZero"/>
        <c:auto val="1"/>
        <c:lblAlgn val="ctr"/>
        <c:lblOffset val="100"/>
        <c:noMultiLvlLbl val="0"/>
      </c:catAx>
      <c:valAx>
        <c:axId val="808905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0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'SGDJPY Forcast Data'!$B$1</c:f>
              <c:strCache>
                <c:ptCount val="1"/>
                <c:pt idx="0">
                  <c:v>Open</c:v>
                </c:pt>
              </c:strCache>
            </c:strRef>
          </c:tx>
          <c:spPr>
            <a:ln w="28575" cap="rnd">
              <a:solidFill>
                <a:schemeClr val="accent1"/>
              </a:solidFill>
              <a:round/>
            </a:ln>
            <a:effectLst/>
          </c:spPr>
          <c:marker>
            <c:symbol val="none"/>
          </c:marker>
          <c:val>
            <c:numRef>
              <c:f>'SGDJPY Forcast Data'!$B$2:$B$68</c:f>
              <c:numCache>
                <c:formatCode>General</c:formatCode>
                <c:ptCount val="67"/>
                <c:pt idx="0">
                  <c:v>78.369698</c:v>
                </c:pt>
                <c:pt idx="1">
                  <c:v>78.022002999999998</c:v>
                </c:pt>
                <c:pt idx="2">
                  <c:v>78.133003000000002</c:v>
                </c:pt>
                <c:pt idx="3">
                  <c:v>78.699996999999996</c:v>
                </c:pt>
                <c:pt idx="4">
                  <c:v>79.036002999999994</c:v>
                </c:pt>
                <c:pt idx="5">
                  <c:v>79.275002000000001</c:v>
                </c:pt>
                <c:pt idx="6">
                  <c:v>79.721001000000001</c:v>
                </c:pt>
                <c:pt idx="7">
                  <c:v>80.097999999999999</c:v>
                </c:pt>
                <c:pt idx="8">
                  <c:v>80.832001000000005</c:v>
                </c:pt>
                <c:pt idx="9">
                  <c:v>81.178000999999995</c:v>
                </c:pt>
                <c:pt idx="10">
                  <c:v>80.989998</c:v>
                </c:pt>
                <c:pt idx="11">
                  <c:v>81.500702000000004</c:v>
                </c:pt>
                <c:pt idx="12">
                  <c:v>82.228995999999995</c:v>
                </c:pt>
                <c:pt idx="13">
                  <c:v>81.783996999999999</c:v>
                </c:pt>
                <c:pt idx="14">
                  <c:v>81.390404000000004</c:v>
                </c:pt>
                <c:pt idx="15">
                  <c:v>81.239898999999994</c:v>
                </c:pt>
                <c:pt idx="16">
                  <c:v>82.148003000000003</c:v>
                </c:pt>
                <c:pt idx="17">
                  <c:v>81.971001000000001</c:v>
                </c:pt>
                <c:pt idx="18">
                  <c:v>82.075996000000004</c:v>
                </c:pt>
                <c:pt idx="19">
                  <c:v>81.769699000000003</c:v>
                </c:pt>
                <c:pt idx="20">
                  <c:v>83.052002000000002</c:v>
                </c:pt>
                <c:pt idx="21">
                  <c:v>82.769997000000004</c:v>
                </c:pt>
                <c:pt idx="22">
                  <c:v>82.744399999999999</c:v>
                </c:pt>
                <c:pt idx="23">
                  <c:v>81.918998999999999</c:v>
                </c:pt>
                <c:pt idx="24">
                  <c:v>82.533996999999999</c:v>
                </c:pt>
                <c:pt idx="25">
                  <c:v>82.471001000000001</c:v>
                </c:pt>
                <c:pt idx="26">
                  <c:v>81.577003000000005</c:v>
                </c:pt>
                <c:pt idx="27">
                  <c:v>80.996002000000004</c:v>
                </c:pt>
                <c:pt idx="28">
                  <c:v>81.235000999999997</c:v>
                </c:pt>
                <c:pt idx="29">
                  <c:v>80.967003000000005</c:v>
                </c:pt>
                <c:pt idx="30">
                  <c:v>81.272696999999994</c:v>
                </c:pt>
                <c:pt idx="31">
                  <c:v>80.878997999999996</c:v>
                </c:pt>
                <c:pt idx="32">
                  <c:v>80.663002000000006</c:v>
                </c:pt>
                <c:pt idx="33">
                  <c:v>81.607596999999998</c:v>
                </c:pt>
                <c:pt idx="34">
                  <c:v>81.835999000000001</c:v>
                </c:pt>
                <c:pt idx="35">
                  <c:v>81.910895999999994</c:v>
                </c:pt>
                <c:pt idx="36">
                  <c:v>81.486000000000004</c:v>
                </c:pt>
                <c:pt idx="37">
                  <c:v>81.816299000000001</c:v>
                </c:pt>
                <c:pt idx="38">
                  <c:v>81.776497000000006</c:v>
                </c:pt>
                <c:pt idx="39">
                  <c:v>82.800499000000002</c:v>
                </c:pt>
                <c:pt idx="40">
                  <c:v>84.760002</c:v>
                </c:pt>
                <c:pt idx="41">
                  <c:v>84.265998999999994</c:v>
                </c:pt>
                <c:pt idx="42">
                  <c:v>84.648003000000003</c:v>
                </c:pt>
                <c:pt idx="43">
                  <c:v>84.032996999999995</c:v>
                </c:pt>
                <c:pt idx="44">
                  <c:v>84.293998999999999</c:v>
                </c:pt>
                <c:pt idx="45">
                  <c:v>83.781998000000002</c:v>
                </c:pt>
                <c:pt idx="46">
                  <c:v>82.987999000000002</c:v>
                </c:pt>
                <c:pt idx="47">
                  <c:v>82.429001</c:v>
                </c:pt>
                <c:pt idx="48">
                  <c:v>83.204002000000003</c:v>
                </c:pt>
                <c:pt idx="49">
                  <c:v>83.031998000000002</c:v>
                </c:pt>
                <c:pt idx="50">
                  <c:v>84.183998000000003</c:v>
                </c:pt>
                <c:pt idx="51">
                  <c:v>85.385002</c:v>
                </c:pt>
                <c:pt idx="52">
                  <c:v>85.153499500000009</c:v>
                </c:pt>
              </c:numCache>
            </c:numRef>
          </c:val>
          <c:smooth val="0"/>
          <c:extLst>
            <c:ext xmlns:c16="http://schemas.microsoft.com/office/drawing/2014/chart" uri="{C3380CC4-5D6E-409C-BE32-E72D297353CC}">
              <c16:uniqueId val="{00000000-6AA6-4898-82E5-45E80902EDB3}"/>
            </c:ext>
          </c:extLst>
        </c:ser>
        <c:ser>
          <c:idx val="1"/>
          <c:order val="1"/>
          <c:tx>
            <c:strRef>
              <c:f>'SGDJPY Forcast Data'!$C$1</c:f>
              <c:strCache>
                <c:ptCount val="1"/>
                <c:pt idx="0">
                  <c:v>Forecast(Open)</c:v>
                </c:pt>
              </c:strCache>
            </c:strRef>
          </c:tx>
          <c:spPr>
            <a:ln w="25400" cap="rnd">
              <a:solidFill>
                <a:schemeClr val="accent2"/>
              </a:solidFill>
              <a:round/>
            </a:ln>
            <a:effectLst/>
          </c:spPr>
          <c:marker>
            <c:symbol val="none"/>
          </c:marker>
          <c:cat>
            <c:numRef>
              <c:f>'SGDJPY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'SGDJPY Forcast Data'!$C$2:$C$68</c:f>
              <c:numCache>
                <c:formatCode>General</c:formatCode>
                <c:ptCount val="67"/>
                <c:pt idx="52">
                  <c:v>85.153499500000009</c:v>
                </c:pt>
                <c:pt idx="53">
                  <c:v>85.01471194315701</c:v>
                </c:pt>
                <c:pt idx="54">
                  <c:v>85.108674938032948</c:v>
                </c:pt>
                <c:pt idx="55">
                  <c:v>85.2026379329089</c:v>
                </c:pt>
                <c:pt idx="56">
                  <c:v>85.296600927784837</c:v>
                </c:pt>
                <c:pt idx="57">
                  <c:v>85.390563922660789</c:v>
                </c:pt>
                <c:pt idx="58">
                  <c:v>85.484526917536726</c:v>
                </c:pt>
                <c:pt idx="59">
                  <c:v>85.578489912412678</c:v>
                </c:pt>
                <c:pt idx="60">
                  <c:v>85.672452907288616</c:v>
                </c:pt>
                <c:pt idx="61">
                  <c:v>85.766415902164567</c:v>
                </c:pt>
                <c:pt idx="62">
                  <c:v>85.860378897040505</c:v>
                </c:pt>
                <c:pt idx="63">
                  <c:v>85.954341891916457</c:v>
                </c:pt>
                <c:pt idx="64">
                  <c:v>86.048304886792394</c:v>
                </c:pt>
                <c:pt idx="65">
                  <c:v>86.142267881668346</c:v>
                </c:pt>
                <c:pt idx="66">
                  <c:v>86.236230876544283</c:v>
                </c:pt>
              </c:numCache>
            </c:numRef>
          </c:val>
          <c:smooth val="0"/>
          <c:extLst>
            <c:ext xmlns:c16="http://schemas.microsoft.com/office/drawing/2014/chart" uri="{C3380CC4-5D6E-409C-BE32-E72D297353CC}">
              <c16:uniqueId val="{00000001-6AA6-4898-82E5-45E80902EDB3}"/>
            </c:ext>
          </c:extLst>
        </c:ser>
        <c:ser>
          <c:idx val="2"/>
          <c:order val="2"/>
          <c:tx>
            <c:strRef>
              <c:f>'SGDJPY Forcast Data'!$D$1</c:f>
              <c:strCache>
                <c:ptCount val="1"/>
                <c:pt idx="0">
                  <c:v>Lower Confidence Bound(Open)</c:v>
                </c:pt>
              </c:strCache>
            </c:strRef>
          </c:tx>
          <c:spPr>
            <a:ln w="12700" cap="rnd">
              <a:solidFill>
                <a:srgbClr val="ED7D31"/>
              </a:solidFill>
              <a:prstDash val="solid"/>
              <a:round/>
            </a:ln>
            <a:effectLst/>
          </c:spPr>
          <c:marker>
            <c:symbol val="none"/>
          </c:marker>
          <c:cat>
            <c:numRef>
              <c:f>'SGDJPY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'SGDJPY Forcast Data'!$D$2:$D$68</c:f>
              <c:numCache>
                <c:formatCode>General</c:formatCode>
                <c:ptCount val="67"/>
                <c:pt idx="52" formatCode="0.00">
                  <c:v>85.153499500000009</c:v>
                </c:pt>
                <c:pt idx="53" formatCode="0.00">
                  <c:v>83.668694175069348</c:v>
                </c:pt>
                <c:pt idx="54" formatCode="0.00">
                  <c:v>83.603178885030658</c:v>
                </c:pt>
                <c:pt idx="55" formatCode="0.00">
                  <c:v>83.552459124922706</c:v>
                </c:pt>
                <c:pt idx="56" formatCode="0.00">
                  <c:v>83.512929810762643</c:v>
                </c:pt>
                <c:pt idx="57" formatCode="0.00">
                  <c:v>83.482240141105251</c:v>
                </c:pt>
                <c:pt idx="58" formatCode="0.00">
                  <c:v>83.458756761149729</c:v>
                </c:pt>
                <c:pt idx="59" formatCode="0.00">
                  <c:v>83.441290461963533</c:v>
                </c:pt>
                <c:pt idx="60" formatCode="0.00">
                  <c:v>83.428943697979705</c:v>
                </c:pt>
                <c:pt idx="61" formatCode="0.00">
                  <c:v>83.421019433804233</c:v>
                </c:pt>
                <c:pt idx="62" formatCode="0.00">
                  <c:v>83.416963627554466</c:v>
                </c:pt>
                <c:pt idx="63" formatCode="0.00">
                  <c:v>83.416327323033386</c:v>
                </c:pt>
                <c:pt idx="64" formatCode="0.00">
                  <c:v>83.418740752674267</c:v>
                </c:pt>
                <c:pt idx="65" formatCode="0.00">
                  <c:v>83.423895104910486</c:v>
                </c:pt>
                <c:pt idx="66" formatCode="0.00">
                  <c:v>83.431529354220757</c:v>
                </c:pt>
              </c:numCache>
            </c:numRef>
          </c:val>
          <c:smooth val="0"/>
          <c:extLst>
            <c:ext xmlns:c16="http://schemas.microsoft.com/office/drawing/2014/chart" uri="{C3380CC4-5D6E-409C-BE32-E72D297353CC}">
              <c16:uniqueId val="{00000002-6AA6-4898-82E5-45E80902EDB3}"/>
            </c:ext>
          </c:extLst>
        </c:ser>
        <c:ser>
          <c:idx val="3"/>
          <c:order val="3"/>
          <c:tx>
            <c:strRef>
              <c:f>'SGDJPY Forcast Data'!$E$1</c:f>
              <c:strCache>
                <c:ptCount val="1"/>
                <c:pt idx="0">
                  <c:v>Upper Confidence Bound(Open)</c:v>
                </c:pt>
              </c:strCache>
            </c:strRef>
          </c:tx>
          <c:spPr>
            <a:ln w="12700" cap="rnd">
              <a:solidFill>
                <a:srgbClr val="ED7D31"/>
              </a:solidFill>
              <a:prstDash val="solid"/>
              <a:round/>
            </a:ln>
            <a:effectLst/>
          </c:spPr>
          <c:marker>
            <c:symbol val="none"/>
          </c:marker>
          <c:cat>
            <c:numRef>
              <c:f>'SGDJPY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'SGDJPY Forcast Data'!$E$2:$E$68</c:f>
              <c:numCache>
                <c:formatCode>General</c:formatCode>
                <c:ptCount val="67"/>
                <c:pt idx="52" formatCode="0.00">
                  <c:v>85.153499500000009</c:v>
                </c:pt>
                <c:pt idx="53" formatCode="0.00">
                  <c:v>86.360729711244673</c:v>
                </c:pt>
                <c:pt idx="54" formatCode="0.00">
                  <c:v>86.614170991035238</c:v>
                </c:pt>
                <c:pt idx="55" formatCode="0.00">
                  <c:v>86.852816740895094</c:v>
                </c:pt>
                <c:pt idx="56" formatCode="0.00">
                  <c:v>87.080272044807032</c:v>
                </c:pt>
                <c:pt idx="57" formatCode="0.00">
                  <c:v>87.298887704216327</c:v>
                </c:pt>
                <c:pt idx="58" formatCode="0.00">
                  <c:v>87.510297073923724</c:v>
                </c:pt>
                <c:pt idx="59" formatCode="0.00">
                  <c:v>87.715689362861823</c:v>
                </c:pt>
                <c:pt idx="60" formatCode="0.00">
                  <c:v>87.915962116597527</c:v>
                </c:pt>
                <c:pt idx="61" formatCode="0.00">
                  <c:v>88.111812370524902</c:v>
                </c:pt>
                <c:pt idx="62" formatCode="0.00">
                  <c:v>88.303794166526544</c:v>
                </c:pt>
                <c:pt idx="63" formatCode="0.00">
                  <c:v>88.492356460799527</c:v>
                </c:pt>
                <c:pt idx="64" formatCode="0.00">
                  <c:v>88.677869020910521</c:v>
                </c:pt>
                <c:pt idx="65" formatCode="0.00">
                  <c:v>88.860640658426206</c:v>
                </c:pt>
                <c:pt idx="66" formatCode="0.00">
                  <c:v>89.04093239886781</c:v>
                </c:pt>
              </c:numCache>
            </c:numRef>
          </c:val>
          <c:smooth val="0"/>
          <c:extLst>
            <c:ext xmlns:c16="http://schemas.microsoft.com/office/drawing/2014/chart" uri="{C3380CC4-5D6E-409C-BE32-E72D297353CC}">
              <c16:uniqueId val="{00000003-6AA6-4898-82E5-45E80902EDB3}"/>
            </c:ext>
          </c:extLst>
        </c:ser>
        <c:dLbls>
          <c:showLegendKey val="0"/>
          <c:showVal val="0"/>
          <c:showCatName val="0"/>
          <c:showSerName val="0"/>
          <c:showPercent val="0"/>
          <c:showBubbleSize val="0"/>
        </c:dLbls>
        <c:smooth val="0"/>
        <c:axId val="905913392"/>
        <c:axId val="905905072"/>
      </c:lineChart>
      <c:catAx>
        <c:axId val="90591339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905072"/>
        <c:crosses val="autoZero"/>
        <c:auto val="1"/>
        <c:lblAlgn val="ctr"/>
        <c:lblOffset val="100"/>
        <c:noMultiLvlLbl val="0"/>
      </c:catAx>
      <c:valAx>
        <c:axId val="905905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91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'SGDGBP Forcast Data'!$B$1</c:f>
              <c:strCache>
                <c:ptCount val="1"/>
                <c:pt idx="0">
                  <c:v>Open</c:v>
                </c:pt>
              </c:strCache>
            </c:strRef>
          </c:tx>
          <c:spPr>
            <a:ln w="28575" cap="rnd">
              <a:solidFill>
                <a:schemeClr val="accent1"/>
              </a:solidFill>
              <a:round/>
            </a:ln>
            <a:effectLst/>
          </c:spPr>
          <c:marker>
            <c:symbol val="none"/>
          </c:marker>
          <c:val>
            <c:numRef>
              <c:f>'SGDGBP Forcast Data'!$B$2:$B$68</c:f>
              <c:numCache>
                <c:formatCode>General</c:formatCode>
                <c:ptCount val="67"/>
                <c:pt idx="0">
                  <c:v>0.55293000000000003</c:v>
                </c:pt>
                <c:pt idx="1">
                  <c:v>0.55315000000000003</c:v>
                </c:pt>
                <c:pt idx="2">
                  <c:v>0.55003000000000002</c:v>
                </c:pt>
                <c:pt idx="3">
                  <c:v>0.54864999999999997</c:v>
                </c:pt>
                <c:pt idx="4">
                  <c:v>0.54579999999999995</c:v>
                </c:pt>
                <c:pt idx="5">
                  <c:v>0.54403000000000001</c:v>
                </c:pt>
                <c:pt idx="6">
                  <c:v>0.53846499999999997</c:v>
                </c:pt>
                <c:pt idx="7">
                  <c:v>0.53825000000000001</c:v>
                </c:pt>
                <c:pt idx="8">
                  <c:v>0.53849999999999998</c:v>
                </c:pt>
                <c:pt idx="9">
                  <c:v>0.53405000000000002</c:v>
                </c:pt>
                <c:pt idx="10">
                  <c:v>0.53764999999999996</c:v>
                </c:pt>
                <c:pt idx="11">
                  <c:v>0.53856999999999999</c:v>
                </c:pt>
                <c:pt idx="12">
                  <c:v>0.53725999999999996</c:v>
                </c:pt>
                <c:pt idx="13">
                  <c:v>0.54374999999999996</c:v>
                </c:pt>
                <c:pt idx="14">
                  <c:v>0.54203000000000001</c:v>
                </c:pt>
                <c:pt idx="15">
                  <c:v>0.54315999999999998</c:v>
                </c:pt>
                <c:pt idx="16">
                  <c:v>0.54391</c:v>
                </c:pt>
                <c:pt idx="17">
                  <c:v>0.53773000000000004</c:v>
                </c:pt>
                <c:pt idx="18">
                  <c:v>0.53203</c:v>
                </c:pt>
                <c:pt idx="19">
                  <c:v>0.53108</c:v>
                </c:pt>
                <c:pt idx="20">
                  <c:v>0.53281000000000001</c:v>
                </c:pt>
                <c:pt idx="21">
                  <c:v>0.53310999999999997</c:v>
                </c:pt>
                <c:pt idx="22">
                  <c:v>0.53420000000000001</c:v>
                </c:pt>
                <c:pt idx="23">
                  <c:v>0.53808</c:v>
                </c:pt>
                <c:pt idx="24">
                  <c:v>0.53596999999999995</c:v>
                </c:pt>
                <c:pt idx="25">
                  <c:v>0.53657999999999995</c:v>
                </c:pt>
                <c:pt idx="26">
                  <c:v>0.53258000000000005</c:v>
                </c:pt>
                <c:pt idx="27">
                  <c:v>0.53551000000000004</c:v>
                </c:pt>
                <c:pt idx="28">
                  <c:v>0.53417000000000003</c:v>
                </c:pt>
                <c:pt idx="29">
                  <c:v>0.53115999999999997</c:v>
                </c:pt>
                <c:pt idx="30">
                  <c:v>0.53164999999999996</c:v>
                </c:pt>
                <c:pt idx="31">
                  <c:v>0.53222000000000003</c:v>
                </c:pt>
                <c:pt idx="32">
                  <c:v>0.53873000000000004</c:v>
                </c:pt>
                <c:pt idx="33">
                  <c:v>0.53993999999999998</c:v>
                </c:pt>
                <c:pt idx="34">
                  <c:v>0.53785400000000005</c:v>
                </c:pt>
                <c:pt idx="35">
                  <c:v>0.53856000000000004</c:v>
                </c:pt>
                <c:pt idx="36">
                  <c:v>0.53976000000000002</c:v>
                </c:pt>
                <c:pt idx="37">
                  <c:v>0.54053799999999996</c:v>
                </c:pt>
                <c:pt idx="38">
                  <c:v>0.54320999999999997</c:v>
                </c:pt>
                <c:pt idx="39">
                  <c:v>0.54174999999999995</c:v>
                </c:pt>
                <c:pt idx="40">
                  <c:v>0.53886999999999996</c:v>
                </c:pt>
                <c:pt idx="41">
                  <c:v>0.53864000000000001</c:v>
                </c:pt>
                <c:pt idx="42">
                  <c:v>0.54149000000000003</c:v>
                </c:pt>
                <c:pt idx="43">
                  <c:v>0.54903000000000002</c:v>
                </c:pt>
                <c:pt idx="44">
                  <c:v>0.55115999999999998</c:v>
                </c:pt>
                <c:pt idx="45">
                  <c:v>0.54639400000000005</c:v>
                </c:pt>
                <c:pt idx="46">
                  <c:v>0.54713999999999996</c:v>
                </c:pt>
                <c:pt idx="47">
                  <c:v>0.55118</c:v>
                </c:pt>
                <c:pt idx="48">
                  <c:v>0.55288000000000004</c:v>
                </c:pt>
                <c:pt idx="49">
                  <c:v>0.55281000000000002</c:v>
                </c:pt>
                <c:pt idx="50">
                  <c:v>0.549257</c:v>
                </c:pt>
                <c:pt idx="51">
                  <c:v>0.54842999999999997</c:v>
                </c:pt>
                <c:pt idx="52">
                  <c:v>0.5419750000000001</c:v>
                </c:pt>
              </c:numCache>
            </c:numRef>
          </c:val>
          <c:smooth val="0"/>
          <c:extLst>
            <c:ext xmlns:c16="http://schemas.microsoft.com/office/drawing/2014/chart" uri="{C3380CC4-5D6E-409C-BE32-E72D297353CC}">
              <c16:uniqueId val="{00000000-CCB9-4908-ACA2-0386BD892877}"/>
            </c:ext>
          </c:extLst>
        </c:ser>
        <c:ser>
          <c:idx val="1"/>
          <c:order val="1"/>
          <c:tx>
            <c:strRef>
              <c:f>'SGDGBP Forcast Data'!$C$1</c:f>
              <c:strCache>
                <c:ptCount val="1"/>
                <c:pt idx="0">
                  <c:v>Forecast(Open)</c:v>
                </c:pt>
              </c:strCache>
            </c:strRef>
          </c:tx>
          <c:spPr>
            <a:ln w="25400" cap="rnd">
              <a:solidFill>
                <a:schemeClr val="accent2"/>
              </a:solidFill>
              <a:round/>
            </a:ln>
            <a:effectLst/>
          </c:spPr>
          <c:marker>
            <c:symbol val="none"/>
          </c:marker>
          <c:cat>
            <c:numRef>
              <c:f>'SGDGBP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'SGDGBP Forcast Data'!$C$2:$C$68</c:f>
              <c:numCache>
                <c:formatCode>General</c:formatCode>
                <c:ptCount val="67"/>
                <c:pt idx="52">
                  <c:v>0.5419750000000001</c:v>
                </c:pt>
                <c:pt idx="53">
                  <c:v>0.54204800064505732</c:v>
                </c:pt>
                <c:pt idx="54">
                  <c:v>0.54212100129011465</c:v>
                </c:pt>
                <c:pt idx="55">
                  <c:v>0.54219400193517187</c:v>
                </c:pt>
                <c:pt idx="56">
                  <c:v>0.54226700258022908</c:v>
                </c:pt>
                <c:pt idx="57">
                  <c:v>0.54234000322528642</c:v>
                </c:pt>
                <c:pt idx="58">
                  <c:v>0.54241300387034364</c:v>
                </c:pt>
                <c:pt idx="59">
                  <c:v>0.54248600451540085</c:v>
                </c:pt>
                <c:pt idx="60">
                  <c:v>0.54255900516045807</c:v>
                </c:pt>
                <c:pt idx="61">
                  <c:v>0.5426320058055154</c:v>
                </c:pt>
                <c:pt idx="62">
                  <c:v>0.54270500645057262</c:v>
                </c:pt>
                <c:pt idx="63">
                  <c:v>0.54277800709562984</c:v>
                </c:pt>
                <c:pt idx="64">
                  <c:v>0.54285100774068717</c:v>
                </c:pt>
                <c:pt idx="65">
                  <c:v>0.54292400838574439</c:v>
                </c:pt>
                <c:pt idx="66">
                  <c:v>0.54299700903080161</c:v>
                </c:pt>
              </c:numCache>
            </c:numRef>
          </c:val>
          <c:smooth val="0"/>
          <c:extLst>
            <c:ext xmlns:c16="http://schemas.microsoft.com/office/drawing/2014/chart" uri="{C3380CC4-5D6E-409C-BE32-E72D297353CC}">
              <c16:uniqueId val="{00000001-CCB9-4908-ACA2-0386BD892877}"/>
            </c:ext>
          </c:extLst>
        </c:ser>
        <c:ser>
          <c:idx val="2"/>
          <c:order val="2"/>
          <c:tx>
            <c:strRef>
              <c:f>'SGDGBP Forcast Data'!$D$1</c:f>
              <c:strCache>
                <c:ptCount val="1"/>
                <c:pt idx="0">
                  <c:v>Lower Confidence Bound(Open)</c:v>
                </c:pt>
              </c:strCache>
            </c:strRef>
          </c:tx>
          <c:spPr>
            <a:ln w="12700" cap="rnd">
              <a:solidFill>
                <a:srgbClr val="ED7D31"/>
              </a:solidFill>
              <a:prstDash val="solid"/>
              <a:round/>
            </a:ln>
            <a:effectLst/>
          </c:spPr>
          <c:marker>
            <c:symbol val="none"/>
          </c:marker>
          <c:cat>
            <c:numRef>
              <c:f>'SGDGBP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'SGDGBP Forcast Data'!$D$2:$D$68</c:f>
              <c:numCache>
                <c:formatCode>General</c:formatCode>
                <c:ptCount val="67"/>
                <c:pt idx="52" formatCode="0.00">
                  <c:v>0.5419750000000001</c:v>
                </c:pt>
                <c:pt idx="53" formatCode="0.00">
                  <c:v>0.5318671113356519</c:v>
                </c:pt>
                <c:pt idx="54" formatCode="0.00">
                  <c:v>0.53179800011364597</c:v>
                </c:pt>
                <c:pt idx="55" formatCode="0.00">
                  <c:v>0.53172915312412616</c:v>
                </c:pt>
                <c:pt idx="56" formatCode="0.00">
                  <c:v>0.53166054999336498</c:v>
                </c:pt>
                <c:pt idx="57" formatCode="0.00">
                  <c:v>0.53159217143890081</c:v>
                </c:pt>
                <c:pt idx="58" formatCode="0.00">
                  <c:v>0.53152399919442428</c:v>
                </c:pt>
                <c:pt idx="59" formatCode="0.00">
                  <c:v>0.53145601594107905</c:v>
                </c:pt>
                <c:pt idx="60" formatCode="0.00">
                  <c:v>0.53138820524452179</c:v>
                </c:pt>
                <c:pt idx="61" formatCode="0.00">
                  <c:v>0.53132055149716739</c:v>
                </c:pt>
                <c:pt idx="62" formatCode="0.00">
                  <c:v>0.53125303986510919</c:v>
                </c:pt>
                <c:pt idx="63" formatCode="0.00">
                  <c:v>0.53118565623926428</c:v>
                </c:pt>
                <c:pt idx="64" formatCode="0.00">
                  <c:v>0.5311183871903421</c:v>
                </c:pt>
                <c:pt idx="65" formatCode="0.00">
                  <c:v>0.53105121992727822</c:v>
                </c:pt>
                <c:pt idx="66" formatCode="0.00">
                  <c:v>0.53098414225881851</c:v>
                </c:pt>
              </c:numCache>
            </c:numRef>
          </c:val>
          <c:smooth val="0"/>
          <c:extLst>
            <c:ext xmlns:c16="http://schemas.microsoft.com/office/drawing/2014/chart" uri="{C3380CC4-5D6E-409C-BE32-E72D297353CC}">
              <c16:uniqueId val="{00000002-CCB9-4908-ACA2-0386BD892877}"/>
            </c:ext>
          </c:extLst>
        </c:ser>
        <c:ser>
          <c:idx val="3"/>
          <c:order val="3"/>
          <c:tx>
            <c:strRef>
              <c:f>'SGDGBP Forcast Data'!$E$1</c:f>
              <c:strCache>
                <c:ptCount val="1"/>
                <c:pt idx="0">
                  <c:v>Upper Confidence Bound(Open)</c:v>
                </c:pt>
              </c:strCache>
            </c:strRef>
          </c:tx>
          <c:spPr>
            <a:ln w="12700" cap="rnd">
              <a:solidFill>
                <a:srgbClr val="ED7D31"/>
              </a:solidFill>
              <a:prstDash val="solid"/>
              <a:round/>
            </a:ln>
            <a:effectLst/>
          </c:spPr>
          <c:marker>
            <c:symbol val="none"/>
          </c:marker>
          <c:cat>
            <c:numRef>
              <c:f>'SGDGBP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'SGDGBP Forcast Data'!$E$2:$E$68</c:f>
              <c:numCache>
                <c:formatCode>General</c:formatCode>
                <c:ptCount val="67"/>
                <c:pt idx="52" formatCode="0.00">
                  <c:v>0.5419750000000001</c:v>
                </c:pt>
                <c:pt idx="53" formatCode="0.00">
                  <c:v>0.55222888995446273</c:v>
                </c:pt>
                <c:pt idx="54" formatCode="0.00">
                  <c:v>0.55244400246658332</c:v>
                </c:pt>
                <c:pt idx="55" formatCode="0.00">
                  <c:v>0.55265885074621757</c:v>
                </c:pt>
                <c:pt idx="56" formatCode="0.00">
                  <c:v>0.55287345516709319</c:v>
                </c:pt>
                <c:pt idx="57" formatCode="0.00">
                  <c:v>0.55308783501167202</c:v>
                </c:pt>
                <c:pt idx="58" formatCode="0.00">
                  <c:v>0.55330200854626299</c:v>
                </c:pt>
                <c:pt idx="59" formatCode="0.00">
                  <c:v>0.55351599308972266</c:v>
                </c:pt>
                <c:pt idx="60" formatCode="0.00">
                  <c:v>0.55372980507639435</c:v>
                </c:pt>
                <c:pt idx="61" formatCode="0.00">
                  <c:v>0.55394346011386342</c:v>
                </c:pt>
                <c:pt idx="62" formatCode="0.00">
                  <c:v>0.55415697303603606</c:v>
                </c:pt>
                <c:pt idx="63" formatCode="0.00">
                  <c:v>0.55437035795199541</c:v>
                </c:pt>
                <c:pt idx="64" formatCode="0.00">
                  <c:v>0.55458362829103225</c:v>
                </c:pt>
                <c:pt idx="65" formatCode="0.00">
                  <c:v>0.55479679684421057</c:v>
                </c:pt>
                <c:pt idx="66" formatCode="0.00">
                  <c:v>0.55500987580278471</c:v>
                </c:pt>
              </c:numCache>
            </c:numRef>
          </c:val>
          <c:smooth val="0"/>
          <c:extLst>
            <c:ext xmlns:c16="http://schemas.microsoft.com/office/drawing/2014/chart" uri="{C3380CC4-5D6E-409C-BE32-E72D297353CC}">
              <c16:uniqueId val="{00000003-CCB9-4908-ACA2-0386BD892877}"/>
            </c:ext>
          </c:extLst>
        </c:ser>
        <c:dLbls>
          <c:showLegendKey val="0"/>
          <c:showVal val="0"/>
          <c:showCatName val="0"/>
          <c:showSerName val="0"/>
          <c:showPercent val="0"/>
          <c:showBubbleSize val="0"/>
        </c:dLbls>
        <c:smooth val="0"/>
        <c:axId val="980112160"/>
        <c:axId val="980113824"/>
      </c:lineChart>
      <c:catAx>
        <c:axId val="98011216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13824"/>
        <c:crosses val="autoZero"/>
        <c:auto val="1"/>
        <c:lblAlgn val="ctr"/>
        <c:lblOffset val="100"/>
        <c:noMultiLvlLbl val="0"/>
      </c:catAx>
      <c:valAx>
        <c:axId val="98011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1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'SGDAUD Forcasting Data'!$B$1</c:f>
              <c:strCache>
                <c:ptCount val="1"/>
                <c:pt idx="0">
                  <c:v>Open</c:v>
                </c:pt>
              </c:strCache>
            </c:strRef>
          </c:tx>
          <c:spPr>
            <a:ln w="28575" cap="rnd">
              <a:solidFill>
                <a:schemeClr val="accent1"/>
              </a:solidFill>
              <a:round/>
            </a:ln>
            <a:effectLst/>
          </c:spPr>
          <c:marker>
            <c:symbol val="none"/>
          </c:marker>
          <c:val>
            <c:numRef>
              <c:f>'SGDAUD Forcasting Data'!$B$2:$B$68</c:f>
              <c:numCache>
                <c:formatCode>General</c:formatCode>
                <c:ptCount val="67"/>
                <c:pt idx="0">
                  <c:v>0.97204999999999997</c:v>
                </c:pt>
                <c:pt idx="1">
                  <c:v>0.97699000000000003</c:v>
                </c:pt>
                <c:pt idx="2">
                  <c:v>0.97574000000000005</c:v>
                </c:pt>
                <c:pt idx="3">
                  <c:v>0.98619900000000005</c:v>
                </c:pt>
                <c:pt idx="4">
                  <c:v>0.97657000000000005</c:v>
                </c:pt>
                <c:pt idx="5">
                  <c:v>0.97189000000000003</c:v>
                </c:pt>
                <c:pt idx="6">
                  <c:v>0.95818999999999999</c:v>
                </c:pt>
                <c:pt idx="7">
                  <c:v>0.97021999999999997</c:v>
                </c:pt>
                <c:pt idx="8">
                  <c:v>0.96752000000000005</c:v>
                </c:pt>
                <c:pt idx="9">
                  <c:v>0.95831999999999995</c:v>
                </c:pt>
                <c:pt idx="10">
                  <c:v>0.96306000000000003</c:v>
                </c:pt>
                <c:pt idx="11">
                  <c:v>0.97243999999999997</c:v>
                </c:pt>
                <c:pt idx="12">
                  <c:v>0.97524</c:v>
                </c:pt>
                <c:pt idx="13">
                  <c:v>0.97794999999999999</c:v>
                </c:pt>
                <c:pt idx="14">
                  <c:v>0.97097999999999995</c:v>
                </c:pt>
                <c:pt idx="15">
                  <c:v>0.97265000000000001</c:v>
                </c:pt>
                <c:pt idx="16">
                  <c:v>0.97372999999999998</c:v>
                </c:pt>
                <c:pt idx="17">
                  <c:v>0.96079999999999999</c:v>
                </c:pt>
                <c:pt idx="18">
                  <c:v>0.96464000000000005</c:v>
                </c:pt>
                <c:pt idx="19">
                  <c:v>0.97209000000000001</c:v>
                </c:pt>
                <c:pt idx="20">
                  <c:v>0.98011999999999999</c:v>
                </c:pt>
                <c:pt idx="21">
                  <c:v>0.97559600000000002</c:v>
                </c:pt>
                <c:pt idx="22">
                  <c:v>0.97824</c:v>
                </c:pt>
                <c:pt idx="23">
                  <c:v>0.99097999999999997</c:v>
                </c:pt>
                <c:pt idx="24">
                  <c:v>0.98068999999999995</c:v>
                </c:pt>
                <c:pt idx="25">
                  <c:v>0.98719000000000001</c:v>
                </c:pt>
                <c:pt idx="26">
                  <c:v>0.98829999999999996</c:v>
                </c:pt>
                <c:pt idx="27">
                  <c:v>0.99751999999999996</c:v>
                </c:pt>
                <c:pt idx="28">
                  <c:v>0.99756999999999996</c:v>
                </c:pt>
                <c:pt idx="29">
                  <c:v>1.00529</c:v>
                </c:pt>
                <c:pt idx="30">
                  <c:v>1.00508</c:v>
                </c:pt>
                <c:pt idx="31">
                  <c:v>1.00177</c:v>
                </c:pt>
                <c:pt idx="32">
                  <c:v>1.0280199999999999</c:v>
                </c:pt>
                <c:pt idx="33">
                  <c:v>1.0157</c:v>
                </c:pt>
                <c:pt idx="34">
                  <c:v>1.0015099999999999</c:v>
                </c:pt>
                <c:pt idx="35">
                  <c:v>1.01206</c:v>
                </c:pt>
                <c:pt idx="36">
                  <c:v>1.01996</c:v>
                </c:pt>
                <c:pt idx="37">
                  <c:v>1.01691</c:v>
                </c:pt>
                <c:pt idx="38">
                  <c:v>1.0131859999999999</c:v>
                </c:pt>
                <c:pt idx="39">
                  <c:v>1.01142</c:v>
                </c:pt>
                <c:pt idx="40">
                  <c:v>0.99868000000000001</c:v>
                </c:pt>
                <c:pt idx="41">
                  <c:v>0.99265999999999999</c:v>
                </c:pt>
                <c:pt idx="42">
                  <c:v>0.98540000000000005</c:v>
                </c:pt>
                <c:pt idx="43">
                  <c:v>1.0015099999999999</c:v>
                </c:pt>
                <c:pt idx="44">
                  <c:v>1.0084599999999999</c:v>
                </c:pt>
                <c:pt idx="45">
                  <c:v>1.01501</c:v>
                </c:pt>
                <c:pt idx="46">
                  <c:v>1.02193</c:v>
                </c:pt>
                <c:pt idx="47">
                  <c:v>1.0395000000000001</c:v>
                </c:pt>
                <c:pt idx="48">
                  <c:v>1.0228999999999999</c:v>
                </c:pt>
                <c:pt idx="49">
                  <c:v>1.02721</c:v>
                </c:pt>
                <c:pt idx="50">
                  <c:v>1.01833</c:v>
                </c:pt>
                <c:pt idx="51">
                  <c:v>1.0203</c:v>
                </c:pt>
                <c:pt idx="52">
                  <c:v>1.023115</c:v>
                </c:pt>
              </c:numCache>
            </c:numRef>
          </c:val>
          <c:smooth val="0"/>
          <c:extLst>
            <c:ext xmlns:c16="http://schemas.microsoft.com/office/drawing/2014/chart" uri="{C3380CC4-5D6E-409C-BE32-E72D297353CC}">
              <c16:uniqueId val="{00000000-B80A-468B-AC7E-26E491EE6D92}"/>
            </c:ext>
          </c:extLst>
        </c:ser>
        <c:ser>
          <c:idx val="1"/>
          <c:order val="1"/>
          <c:tx>
            <c:strRef>
              <c:f>'SGDAUD Forcasting Data'!$C$1</c:f>
              <c:strCache>
                <c:ptCount val="1"/>
                <c:pt idx="0">
                  <c:v>Forecast(Open)</c:v>
                </c:pt>
              </c:strCache>
            </c:strRef>
          </c:tx>
          <c:spPr>
            <a:ln w="25400" cap="rnd">
              <a:solidFill>
                <a:schemeClr val="accent2"/>
              </a:solidFill>
              <a:round/>
            </a:ln>
            <a:effectLst/>
          </c:spPr>
          <c:marker>
            <c:symbol val="none"/>
          </c:marker>
          <c:cat>
            <c:numRef>
              <c:f>'SGDAUD Forcasting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'SGDAUD Forcasting Data'!$C$2:$C$68</c:f>
              <c:numCache>
                <c:formatCode>General</c:formatCode>
                <c:ptCount val="67"/>
                <c:pt idx="52">
                  <c:v>1.023115</c:v>
                </c:pt>
                <c:pt idx="53">
                  <c:v>1.0255960770891226</c:v>
                </c:pt>
                <c:pt idx="54">
                  <c:v>1.0267692459233231</c:v>
                </c:pt>
                <c:pt idx="55">
                  <c:v>1.0279424147575238</c:v>
                </c:pt>
                <c:pt idx="56">
                  <c:v>1.0291155835917245</c:v>
                </c:pt>
                <c:pt idx="57">
                  <c:v>1.030288752425925</c:v>
                </c:pt>
                <c:pt idx="58">
                  <c:v>1.0314619212601257</c:v>
                </c:pt>
                <c:pt idx="59">
                  <c:v>1.0326350900943262</c:v>
                </c:pt>
                <c:pt idx="60">
                  <c:v>1.0338082589285269</c:v>
                </c:pt>
                <c:pt idx="61">
                  <c:v>1.0349814277627276</c:v>
                </c:pt>
                <c:pt idx="62">
                  <c:v>1.0361545965969281</c:v>
                </c:pt>
                <c:pt idx="63">
                  <c:v>1.0373277654311288</c:v>
                </c:pt>
                <c:pt idx="64">
                  <c:v>1.0385009342653295</c:v>
                </c:pt>
                <c:pt idx="65">
                  <c:v>1.03967410309953</c:v>
                </c:pt>
                <c:pt idx="66">
                  <c:v>1.0408472719337307</c:v>
                </c:pt>
              </c:numCache>
            </c:numRef>
          </c:val>
          <c:smooth val="0"/>
          <c:extLst>
            <c:ext xmlns:c16="http://schemas.microsoft.com/office/drawing/2014/chart" uri="{C3380CC4-5D6E-409C-BE32-E72D297353CC}">
              <c16:uniqueId val="{00000001-B80A-468B-AC7E-26E491EE6D92}"/>
            </c:ext>
          </c:extLst>
        </c:ser>
        <c:ser>
          <c:idx val="2"/>
          <c:order val="2"/>
          <c:tx>
            <c:strRef>
              <c:f>'SGDAUD Forcasting Data'!$D$1</c:f>
              <c:strCache>
                <c:ptCount val="1"/>
                <c:pt idx="0">
                  <c:v>Lower Confidence Bound(Open)</c:v>
                </c:pt>
              </c:strCache>
            </c:strRef>
          </c:tx>
          <c:spPr>
            <a:ln w="12700" cap="rnd">
              <a:solidFill>
                <a:srgbClr val="ED7D31"/>
              </a:solidFill>
              <a:prstDash val="solid"/>
              <a:round/>
            </a:ln>
            <a:effectLst/>
          </c:spPr>
          <c:marker>
            <c:symbol val="none"/>
          </c:marker>
          <c:cat>
            <c:numRef>
              <c:f>'SGDAUD Forcasting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'SGDAUD Forcasting Data'!$D$2:$D$68</c:f>
              <c:numCache>
                <c:formatCode>General</c:formatCode>
                <c:ptCount val="67"/>
                <c:pt idx="52" formatCode="0.00">
                  <c:v>1.023115</c:v>
                </c:pt>
                <c:pt idx="53" formatCode="0.00">
                  <c:v>1.0060213411624388</c:v>
                </c:pt>
                <c:pt idx="54" formatCode="0.00">
                  <c:v>1.006587313463188</c:v>
                </c:pt>
                <c:pt idx="55" formatCode="0.00">
                  <c:v>1.0071663890618892</c:v>
                </c:pt>
                <c:pt idx="56" formatCode="0.00">
                  <c:v>1.0077574565535077</c:v>
                </c:pt>
                <c:pt idx="57" formatCode="0.00">
                  <c:v>1.0083595434846326</c:v>
                </c:pt>
                <c:pt idx="58" formatCode="0.00">
                  <c:v>1.0089717933663813</c:v>
                </c:pt>
                <c:pt idx="59" formatCode="0.00">
                  <c:v>1.009593447345174</c:v>
                </c:pt>
                <c:pt idx="60" formatCode="0.00">
                  <c:v>1.0102238294285546</c:v>
                </c:pt>
                <c:pt idx="61" formatCode="0.00">
                  <c:v>1.0108623344589491</c:v>
                </c:pt>
                <c:pt idx="62" formatCode="0.00">
                  <c:v>1.0115084182361407</c:v>
                </c:pt>
                <c:pt idx="63" formatCode="0.00">
                  <c:v>1.0121615893376921</c:v>
                </c:pt>
                <c:pt idx="64" formatCode="0.00">
                  <c:v>1.0128214022941409</c:v>
                </c:pt>
                <c:pt idx="65" formatCode="0.00">
                  <c:v>1.0134874518548094</c:v>
                </c:pt>
                <c:pt idx="66" formatCode="0.00">
                  <c:v>1.0141593681388197</c:v>
                </c:pt>
              </c:numCache>
            </c:numRef>
          </c:val>
          <c:smooth val="0"/>
          <c:extLst>
            <c:ext xmlns:c16="http://schemas.microsoft.com/office/drawing/2014/chart" uri="{C3380CC4-5D6E-409C-BE32-E72D297353CC}">
              <c16:uniqueId val="{00000002-B80A-468B-AC7E-26E491EE6D92}"/>
            </c:ext>
          </c:extLst>
        </c:ser>
        <c:ser>
          <c:idx val="3"/>
          <c:order val="3"/>
          <c:tx>
            <c:strRef>
              <c:f>'SGDAUD Forcasting Data'!$E$1</c:f>
              <c:strCache>
                <c:ptCount val="1"/>
                <c:pt idx="0">
                  <c:v>Upper Confidence Bound(Open)</c:v>
                </c:pt>
              </c:strCache>
            </c:strRef>
          </c:tx>
          <c:spPr>
            <a:ln w="12700" cap="rnd">
              <a:solidFill>
                <a:srgbClr val="ED7D31"/>
              </a:solidFill>
              <a:prstDash val="solid"/>
              <a:round/>
            </a:ln>
            <a:effectLst/>
          </c:spPr>
          <c:marker>
            <c:symbol val="none"/>
          </c:marker>
          <c:cat>
            <c:numRef>
              <c:f>'SGDAUD Forcasting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'SGDAUD Forcasting Data'!$E$2:$E$68</c:f>
              <c:numCache>
                <c:formatCode>General</c:formatCode>
                <c:ptCount val="67"/>
                <c:pt idx="52" formatCode="0.00">
                  <c:v>1.023115</c:v>
                </c:pt>
                <c:pt idx="53" formatCode="0.00">
                  <c:v>1.0451708130158064</c:v>
                </c:pt>
                <c:pt idx="54" formatCode="0.00">
                  <c:v>1.0469511783834582</c:v>
                </c:pt>
                <c:pt idx="55" formatCode="0.00">
                  <c:v>1.0487184404531584</c:v>
                </c:pt>
                <c:pt idx="56" formatCode="0.00">
                  <c:v>1.0504737106299413</c:v>
                </c:pt>
                <c:pt idx="57" formatCode="0.00">
                  <c:v>1.0522179613672173</c:v>
                </c:pt>
                <c:pt idx="58" formatCode="0.00">
                  <c:v>1.0539520491538701</c:v>
                </c:pt>
                <c:pt idx="59" formatCode="0.00">
                  <c:v>1.0556767328434784</c:v>
                </c:pt>
                <c:pt idx="60" formatCode="0.00">
                  <c:v>1.0573926884284992</c:v>
                </c:pt>
                <c:pt idx="61" formatCode="0.00">
                  <c:v>1.0591005210665061</c:v>
                </c:pt>
                <c:pt idx="62" formatCode="0.00">
                  <c:v>1.0608007749577155</c:v>
                </c:pt>
                <c:pt idx="63" formatCode="0.00">
                  <c:v>1.0624939415245656</c:v>
                </c:pt>
                <c:pt idx="64" formatCode="0.00">
                  <c:v>1.0641804662365182</c:v>
                </c:pt>
                <c:pt idx="65" formatCode="0.00">
                  <c:v>1.0658607543442506</c:v>
                </c:pt>
                <c:pt idx="66" formatCode="0.00">
                  <c:v>1.0675351757286418</c:v>
                </c:pt>
              </c:numCache>
            </c:numRef>
          </c:val>
          <c:smooth val="0"/>
          <c:extLst>
            <c:ext xmlns:c16="http://schemas.microsoft.com/office/drawing/2014/chart" uri="{C3380CC4-5D6E-409C-BE32-E72D297353CC}">
              <c16:uniqueId val="{00000003-B80A-468B-AC7E-26E491EE6D92}"/>
            </c:ext>
          </c:extLst>
        </c:ser>
        <c:dLbls>
          <c:showLegendKey val="0"/>
          <c:showVal val="0"/>
          <c:showCatName val="0"/>
          <c:showSerName val="0"/>
          <c:showPercent val="0"/>
          <c:showBubbleSize val="0"/>
        </c:dLbls>
        <c:smooth val="0"/>
        <c:axId val="800800128"/>
        <c:axId val="800802208"/>
      </c:lineChart>
      <c:catAx>
        <c:axId val="80080012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802208"/>
        <c:crosses val="autoZero"/>
        <c:auto val="1"/>
        <c:lblAlgn val="ctr"/>
        <c:lblOffset val="100"/>
        <c:noMultiLvlLbl val="0"/>
      </c:catAx>
      <c:valAx>
        <c:axId val="80080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80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'SGDCAD Forcast Data'!$B$1</c:f>
              <c:strCache>
                <c:ptCount val="1"/>
                <c:pt idx="0">
                  <c:v>Open</c:v>
                </c:pt>
              </c:strCache>
            </c:strRef>
          </c:tx>
          <c:spPr>
            <a:ln w="28575" cap="rnd">
              <a:solidFill>
                <a:schemeClr val="accent1"/>
              </a:solidFill>
              <a:round/>
            </a:ln>
            <a:effectLst/>
          </c:spPr>
          <c:marker>
            <c:symbol val="none"/>
          </c:marker>
          <c:val>
            <c:numRef>
              <c:f>'SGDCAD Forcast Data'!$B$2:$B$68</c:f>
              <c:numCache>
                <c:formatCode>General</c:formatCode>
                <c:ptCount val="67"/>
                <c:pt idx="0">
                  <c:v>0.96043999999999996</c:v>
                </c:pt>
                <c:pt idx="1">
                  <c:v>0.95879999999999999</c:v>
                </c:pt>
                <c:pt idx="2">
                  <c:v>0.95786000000000004</c:v>
                </c:pt>
                <c:pt idx="3">
                  <c:v>0.96199000000000001</c:v>
                </c:pt>
                <c:pt idx="4">
                  <c:v>0.95682</c:v>
                </c:pt>
                <c:pt idx="5">
                  <c:v>0.95743999999999996</c:v>
                </c:pt>
                <c:pt idx="6">
                  <c:v>0.95172999999999996</c:v>
                </c:pt>
                <c:pt idx="7">
                  <c:v>0.95513000000000003</c:v>
                </c:pt>
                <c:pt idx="8">
                  <c:v>0.94203999999999999</c:v>
                </c:pt>
                <c:pt idx="9">
                  <c:v>0.92762999999999995</c:v>
                </c:pt>
                <c:pt idx="10">
                  <c:v>0.93137000000000003</c:v>
                </c:pt>
                <c:pt idx="11">
                  <c:v>0.93459000000000003</c:v>
                </c:pt>
                <c:pt idx="12">
                  <c:v>0.93372999999999995</c:v>
                </c:pt>
                <c:pt idx="13">
                  <c:v>0.93420000000000003</c:v>
                </c:pt>
                <c:pt idx="14">
                  <c:v>0.93762999999999996</c:v>
                </c:pt>
                <c:pt idx="15">
                  <c:v>0.94064999999999999</c:v>
                </c:pt>
                <c:pt idx="16">
                  <c:v>0.92301</c:v>
                </c:pt>
                <c:pt idx="17">
                  <c:v>0.91461000000000003</c:v>
                </c:pt>
                <c:pt idx="18">
                  <c:v>0.90863000000000005</c:v>
                </c:pt>
                <c:pt idx="19">
                  <c:v>0.90639999999999998</c:v>
                </c:pt>
                <c:pt idx="20">
                  <c:v>0.91247999999999996</c:v>
                </c:pt>
                <c:pt idx="21">
                  <c:v>0.91173999999999999</c:v>
                </c:pt>
                <c:pt idx="22">
                  <c:v>0.91690000000000005</c:v>
                </c:pt>
                <c:pt idx="23">
                  <c:v>0.92571000000000003</c:v>
                </c:pt>
                <c:pt idx="24">
                  <c:v>0.91854000000000002</c:v>
                </c:pt>
                <c:pt idx="25">
                  <c:v>0.91517000000000004</c:v>
                </c:pt>
                <c:pt idx="26">
                  <c:v>0.92162999999999995</c:v>
                </c:pt>
                <c:pt idx="27">
                  <c:v>0.92991000000000001</c:v>
                </c:pt>
                <c:pt idx="28">
                  <c:v>0.92364000000000002</c:v>
                </c:pt>
                <c:pt idx="29">
                  <c:v>0.92052</c:v>
                </c:pt>
                <c:pt idx="30">
                  <c:v>0.92691000000000001</c:v>
                </c:pt>
                <c:pt idx="31">
                  <c:v>0.92376000000000003</c:v>
                </c:pt>
                <c:pt idx="32">
                  <c:v>0.94133</c:v>
                </c:pt>
                <c:pt idx="33">
                  <c:v>0.93715999999999999</c:v>
                </c:pt>
                <c:pt idx="34">
                  <c:v>0.93410000000000004</c:v>
                </c:pt>
                <c:pt idx="35">
                  <c:v>0.94498000000000004</c:v>
                </c:pt>
                <c:pt idx="36">
                  <c:v>0.94582999999999995</c:v>
                </c:pt>
                <c:pt idx="37">
                  <c:v>0.93466000000000005</c:v>
                </c:pt>
                <c:pt idx="38">
                  <c:v>0.93081999999999998</c:v>
                </c:pt>
                <c:pt idx="39">
                  <c:v>0.92115999999999998</c:v>
                </c:pt>
                <c:pt idx="40">
                  <c:v>0.91756000000000004</c:v>
                </c:pt>
                <c:pt idx="41">
                  <c:v>0.91722000000000004</c:v>
                </c:pt>
                <c:pt idx="42">
                  <c:v>0.91746000000000005</c:v>
                </c:pt>
                <c:pt idx="43">
                  <c:v>0.92212000000000005</c:v>
                </c:pt>
                <c:pt idx="44">
                  <c:v>0.92774599999999996</c:v>
                </c:pt>
                <c:pt idx="45">
                  <c:v>0.92881999999999998</c:v>
                </c:pt>
                <c:pt idx="46">
                  <c:v>0.92850999999999995</c:v>
                </c:pt>
                <c:pt idx="47">
                  <c:v>0.93503999999999998</c:v>
                </c:pt>
                <c:pt idx="48">
                  <c:v>0.93240000000000001</c:v>
                </c:pt>
                <c:pt idx="49">
                  <c:v>0.94323000000000001</c:v>
                </c:pt>
                <c:pt idx="50">
                  <c:v>0.94354000000000005</c:v>
                </c:pt>
                <c:pt idx="51">
                  <c:v>0.93864999999999998</c:v>
                </c:pt>
                <c:pt idx="52">
                  <c:v>0.93227000000000004</c:v>
                </c:pt>
              </c:numCache>
            </c:numRef>
          </c:val>
          <c:smooth val="0"/>
          <c:extLst>
            <c:ext xmlns:c16="http://schemas.microsoft.com/office/drawing/2014/chart" uri="{C3380CC4-5D6E-409C-BE32-E72D297353CC}">
              <c16:uniqueId val="{00000000-D984-4864-BD80-024C6AFF199E}"/>
            </c:ext>
          </c:extLst>
        </c:ser>
        <c:ser>
          <c:idx val="1"/>
          <c:order val="1"/>
          <c:tx>
            <c:strRef>
              <c:f>'SGDCAD Forcast Data'!$C$1</c:f>
              <c:strCache>
                <c:ptCount val="1"/>
                <c:pt idx="0">
                  <c:v>Forecast(Open)</c:v>
                </c:pt>
              </c:strCache>
            </c:strRef>
          </c:tx>
          <c:spPr>
            <a:ln w="25400" cap="rnd">
              <a:solidFill>
                <a:schemeClr val="accent2"/>
              </a:solidFill>
              <a:round/>
            </a:ln>
            <a:effectLst/>
          </c:spPr>
          <c:marker>
            <c:symbol val="none"/>
          </c:marker>
          <c:cat>
            <c:numRef>
              <c:f>'SGDCAD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'SGDCAD Forcast Data'!$C$2:$C$68</c:f>
              <c:numCache>
                <c:formatCode>General</c:formatCode>
                <c:ptCount val="67"/>
                <c:pt idx="52">
                  <c:v>0.93227000000000004</c:v>
                </c:pt>
                <c:pt idx="53">
                  <c:v>0.93524237468478577</c:v>
                </c:pt>
                <c:pt idx="54">
                  <c:v>0.93489615566510609</c:v>
                </c:pt>
                <c:pt idx="55">
                  <c:v>0.93454993664542652</c:v>
                </c:pt>
                <c:pt idx="56">
                  <c:v>0.93420371762574694</c:v>
                </c:pt>
                <c:pt idx="57">
                  <c:v>0.93385749860606726</c:v>
                </c:pt>
                <c:pt idx="58">
                  <c:v>0.93351127958638769</c:v>
                </c:pt>
                <c:pt idx="59">
                  <c:v>0.93316506056670812</c:v>
                </c:pt>
                <c:pt idx="60">
                  <c:v>0.93281884154702843</c:v>
                </c:pt>
                <c:pt idx="61">
                  <c:v>0.93247262252734886</c:v>
                </c:pt>
                <c:pt idx="62">
                  <c:v>0.93212640350766929</c:v>
                </c:pt>
                <c:pt idx="63">
                  <c:v>0.9317801844879896</c:v>
                </c:pt>
                <c:pt idx="64">
                  <c:v>0.93143396546831003</c:v>
                </c:pt>
                <c:pt idx="65">
                  <c:v>0.93108774644863046</c:v>
                </c:pt>
                <c:pt idx="66">
                  <c:v>0.93074152742895078</c:v>
                </c:pt>
              </c:numCache>
            </c:numRef>
          </c:val>
          <c:smooth val="0"/>
          <c:extLst>
            <c:ext xmlns:c16="http://schemas.microsoft.com/office/drawing/2014/chart" uri="{C3380CC4-5D6E-409C-BE32-E72D297353CC}">
              <c16:uniqueId val="{00000001-D984-4864-BD80-024C6AFF199E}"/>
            </c:ext>
          </c:extLst>
        </c:ser>
        <c:ser>
          <c:idx val="2"/>
          <c:order val="2"/>
          <c:tx>
            <c:strRef>
              <c:f>'SGDCAD Forcast Data'!$D$1</c:f>
              <c:strCache>
                <c:ptCount val="1"/>
                <c:pt idx="0">
                  <c:v>Lower Confidence Bound(Open)</c:v>
                </c:pt>
              </c:strCache>
            </c:strRef>
          </c:tx>
          <c:spPr>
            <a:ln w="12700" cap="rnd">
              <a:solidFill>
                <a:srgbClr val="ED7D31"/>
              </a:solidFill>
              <a:prstDash val="solid"/>
              <a:round/>
            </a:ln>
            <a:effectLst/>
          </c:spPr>
          <c:marker>
            <c:symbol val="none"/>
          </c:marker>
          <c:cat>
            <c:numRef>
              <c:f>'SGDCAD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'SGDCAD Forcast Data'!$D$2:$D$68</c:f>
              <c:numCache>
                <c:formatCode>General</c:formatCode>
                <c:ptCount val="67"/>
                <c:pt idx="52" formatCode="0.00">
                  <c:v>0.93227000000000004</c:v>
                </c:pt>
                <c:pt idx="53" formatCode="0.00">
                  <c:v>0.92018223873405691</c:v>
                </c:pt>
                <c:pt idx="54" formatCode="0.00">
                  <c:v>0.91805167131352694</c:v>
                </c:pt>
                <c:pt idx="55" formatCode="0.00">
                  <c:v>0.91608664605559142</c:v>
                </c:pt>
                <c:pt idx="56" formatCode="0.00">
                  <c:v>0.91424682689918035</c:v>
                </c:pt>
                <c:pt idx="57" formatCode="0.00">
                  <c:v>0.91250591152481586</c:v>
                </c:pt>
                <c:pt idx="58" formatCode="0.00">
                  <c:v>0.91084562488001497</c:v>
                </c:pt>
                <c:pt idx="59" formatCode="0.00">
                  <c:v>0.90925266130966431</c:v>
                </c:pt>
                <c:pt idx="60" formatCode="0.00">
                  <c:v>0.90771697848105448</c:v>
                </c:pt>
                <c:pt idx="61" formatCode="0.00">
                  <c:v>0.90623077750174486</c:v>
                </c:pt>
                <c:pt idx="62" formatCode="0.00">
                  <c:v>0.90478785938515971</c:v>
                </c:pt>
                <c:pt idx="63" formatCode="0.00">
                  <c:v>0.90338320091279201</c:v>
                </c:pt>
                <c:pt idx="64" formatCode="0.00">
                  <c:v>0.90201266488084231</c:v>
                </c:pt>
                <c:pt idx="65" formatCode="0.00">
                  <c:v>0.90067279610150597</c:v>
                </c:pt>
                <c:pt idx="66" formatCode="0.00">
                  <c:v>0.89936067404882114</c:v>
                </c:pt>
              </c:numCache>
            </c:numRef>
          </c:val>
          <c:smooth val="0"/>
          <c:extLst>
            <c:ext xmlns:c16="http://schemas.microsoft.com/office/drawing/2014/chart" uri="{C3380CC4-5D6E-409C-BE32-E72D297353CC}">
              <c16:uniqueId val="{00000002-D984-4864-BD80-024C6AFF199E}"/>
            </c:ext>
          </c:extLst>
        </c:ser>
        <c:ser>
          <c:idx val="3"/>
          <c:order val="3"/>
          <c:tx>
            <c:strRef>
              <c:f>'SGDCAD Forcast Data'!$E$1</c:f>
              <c:strCache>
                <c:ptCount val="1"/>
                <c:pt idx="0">
                  <c:v>Upper Confidence Bound(Open)</c:v>
                </c:pt>
              </c:strCache>
            </c:strRef>
          </c:tx>
          <c:spPr>
            <a:ln w="12700" cap="rnd">
              <a:solidFill>
                <a:srgbClr val="ED7D31"/>
              </a:solidFill>
              <a:prstDash val="solid"/>
              <a:round/>
            </a:ln>
            <a:effectLst/>
          </c:spPr>
          <c:marker>
            <c:symbol val="none"/>
          </c:marker>
          <c:cat>
            <c:numRef>
              <c:f>'SGDCAD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'SGDCAD Forcast Data'!$E$2:$E$68</c:f>
              <c:numCache>
                <c:formatCode>General</c:formatCode>
                <c:ptCount val="67"/>
                <c:pt idx="52" formatCode="0.00">
                  <c:v>0.93227000000000004</c:v>
                </c:pt>
                <c:pt idx="53" formatCode="0.00">
                  <c:v>0.95030251063551463</c:v>
                </c:pt>
                <c:pt idx="54" formatCode="0.00">
                  <c:v>0.95174064001668524</c:v>
                </c:pt>
                <c:pt idx="55" formatCode="0.00">
                  <c:v>0.95301322723526161</c:v>
                </c:pt>
                <c:pt idx="56" formatCode="0.00">
                  <c:v>0.95416060835231353</c:v>
                </c:pt>
                <c:pt idx="57" formatCode="0.00">
                  <c:v>0.95520908568731866</c:v>
                </c:pt>
                <c:pt idx="58" formatCode="0.00">
                  <c:v>0.95617693429276041</c:v>
                </c:pt>
                <c:pt idx="59" formatCode="0.00">
                  <c:v>0.95707745982375192</c:v>
                </c:pt>
                <c:pt idx="60" formatCode="0.00">
                  <c:v>0.95792070461300238</c:v>
                </c:pt>
                <c:pt idx="61" formatCode="0.00">
                  <c:v>0.95871446755295286</c:v>
                </c:pt>
                <c:pt idx="62" formatCode="0.00">
                  <c:v>0.95946494763017887</c:v>
                </c:pt>
                <c:pt idx="63" formatCode="0.00">
                  <c:v>0.9601771680631872</c:v>
                </c:pt>
                <c:pt idx="64" formatCode="0.00">
                  <c:v>0.96085526605577776</c:v>
                </c:pt>
                <c:pt idx="65" formatCode="0.00">
                  <c:v>0.96150269679575495</c:v>
                </c:pt>
                <c:pt idx="66" formatCode="0.00">
                  <c:v>0.96212238080908041</c:v>
                </c:pt>
              </c:numCache>
            </c:numRef>
          </c:val>
          <c:smooth val="0"/>
          <c:extLst>
            <c:ext xmlns:c16="http://schemas.microsoft.com/office/drawing/2014/chart" uri="{C3380CC4-5D6E-409C-BE32-E72D297353CC}">
              <c16:uniqueId val="{00000003-D984-4864-BD80-024C6AFF199E}"/>
            </c:ext>
          </c:extLst>
        </c:ser>
        <c:dLbls>
          <c:showLegendKey val="0"/>
          <c:showVal val="0"/>
          <c:showCatName val="0"/>
          <c:showSerName val="0"/>
          <c:showPercent val="0"/>
          <c:showBubbleSize val="0"/>
        </c:dLbls>
        <c:smooth val="0"/>
        <c:axId val="798788560"/>
        <c:axId val="798792304"/>
      </c:lineChart>
      <c:catAx>
        <c:axId val="79878856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792304"/>
        <c:crosses val="autoZero"/>
        <c:auto val="1"/>
        <c:lblAlgn val="ctr"/>
        <c:lblOffset val="100"/>
        <c:noMultiLvlLbl val="0"/>
      </c:catAx>
      <c:valAx>
        <c:axId val="79879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78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349955885043119"/>
          <c:y val="4.1568151832956132E-2"/>
          <c:w val="0.67371022743361519"/>
          <c:h val="0.78521554440591468"/>
        </c:manualLayout>
      </c:layout>
      <c:barChart>
        <c:barDir val="col"/>
        <c:grouping val="clustered"/>
        <c:varyColors val="0"/>
        <c:ser>
          <c:idx val="0"/>
          <c:order val="0"/>
          <c:tx>
            <c:v>Income</c:v>
          </c:tx>
          <c:spPr>
            <a:solidFill>
              <a:schemeClr val="accent1">
                <a:lumMod val="50000"/>
              </a:schemeClr>
            </a:solidFill>
            <a:ln>
              <a:noFill/>
            </a:ln>
            <a:effectLst/>
          </c:spPr>
          <c:invertIfNegative val="0"/>
          <c:cat>
            <c:strLit>
              <c:ptCount val="1"/>
              <c:pt idx="0">
                <c:v> </c:v>
              </c:pt>
            </c:strLit>
          </c:cat>
          <c:val>
            <c:numRef>
              <c:f>Summary!$B$4</c:f>
              <c:numCache>
                <c:formatCode>"$"#,##0</c:formatCode>
                <c:ptCount val="1"/>
                <c:pt idx="0">
                  <c:v>8500</c:v>
                </c:pt>
              </c:numCache>
            </c:numRef>
          </c:val>
          <c:extLst>
            <c:ext xmlns:c16="http://schemas.microsoft.com/office/drawing/2014/chart" uri="{C3380CC4-5D6E-409C-BE32-E72D297353CC}">
              <c16:uniqueId val="{00000000-5168-44FA-9BB6-5D10AB0D4B54}"/>
            </c:ext>
          </c:extLst>
        </c:ser>
        <c:ser>
          <c:idx val="1"/>
          <c:order val="1"/>
          <c:tx>
            <c:v>Expenses</c:v>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2-5168-44FA-9BB6-5D10AB0D4B54}"/>
              </c:ext>
            </c:extLst>
          </c:dPt>
          <c:cat>
            <c:strLit>
              <c:ptCount val="1"/>
              <c:pt idx="0">
                <c:v> </c:v>
              </c:pt>
            </c:strLit>
          </c:cat>
          <c:val>
            <c:numRef>
              <c:f>Summary!$B$6</c:f>
              <c:numCache>
                <c:formatCode>"$"#,##0</c:formatCode>
                <c:ptCount val="1"/>
                <c:pt idx="0">
                  <c:v>7860</c:v>
                </c:pt>
              </c:numCache>
            </c:numRef>
          </c:val>
          <c:extLst>
            <c:ext xmlns:c16="http://schemas.microsoft.com/office/drawing/2014/chart" uri="{C3380CC4-5D6E-409C-BE32-E72D297353CC}">
              <c16:uniqueId val="{00000003-5168-44FA-9BB6-5D10AB0D4B54}"/>
            </c:ext>
          </c:extLst>
        </c:ser>
        <c:dLbls>
          <c:showLegendKey val="0"/>
          <c:showVal val="0"/>
          <c:showCatName val="0"/>
          <c:showSerName val="0"/>
          <c:showPercent val="0"/>
          <c:showBubbleSize val="0"/>
        </c:dLbls>
        <c:gapWidth val="100"/>
        <c:overlap val="-25"/>
        <c:axId val="274295816"/>
        <c:axId val="274296208"/>
      </c:barChart>
      <c:catAx>
        <c:axId val="274295816"/>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96208"/>
        <c:crosses val="autoZero"/>
        <c:auto val="1"/>
        <c:lblAlgn val="ctr"/>
        <c:lblOffset val="100"/>
        <c:noMultiLvlLbl val="0"/>
      </c:catAx>
      <c:valAx>
        <c:axId val="274296208"/>
        <c:scaling>
          <c:orientation val="minMax"/>
        </c:scaling>
        <c:delete val="0"/>
        <c:axPos val="l"/>
        <c:majorGridlines>
          <c:spPr>
            <a:ln w="3175" cap="flat" cmpd="sng" algn="ctr">
              <a:solidFill>
                <a:schemeClr val="bg1">
                  <a:lumMod val="75000"/>
                  <a:alpha val="25000"/>
                </a:schemeClr>
              </a:solidFill>
              <a:round/>
            </a:ln>
            <a:effectLst/>
          </c:spPr>
        </c:majorGridlines>
        <c:minorGridlines>
          <c:spPr>
            <a:ln w="9525" cap="flat" cmpd="sng" algn="ctr">
              <a:noFill/>
              <a:round/>
            </a:ln>
            <a:effectLst/>
          </c:spPr>
        </c:minorGridlines>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274295816"/>
        <c:crosses val="autoZero"/>
        <c:crossBetween val="between"/>
      </c:valAx>
      <c:spPr>
        <a:noFill/>
        <a:ln>
          <a:noFill/>
        </a:ln>
        <a:effectLst/>
      </c:spPr>
    </c:plotArea>
    <c:legend>
      <c:legendPos val="b"/>
      <c:layout>
        <c:manualLayout>
          <c:xMode val="edge"/>
          <c:yMode val="edge"/>
          <c:x val="0.32129504583440421"/>
          <c:y val="0.83159328121704956"/>
          <c:w val="0.53556858805112273"/>
          <c:h val="7.127090598749670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ivotFmts>
      <c:pivotFmt>
        <c:idx val="0"/>
        <c:spPr>
          <a:solidFill>
            <a:schemeClr val="accent6"/>
          </a:solidFill>
          <a:ln w="19050">
            <a:solidFill>
              <a:schemeClr val="lt1"/>
            </a:solidFill>
          </a:ln>
          <a:effectLst/>
        </c:spPr>
        <c:marker>
          <c:symbol val="none"/>
        </c:marker>
      </c:pivotFmt>
      <c:pivotFmt>
        <c:idx val="1"/>
        <c:spPr>
          <a:solidFill>
            <a:schemeClr val="accent6"/>
          </a:solidFill>
          <a:ln w="19050">
            <a:solidFill>
              <a:schemeClr val="lt1"/>
            </a:solidFill>
          </a:ln>
          <a:effectLst/>
        </c:spPr>
        <c:marker>
          <c:symbol val="none"/>
        </c:marker>
      </c:pivotFmt>
      <c:pivotFmt>
        <c:idx val="2"/>
        <c:spPr>
          <a:solidFill>
            <a:schemeClr val="accent6"/>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spPr>
          <a:solidFill>
            <a:schemeClr val="accent6"/>
          </a:solidFill>
          <a:ln w="19050">
            <a:solidFill>
              <a:schemeClr val="lt1"/>
            </a:solidFill>
          </a:ln>
          <a:effectLst/>
        </c:spPr>
        <c:marker>
          <c:symbol val="none"/>
        </c:marker>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algun Gothic" panose="020B0503020000020004" pitchFamily="34" charset="-127"/>
                  <a:ea typeface="Malgun Gothic" panose="020B0503020000020004" pitchFamily="34" charset="-127"/>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6"/>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6"/>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6"/>
          </a:solidFill>
          <a:ln w="19050">
            <a:solidFill>
              <a:schemeClr val="lt1"/>
            </a:solidFill>
          </a:ln>
          <a:effectLst/>
        </c:spPr>
      </c:pivotFmt>
      <c:pivotFmt>
        <c:idx val="26"/>
        <c:spPr>
          <a:solidFill>
            <a:schemeClr val="accent6"/>
          </a:solidFill>
          <a:ln w="19050">
            <a:solidFill>
              <a:schemeClr val="lt1"/>
            </a:solidFill>
          </a:ln>
          <a:effectLst/>
        </c:spPr>
      </c:pivotFmt>
      <c:pivotFmt>
        <c:idx val="27"/>
        <c:spPr>
          <a:solidFill>
            <a:schemeClr val="accent6"/>
          </a:solidFill>
          <a:ln w="19050">
            <a:solidFill>
              <a:schemeClr val="lt1"/>
            </a:solidFill>
          </a:ln>
          <a:effectLst/>
        </c:spPr>
      </c:pivotFmt>
      <c:pivotFmt>
        <c:idx val="28"/>
        <c:spPr>
          <a:solidFill>
            <a:schemeClr val="accent6"/>
          </a:solidFill>
          <a:ln w="19050">
            <a:solidFill>
              <a:schemeClr val="lt1"/>
            </a:solidFill>
          </a:ln>
          <a:effectLst/>
        </c:spPr>
      </c:pivotFmt>
      <c:pivotFmt>
        <c:idx val="29"/>
        <c:spPr>
          <a:solidFill>
            <a:schemeClr val="accent6"/>
          </a:solidFill>
          <a:ln w="19050">
            <a:solidFill>
              <a:schemeClr val="lt1"/>
            </a:solidFill>
          </a:ln>
          <a:effectLst/>
        </c:spPr>
      </c:pivotFmt>
      <c:pivotFmt>
        <c:idx val="30"/>
        <c:spPr>
          <a:solidFill>
            <a:schemeClr val="accent6"/>
          </a:solidFill>
          <a:ln w="19050">
            <a:solidFill>
              <a:schemeClr val="lt1"/>
            </a:solidFill>
          </a:ln>
          <a:effectLst/>
        </c:spPr>
      </c:pivotFmt>
      <c:pivotFmt>
        <c:idx val="31"/>
        <c:spPr>
          <a:solidFill>
            <a:schemeClr val="accent6"/>
          </a:solidFill>
          <a:ln w="19050">
            <a:solidFill>
              <a:schemeClr val="lt1"/>
            </a:solidFill>
          </a:ln>
          <a:effectLst/>
        </c:spPr>
      </c:pivotFmt>
      <c:pivotFmt>
        <c:idx val="32"/>
        <c:spPr>
          <a:solidFill>
            <a:schemeClr val="accent6"/>
          </a:solidFill>
          <a:ln w="19050">
            <a:solidFill>
              <a:schemeClr val="lt1"/>
            </a:solidFill>
          </a:ln>
          <a:effectLst/>
        </c:spPr>
      </c:pivotFmt>
      <c:pivotFmt>
        <c:idx val="33"/>
        <c:spPr>
          <a:solidFill>
            <a:schemeClr val="accent6"/>
          </a:solidFill>
          <a:ln w="19050">
            <a:solidFill>
              <a:schemeClr val="lt1"/>
            </a:solidFill>
          </a:ln>
          <a:effectLst/>
        </c:spPr>
      </c:pivotFmt>
      <c:pivotFmt>
        <c:idx val="34"/>
        <c:spPr>
          <a:solidFill>
            <a:schemeClr val="accent6"/>
          </a:solidFill>
          <a:ln w="19050">
            <a:solidFill>
              <a:schemeClr val="lt1"/>
            </a:solidFill>
          </a:ln>
          <a:effectLst/>
        </c:spPr>
      </c:pivotFmt>
      <c:pivotFmt>
        <c:idx val="35"/>
        <c:spPr>
          <a:solidFill>
            <a:schemeClr val="accent6"/>
          </a:solidFill>
          <a:ln w="19050">
            <a:solidFill>
              <a:schemeClr val="lt1"/>
            </a:solidFill>
          </a:ln>
          <a:effectLst/>
        </c:spPr>
      </c:pivotFmt>
      <c:pivotFmt>
        <c:idx val="36"/>
        <c:spPr>
          <a:solidFill>
            <a:schemeClr val="accent6"/>
          </a:solidFill>
          <a:ln w="19050">
            <a:solidFill>
              <a:schemeClr val="lt1"/>
            </a:solidFill>
          </a:ln>
          <a:effectLst/>
        </c:spPr>
      </c:pivotFmt>
      <c:pivotFmt>
        <c:idx val="37"/>
        <c:spPr>
          <a:solidFill>
            <a:schemeClr val="accent6"/>
          </a:solidFill>
          <a:ln w="19050">
            <a:solidFill>
              <a:schemeClr val="lt1"/>
            </a:solidFill>
          </a:ln>
          <a:effectLst/>
        </c:spPr>
      </c:pivotFmt>
      <c:pivotFmt>
        <c:idx val="38"/>
        <c:spPr>
          <a:solidFill>
            <a:schemeClr val="accent6"/>
          </a:solidFill>
          <a:ln w="19050">
            <a:solidFill>
              <a:schemeClr val="lt1"/>
            </a:solidFill>
          </a:ln>
          <a:effectLst/>
        </c:spPr>
      </c:pivotFmt>
      <c:pivotFmt>
        <c:idx val="39"/>
        <c:spPr>
          <a:solidFill>
            <a:schemeClr val="accent6"/>
          </a:solidFill>
          <a:ln w="19050">
            <a:solidFill>
              <a:schemeClr val="lt1"/>
            </a:solidFill>
          </a:ln>
          <a:effectLst/>
        </c:spPr>
      </c:pivotFmt>
      <c:pivotFmt>
        <c:idx val="40"/>
        <c:spPr>
          <a:solidFill>
            <a:schemeClr val="accent6"/>
          </a:solidFill>
          <a:ln w="19050">
            <a:solidFill>
              <a:schemeClr val="lt1"/>
            </a:solidFill>
          </a:ln>
          <a:effectLst/>
        </c:spPr>
      </c:pivotFmt>
      <c:pivotFmt>
        <c:idx val="41"/>
        <c:spPr>
          <a:solidFill>
            <a:schemeClr val="accent6"/>
          </a:solidFill>
          <a:ln w="19050">
            <a:solidFill>
              <a:schemeClr val="lt1"/>
            </a:solidFill>
          </a:ln>
          <a:effectLst/>
        </c:spPr>
      </c:pivotFmt>
      <c:pivotFmt>
        <c:idx val="42"/>
        <c:spPr>
          <a:solidFill>
            <a:schemeClr val="accent6"/>
          </a:solidFill>
          <a:ln w="19050">
            <a:solidFill>
              <a:schemeClr val="lt1"/>
            </a:solidFill>
          </a:ln>
          <a:effectLst/>
        </c:spPr>
      </c:pivotFmt>
      <c:pivotFmt>
        <c:idx val="43"/>
        <c:spPr>
          <a:solidFill>
            <a:schemeClr val="accent6"/>
          </a:solidFill>
          <a:ln w="19050">
            <a:solidFill>
              <a:schemeClr val="lt1"/>
            </a:solidFill>
          </a:ln>
          <a:effectLst/>
        </c:spPr>
      </c:pivotFmt>
      <c:pivotFmt>
        <c:idx val="44"/>
        <c:spPr>
          <a:solidFill>
            <a:schemeClr val="accent6"/>
          </a:solidFill>
          <a:ln w="19050">
            <a:solidFill>
              <a:schemeClr val="lt1"/>
            </a:solidFill>
          </a:ln>
          <a:effectLst/>
        </c:spPr>
      </c:pivotFmt>
      <c:pivotFmt>
        <c:idx val="45"/>
        <c:spPr>
          <a:solidFill>
            <a:schemeClr val="accent6"/>
          </a:solidFill>
          <a:ln w="19050">
            <a:solidFill>
              <a:schemeClr val="lt1"/>
            </a:solidFill>
          </a:ln>
          <a:effectLst/>
        </c:spPr>
      </c:pivotFmt>
      <c:pivotFmt>
        <c:idx val="46"/>
        <c:spPr>
          <a:solidFill>
            <a:schemeClr val="accent6"/>
          </a:solidFill>
          <a:ln w="19050">
            <a:solidFill>
              <a:schemeClr val="lt1"/>
            </a:solidFill>
          </a:ln>
          <a:effectLst/>
          <a:scene3d>
            <a:camera prst="orthographicFront"/>
            <a:lightRig rig="chilly" dir="t"/>
          </a:scene3d>
          <a:sp3d prstMaterial="dkEdge"/>
        </c:spPr>
      </c:pivotFmt>
      <c:pivotFmt>
        <c:idx val="47"/>
        <c:spPr>
          <a:solidFill>
            <a:schemeClr val="accent6"/>
          </a:solidFill>
          <a:ln w="19050">
            <a:solidFill>
              <a:schemeClr val="lt1"/>
            </a:solidFill>
          </a:ln>
          <a:effectLst/>
          <a:scene3d>
            <a:camera prst="orthographicFront"/>
            <a:lightRig rig="chilly" dir="t"/>
          </a:scene3d>
          <a:sp3d prstMaterial="dkEdge"/>
        </c:spPr>
      </c:pivotFmt>
      <c:pivotFmt>
        <c:idx val="48"/>
        <c:spPr>
          <a:solidFill>
            <a:schemeClr val="accent6"/>
          </a:solidFill>
          <a:ln w="19050">
            <a:solidFill>
              <a:schemeClr val="lt1"/>
            </a:solidFill>
          </a:ln>
          <a:effectLst/>
          <a:scene3d>
            <a:camera prst="orthographicFront"/>
            <a:lightRig rig="chilly" dir="t"/>
          </a:scene3d>
          <a:sp3d prstMaterial="dkEdge"/>
        </c:spPr>
      </c:pivotFmt>
      <c:pivotFmt>
        <c:idx val="49"/>
        <c:spPr>
          <a:solidFill>
            <a:schemeClr val="accent6"/>
          </a:solidFill>
          <a:ln w="19050">
            <a:solidFill>
              <a:schemeClr val="lt1"/>
            </a:solidFill>
          </a:ln>
          <a:effectLst/>
          <a:scene3d>
            <a:camera prst="orthographicFront"/>
            <a:lightRig rig="chilly" dir="t"/>
          </a:scene3d>
          <a:sp3d prstMaterial="dkEdge"/>
        </c:spPr>
      </c:pivotFmt>
      <c:pivotFmt>
        <c:idx val="50"/>
        <c:spPr>
          <a:solidFill>
            <a:schemeClr val="accent6"/>
          </a:solidFill>
          <a:ln w="19050">
            <a:solidFill>
              <a:schemeClr val="lt1"/>
            </a:solidFill>
          </a:ln>
          <a:effectLst/>
          <a:scene3d>
            <a:camera prst="orthographicFront"/>
            <a:lightRig rig="chilly" dir="t"/>
          </a:scene3d>
          <a:sp3d prstMaterial="dkEdge"/>
        </c:spPr>
      </c:pivotFmt>
      <c:pivotFmt>
        <c:idx val="51"/>
        <c:spPr>
          <a:solidFill>
            <a:schemeClr val="accent6"/>
          </a:solidFill>
          <a:ln w="19050">
            <a:solidFill>
              <a:schemeClr val="lt1"/>
            </a:solidFill>
          </a:ln>
          <a:effectLst/>
          <a:scene3d>
            <a:camera prst="orthographicFront"/>
            <a:lightRig rig="chilly" dir="t"/>
          </a:scene3d>
          <a:sp3d prstMaterial="dkEdge"/>
        </c:spPr>
      </c:pivotFmt>
      <c:pivotFmt>
        <c:idx val="52"/>
        <c:spPr>
          <a:solidFill>
            <a:schemeClr val="accent6"/>
          </a:solidFill>
          <a:ln w="19050">
            <a:solidFill>
              <a:schemeClr val="lt1"/>
            </a:solidFill>
          </a:ln>
          <a:effectLst/>
          <a:scene3d>
            <a:camera prst="orthographicFront"/>
            <a:lightRig rig="chilly" dir="t"/>
          </a:scene3d>
          <a:sp3d prstMaterial="dkEdge"/>
        </c:spPr>
      </c:pivotFmt>
      <c:pivotFmt>
        <c:idx val="53"/>
        <c:spPr>
          <a:solidFill>
            <a:schemeClr val="accent6"/>
          </a:solidFill>
          <a:ln w="19050">
            <a:solidFill>
              <a:schemeClr val="lt1"/>
            </a:solidFill>
          </a:ln>
          <a:effectLst/>
          <a:scene3d>
            <a:camera prst="orthographicFront"/>
            <a:lightRig rig="chilly" dir="t"/>
          </a:scene3d>
          <a:sp3d prstMaterial="dkEdge"/>
        </c:spPr>
      </c:pivotFmt>
      <c:pivotFmt>
        <c:idx val="54"/>
        <c:spPr>
          <a:solidFill>
            <a:schemeClr val="accent6"/>
          </a:solidFill>
          <a:ln w="19050">
            <a:solidFill>
              <a:schemeClr val="lt1"/>
            </a:solidFill>
          </a:ln>
          <a:effectLst/>
          <a:scene3d>
            <a:camera prst="orthographicFront"/>
            <a:lightRig rig="chilly" dir="t"/>
          </a:scene3d>
          <a:sp3d prstMaterial="dkEdge"/>
        </c:spPr>
      </c:pivotFmt>
      <c:pivotFmt>
        <c:idx val="55"/>
        <c:spPr>
          <a:solidFill>
            <a:schemeClr val="accent6"/>
          </a:solidFill>
          <a:ln w="19050">
            <a:solidFill>
              <a:schemeClr val="lt1"/>
            </a:solidFill>
          </a:ln>
          <a:effectLst/>
          <a:scene3d>
            <a:camera prst="orthographicFront"/>
            <a:lightRig rig="chilly" dir="t"/>
          </a:scene3d>
          <a:sp3d prstMaterial="dkEdge"/>
        </c:spPr>
      </c:pivotFmt>
      <c:pivotFmt>
        <c:idx val="56"/>
        <c:spPr>
          <a:solidFill>
            <a:schemeClr val="accent6"/>
          </a:solidFill>
          <a:ln w="19050">
            <a:solidFill>
              <a:schemeClr val="lt1"/>
            </a:solidFill>
          </a:ln>
          <a:effectLst/>
          <a:scene3d>
            <a:camera prst="orthographicFront"/>
            <a:lightRig rig="chilly" dir="t"/>
          </a:scene3d>
          <a:sp3d prstMaterial="dkEdge"/>
        </c:spPr>
      </c:pivotFmt>
      <c:pivotFmt>
        <c:idx val="57"/>
        <c:spPr>
          <a:solidFill>
            <a:schemeClr val="accent6"/>
          </a:solidFill>
          <a:ln w="19050">
            <a:solidFill>
              <a:schemeClr val="lt1"/>
            </a:solidFill>
          </a:ln>
          <a:effectLst/>
          <a:scene3d>
            <a:camera prst="orthographicFront"/>
            <a:lightRig rig="chilly" dir="t"/>
          </a:scene3d>
          <a:sp3d prstMaterial="dkEdge"/>
        </c:spPr>
      </c:pivotFmt>
      <c:pivotFmt>
        <c:idx val="58"/>
        <c:spPr>
          <a:solidFill>
            <a:schemeClr val="accent6"/>
          </a:solidFill>
          <a:ln w="190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algun Gothic" panose="020B0503020000020004" pitchFamily="34" charset="-127"/>
                  <a:ea typeface="Malgun Gothic" panose="020B0503020000020004" pitchFamily="34" charset="-127"/>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9"/>
        <c:spPr>
          <a:solidFill>
            <a:schemeClr val="accent6"/>
          </a:solidFill>
          <a:ln w="19050">
            <a:solidFill>
              <a:schemeClr val="lt1"/>
            </a:solidFill>
          </a:ln>
          <a:effectLst/>
          <a:scene3d>
            <a:camera prst="orthographicFront"/>
            <a:lightRig rig="chilly" dir="t"/>
          </a:scene3d>
          <a:sp3d prstMaterial="dkEdge"/>
        </c:spPr>
      </c:pivotFmt>
      <c:pivotFmt>
        <c:idx val="60"/>
        <c:spPr>
          <a:solidFill>
            <a:schemeClr val="accent6"/>
          </a:solidFill>
          <a:ln w="19050">
            <a:solidFill>
              <a:schemeClr val="lt1"/>
            </a:solidFill>
          </a:ln>
          <a:effectLst/>
          <a:scene3d>
            <a:camera prst="orthographicFront"/>
            <a:lightRig rig="chilly" dir="t"/>
          </a:scene3d>
          <a:sp3d prstMaterial="dkEdge"/>
        </c:spPr>
      </c:pivotFmt>
      <c:pivotFmt>
        <c:idx val="61"/>
        <c:spPr>
          <a:solidFill>
            <a:schemeClr val="accent6"/>
          </a:solidFill>
          <a:ln w="19050">
            <a:solidFill>
              <a:schemeClr val="lt1"/>
            </a:solidFill>
          </a:ln>
          <a:effectLst/>
          <a:scene3d>
            <a:camera prst="orthographicFront"/>
            <a:lightRig rig="chilly" dir="t"/>
          </a:scene3d>
          <a:sp3d prstMaterial="dkEdge"/>
        </c:spPr>
      </c:pivotFmt>
      <c:pivotFmt>
        <c:idx val="62"/>
        <c:spPr>
          <a:solidFill>
            <a:schemeClr val="accent6"/>
          </a:solidFill>
          <a:ln w="19050">
            <a:solidFill>
              <a:schemeClr val="lt1"/>
            </a:solidFill>
          </a:ln>
          <a:effectLst/>
          <a:scene3d>
            <a:camera prst="orthographicFront"/>
            <a:lightRig rig="chilly" dir="t"/>
          </a:scene3d>
          <a:sp3d prstMaterial="dkEdge"/>
        </c:spPr>
      </c:pivotFmt>
      <c:pivotFmt>
        <c:idx val="63"/>
        <c:spPr>
          <a:solidFill>
            <a:schemeClr val="accent6"/>
          </a:solidFill>
          <a:ln w="19050">
            <a:solidFill>
              <a:schemeClr val="lt1"/>
            </a:solidFill>
          </a:ln>
          <a:effectLst/>
          <a:scene3d>
            <a:camera prst="orthographicFront"/>
            <a:lightRig rig="chilly" dir="t"/>
          </a:scene3d>
          <a:sp3d prstMaterial="dkEdge"/>
        </c:spPr>
      </c:pivotFmt>
      <c:pivotFmt>
        <c:idx val="64"/>
        <c:spPr>
          <a:solidFill>
            <a:schemeClr val="accent6"/>
          </a:solidFill>
          <a:ln w="19050">
            <a:solidFill>
              <a:schemeClr val="lt1"/>
            </a:solidFill>
          </a:ln>
          <a:effectLst/>
          <a:scene3d>
            <a:camera prst="orthographicFront"/>
            <a:lightRig rig="chilly" dir="t"/>
          </a:scene3d>
          <a:sp3d prstMaterial="dkEdge"/>
        </c:spPr>
      </c:pivotFmt>
      <c:pivotFmt>
        <c:idx val="65"/>
        <c:spPr>
          <a:solidFill>
            <a:schemeClr val="accent6"/>
          </a:solidFill>
          <a:ln w="19050">
            <a:solidFill>
              <a:schemeClr val="lt1"/>
            </a:solidFill>
          </a:ln>
          <a:effectLst/>
          <a:scene3d>
            <a:camera prst="orthographicFront"/>
            <a:lightRig rig="chilly" dir="t"/>
          </a:scene3d>
          <a:sp3d prstMaterial="dkEdge"/>
        </c:spPr>
      </c:pivotFmt>
      <c:pivotFmt>
        <c:idx val="66"/>
        <c:spPr>
          <a:solidFill>
            <a:schemeClr val="accent6"/>
          </a:solidFill>
          <a:ln w="19050">
            <a:solidFill>
              <a:schemeClr val="lt1"/>
            </a:solidFill>
          </a:ln>
          <a:effectLst/>
          <a:scene3d>
            <a:camera prst="orthographicFront"/>
            <a:lightRig rig="chilly" dir="t"/>
          </a:scene3d>
          <a:sp3d prstMaterial="dkEdge"/>
        </c:spPr>
      </c:pivotFmt>
      <c:pivotFmt>
        <c:idx val="67"/>
        <c:spPr>
          <a:solidFill>
            <a:schemeClr val="accent6"/>
          </a:solidFill>
          <a:ln w="19050">
            <a:solidFill>
              <a:schemeClr val="lt1"/>
            </a:solidFill>
          </a:ln>
          <a:effectLst/>
          <a:scene3d>
            <a:camera prst="orthographicFront"/>
            <a:lightRig rig="chilly" dir="t"/>
          </a:scene3d>
          <a:sp3d prstMaterial="dkEdge"/>
        </c:spPr>
      </c:pivotFmt>
      <c:pivotFmt>
        <c:idx val="68"/>
        <c:spPr>
          <a:solidFill>
            <a:schemeClr val="accent6"/>
          </a:solidFill>
          <a:ln w="19050">
            <a:solidFill>
              <a:schemeClr val="lt1"/>
            </a:solidFill>
          </a:ln>
          <a:effectLst/>
          <a:scene3d>
            <a:camera prst="orthographicFront"/>
            <a:lightRig rig="chilly" dir="t"/>
          </a:scene3d>
          <a:sp3d prstMaterial="dkEdge"/>
        </c:spPr>
      </c:pivotFmt>
      <c:pivotFmt>
        <c:idx val="69"/>
        <c:spPr>
          <a:solidFill>
            <a:schemeClr val="accent6"/>
          </a:solidFill>
          <a:ln w="19050">
            <a:solidFill>
              <a:schemeClr val="lt1"/>
            </a:solidFill>
          </a:ln>
          <a:effectLst/>
          <a:scene3d>
            <a:camera prst="orthographicFront"/>
            <a:lightRig rig="chilly" dir="t"/>
          </a:scene3d>
          <a:sp3d prstMaterial="dkEdge"/>
        </c:spPr>
      </c:pivotFmt>
      <c:pivotFmt>
        <c:idx val="70"/>
        <c:spPr>
          <a:solidFill>
            <a:schemeClr val="accent6"/>
          </a:solidFill>
          <a:ln w="19050">
            <a:solidFill>
              <a:schemeClr val="lt1"/>
            </a:solidFill>
          </a:ln>
          <a:effectLst/>
          <a:scene3d>
            <a:camera prst="orthographicFront"/>
            <a:lightRig rig="chilly" dir="t"/>
          </a:scene3d>
          <a:sp3d prstMaterial="dkEdge"/>
        </c:spPr>
      </c:pivotFmt>
      <c:pivotFmt>
        <c:idx val="71"/>
        <c:spPr>
          <a:solidFill>
            <a:schemeClr val="accent6"/>
          </a:solidFill>
          <a:ln w="19050">
            <a:solidFill>
              <a:schemeClr val="lt1"/>
            </a:solidFill>
          </a:ln>
          <a:effectLst/>
          <a:scene3d>
            <a:camera prst="orthographicFront"/>
            <a:lightRig rig="chilly" dir="t"/>
          </a:scene3d>
          <a:sp3d prstMaterial="dkEdge"/>
        </c:spPr>
        <c:marker>
          <c:symbol val="none"/>
        </c:marker>
      </c:pivotFmt>
      <c:pivotFmt>
        <c:idx val="72"/>
        <c:spPr>
          <a:solidFill>
            <a:schemeClr val="accent6"/>
          </a:solidFill>
          <a:ln w="190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3"/>
        <c:spPr>
          <a:solidFill>
            <a:schemeClr val="accent6"/>
          </a:solidFill>
          <a:ln w="19050">
            <a:solidFill>
              <a:schemeClr val="lt1"/>
            </a:solidFill>
          </a:ln>
          <a:effectLst/>
          <a:scene3d>
            <a:camera prst="orthographicFront"/>
            <a:lightRig rig="chilly" dir="t"/>
          </a:scene3d>
          <a:sp3d prstMaterial="dkEdge"/>
        </c:spPr>
      </c:pivotFmt>
      <c:pivotFmt>
        <c:idx val="74"/>
        <c:spPr>
          <a:solidFill>
            <a:schemeClr val="accent6"/>
          </a:solidFill>
          <a:ln w="19050">
            <a:solidFill>
              <a:schemeClr val="lt1"/>
            </a:solidFill>
          </a:ln>
          <a:effectLst/>
          <a:scene3d>
            <a:camera prst="orthographicFront"/>
            <a:lightRig rig="chilly" dir="t"/>
          </a:scene3d>
          <a:sp3d prstMaterial="dkEdge"/>
        </c:spPr>
      </c:pivotFmt>
      <c:pivotFmt>
        <c:idx val="75"/>
        <c:spPr>
          <a:solidFill>
            <a:schemeClr val="accent6"/>
          </a:solidFill>
          <a:ln w="19050">
            <a:solidFill>
              <a:schemeClr val="lt1"/>
            </a:solidFill>
          </a:ln>
          <a:effectLst/>
          <a:scene3d>
            <a:camera prst="orthographicFront"/>
            <a:lightRig rig="chilly" dir="t"/>
          </a:scene3d>
          <a:sp3d prstMaterial="dkEdge"/>
        </c:spPr>
      </c:pivotFmt>
      <c:pivotFmt>
        <c:idx val="76"/>
        <c:spPr>
          <a:solidFill>
            <a:schemeClr val="accent6"/>
          </a:solidFill>
          <a:ln w="6350">
            <a:solidFill>
              <a:schemeClr val="lt1"/>
            </a:solidFill>
          </a:ln>
          <a:effectLst/>
          <a:scene3d>
            <a:camera prst="orthographicFront"/>
            <a:lightRig rig="chilly" dir="t"/>
          </a:scene3d>
          <a:sp3d prstMaterial="dkEdge"/>
        </c:spPr>
        <c:dLbl>
          <c:idx val="0"/>
          <c:layout>
            <c:manualLayout>
              <c:x val="6.6283267545885509E-3"/>
              <c:y val="4.2598509052183098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7"/>
        <c:spPr>
          <a:solidFill>
            <a:schemeClr val="accent6"/>
          </a:solidFill>
          <a:ln w="19050">
            <a:solidFill>
              <a:schemeClr val="lt1"/>
            </a:solidFill>
          </a:ln>
          <a:effectLst/>
          <a:scene3d>
            <a:camera prst="orthographicFront"/>
            <a:lightRig rig="chilly" dir="t"/>
          </a:scene3d>
          <a:sp3d prstMaterial="dkEdge"/>
        </c:spPr>
      </c:pivotFmt>
      <c:pivotFmt>
        <c:idx val="78"/>
        <c:spPr>
          <a:solidFill>
            <a:schemeClr val="accent6"/>
          </a:solidFill>
          <a:ln w="19050">
            <a:solidFill>
              <a:schemeClr val="lt1"/>
            </a:solidFill>
          </a:ln>
          <a:effectLst/>
          <a:scene3d>
            <a:camera prst="orthographicFront"/>
            <a:lightRig rig="chilly" dir="t"/>
          </a:scene3d>
          <a:sp3d prstMaterial="dkEdge"/>
        </c:spPr>
      </c:pivotFmt>
      <c:pivotFmt>
        <c:idx val="79"/>
        <c:spPr>
          <a:solidFill>
            <a:schemeClr val="accent6"/>
          </a:solidFill>
          <a:ln w="19050">
            <a:solidFill>
              <a:schemeClr val="lt1"/>
            </a:solidFill>
          </a:ln>
          <a:effectLst/>
          <a:scene3d>
            <a:camera prst="orthographicFront"/>
            <a:lightRig rig="chilly" dir="t"/>
          </a:scene3d>
          <a:sp3d prstMaterial="dkEdge"/>
        </c:spPr>
      </c:pivotFmt>
      <c:pivotFmt>
        <c:idx val="80"/>
        <c:spPr>
          <a:solidFill>
            <a:schemeClr val="accent6"/>
          </a:solidFill>
          <a:ln w="19050">
            <a:solidFill>
              <a:schemeClr val="lt1"/>
            </a:solidFill>
          </a:ln>
          <a:effectLst/>
          <a:scene3d>
            <a:camera prst="orthographicFront"/>
            <a:lightRig rig="chilly" dir="t"/>
          </a:scene3d>
          <a:sp3d prstMaterial="dkEdge"/>
        </c:spPr>
      </c:pivotFmt>
      <c:pivotFmt>
        <c:idx val="81"/>
        <c:spPr>
          <a:solidFill>
            <a:schemeClr val="accent6"/>
          </a:solidFill>
          <a:ln w="19050">
            <a:solidFill>
              <a:schemeClr val="lt1"/>
            </a:solidFill>
          </a:ln>
          <a:effectLst/>
          <a:scene3d>
            <a:camera prst="orthographicFront"/>
            <a:lightRig rig="chilly" dir="t"/>
          </a:scene3d>
          <a:sp3d prstMaterial="dkEdge"/>
        </c:spPr>
      </c:pivotFmt>
      <c:pivotFmt>
        <c:idx val="82"/>
        <c:spPr>
          <a:solidFill>
            <a:schemeClr val="accent6">
              <a:tint val="63000"/>
            </a:schemeClr>
          </a:solidFill>
          <a:ln w="6350">
            <a:solidFill>
              <a:schemeClr val="lt1"/>
            </a:solidFill>
          </a:ln>
          <a:effectLst/>
          <a:scene3d>
            <a:camera prst="orthographicFront"/>
            <a:lightRig rig="chilly" dir="t"/>
          </a:scene3d>
          <a:sp3d prstMaterial="dkEdge"/>
        </c:spPr>
      </c:pivotFmt>
      <c:pivotFmt>
        <c:idx val="83"/>
        <c:spPr>
          <a:solidFill>
            <a:schemeClr val="accent6"/>
          </a:solidFill>
          <a:ln w="19050">
            <a:solidFill>
              <a:schemeClr val="lt1"/>
            </a:solidFill>
          </a:ln>
          <a:effectLst/>
          <a:scene3d>
            <a:camera prst="orthographicFront"/>
            <a:lightRig rig="chilly" dir="t"/>
          </a:scene3d>
          <a:sp3d prstMaterial="dkEdge"/>
        </c:spPr>
      </c:pivotFmt>
      <c:pivotFmt>
        <c:idx val="84"/>
        <c:spPr>
          <a:solidFill>
            <a:schemeClr val="accent6"/>
          </a:solidFill>
          <a:ln w="19050">
            <a:solidFill>
              <a:schemeClr val="lt1"/>
            </a:solidFill>
          </a:ln>
          <a:effectLst/>
          <a:scene3d>
            <a:camera prst="orthographicFront"/>
            <a:lightRig rig="chilly" dir="t"/>
          </a:scene3d>
          <a:sp3d prstMaterial="dkEdge"/>
        </c:spPr>
      </c:pivotFmt>
      <c:pivotFmt>
        <c:idx val="85"/>
        <c:spPr>
          <a:solidFill>
            <a:schemeClr val="accent6">
              <a:shade val="73000"/>
            </a:schemeClr>
          </a:solidFill>
          <a:ln w="6350">
            <a:solidFill>
              <a:schemeClr val="lt1"/>
            </a:solidFill>
          </a:ln>
          <a:effectLst/>
          <a:scene3d>
            <a:camera prst="orthographicFront"/>
            <a:lightRig rig="chilly" dir="t"/>
          </a:scene3d>
          <a:sp3d prstMaterial="dkEdge"/>
        </c:spPr>
      </c:pivotFmt>
      <c:pivotFmt>
        <c:idx val="86"/>
        <c:spPr>
          <a:solidFill>
            <a:schemeClr val="accent6">
              <a:shade val="51000"/>
            </a:schemeClr>
          </a:solidFill>
          <a:ln w="6350">
            <a:solidFill>
              <a:schemeClr val="lt1"/>
            </a:solidFill>
          </a:ln>
          <a:effectLst/>
          <a:scene3d>
            <a:camera prst="orthographicFront"/>
            <a:lightRig rig="chilly" dir="t"/>
          </a:scene3d>
          <a:sp3d prstMaterial="dkEdge"/>
        </c:spPr>
      </c:pivotFmt>
      <c:pivotFmt>
        <c:idx val="87"/>
        <c:spPr>
          <a:solidFill>
            <a:schemeClr val="accent6">
              <a:shade val="62000"/>
            </a:schemeClr>
          </a:solidFill>
          <a:ln w="6350">
            <a:solidFill>
              <a:schemeClr val="lt1"/>
            </a:solidFill>
          </a:ln>
          <a:effectLst/>
          <a:scene3d>
            <a:camera prst="orthographicFront"/>
            <a:lightRig rig="chilly" dir="t"/>
          </a:scene3d>
          <a:sp3d prstMaterial="dkEdge"/>
        </c:spPr>
      </c:pivotFmt>
      <c:pivotFmt>
        <c:idx val="88"/>
        <c:spPr>
          <a:solidFill>
            <a:schemeClr val="accent6">
              <a:shade val="83000"/>
            </a:schemeClr>
          </a:solidFill>
          <a:ln w="6350">
            <a:solidFill>
              <a:schemeClr val="lt1"/>
            </a:solidFill>
          </a:ln>
          <a:effectLst/>
          <a:scene3d>
            <a:camera prst="orthographicFront"/>
            <a:lightRig rig="chilly" dir="t"/>
          </a:scene3d>
          <a:sp3d prstMaterial="dkEdge"/>
        </c:spPr>
      </c:pivotFmt>
      <c:pivotFmt>
        <c:idx val="89"/>
        <c:spPr>
          <a:solidFill>
            <a:schemeClr val="accent6">
              <a:shade val="94000"/>
            </a:schemeClr>
          </a:solidFill>
          <a:ln w="6350">
            <a:solidFill>
              <a:schemeClr val="lt1"/>
            </a:solidFill>
          </a:ln>
          <a:effectLst/>
          <a:scene3d>
            <a:camera prst="orthographicFront"/>
            <a:lightRig rig="chilly" dir="t"/>
          </a:scene3d>
          <a:sp3d prstMaterial="dkEdge"/>
        </c:spPr>
      </c:pivotFmt>
      <c:pivotFmt>
        <c:idx val="90"/>
        <c:spPr>
          <a:solidFill>
            <a:schemeClr val="accent6">
              <a:tint val="95000"/>
            </a:schemeClr>
          </a:solidFill>
          <a:ln w="6350">
            <a:solidFill>
              <a:schemeClr val="lt1"/>
            </a:solidFill>
          </a:ln>
          <a:effectLst/>
          <a:scene3d>
            <a:camera prst="orthographicFront"/>
            <a:lightRig rig="chilly" dir="t"/>
          </a:scene3d>
          <a:sp3d prstMaterial="dkEdge"/>
        </c:spPr>
      </c:pivotFmt>
      <c:pivotFmt>
        <c:idx val="91"/>
        <c:spPr>
          <a:solidFill>
            <a:schemeClr val="accent6">
              <a:tint val="84000"/>
            </a:schemeClr>
          </a:solidFill>
          <a:ln w="6350">
            <a:solidFill>
              <a:schemeClr val="lt1"/>
            </a:solidFill>
          </a:ln>
          <a:effectLst/>
          <a:scene3d>
            <a:camera prst="orthographicFront"/>
            <a:lightRig rig="chilly" dir="t"/>
          </a:scene3d>
          <a:sp3d prstMaterial="dkEdge"/>
        </c:spPr>
      </c:pivotFmt>
      <c:pivotFmt>
        <c:idx val="92"/>
        <c:spPr>
          <a:solidFill>
            <a:schemeClr val="accent6">
              <a:tint val="74000"/>
            </a:schemeClr>
          </a:solidFill>
          <a:ln w="6350">
            <a:solidFill>
              <a:schemeClr val="lt1"/>
            </a:solidFill>
          </a:ln>
          <a:effectLst/>
          <a:scene3d>
            <a:camera prst="orthographicFront"/>
            <a:lightRig rig="chilly" dir="t"/>
          </a:scene3d>
          <a:sp3d prstMaterial="dkEdge"/>
        </c:spPr>
      </c:pivotFmt>
      <c:pivotFmt>
        <c:idx val="93"/>
        <c:spPr>
          <a:solidFill>
            <a:schemeClr val="accent6">
              <a:tint val="52000"/>
            </a:schemeClr>
          </a:solidFill>
          <a:ln w="6350">
            <a:solidFill>
              <a:schemeClr val="lt1"/>
            </a:solidFill>
          </a:ln>
          <a:effectLst/>
          <a:scene3d>
            <a:camera prst="orthographicFront"/>
            <a:lightRig rig="chilly" dir="t"/>
          </a:scene3d>
          <a:sp3d prstMaterial="dkEdge"/>
        </c:spPr>
      </c:pivotFmt>
      <c:pivotFmt>
        <c:idx val="94"/>
        <c:spPr>
          <a:solidFill>
            <a:schemeClr val="accent6">
              <a:tint val="41000"/>
            </a:schemeClr>
          </a:solidFill>
          <a:ln w="6350">
            <a:solidFill>
              <a:schemeClr val="lt1"/>
            </a:solidFill>
          </a:ln>
          <a:effectLst/>
          <a:scene3d>
            <a:camera prst="orthographicFront"/>
            <a:lightRig rig="chilly" dir="t"/>
          </a:scene3d>
          <a:sp3d prstMaterial="dkEdge"/>
        </c:spPr>
      </c:pivotFmt>
      <c:pivotFmt>
        <c:idx val="95"/>
        <c:spPr>
          <a:solidFill>
            <a:schemeClr val="accent6"/>
          </a:solidFill>
          <a:ln w="6350">
            <a:solidFill>
              <a:schemeClr val="lt1"/>
            </a:solidFill>
          </a:ln>
          <a:effectLst/>
          <a:scene3d>
            <a:camera prst="orthographicFront"/>
            <a:lightRig rig="chilly" dir="t"/>
          </a:scene3d>
          <a:sp3d prstMaterial="dkEdge"/>
        </c:spPr>
        <c:marker>
          <c:symbol val="none"/>
        </c:marker>
      </c:pivotFmt>
      <c:pivotFmt>
        <c:idx val="96"/>
        <c:spPr>
          <a:solidFill>
            <a:schemeClr val="accent6">
              <a:tint val="63000"/>
            </a:schemeClr>
          </a:solidFill>
          <a:ln w="6350">
            <a:solidFill>
              <a:schemeClr val="lt1"/>
            </a:solidFill>
          </a:ln>
          <a:effectLst/>
          <a:scene3d>
            <a:camera prst="orthographicFront"/>
            <a:lightRig rig="chilly" dir="t"/>
          </a:scene3d>
          <a:sp3d prstMaterial="dkEdge"/>
        </c:spPr>
      </c:pivotFmt>
      <c:pivotFmt>
        <c:idx val="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6"/>
          </a:solidFill>
          <a:ln w="63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6">
              <a:shade val="73000"/>
            </a:schemeClr>
          </a:solidFill>
          <a:ln w="6350">
            <a:solidFill>
              <a:schemeClr val="lt1"/>
            </a:solidFill>
          </a:ln>
          <a:effectLst/>
          <a:scene3d>
            <a:camera prst="orthographicFront"/>
            <a:lightRig rig="chilly" dir="t"/>
          </a:scene3d>
          <a:sp3d prstMaterial="dkEdge"/>
        </c:spPr>
      </c:pivotFmt>
      <c:pivotFmt>
        <c:idx val="100"/>
        <c:spPr>
          <a:solidFill>
            <a:schemeClr val="accent6">
              <a:shade val="73000"/>
            </a:schemeClr>
          </a:solidFill>
          <a:ln w="6350">
            <a:solidFill>
              <a:schemeClr val="lt1"/>
            </a:solidFill>
          </a:ln>
          <a:effectLst/>
          <a:scene3d>
            <a:camera prst="orthographicFront"/>
            <a:lightRig rig="chilly" dir="t"/>
          </a:scene3d>
          <a:sp3d prstMaterial="dkEdge"/>
        </c:spPr>
      </c:pivotFmt>
      <c:pivotFmt>
        <c:idx val="101"/>
        <c:spPr>
          <a:solidFill>
            <a:schemeClr val="accent6">
              <a:shade val="51000"/>
            </a:schemeClr>
          </a:solidFill>
          <a:ln w="6350">
            <a:solidFill>
              <a:schemeClr val="lt1"/>
            </a:solidFill>
          </a:ln>
          <a:effectLst/>
          <a:scene3d>
            <a:camera prst="orthographicFront"/>
            <a:lightRig rig="chilly" dir="t"/>
          </a:scene3d>
          <a:sp3d prstMaterial="dkEdge"/>
        </c:spPr>
      </c:pivotFmt>
      <c:pivotFmt>
        <c:idx val="102"/>
        <c:spPr>
          <a:solidFill>
            <a:schemeClr val="accent6">
              <a:shade val="62000"/>
            </a:schemeClr>
          </a:solidFill>
          <a:ln w="6350">
            <a:solidFill>
              <a:schemeClr val="lt1"/>
            </a:solidFill>
          </a:ln>
          <a:effectLst/>
          <a:scene3d>
            <a:camera prst="orthographicFront"/>
            <a:lightRig rig="chilly" dir="t"/>
          </a:scene3d>
          <a:sp3d prstMaterial="dkEdge"/>
        </c:spPr>
      </c:pivotFmt>
      <c:pivotFmt>
        <c:idx val="103"/>
        <c:spPr>
          <a:solidFill>
            <a:schemeClr val="accent6">
              <a:shade val="83000"/>
            </a:schemeClr>
          </a:solidFill>
          <a:ln w="6350">
            <a:solidFill>
              <a:schemeClr val="lt1"/>
            </a:solidFill>
          </a:ln>
          <a:effectLst/>
          <a:scene3d>
            <a:camera prst="orthographicFront"/>
            <a:lightRig rig="chilly" dir="t"/>
          </a:scene3d>
          <a:sp3d prstMaterial="dkEdge"/>
        </c:spPr>
      </c:pivotFmt>
      <c:pivotFmt>
        <c:idx val="104"/>
        <c:spPr>
          <a:solidFill>
            <a:schemeClr val="accent6">
              <a:shade val="94000"/>
            </a:schemeClr>
          </a:solidFill>
          <a:ln w="6350">
            <a:solidFill>
              <a:schemeClr val="lt1"/>
            </a:solidFill>
          </a:ln>
          <a:effectLst/>
          <a:scene3d>
            <a:camera prst="orthographicFront"/>
            <a:lightRig rig="chilly" dir="t"/>
          </a:scene3d>
          <a:sp3d prstMaterial="dkEdge"/>
        </c:spPr>
      </c:pivotFmt>
      <c:pivotFmt>
        <c:idx val="105"/>
        <c:spPr>
          <a:solidFill>
            <a:schemeClr val="accent6">
              <a:tint val="95000"/>
            </a:schemeClr>
          </a:solidFill>
          <a:ln w="6350">
            <a:solidFill>
              <a:schemeClr val="lt1"/>
            </a:solidFill>
          </a:ln>
          <a:effectLst/>
          <a:scene3d>
            <a:camera prst="orthographicFront"/>
            <a:lightRig rig="chilly" dir="t"/>
          </a:scene3d>
          <a:sp3d prstMaterial="dkEdge"/>
        </c:spPr>
      </c:pivotFmt>
      <c:pivotFmt>
        <c:idx val="106"/>
        <c:spPr>
          <a:solidFill>
            <a:schemeClr val="accent6">
              <a:tint val="84000"/>
            </a:schemeClr>
          </a:solidFill>
          <a:ln w="6350">
            <a:solidFill>
              <a:schemeClr val="lt1"/>
            </a:solidFill>
          </a:ln>
          <a:effectLst/>
          <a:scene3d>
            <a:camera prst="orthographicFront"/>
            <a:lightRig rig="chilly" dir="t"/>
          </a:scene3d>
          <a:sp3d prstMaterial="dkEdge"/>
        </c:spPr>
      </c:pivotFmt>
      <c:pivotFmt>
        <c:idx val="107"/>
        <c:spPr>
          <a:solidFill>
            <a:schemeClr val="accent6">
              <a:tint val="74000"/>
            </a:schemeClr>
          </a:solidFill>
          <a:ln w="6350">
            <a:solidFill>
              <a:schemeClr val="lt1"/>
            </a:solidFill>
          </a:ln>
          <a:effectLst/>
          <a:scene3d>
            <a:camera prst="orthographicFront"/>
            <a:lightRig rig="chilly" dir="t"/>
          </a:scene3d>
          <a:sp3d prstMaterial="dkEdge"/>
        </c:spPr>
      </c:pivotFmt>
      <c:pivotFmt>
        <c:idx val="108"/>
        <c:spPr>
          <a:solidFill>
            <a:schemeClr val="accent6">
              <a:tint val="63000"/>
            </a:schemeClr>
          </a:solidFill>
          <a:ln w="6350">
            <a:solidFill>
              <a:schemeClr val="lt1"/>
            </a:solidFill>
          </a:ln>
          <a:effectLst/>
          <a:scene3d>
            <a:camera prst="orthographicFront"/>
            <a:lightRig rig="chilly" dir="t"/>
          </a:scene3d>
          <a:sp3d prstMaterial="dkEdge"/>
        </c:spPr>
      </c:pivotFmt>
      <c:pivotFmt>
        <c:idx val="109"/>
        <c:spPr>
          <a:solidFill>
            <a:schemeClr val="accent6">
              <a:tint val="52000"/>
            </a:schemeClr>
          </a:solidFill>
          <a:ln w="6350">
            <a:solidFill>
              <a:schemeClr val="lt1"/>
            </a:solidFill>
          </a:ln>
          <a:effectLst/>
          <a:scene3d>
            <a:camera prst="orthographicFront"/>
            <a:lightRig rig="chilly" dir="t"/>
          </a:scene3d>
          <a:sp3d prstMaterial="dkEdge"/>
        </c:spPr>
      </c:pivotFmt>
      <c:pivotFmt>
        <c:idx val="110"/>
        <c:spPr>
          <a:solidFill>
            <a:schemeClr val="accent6">
              <a:tint val="41000"/>
            </a:schemeClr>
          </a:solidFill>
          <a:ln w="6350">
            <a:solidFill>
              <a:schemeClr val="lt1"/>
            </a:solidFill>
          </a:ln>
          <a:effectLst/>
          <a:scene3d>
            <a:camera prst="orthographicFront"/>
            <a:lightRig rig="chilly" dir="t"/>
          </a:scene3d>
          <a:sp3d prstMaterial="dkEdge"/>
        </c:spPr>
      </c:pivotFmt>
      <c:pivotFmt>
        <c:idx val="11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6"/>
          </a:solidFill>
          <a:ln w="63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6">
              <a:tint val="74000"/>
            </a:schemeClr>
          </a:solidFill>
          <a:ln w="6350">
            <a:solidFill>
              <a:schemeClr val="lt1"/>
            </a:solidFill>
          </a:ln>
          <a:effectLst/>
          <a:scene3d>
            <a:camera prst="orthographicFront"/>
            <a:lightRig rig="chilly" dir="t"/>
          </a:scene3d>
          <a:sp3d prstMaterial="dkEdge"/>
        </c:spPr>
      </c:pivotFmt>
      <c:pivotFmt>
        <c:idx val="114"/>
        <c:spPr>
          <a:solidFill>
            <a:schemeClr val="accent6">
              <a:shade val="73000"/>
            </a:schemeClr>
          </a:solidFill>
          <a:ln w="6350">
            <a:solidFill>
              <a:schemeClr val="lt1"/>
            </a:solidFill>
          </a:ln>
          <a:effectLst/>
          <a:scene3d>
            <a:camera prst="orthographicFront"/>
            <a:lightRig rig="chilly" dir="t"/>
          </a:scene3d>
          <a:sp3d prstMaterial="dkEdge"/>
        </c:spPr>
      </c:pivotFmt>
      <c:pivotFmt>
        <c:idx val="115"/>
        <c:spPr>
          <a:solidFill>
            <a:schemeClr val="accent6">
              <a:shade val="73000"/>
            </a:schemeClr>
          </a:solidFill>
          <a:ln w="6350">
            <a:solidFill>
              <a:schemeClr val="lt1"/>
            </a:solidFill>
          </a:ln>
          <a:effectLst/>
          <a:scene3d>
            <a:camera prst="orthographicFront"/>
            <a:lightRig rig="chilly" dir="t"/>
          </a:scene3d>
          <a:sp3d prstMaterial="dkEdge"/>
        </c:spPr>
      </c:pivotFmt>
      <c:pivotFmt>
        <c:idx val="116"/>
        <c:spPr>
          <a:solidFill>
            <a:schemeClr val="accent6">
              <a:tint val="84000"/>
            </a:schemeClr>
          </a:solidFill>
          <a:ln w="6350">
            <a:solidFill>
              <a:schemeClr val="lt1"/>
            </a:solidFill>
          </a:ln>
          <a:effectLst/>
          <a:scene3d>
            <a:camera prst="orthographicFront"/>
            <a:lightRig rig="chilly" dir="t"/>
          </a:scene3d>
          <a:sp3d prstMaterial="dkEdge"/>
        </c:spPr>
      </c:pivotFmt>
      <c:pivotFmt>
        <c:idx val="117"/>
        <c:spPr>
          <a:solidFill>
            <a:schemeClr val="accent6">
              <a:tint val="63000"/>
            </a:schemeClr>
          </a:solidFill>
          <a:ln w="6350">
            <a:solidFill>
              <a:schemeClr val="lt1"/>
            </a:solidFill>
          </a:ln>
          <a:effectLst/>
          <a:scene3d>
            <a:camera prst="orthographicFront"/>
            <a:lightRig rig="chilly" dir="t"/>
          </a:scene3d>
          <a:sp3d prstMaterial="dkEdge"/>
        </c:spPr>
      </c:pivotFmt>
      <c:pivotFmt>
        <c:idx val="118"/>
        <c:spPr>
          <a:solidFill>
            <a:schemeClr val="accent6">
              <a:tint val="95000"/>
            </a:schemeClr>
          </a:solidFill>
          <a:ln w="6350">
            <a:solidFill>
              <a:schemeClr val="lt1"/>
            </a:solidFill>
          </a:ln>
          <a:effectLst/>
          <a:scene3d>
            <a:camera prst="orthographicFront"/>
            <a:lightRig rig="chilly" dir="t"/>
          </a:scene3d>
          <a:sp3d prstMaterial="dkEdge"/>
        </c:spPr>
      </c:pivotFmt>
      <c:pivotFmt>
        <c:idx val="119"/>
        <c:spPr>
          <a:solidFill>
            <a:schemeClr val="accent6">
              <a:tint val="52000"/>
            </a:schemeClr>
          </a:solidFill>
          <a:ln w="6350">
            <a:solidFill>
              <a:schemeClr val="lt1"/>
            </a:solidFill>
          </a:ln>
          <a:effectLst/>
          <a:scene3d>
            <a:camera prst="orthographicFront"/>
            <a:lightRig rig="chilly" dir="t"/>
          </a:scene3d>
          <a:sp3d prstMaterial="dkEdge"/>
        </c:spPr>
      </c:pivotFmt>
      <c:pivotFmt>
        <c:idx val="120"/>
        <c:spPr>
          <a:solidFill>
            <a:schemeClr val="accent6">
              <a:shade val="51000"/>
            </a:schemeClr>
          </a:solidFill>
          <a:ln w="6350">
            <a:solidFill>
              <a:schemeClr val="lt1"/>
            </a:solidFill>
          </a:ln>
          <a:effectLst/>
          <a:scene3d>
            <a:camera prst="orthographicFront"/>
            <a:lightRig rig="chilly" dir="t"/>
          </a:scene3d>
          <a:sp3d prstMaterial="dkEdge"/>
        </c:spPr>
      </c:pivotFmt>
      <c:pivotFmt>
        <c:idx val="121"/>
        <c:spPr>
          <a:solidFill>
            <a:schemeClr val="accent6">
              <a:shade val="94000"/>
            </a:schemeClr>
          </a:solidFill>
          <a:ln w="6350">
            <a:solidFill>
              <a:schemeClr val="lt1"/>
            </a:solidFill>
          </a:ln>
          <a:effectLst/>
          <a:scene3d>
            <a:camera prst="orthographicFront"/>
            <a:lightRig rig="chilly" dir="t"/>
          </a:scene3d>
          <a:sp3d prstMaterial="dkEdge"/>
        </c:spPr>
      </c:pivotFmt>
      <c:pivotFmt>
        <c:idx val="122"/>
        <c:spPr>
          <a:solidFill>
            <a:schemeClr val="accent6">
              <a:shade val="62000"/>
            </a:schemeClr>
          </a:solidFill>
          <a:ln w="6350">
            <a:solidFill>
              <a:schemeClr val="lt1"/>
            </a:solidFill>
          </a:ln>
          <a:effectLst/>
          <a:scene3d>
            <a:camera prst="orthographicFront"/>
            <a:lightRig rig="chilly" dir="t"/>
          </a:scene3d>
          <a:sp3d prstMaterial="dkEdge"/>
        </c:spPr>
      </c:pivotFmt>
      <c:pivotFmt>
        <c:idx val="123"/>
        <c:spPr>
          <a:solidFill>
            <a:schemeClr val="accent6">
              <a:tint val="41000"/>
            </a:schemeClr>
          </a:solidFill>
          <a:ln w="6350">
            <a:solidFill>
              <a:schemeClr val="lt1"/>
            </a:solidFill>
          </a:ln>
          <a:effectLst/>
          <a:scene3d>
            <a:camera prst="orthographicFront"/>
            <a:lightRig rig="chilly" dir="t"/>
          </a:scene3d>
          <a:sp3d prstMaterial="dkEdge"/>
        </c:spPr>
      </c:pivotFmt>
      <c:pivotFmt>
        <c:idx val="124"/>
        <c:spPr>
          <a:solidFill>
            <a:schemeClr val="accent6">
              <a:shade val="83000"/>
            </a:schemeClr>
          </a:solidFill>
          <a:ln w="6350">
            <a:solidFill>
              <a:schemeClr val="lt1"/>
            </a:solidFill>
          </a:ln>
          <a:effectLst/>
          <a:scene3d>
            <a:camera prst="orthographicFront"/>
            <a:lightRig rig="chilly" dir="t"/>
          </a:scene3d>
          <a:sp3d prstMaterial="dkEdge"/>
        </c:spPr>
      </c:pivotFmt>
    </c:pivotFmts>
    <c:plotArea>
      <c:layout>
        <c:manualLayout>
          <c:layoutTarget val="inner"/>
          <c:xMode val="edge"/>
          <c:yMode val="edge"/>
          <c:x val="0.20319585650292385"/>
          <c:y val="7.5528899822527862E-2"/>
          <c:w val="0.75500731720877456"/>
          <c:h val="0.84502614197170622"/>
        </c:manualLayout>
      </c:layout>
      <c:barChart>
        <c:barDir val="bar"/>
        <c:grouping val="clustered"/>
        <c:varyColors val="0"/>
        <c:ser>
          <c:idx val="0"/>
          <c:order val="0"/>
          <c:tx>
            <c:v>Total</c:v>
          </c:tx>
          <c:spPr>
            <a:solidFill>
              <a:schemeClr val="accent6"/>
            </a:solidFill>
            <a:ln w="6350">
              <a:solidFill>
                <a:schemeClr val="lt1"/>
              </a:solidFill>
            </a:ln>
            <a:effectLst/>
            <a:scene3d>
              <a:camera prst="orthographicFront"/>
              <a:lightRig rig="chilly" dir="t"/>
            </a:scene3d>
            <a:sp3d prstMaterial="dkEdge"/>
          </c:spPr>
          <c:invertIfNegative val="0"/>
          <c:dPt>
            <c:idx val="0"/>
            <c:invertIfNegative val="0"/>
            <c:bubble3D val="0"/>
            <c:spPr>
              <a:solidFill>
                <a:schemeClr val="accent6">
                  <a:tint val="74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1-9C96-4860-A8C4-4DAFD374E59B}"/>
              </c:ext>
            </c:extLst>
          </c:dPt>
          <c:dPt>
            <c:idx val="1"/>
            <c:invertIfNegative val="0"/>
            <c:bubble3D val="0"/>
            <c:spPr>
              <a:solidFill>
                <a:schemeClr val="accent6">
                  <a:shade val="7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3-9C96-4860-A8C4-4DAFD374E59B}"/>
              </c:ext>
            </c:extLst>
          </c:dPt>
          <c:dPt>
            <c:idx val="2"/>
            <c:invertIfNegative val="0"/>
            <c:bubble3D val="0"/>
            <c:spPr>
              <a:solidFill>
                <a:schemeClr val="accent6">
                  <a:shade val="7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5-9C96-4860-A8C4-4DAFD374E59B}"/>
              </c:ext>
            </c:extLst>
          </c:dPt>
          <c:dPt>
            <c:idx val="3"/>
            <c:invertIfNegative val="0"/>
            <c:bubble3D val="0"/>
            <c:spPr>
              <a:solidFill>
                <a:schemeClr val="accent6">
                  <a:tint val="84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7-9C96-4860-A8C4-4DAFD374E59B}"/>
              </c:ext>
            </c:extLst>
          </c:dPt>
          <c:dPt>
            <c:idx val="4"/>
            <c:invertIfNegative val="0"/>
            <c:bubble3D val="0"/>
            <c:spPr>
              <a:solidFill>
                <a:schemeClr val="accent6">
                  <a:tint val="6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9-9C96-4860-A8C4-4DAFD374E59B}"/>
              </c:ext>
            </c:extLst>
          </c:dPt>
          <c:dPt>
            <c:idx val="5"/>
            <c:invertIfNegative val="0"/>
            <c:bubble3D val="0"/>
            <c:spPr>
              <a:solidFill>
                <a:schemeClr val="accent6">
                  <a:tint val="95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B-9C96-4860-A8C4-4DAFD374E59B}"/>
              </c:ext>
            </c:extLst>
          </c:dPt>
          <c:dPt>
            <c:idx val="6"/>
            <c:invertIfNegative val="0"/>
            <c:bubble3D val="0"/>
            <c:spPr>
              <a:solidFill>
                <a:schemeClr val="accent6">
                  <a:tint val="52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D-9C96-4860-A8C4-4DAFD374E59B}"/>
              </c:ext>
            </c:extLst>
          </c:dPt>
          <c:dPt>
            <c:idx val="7"/>
            <c:invertIfNegative val="0"/>
            <c:bubble3D val="0"/>
            <c:spPr>
              <a:solidFill>
                <a:schemeClr val="accent6">
                  <a:shade val="51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F-9C96-4860-A8C4-4DAFD374E59B}"/>
              </c:ext>
            </c:extLst>
          </c:dPt>
          <c:dPt>
            <c:idx val="8"/>
            <c:invertIfNegative val="0"/>
            <c:bubble3D val="0"/>
            <c:spPr>
              <a:solidFill>
                <a:schemeClr val="accent6">
                  <a:shade val="94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1-9C96-4860-A8C4-4DAFD374E59B}"/>
              </c:ext>
            </c:extLst>
          </c:dPt>
          <c:dPt>
            <c:idx val="9"/>
            <c:invertIfNegative val="0"/>
            <c:bubble3D val="0"/>
            <c:spPr>
              <a:solidFill>
                <a:schemeClr val="accent6">
                  <a:shade val="62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3-9C96-4860-A8C4-4DAFD374E59B}"/>
              </c:ext>
            </c:extLst>
          </c:dPt>
          <c:dPt>
            <c:idx val="10"/>
            <c:invertIfNegative val="0"/>
            <c:bubble3D val="0"/>
            <c:spPr>
              <a:solidFill>
                <a:schemeClr val="accent6">
                  <a:tint val="41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5-9C96-4860-A8C4-4DAFD374E59B}"/>
              </c:ext>
            </c:extLst>
          </c:dPt>
          <c:dPt>
            <c:idx val="11"/>
            <c:invertIfNegative val="0"/>
            <c:bubble3D val="0"/>
            <c:spPr>
              <a:solidFill>
                <a:schemeClr val="accent6">
                  <a:shade val="8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7-9C96-4860-A8C4-4DAFD374E59B}"/>
              </c:ext>
            </c:extLst>
          </c:dPt>
          <c:dPt>
            <c:idx val="12"/>
            <c:invertIfNegative val="0"/>
            <c:bubble3D val="0"/>
            <c:extLst>
              <c:ext xmlns:c16="http://schemas.microsoft.com/office/drawing/2014/chart" uri="{C3380CC4-5D6E-409C-BE32-E72D297353CC}">
                <c16:uniqueId val="{00000018-9C96-4860-A8C4-4DAFD374E59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Pets</c:v>
              </c:pt>
              <c:pt idx="1">
                <c:v>Gifts and Charity</c:v>
              </c:pt>
              <c:pt idx="2">
                <c:v>Children</c:v>
              </c:pt>
              <c:pt idx="3">
                <c:v>Personal Care</c:v>
              </c:pt>
              <c:pt idx="4">
                <c:v>Savings</c:v>
              </c:pt>
              <c:pt idx="5">
                <c:v>Loans</c:v>
              </c:pt>
              <c:pt idx="6">
                <c:v>Taxes</c:v>
              </c:pt>
              <c:pt idx="7">
                <c:v>Entertainment</c:v>
              </c:pt>
              <c:pt idx="8">
                <c:v>Insurance</c:v>
              </c:pt>
              <c:pt idx="9">
                <c:v>Food</c:v>
              </c:pt>
              <c:pt idx="10">
                <c:v>Transportation</c:v>
              </c:pt>
              <c:pt idx="11">
                <c:v>Housing</c:v>
              </c:pt>
            </c:strLit>
          </c:cat>
          <c:val>
            <c:numLit>
              <c:formatCode>General</c:formatCode>
              <c:ptCount val="12"/>
              <c:pt idx="0">
                <c:v>100</c:v>
              </c:pt>
              <c:pt idx="1">
                <c:v>125</c:v>
              </c:pt>
              <c:pt idx="2">
                <c:v>140</c:v>
              </c:pt>
              <c:pt idx="3">
                <c:v>140</c:v>
              </c:pt>
              <c:pt idx="4">
                <c:v>200</c:v>
              </c:pt>
              <c:pt idx="5">
                <c:v>200</c:v>
              </c:pt>
              <c:pt idx="6">
                <c:v>300</c:v>
              </c:pt>
              <c:pt idx="7">
                <c:v>358</c:v>
              </c:pt>
              <c:pt idx="8">
                <c:v>900</c:v>
              </c:pt>
              <c:pt idx="9">
                <c:v>1320</c:v>
              </c:pt>
              <c:pt idx="10">
                <c:v>1375</c:v>
              </c:pt>
              <c:pt idx="11">
                <c:v>2702</c:v>
              </c:pt>
            </c:numLit>
          </c:val>
          <c:extLst>
            <c:ext xmlns:c16="http://schemas.microsoft.com/office/drawing/2014/chart" uri="{C3380CC4-5D6E-409C-BE32-E72D297353CC}">
              <c16:uniqueId val="{00000019-9C96-4860-A8C4-4DAFD374E59B}"/>
            </c:ext>
          </c:extLst>
        </c:ser>
        <c:dLbls>
          <c:showLegendKey val="0"/>
          <c:showVal val="1"/>
          <c:showCatName val="0"/>
          <c:showSerName val="0"/>
          <c:showPercent val="0"/>
          <c:showBubbleSize val="0"/>
        </c:dLbls>
        <c:gapWidth val="60"/>
        <c:axId val="445458128"/>
        <c:axId val="445460424"/>
      </c:barChart>
      <c:valAx>
        <c:axId val="445460424"/>
        <c:scaling>
          <c:orientation val="minMax"/>
        </c:scaling>
        <c:delete val="0"/>
        <c:axPos val="b"/>
        <c:majorGridlines>
          <c:spPr>
            <a:ln w="3175" cap="flat" cmpd="sng" algn="ctr">
              <a:solidFill>
                <a:schemeClr val="tx1">
                  <a:lumMod val="15000"/>
                  <a:lumOff val="85000"/>
                  <a:alpha val="5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58128"/>
        <c:crosses val="autoZero"/>
        <c:crossBetween val="between"/>
        <c:dispUnits>
          <c:builtInUnit val="thousands"/>
          <c:dispUnitsLbl>
            <c:layout>
              <c:manualLayout>
                <c:xMode val="edge"/>
                <c:yMode val="edge"/>
                <c:x val="0.96467825169753263"/>
                <c:y val="0.92815671416215506"/>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K</a:t>
                  </a:r>
                </a:p>
              </c:rich>
            </c:tx>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catAx>
        <c:axId val="445458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6042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mn-lt"/>
        </a:defRPr>
      </a:pPr>
      <a:endParaRPr lang="en-US"/>
    </a:p>
  </c:txPr>
  <c:printSettings>
    <c:headerFooter/>
    <c:pageMargins b="0.75" l="0.7" r="0.7" t="0.75" header="0.3" footer="0.3"/>
    <c:pageSetup/>
  </c:printSettings>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40660063772392913"/>
          <c:y val="3.4000715791347461E-2"/>
          <c:w val="0.63505380577427817"/>
          <c:h val="0.83761439655718151"/>
        </c:manualLayout>
      </c:layout>
      <c:barChart>
        <c:barDir val="col"/>
        <c:grouping val="clustered"/>
        <c:varyColors val="0"/>
        <c:ser>
          <c:idx val="0"/>
          <c:order val="0"/>
          <c:tx>
            <c:v>Cash</c:v>
          </c:tx>
          <c:spPr>
            <a:gradFill>
              <a:gsLst>
                <a:gs pos="0">
                  <a:srgbClr val="00B050"/>
                </a:gs>
                <a:gs pos="50000">
                  <a:srgbClr val="FFC000"/>
                </a:gs>
                <a:gs pos="100000">
                  <a:srgbClr val="FF0000"/>
                </a:gs>
              </a:gsLst>
              <a:lin ang="5400000" scaled="1"/>
            </a:gradFill>
          </c:spPr>
          <c:invertIfNegative val="0"/>
          <c:cat>
            <c:strLit>
              <c:ptCount val="1"/>
              <c:pt idx="0">
                <c:v>Cash</c:v>
              </c:pt>
            </c:strLit>
          </c:cat>
          <c:val>
            <c:numRef>
              <c:f>Summary!$B$32</c:f>
              <c:numCache>
                <c:formatCode>0%</c:formatCode>
                <c:ptCount val="1"/>
                <c:pt idx="0">
                  <c:v>7.5294117647058817E-2</c:v>
                </c:pt>
              </c:numCache>
            </c:numRef>
          </c:val>
          <c:extLst>
            <c:ext xmlns:c16="http://schemas.microsoft.com/office/drawing/2014/chart" uri="{C3380CC4-5D6E-409C-BE32-E72D297353CC}">
              <c16:uniqueId val="{00000000-03FF-4101-8080-A833F5D0F499}"/>
            </c:ext>
          </c:extLst>
        </c:ser>
        <c:dLbls>
          <c:showLegendKey val="0"/>
          <c:showVal val="0"/>
          <c:showCatName val="0"/>
          <c:showSerName val="0"/>
          <c:showPercent val="0"/>
          <c:showBubbleSize val="0"/>
        </c:dLbls>
        <c:gapWidth val="18"/>
        <c:axId val="581534232"/>
        <c:axId val="567614184"/>
      </c:barChart>
      <c:catAx>
        <c:axId val="581534232"/>
        <c:scaling>
          <c:orientation val="minMax"/>
        </c:scaling>
        <c:delete val="1"/>
        <c:axPos val="b"/>
        <c:numFmt formatCode="General" sourceLinked="0"/>
        <c:majorTickMark val="out"/>
        <c:minorTickMark val="none"/>
        <c:tickLblPos val="nextTo"/>
        <c:crossAx val="567614184"/>
        <c:crosses val="autoZero"/>
        <c:auto val="1"/>
        <c:lblAlgn val="ctr"/>
        <c:lblOffset val="100"/>
        <c:noMultiLvlLbl val="0"/>
      </c:catAx>
      <c:valAx>
        <c:axId val="567614184"/>
        <c:scaling>
          <c:orientation val="minMax"/>
          <c:max val="1"/>
          <c:min val="0"/>
        </c:scaling>
        <c:delete val="0"/>
        <c:axPos val="l"/>
        <c:numFmt formatCode="0%" sourceLinked="0"/>
        <c:majorTickMark val="out"/>
        <c:minorTickMark val="none"/>
        <c:tickLblPos val="nextTo"/>
        <c:spPr>
          <a:ln w="0">
            <a:solidFill>
              <a:schemeClr val="tx2"/>
            </a:solidFill>
            <a:prstDash val="sysDot"/>
          </a:ln>
        </c:spPr>
        <c:txPr>
          <a:bodyPr/>
          <a:lstStyle/>
          <a:p>
            <a:pPr>
              <a:defRPr sz="1100" i="1">
                <a:solidFill>
                  <a:schemeClr val="tx2"/>
                </a:solidFill>
              </a:defRPr>
            </a:pPr>
            <a:endParaRPr lang="en-US"/>
          </a:p>
        </c:txPr>
        <c:crossAx val="581534232"/>
        <c:crosses val="autoZero"/>
        <c:crossBetween val="between"/>
      </c:valAx>
      <c:spPr>
        <a:noFill/>
        <a:ln w="25400">
          <a:noFill/>
        </a:ln>
        <a:effectLst/>
      </c:spPr>
    </c:plotArea>
    <c:plotVisOnly val="1"/>
    <c:dispBlanksAs val="gap"/>
    <c:showDLblsOverMax val="0"/>
  </c:chart>
  <c:spPr>
    <a:noFill/>
    <a:ln>
      <a:noFill/>
    </a:ln>
  </c:spPr>
  <c:printSettings>
    <c:headerFooter/>
    <c:pageMargins b="0.75" l="0.7" r="0.7" t="0.75" header="0.3" footer="0.3"/>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'Loan Chart Data'!$E$9</c:f>
              <c:strCache>
                <c:ptCount val="1"/>
                <c:pt idx="0">
                  <c:v>Principal</c:v>
                </c:pt>
              </c:strCache>
            </c:strRef>
          </c:tx>
          <c:spPr>
            <a:solidFill>
              <a:schemeClr val="accent1"/>
            </a:solidFill>
            <a:ln>
              <a:noFill/>
            </a:ln>
            <a:effectLst/>
          </c:spPr>
          <c:invertIfNegative val="0"/>
          <c:cat>
            <c:strRef>
              <c:f>'Loan Chart Data'!$D$10:$D$19</c:f>
              <c:strCache>
                <c:ptCount val="7"/>
                <c:pt idx="0">
                  <c:v>2022</c:v>
                </c:pt>
                <c:pt idx="1">
                  <c:v>2023</c:v>
                </c:pt>
                <c:pt idx="2">
                  <c:v>2024</c:v>
                </c:pt>
                <c:pt idx="3">
                  <c:v>2025</c:v>
                </c:pt>
                <c:pt idx="4">
                  <c:v>2026</c:v>
                </c:pt>
                <c:pt idx="5">
                  <c:v>2027</c:v>
                </c:pt>
                <c:pt idx="6">
                  <c:v>2028</c:v>
                </c:pt>
              </c:strCache>
            </c:strRef>
          </c:cat>
          <c:val>
            <c:numRef>
              <c:f>'Loan Chart Data'!$E$10:$E$19</c:f>
              <c:numCache>
                <c:formatCode>"$"#,##0</c:formatCode>
                <c:ptCount val="10"/>
                <c:pt idx="0">
                  <c:v>13409.126337823531</c:v>
                </c:pt>
                <c:pt idx="1">
                  <c:v>28753.986987245404</c:v>
                </c:pt>
                <c:pt idx="2">
                  <c:v>44883.919830222425</c:v>
                </c:pt>
                <c:pt idx="3">
                  <c:v>61839.090650151047</c:v>
                </c:pt>
                <c:pt idx="4">
                  <c:v>79661.720188136198</c:v>
                </c:pt>
                <c:pt idx="5">
                  <c:v>98396.189278527687</c:v>
                </c:pt>
                <c:pt idx="6">
                  <c:v>99999.999999999985</c:v>
                </c:pt>
                <c:pt idx="7">
                  <c:v>#N/A</c:v>
                </c:pt>
                <c:pt idx="8">
                  <c:v>#N/A</c:v>
                </c:pt>
                <c:pt idx="9">
                  <c:v>#N/A</c:v>
                </c:pt>
              </c:numCache>
            </c:numRef>
          </c:val>
          <c:extLst>
            <c:ext xmlns:c16="http://schemas.microsoft.com/office/drawing/2014/chart" uri="{C3380CC4-5D6E-409C-BE32-E72D297353CC}">
              <c16:uniqueId val="{00000000-B023-4A35-8A1A-2574E718DE50}"/>
            </c:ext>
          </c:extLst>
        </c:ser>
        <c:ser>
          <c:idx val="1"/>
          <c:order val="1"/>
          <c:tx>
            <c:strRef>
              <c:f>'Loan Chart Data'!$F$9</c:f>
              <c:strCache>
                <c:ptCount val="1"/>
                <c:pt idx="0">
                  <c:v>Interest</c:v>
                </c:pt>
              </c:strCache>
            </c:strRef>
          </c:tx>
          <c:spPr>
            <a:solidFill>
              <a:schemeClr val="accent2"/>
            </a:solidFill>
            <a:ln>
              <a:noFill/>
            </a:ln>
            <a:effectLst/>
          </c:spPr>
          <c:invertIfNegative val="0"/>
          <c:cat>
            <c:strRef>
              <c:f>'Loan Chart Data'!$D$10:$D$19</c:f>
              <c:strCache>
                <c:ptCount val="7"/>
                <c:pt idx="0">
                  <c:v>2022</c:v>
                </c:pt>
                <c:pt idx="1">
                  <c:v>2023</c:v>
                </c:pt>
                <c:pt idx="2">
                  <c:v>2024</c:v>
                </c:pt>
                <c:pt idx="3">
                  <c:v>2025</c:v>
                </c:pt>
                <c:pt idx="4">
                  <c:v>2026</c:v>
                </c:pt>
                <c:pt idx="5">
                  <c:v>2027</c:v>
                </c:pt>
                <c:pt idx="6">
                  <c:v>2028</c:v>
                </c:pt>
              </c:strCache>
            </c:strRef>
          </c:cat>
          <c:val>
            <c:numRef>
              <c:f>'Loan Chart Data'!$F$10:$F$19</c:f>
              <c:numCache>
                <c:formatCode>"$"#,##0</c:formatCode>
                <c:ptCount val="10"/>
                <c:pt idx="0">
                  <c:v>4306.2995897724913</c:v>
                </c:pt>
                <c:pt idx="1">
                  <c:v>8287.3581340917317</c:v>
                </c:pt>
                <c:pt idx="2">
                  <c:v>11483.344484855823</c:v>
                </c:pt>
                <c:pt idx="3">
                  <c:v>13854.092858668311</c:v>
                </c:pt>
                <c:pt idx="4">
                  <c:v>15357.382514424266</c:v>
                </c:pt>
                <c:pt idx="5">
                  <c:v>15948.832617773862</c:v>
                </c:pt>
                <c:pt idx="6">
                  <c:v>15955.515162446663</c:v>
                </c:pt>
                <c:pt idx="7">
                  <c:v>#N/A</c:v>
                </c:pt>
                <c:pt idx="8">
                  <c:v>#N/A</c:v>
                </c:pt>
                <c:pt idx="9">
                  <c:v>#N/A</c:v>
                </c:pt>
              </c:numCache>
            </c:numRef>
          </c:val>
          <c:extLst>
            <c:ext xmlns:c16="http://schemas.microsoft.com/office/drawing/2014/chart" uri="{C3380CC4-5D6E-409C-BE32-E72D297353CC}">
              <c16:uniqueId val="{00000001-B023-4A35-8A1A-2574E718DE50}"/>
            </c:ext>
          </c:extLst>
        </c:ser>
        <c:dLbls>
          <c:showLegendKey val="0"/>
          <c:showVal val="0"/>
          <c:showCatName val="0"/>
          <c:showSerName val="0"/>
          <c:showPercent val="0"/>
          <c:showBubbleSize val="0"/>
        </c:dLbls>
        <c:gapWidth val="150"/>
        <c:overlap val="100"/>
        <c:axId val="532944431"/>
        <c:axId val="532931951"/>
      </c:barChart>
      <c:lineChart>
        <c:grouping val="standard"/>
        <c:varyColors val="0"/>
        <c:ser>
          <c:idx val="2"/>
          <c:order val="2"/>
          <c:tx>
            <c:strRef>
              <c:f>'Loan Chart Data'!$G$9</c:f>
              <c:strCache>
                <c:ptCount val="1"/>
                <c:pt idx="0">
                  <c:v>Ending Balance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'Loan Chart Data'!$D$10:$D$19</c:f>
              <c:strCache>
                <c:ptCount val="7"/>
                <c:pt idx="0">
                  <c:v>2022</c:v>
                </c:pt>
                <c:pt idx="1">
                  <c:v>2023</c:v>
                </c:pt>
                <c:pt idx="2">
                  <c:v>2024</c:v>
                </c:pt>
                <c:pt idx="3">
                  <c:v>2025</c:v>
                </c:pt>
                <c:pt idx="4">
                  <c:v>2026</c:v>
                </c:pt>
                <c:pt idx="5">
                  <c:v>2027</c:v>
                </c:pt>
                <c:pt idx="6">
                  <c:v>2028</c:v>
                </c:pt>
              </c:strCache>
            </c:strRef>
          </c:cat>
          <c:val>
            <c:numRef>
              <c:f>'Loan Chart Data'!$G$10:$G$19</c:f>
              <c:numCache>
                <c:formatCode>"$"#,##0</c:formatCode>
                <c:ptCount val="10"/>
                <c:pt idx="0">
                  <c:v>86590.873662176411</c:v>
                </c:pt>
                <c:pt idx="1">
                  <c:v>71246.013012754498</c:v>
                </c:pt>
                <c:pt idx="2">
                  <c:v>55116.080169777408</c:v>
                </c:pt>
                <c:pt idx="3">
                  <c:v>38160.909349848749</c:v>
                </c:pt>
                <c:pt idx="4">
                  <c:v>20338.279811863427</c:v>
                </c:pt>
                <c:pt idx="5">
                  <c:v>1603.8107214718882</c:v>
                </c:pt>
                <c:pt idx="6">
                  <c:v>-4.7316461859736592E-10</c:v>
                </c:pt>
                <c:pt idx="7">
                  <c:v>#N/A</c:v>
                </c:pt>
                <c:pt idx="8">
                  <c:v>#N/A</c:v>
                </c:pt>
                <c:pt idx="9">
                  <c:v>#N/A</c:v>
                </c:pt>
              </c:numCache>
            </c:numRef>
          </c:val>
          <c:smooth val="0"/>
          <c:extLst>
            <c:ext xmlns:c16="http://schemas.microsoft.com/office/drawing/2014/chart" uri="{C3380CC4-5D6E-409C-BE32-E72D297353CC}">
              <c16:uniqueId val="{00000002-B023-4A35-8A1A-2574E718DE50}"/>
            </c:ext>
          </c:extLst>
        </c:ser>
        <c:dLbls>
          <c:showLegendKey val="0"/>
          <c:showVal val="0"/>
          <c:showCatName val="0"/>
          <c:showSerName val="0"/>
          <c:showPercent val="0"/>
          <c:showBubbleSize val="0"/>
        </c:dLbls>
        <c:marker val="1"/>
        <c:smooth val="0"/>
        <c:axId val="1453533071"/>
        <c:axId val="1453538895"/>
      </c:lineChart>
      <c:catAx>
        <c:axId val="53294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31951"/>
        <c:crosses val="autoZero"/>
        <c:auto val="1"/>
        <c:lblAlgn val="ctr"/>
        <c:lblOffset val="100"/>
        <c:noMultiLvlLbl val="0"/>
      </c:catAx>
      <c:valAx>
        <c:axId val="5329319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44431"/>
        <c:crosses val="autoZero"/>
        <c:crossBetween val="between"/>
      </c:valAx>
      <c:valAx>
        <c:axId val="1453538895"/>
        <c:scaling>
          <c:orientation val="minMax"/>
        </c:scaling>
        <c:delete val="1"/>
        <c:axPos val="r"/>
        <c:numFmt formatCode="&quot;$&quot;#,##0" sourceLinked="1"/>
        <c:majorTickMark val="out"/>
        <c:minorTickMark val="none"/>
        <c:tickLblPos val="nextTo"/>
        <c:crossAx val="1453533071"/>
        <c:crosses val="max"/>
        <c:crossBetween val="between"/>
      </c:valAx>
      <c:catAx>
        <c:axId val="1453533071"/>
        <c:scaling>
          <c:orientation val="minMax"/>
        </c:scaling>
        <c:delete val="1"/>
        <c:axPos val="b"/>
        <c:numFmt formatCode="General" sourceLinked="1"/>
        <c:majorTickMark val="out"/>
        <c:minorTickMark val="none"/>
        <c:tickLblPos val="nextTo"/>
        <c:crossAx val="1453538895"/>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'SGDUSD Forcast Data'!$B$1</c:f>
              <c:strCache>
                <c:ptCount val="1"/>
                <c:pt idx="0">
                  <c:v>Open</c:v>
                </c:pt>
              </c:strCache>
            </c:strRef>
          </c:tx>
          <c:spPr>
            <a:ln w="28575" cap="rnd">
              <a:solidFill>
                <a:schemeClr val="accent1"/>
              </a:solidFill>
              <a:round/>
            </a:ln>
            <a:effectLst/>
          </c:spPr>
          <c:marker>
            <c:symbol val="none"/>
          </c:marker>
          <c:val>
            <c:numRef>
              <c:f>'SGDUSD Forcast Data'!$B$2:$B$92</c:f>
              <c:numCache>
                <c:formatCode>General</c:formatCode>
                <c:ptCount val="91"/>
                <c:pt idx="0">
                  <c:v>0.75588599999999995</c:v>
                </c:pt>
                <c:pt idx="1">
                  <c:v>0.75097100000000006</c:v>
                </c:pt>
                <c:pt idx="2">
                  <c:v>0.75294399999999995</c:v>
                </c:pt>
                <c:pt idx="3">
                  <c:v>0.75165899999999997</c:v>
                </c:pt>
                <c:pt idx="4">
                  <c:v>0.75000800000000001</c:v>
                </c:pt>
                <c:pt idx="5">
                  <c:v>0.75468299999999999</c:v>
                </c:pt>
                <c:pt idx="6">
                  <c:v>0.75545799999999996</c:v>
                </c:pt>
                <c:pt idx="7">
                  <c:v>0.75238899999999997</c:v>
                </c:pt>
                <c:pt idx="8">
                  <c:v>0.74582899999999996</c:v>
                </c:pt>
                <c:pt idx="9">
                  <c:v>0.74409199999999998</c:v>
                </c:pt>
                <c:pt idx="10">
                  <c:v>0.74393100000000001</c:v>
                </c:pt>
                <c:pt idx="11">
                  <c:v>0.74299700000000002</c:v>
                </c:pt>
                <c:pt idx="12">
                  <c:v>0.74309099999999995</c:v>
                </c:pt>
                <c:pt idx="13">
                  <c:v>0.74571200000000004</c:v>
                </c:pt>
                <c:pt idx="14">
                  <c:v>0.74934400000000001</c:v>
                </c:pt>
                <c:pt idx="15">
                  <c:v>0.75343800000000005</c:v>
                </c:pt>
                <c:pt idx="16">
                  <c:v>0.75169900000000001</c:v>
                </c:pt>
                <c:pt idx="17">
                  <c:v>0.75493900000000003</c:v>
                </c:pt>
                <c:pt idx="18">
                  <c:v>0.75027200000000005</c:v>
                </c:pt>
                <c:pt idx="19">
                  <c:v>0.75109499999999996</c:v>
                </c:pt>
                <c:pt idx="20">
                  <c:v>0.755687</c:v>
                </c:pt>
                <c:pt idx="21">
                  <c:v>0.75509300000000001</c:v>
                </c:pt>
                <c:pt idx="22">
                  <c:v>0.754301</c:v>
                </c:pt>
                <c:pt idx="23">
                  <c:v>0.74351699999999998</c:v>
                </c:pt>
                <c:pt idx="24">
                  <c:v>0.74491200000000002</c:v>
                </c:pt>
                <c:pt idx="25">
                  <c:v>0.74217</c:v>
                </c:pt>
                <c:pt idx="26">
                  <c:v>0.74031800000000003</c:v>
                </c:pt>
                <c:pt idx="27">
                  <c:v>0.73708799999999997</c:v>
                </c:pt>
                <c:pt idx="28">
                  <c:v>0.734981</c:v>
                </c:pt>
                <c:pt idx="29">
                  <c:v>0.73821999999999999</c:v>
                </c:pt>
                <c:pt idx="30">
                  <c:v>0.73739200000000005</c:v>
                </c:pt>
                <c:pt idx="31">
                  <c:v>0.73833400000000005</c:v>
                </c:pt>
                <c:pt idx="32">
                  <c:v>0.73453800000000002</c:v>
                </c:pt>
                <c:pt idx="33">
                  <c:v>0.74330099999999999</c:v>
                </c:pt>
                <c:pt idx="34">
                  <c:v>0.74576799999999999</c:v>
                </c:pt>
                <c:pt idx="35">
                  <c:v>0.74561200000000005</c:v>
                </c:pt>
                <c:pt idx="36">
                  <c:v>0.74134500000000003</c:v>
                </c:pt>
                <c:pt idx="37">
                  <c:v>0.73906000000000005</c:v>
                </c:pt>
                <c:pt idx="38">
                  <c:v>0.73751699999999998</c:v>
                </c:pt>
                <c:pt idx="39">
                  <c:v>0.73787700000000001</c:v>
                </c:pt>
                <c:pt idx="40">
                  <c:v>0.74159200000000003</c:v>
                </c:pt>
                <c:pt idx="41">
                  <c:v>0.74189499999999997</c:v>
                </c:pt>
                <c:pt idx="42">
                  <c:v>0.74121800000000004</c:v>
                </c:pt>
                <c:pt idx="43">
                  <c:v>0.74073</c:v>
                </c:pt>
                <c:pt idx="44">
                  <c:v>0.73958500000000005</c:v>
                </c:pt>
                <c:pt idx="45">
                  <c:v>0.73412299999999997</c:v>
                </c:pt>
                <c:pt idx="46">
                  <c:v>0.72995900000000002</c:v>
                </c:pt>
                <c:pt idx="47">
                  <c:v>0.72948500000000005</c:v>
                </c:pt>
                <c:pt idx="48">
                  <c:v>0.73322900000000002</c:v>
                </c:pt>
                <c:pt idx="49">
                  <c:v>0.73148100000000005</c:v>
                </c:pt>
                <c:pt idx="50">
                  <c:v>0.73655099999999996</c:v>
                </c:pt>
                <c:pt idx="51">
                  <c:v>0.74171299999999996</c:v>
                </c:pt>
                <c:pt idx="52">
                  <c:v>0.74021199999999998</c:v>
                </c:pt>
              </c:numCache>
            </c:numRef>
          </c:val>
          <c:smooth val="0"/>
          <c:extLst>
            <c:ext xmlns:c16="http://schemas.microsoft.com/office/drawing/2014/chart" uri="{C3380CC4-5D6E-409C-BE32-E72D297353CC}">
              <c16:uniqueId val="{00000000-EA56-4668-8450-EAA0669F563F}"/>
            </c:ext>
          </c:extLst>
        </c:ser>
        <c:ser>
          <c:idx val="1"/>
          <c:order val="1"/>
          <c:tx>
            <c:strRef>
              <c:f>'SGDUSD Forcast Data'!$C$1</c:f>
              <c:strCache>
                <c:ptCount val="1"/>
                <c:pt idx="0">
                  <c:v>Forecast(Open)</c:v>
                </c:pt>
              </c:strCache>
            </c:strRef>
          </c:tx>
          <c:spPr>
            <a:ln w="25400" cap="rnd">
              <a:solidFill>
                <a:schemeClr val="accent2"/>
              </a:solidFill>
              <a:round/>
            </a:ln>
            <a:effectLst/>
          </c:spPr>
          <c:marker>
            <c:symbol val="none"/>
          </c:marker>
          <c:cat>
            <c:numRef>
              <c:f>'SGDUSD Forcast Data'!$A$2:$A$92</c:f>
              <c:numCache>
                <c:formatCode>m/d/yyyy</c:formatCode>
                <c:ptCount val="91"/>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pt idx="67">
                  <c:v>44676</c:v>
                </c:pt>
                <c:pt idx="68">
                  <c:v>44683</c:v>
                </c:pt>
                <c:pt idx="69">
                  <c:v>44690</c:v>
                </c:pt>
                <c:pt idx="70">
                  <c:v>44697</c:v>
                </c:pt>
                <c:pt idx="71">
                  <c:v>44704</c:v>
                </c:pt>
                <c:pt idx="72">
                  <c:v>44711</c:v>
                </c:pt>
                <c:pt idx="73">
                  <c:v>44718</c:v>
                </c:pt>
                <c:pt idx="74">
                  <c:v>44725</c:v>
                </c:pt>
                <c:pt idx="75">
                  <c:v>44732</c:v>
                </c:pt>
                <c:pt idx="76">
                  <c:v>44739</c:v>
                </c:pt>
                <c:pt idx="77">
                  <c:v>44746</c:v>
                </c:pt>
                <c:pt idx="78">
                  <c:v>44753</c:v>
                </c:pt>
                <c:pt idx="79">
                  <c:v>44760</c:v>
                </c:pt>
                <c:pt idx="80">
                  <c:v>44767</c:v>
                </c:pt>
                <c:pt idx="81">
                  <c:v>44774</c:v>
                </c:pt>
                <c:pt idx="82">
                  <c:v>44781</c:v>
                </c:pt>
                <c:pt idx="83">
                  <c:v>44788</c:v>
                </c:pt>
                <c:pt idx="84">
                  <c:v>44795</c:v>
                </c:pt>
                <c:pt idx="85">
                  <c:v>44802</c:v>
                </c:pt>
                <c:pt idx="86">
                  <c:v>44809</c:v>
                </c:pt>
                <c:pt idx="87">
                  <c:v>44816</c:v>
                </c:pt>
                <c:pt idx="88">
                  <c:v>44823</c:v>
                </c:pt>
                <c:pt idx="89">
                  <c:v>44830</c:v>
                </c:pt>
                <c:pt idx="90">
                  <c:v>44837</c:v>
                </c:pt>
              </c:numCache>
            </c:numRef>
          </c:cat>
          <c:val>
            <c:numRef>
              <c:f>'SGDUSD Forcast Data'!$C$2:$C$92</c:f>
              <c:numCache>
                <c:formatCode>General</c:formatCode>
                <c:ptCount val="91"/>
                <c:pt idx="52">
                  <c:v>0.74021199999999998</c:v>
                </c:pt>
                <c:pt idx="53">
                  <c:v>0.74011221960151208</c:v>
                </c:pt>
                <c:pt idx="54">
                  <c:v>0.73924339130042926</c:v>
                </c:pt>
                <c:pt idx="55">
                  <c:v>0.73853088192693994</c:v>
                </c:pt>
                <c:pt idx="56">
                  <c:v>0.7364859477782264</c:v>
                </c:pt>
                <c:pt idx="57">
                  <c:v>0.73671086518854023</c:v>
                </c:pt>
                <c:pt idx="58">
                  <c:v>0.73892030976899259</c:v>
                </c:pt>
                <c:pt idx="59">
                  <c:v>0.73972761415068122</c:v>
                </c:pt>
                <c:pt idx="60">
                  <c:v>0.73907405901535628</c:v>
                </c:pt>
                <c:pt idx="61">
                  <c:v>0.73209280497917717</c:v>
                </c:pt>
                <c:pt idx="62">
                  <c:v>0.73351227188073065</c:v>
                </c:pt>
                <c:pt idx="63">
                  <c:v>0.7316974310173</c:v>
                </c:pt>
                <c:pt idx="64">
                  <c:v>0.72880217741059017</c:v>
                </c:pt>
                <c:pt idx="65">
                  <c:v>0.72543373533860056</c:v>
                </c:pt>
                <c:pt idx="66">
                  <c:v>0.72393602881875041</c:v>
                </c:pt>
                <c:pt idx="67">
                  <c:v>0.726199613434383</c:v>
                </c:pt>
                <c:pt idx="68">
                  <c:v>0.72517203613628767</c:v>
                </c:pt>
                <c:pt idx="69">
                  <c:v>0.72690950095010742</c:v>
                </c:pt>
                <c:pt idx="70">
                  <c:v>0.72761054353361443</c:v>
                </c:pt>
                <c:pt idx="71">
                  <c:v>0.73201045135732956</c:v>
                </c:pt>
                <c:pt idx="72">
                  <c:v>0.7344080061014302</c:v>
                </c:pt>
                <c:pt idx="73">
                  <c:v>0.73353917780034739</c:v>
                </c:pt>
                <c:pt idx="74">
                  <c:v>0.73282666842685806</c:v>
                </c:pt>
                <c:pt idx="75">
                  <c:v>0.73078173427814463</c:v>
                </c:pt>
                <c:pt idx="76">
                  <c:v>0.73100665168845835</c:v>
                </c:pt>
                <c:pt idx="77">
                  <c:v>0.73321609626891071</c:v>
                </c:pt>
                <c:pt idx="78">
                  <c:v>0.73402340065059934</c:v>
                </c:pt>
                <c:pt idx="79">
                  <c:v>0.7333698455152744</c:v>
                </c:pt>
                <c:pt idx="80">
                  <c:v>0.72638859147909529</c:v>
                </c:pt>
                <c:pt idx="81">
                  <c:v>0.72780805838064877</c:v>
                </c:pt>
                <c:pt idx="82">
                  <c:v>0.72599321751721813</c:v>
                </c:pt>
                <c:pt idx="83">
                  <c:v>0.7230979639105084</c:v>
                </c:pt>
                <c:pt idx="84">
                  <c:v>0.71972952183851868</c:v>
                </c:pt>
                <c:pt idx="85">
                  <c:v>0.71823181531866853</c:v>
                </c:pt>
                <c:pt idx="86">
                  <c:v>0.72049539993430112</c:v>
                </c:pt>
                <c:pt idx="87">
                  <c:v>0.71946782263620579</c:v>
                </c:pt>
                <c:pt idx="88">
                  <c:v>0.72120528745002555</c:v>
                </c:pt>
                <c:pt idx="89">
                  <c:v>0.72190633003353255</c:v>
                </c:pt>
                <c:pt idx="90">
                  <c:v>0.72630623785724768</c:v>
                </c:pt>
              </c:numCache>
            </c:numRef>
          </c:val>
          <c:smooth val="0"/>
          <c:extLst>
            <c:ext xmlns:c16="http://schemas.microsoft.com/office/drawing/2014/chart" uri="{C3380CC4-5D6E-409C-BE32-E72D297353CC}">
              <c16:uniqueId val="{00000001-EA56-4668-8450-EAA0669F563F}"/>
            </c:ext>
          </c:extLst>
        </c:ser>
        <c:ser>
          <c:idx val="2"/>
          <c:order val="2"/>
          <c:tx>
            <c:strRef>
              <c:f>'SGDUSD Forcast Data'!$D$1</c:f>
              <c:strCache>
                <c:ptCount val="1"/>
                <c:pt idx="0">
                  <c:v>Lower Confidence Bound(Open)</c:v>
                </c:pt>
              </c:strCache>
            </c:strRef>
          </c:tx>
          <c:spPr>
            <a:ln w="12700" cap="rnd">
              <a:solidFill>
                <a:srgbClr val="ED7D31"/>
              </a:solidFill>
              <a:prstDash val="solid"/>
              <a:round/>
            </a:ln>
            <a:effectLst/>
          </c:spPr>
          <c:marker>
            <c:symbol val="none"/>
          </c:marker>
          <c:cat>
            <c:numRef>
              <c:f>'SGDUSD Forcast Data'!$A$2:$A$92</c:f>
              <c:numCache>
                <c:formatCode>m/d/yyyy</c:formatCode>
                <c:ptCount val="91"/>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pt idx="67">
                  <c:v>44676</c:v>
                </c:pt>
                <c:pt idx="68">
                  <c:v>44683</c:v>
                </c:pt>
                <c:pt idx="69">
                  <c:v>44690</c:v>
                </c:pt>
                <c:pt idx="70">
                  <c:v>44697</c:v>
                </c:pt>
                <c:pt idx="71">
                  <c:v>44704</c:v>
                </c:pt>
                <c:pt idx="72">
                  <c:v>44711</c:v>
                </c:pt>
                <c:pt idx="73">
                  <c:v>44718</c:v>
                </c:pt>
                <c:pt idx="74">
                  <c:v>44725</c:v>
                </c:pt>
                <c:pt idx="75">
                  <c:v>44732</c:v>
                </c:pt>
                <c:pt idx="76">
                  <c:v>44739</c:v>
                </c:pt>
                <c:pt idx="77">
                  <c:v>44746</c:v>
                </c:pt>
                <c:pt idx="78">
                  <c:v>44753</c:v>
                </c:pt>
                <c:pt idx="79">
                  <c:v>44760</c:v>
                </c:pt>
                <c:pt idx="80">
                  <c:v>44767</c:v>
                </c:pt>
                <c:pt idx="81">
                  <c:v>44774</c:v>
                </c:pt>
                <c:pt idx="82">
                  <c:v>44781</c:v>
                </c:pt>
                <c:pt idx="83">
                  <c:v>44788</c:v>
                </c:pt>
                <c:pt idx="84">
                  <c:v>44795</c:v>
                </c:pt>
                <c:pt idx="85">
                  <c:v>44802</c:v>
                </c:pt>
                <c:pt idx="86">
                  <c:v>44809</c:v>
                </c:pt>
                <c:pt idx="87">
                  <c:v>44816</c:v>
                </c:pt>
                <c:pt idx="88">
                  <c:v>44823</c:v>
                </c:pt>
                <c:pt idx="89">
                  <c:v>44830</c:v>
                </c:pt>
                <c:pt idx="90">
                  <c:v>44837</c:v>
                </c:pt>
              </c:numCache>
            </c:numRef>
          </c:cat>
          <c:val>
            <c:numRef>
              <c:f>'SGDUSD Forcast Data'!$D$2:$D$92</c:f>
              <c:numCache>
                <c:formatCode>General</c:formatCode>
                <c:ptCount val="91"/>
                <c:pt idx="52" formatCode="0.00">
                  <c:v>0.74021199999999998</c:v>
                </c:pt>
                <c:pt idx="53" formatCode="0.00">
                  <c:v>0.73198060448973157</c:v>
                </c:pt>
                <c:pt idx="54" formatCode="0.00">
                  <c:v>0.73111173959646303</c:v>
                </c:pt>
                <c:pt idx="55" formatCode="0.00">
                  <c:v>0.73039916517060577</c:v>
                </c:pt>
                <c:pt idx="56" formatCode="0.00">
                  <c:v>0.72835412937860911</c:v>
                </c:pt>
                <c:pt idx="57" formatCode="0.00">
                  <c:v>0.7285789004248272</c:v>
                </c:pt>
                <c:pt idx="58" formatCode="0.00">
                  <c:v>0.73078814579171558</c:v>
                </c:pt>
                <c:pt idx="59" formatCode="0.00">
                  <c:v>0.73159518998344553</c:v>
                </c:pt>
                <c:pt idx="60" formatCode="0.00">
                  <c:v>0.73094130555713877</c:v>
                </c:pt>
                <c:pt idx="61" formatCode="0.00">
                  <c:v>0.72395964500727317</c:v>
                </c:pt>
                <c:pt idx="62" formatCode="0.00">
                  <c:v>0.72537862005443121</c:v>
                </c:pt>
                <c:pt idx="63" formatCode="0.00">
                  <c:v>0.723563193882379</c:v>
                </c:pt>
                <c:pt idx="64" formatCode="0.00">
                  <c:v>0.72066725340468207</c:v>
                </c:pt>
                <c:pt idx="65" formatCode="0.00">
                  <c:v>0.71729801479754784</c:v>
                </c:pt>
                <c:pt idx="66" formatCode="0.00">
                  <c:v>0.71579939398399961</c:v>
                </c:pt>
                <c:pt idx="67" formatCode="0.00">
                  <c:v>0.71806193846150856</c:v>
                </c:pt>
                <c:pt idx="68" formatCode="0.00">
                  <c:v>0.71703318710472075</c:v>
                </c:pt>
                <c:pt idx="69" formatCode="0.00">
                  <c:v>0.71876933587414737</c:v>
                </c:pt>
                <c:pt idx="70" formatCode="0.00">
                  <c:v>0.7194689123747986</c:v>
                </c:pt>
                <c:pt idx="71" formatCode="0.00">
                  <c:v>0.72386719603823679</c:v>
                </c:pt>
                <c:pt idx="72" formatCode="0.00">
                  <c:v>0.72597184829688388</c:v>
                </c:pt>
                <c:pt idx="73" formatCode="0.00">
                  <c:v>0.72510112339694721</c:v>
                </c:pt>
                <c:pt idx="74" formatCode="0.00">
                  <c:v>0.72438654157540194</c:v>
                </c:pt>
                <c:pt idx="75" formatCode="0.00">
                  <c:v>0.72233935142664341</c:v>
                </c:pt>
                <c:pt idx="76" formatCode="0.00">
                  <c:v>0.72256182160200744</c:v>
                </c:pt>
                <c:pt idx="77" formatCode="0.00">
                  <c:v>0.7247686200512401</c:v>
                </c:pt>
                <c:pt idx="78" formatCode="0.00">
                  <c:v>0.7255730717673603</c:v>
                </c:pt>
                <c:pt idx="79" formatCode="0.00">
                  <c:v>0.72491644981912151</c:v>
                </c:pt>
                <c:pt idx="80" formatCode="0.00">
                  <c:v>0.7179319072366197</c:v>
                </c:pt>
                <c:pt idx="81" formatCode="0.00">
                  <c:v>0.71934785630121667</c:v>
                </c:pt>
                <c:pt idx="82" formatCode="0.00">
                  <c:v>0.71752926078376622</c:v>
                </c:pt>
                <c:pt idx="83" formatCode="0.00">
                  <c:v>0.71463000821234757</c:v>
                </c:pt>
                <c:pt idx="84" formatCode="0.00">
                  <c:v>0.71125731540619153</c:v>
                </c:pt>
                <c:pt idx="85" formatCode="0.00">
                  <c:v>0.70975509896090783</c:v>
                </c:pt>
                <c:pt idx="86" formatCode="0.00">
                  <c:v>0.71201390707713108</c:v>
                </c:pt>
                <c:pt idx="87" formatCode="0.00">
                  <c:v>0.7109812793642255</c:v>
                </c:pt>
                <c:pt idx="88" formatCode="0.00">
                  <c:v>0.71271341254991338</c:v>
                </c:pt>
                <c:pt idx="89" formatCode="0.00">
                  <c:v>0.7134088350398039</c:v>
                </c:pt>
                <c:pt idx="90" formatCode="0.00">
                  <c:v>0.71780282710029941</c:v>
                </c:pt>
              </c:numCache>
            </c:numRef>
          </c:val>
          <c:smooth val="0"/>
          <c:extLst>
            <c:ext xmlns:c16="http://schemas.microsoft.com/office/drawing/2014/chart" uri="{C3380CC4-5D6E-409C-BE32-E72D297353CC}">
              <c16:uniqueId val="{00000002-EA56-4668-8450-EAA0669F563F}"/>
            </c:ext>
          </c:extLst>
        </c:ser>
        <c:ser>
          <c:idx val="3"/>
          <c:order val="3"/>
          <c:tx>
            <c:strRef>
              <c:f>'SGDUSD Forcast Data'!$E$1</c:f>
              <c:strCache>
                <c:ptCount val="1"/>
                <c:pt idx="0">
                  <c:v>Upper Confidence Bound(Open)</c:v>
                </c:pt>
              </c:strCache>
            </c:strRef>
          </c:tx>
          <c:spPr>
            <a:ln w="12700" cap="rnd">
              <a:solidFill>
                <a:srgbClr val="ED7D31"/>
              </a:solidFill>
              <a:prstDash val="solid"/>
              <a:round/>
            </a:ln>
            <a:effectLst/>
          </c:spPr>
          <c:marker>
            <c:symbol val="none"/>
          </c:marker>
          <c:cat>
            <c:numRef>
              <c:f>'SGDUSD Forcast Data'!$A$2:$A$92</c:f>
              <c:numCache>
                <c:formatCode>m/d/yyyy</c:formatCode>
                <c:ptCount val="91"/>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pt idx="67">
                  <c:v>44676</c:v>
                </c:pt>
                <c:pt idx="68">
                  <c:v>44683</c:v>
                </c:pt>
                <c:pt idx="69">
                  <c:v>44690</c:v>
                </c:pt>
                <c:pt idx="70">
                  <c:v>44697</c:v>
                </c:pt>
                <c:pt idx="71">
                  <c:v>44704</c:v>
                </c:pt>
                <c:pt idx="72">
                  <c:v>44711</c:v>
                </c:pt>
                <c:pt idx="73">
                  <c:v>44718</c:v>
                </c:pt>
                <c:pt idx="74">
                  <c:v>44725</c:v>
                </c:pt>
                <c:pt idx="75">
                  <c:v>44732</c:v>
                </c:pt>
                <c:pt idx="76">
                  <c:v>44739</c:v>
                </c:pt>
                <c:pt idx="77">
                  <c:v>44746</c:v>
                </c:pt>
                <c:pt idx="78">
                  <c:v>44753</c:v>
                </c:pt>
                <c:pt idx="79">
                  <c:v>44760</c:v>
                </c:pt>
                <c:pt idx="80">
                  <c:v>44767</c:v>
                </c:pt>
                <c:pt idx="81">
                  <c:v>44774</c:v>
                </c:pt>
                <c:pt idx="82">
                  <c:v>44781</c:v>
                </c:pt>
                <c:pt idx="83">
                  <c:v>44788</c:v>
                </c:pt>
                <c:pt idx="84">
                  <c:v>44795</c:v>
                </c:pt>
                <c:pt idx="85">
                  <c:v>44802</c:v>
                </c:pt>
                <c:pt idx="86">
                  <c:v>44809</c:v>
                </c:pt>
                <c:pt idx="87">
                  <c:v>44816</c:v>
                </c:pt>
                <c:pt idx="88">
                  <c:v>44823</c:v>
                </c:pt>
                <c:pt idx="89">
                  <c:v>44830</c:v>
                </c:pt>
                <c:pt idx="90">
                  <c:v>44837</c:v>
                </c:pt>
              </c:numCache>
            </c:numRef>
          </c:cat>
          <c:val>
            <c:numRef>
              <c:f>'SGDUSD Forcast Data'!$E$2:$E$92</c:f>
              <c:numCache>
                <c:formatCode>General</c:formatCode>
                <c:ptCount val="91"/>
                <c:pt idx="52" formatCode="0.00">
                  <c:v>0.74021199999999998</c:v>
                </c:pt>
                <c:pt idx="53" formatCode="0.00">
                  <c:v>0.74824383471329259</c:v>
                </c:pt>
                <c:pt idx="54" formatCode="0.00">
                  <c:v>0.7473750430043955</c:v>
                </c:pt>
                <c:pt idx="55" formatCode="0.00">
                  <c:v>0.74666259868327411</c:v>
                </c:pt>
                <c:pt idx="56" formatCode="0.00">
                  <c:v>0.7446177661778437</c:v>
                </c:pt>
                <c:pt idx="57" formatCode="0.00">
                  <c:v>0.74484282995225326</c:v>
                </c:pt>
                <c:pt idx="58" formatCode="0.00">
                  <c:v>0.7470524737462696</c:v>
                </c:pt>
                <c:pt idx="59" formatCode="0.00">
                  <c:v>0.74786003831791692</c:v>
                </c:pt>
                <c:pt idx="60" formatCode="0.00">
                  <c:v>0.74720681247357379</c:v>
                </c:pt>
                <c:pt idx="61" formatCode="0.00">
                  <c:v>0.74022596495108117</c:v>
                </c:pt>
                <c:pt idx="62" formatCode="0.00">
                  <c:v>0.74164592370703009</c:v>
                </c:pt>
                <c:pt idx="63" formatCode="0.00">
                  <c:v>0.73983166815222101</c:v>
                </c:pt>
                <c:pt idx="64" formatCode="0.00">
                  <c:v>0.73693710141649826</c:v>
                </c:pt>
                <c:pt idx="65" formatCode="0.00">
                  <c:v>0.73356945587965328</c:v>
                </c:pt>
                <c:pt idx="66" formatCode="0.00">
                  <c:v>0.73207266365350121</c:v>
                </c:pt>
                <c:pt idx="67" formatCode="0.00">
                  <c:v>0.73433728840725743</c:v>
                </c:pt>
                <c:pt idx="68" formatCode="0.00">
                  <c:v>0.73331088516785459</c:v>
                </c:pt>
                <c:pt idx="69" formatCode="0.00">
                  <c:v>0.73504966602606747</c:v>
                </c:pt>
                <c:pt idx="70" formatCode="0.00">
                  <c:v>0.73575217469243026</c:v>
                </c:pt>
                <c:pt idx="71" formatCode="0.00">
                  <c:v>0.74015370667642233</c:v>
                </c:pt>
                <c:pt idx="72" formatCode="0.00">
                  <c:v>0.74284416390597652</c:v>
                </c:pt>
                <c:pt idx="73" formatCode="0.00">
                  <c:v>0.74197723220374756</c:v>
                </c:pt>
                <c:pt idx="74" formatCode="0.00">
                  <c:v>0.74126679527831418</c:v>
                </c:pt>
                <c:pt idx="75" formatCode="0.00">
                  <c:v>0.73922411712964586</c:v>
                </c:pt>
                <c:pt idx="76" formatCode="0.00">
                  <c:v>0.73945148177490927</c:v>
                </c:pt>
                <c:pt idx="77" formatCode="0.00">
                  <c:v>0.74166357248658132</c:v>
                </c:pt>
                <c:pt idx="78" formatCode="0.00">
                  <c:v>0.74247372953383839</c:v>
                </c:pt>
                <c:pt idx="79" formatCode="0.00">
                  <c:v>0.74182324121142729</c:v>
                </c:pt>
                <c:pt idx="80" formatCode="0.00">
                  <c:v>0.73484527572157088</c:v>
                </c:pt>
                <c:pt idx="81" formatCode="0.00">
                  <c:v>0.73626826046008087</c:v>
                </c:pt>
                <c:pt idx="82" formatCode="0.00">
                  <c:v>0.73445717425067003</c:v>
                </c:pt>
                <c:pt idx="83" formatCode="0.00">
                  <c:v>0.73156591960866924</c:v>
                </c:pt>
                <c:pt idx="84" formatCode="0.00">
                  <c:v>0.72820172827084584</c:v>
                </c:pt>
                <c:pt idx="85" formatCode="0.00">
                  <c:v>0.72670853167642924</c:v>
                </c:pt>
                <c:pt idx="86" formatCode="0.00">
                  <c:v>0.72897689279147115</c:v>
                </c:pt>
                <c:pt idx="87" formatCode="0.00">
                  <c:v>0.72795436590818607</c:v>
                </c:pt>
                <c:pt idx="88" formatCode="0.00">
                  <c:v>0.72969716235013771</c:v>
                </c:pt>
                <c:pt idx="89" formatCode="0.00">
                  <c:v>0.7304038250272612</c:v>
                </c:pt>
                <c:pt idx="90" formatCode="0.00">
                  <c:v>0.73480964861419595</c:v>
                </c:pt>
              </c:numCache>
            </c:numRef>
          </c:val>
          <c:smooth val="0"/>
          <c:extLst>
            <c:ext xmlns:c16="http://schemas.microsoft.com/office/drawing/2014/chart" uri="{C3380CC4-5D6E-409C-BE32-E72D297353CC}">
              <c16:uniqueId val="{00000003-EA56-4668-8450-EAA0669F563F}"/>
            </c:ext>
          </c:extLst>
        </c:ser>
        <c:dLbls>
          <c:showLegendKey val="0"/>
          <c:showVal val="0"/>
          <c:showCatName val="0"/>
          <c:showSerName val="0"/>
          <c:showPercent val="0"/>
          <c:showBubbleSize val="0"/>
        </c:dLbls>
        <c:smooth val="0"/>
        <c:axId val="980118816"/>
        <c:axId val="980106752"/>
      </c:lineChart>
      <c:catAx>
        <c:axId val="98011881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06752"/>
        <c:crosses val="autoZero"/>
        <c:auto val="1"/>
        <c:lblAlgn val="ctr"/>
        <c:lblOffset val="100"/>
        <c:noMultiLvlLbl val="0"/>
      </c:catAx>
      <c:valAx>
        <c:axId val="980106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1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'USDEUR Forcast Data'!$B$1</c:f>
              <c:strCache>
                <c:ptCount val="1"/>
                <c:pt idx="0">
                  <c:v>Open</c:v>
                </c:pt>
              </c:strCache>
            </c:strRef>
          </c:tx>
          <c:spPr>
            <a:ln w="28575" cap="rnd">
              <a:solidFill>
                <a:schemeClr val="accent1"/>
              </a:solidFill>
              <a:round/>
            </a:ln>
            <a:effectLst/>
          </c:spPr>
          <c:marker>
            <c:symbol val="none"/>
          </c:marker>
          <c:val>
            <c:numRef>
              <c:f>'USDEUR Forcast Data'!$B$2:$B$68</c:f>
              <c:numCache>
                <c:formatCode>General</c:formatCode>
                <c:ptCount val="67"/>
                <c:pt idx="0">
                  <c:v>0.61861999999999995</c:v>
                </c:pt>
                <c:pt idx="1">
                  <c:v>0.62222999999999995</c:v>
                </c:pt>
                <c:pt idx="2">
                  <c:v>0.61867000000000005</c:v>
                </c:pt>
                <c:pt idx="3">
                  <c:v>0.61994700000000003</c:v>
                </c:pt>
                <c:pt idx="4">
                  <c:v>0.622359</c:v>
                </c:pt>
                <c:pt idx="5">
                  <c:v>0.622533</c:v>
                </c:pt>
                <c:pt idx="6">
                  <c:v>0.62299899999999997</c:v>
                </c:pt>
                <c:pt idx="7">
                  <c:v>0.62218799999999996</c:v>
                </c:pt>
                <c:pt idx="8">
                  <c:v>0.62536700000000001</c:v>
                </c:pt>
                <c:pt idx="9">
                  <c:v>0.622525</c:v>
                </c:pt>
                <c:pt idx="10">
                  <c:v>0.62590400000000002</c:v>
                </c:pt>
                <c:pt idx="11">
                  <c:v>0.63004000000000004</c:v>
                </c:pt>
                <c:pt idx="12">
                  <c:v>0.63153599999999999</c:v>
                </c:pt>
                <c:pt idx="13">
                  <c:v>0.62636999999999998</c:v>
                </c:pt>
                <c:pt idx="14">
                  <c:v>0.62586399999999998</c:v>
                </c:pt>
                <c:pt idx="15">
                  <c:v>0.62304099999999996</c:v>
                </c:pt>
                <c:pt idx="16">
                  <c:v>0.625</c:v>
                </c:pt>
                <c:pt idx="17">
                  <c:v>0.62036999999999998</c:v>
                </c:pt>
                <c:pt idx="18">
                  <c:v>0.61753999999999998</c:v>
                </c:pt>
                <c:pt idx="19">
                  <c:v>0.61652300000000004</c:v>
                </c:pt>
                <c:pt idx="20">
                  <c:v>0.61983600000000005</c:v>
                </c:pt>
                <c:pt idx="21">
                  <c:v>0.62058000000000002</c:v>
                </c:pt>
                <c:pt idx="22">
                  <c:v>0.62278900000000004</c:v>
                </c:pt>
                <c:pt idx="23">
                  <c:v>0.62634000000000001</c:v>
                </c:pt>
                <c:pt idx="24">
                  <c:v>0.62370999999999999</c:v>
                </c:pt>
                <c:pt idx="25">
                  <c:v>0.62590800000000002</c:v>
                </c:pt>
                <c:pt idx="26">
                  <c:v>0.62316899999999997</c:v>
                </c:pt>
                <c:pt idx="27">
                  <c:v>0.62395</c:v>
                </c:pt>
                <c:pt idx="28">
                  <c:v>0.62420799999999999</c:v>
                </c:pt>
                <c:pt idx="29">
                  <c:v>0.62208399999999997</c:v>
                </c:pt>
                <c:pt idx="30">
                  <c:v>0.62756999999999996</c:v>
                </c:pt>
                <c:pt idx="31">
                  <c:v>0.625614</c:v>
                </c:pt>
                <c:pt idx="32">
                  <c:v>0.62754200000000004</c:v>
                </c:pt>
                <c:pt idx="33">
                  <c:v>0.62944500000000003</c:v>
                </c:pt>
                <c:pt idx="34">
                  <c:v>0.62680199999999997</c:v>
                </c:pt>
                <c:pt idx="35">
                  <c:v>0.63079499999999999</c:v>
                </c:pt>
                <c:pt idx="36">
                  <c:v>0.63172799999999996</c:v>
                </c:pt>
                <c:pt idx="37">
                  <c:v>0.63022699999999998</c:v>
                </c:pt>
                <c:pt idx="38">
                  <c:v>0.63512199999999996</c:v>
                </c:pt>
                <c:pt idx="39">
                  <c:v>0.63788900000000004</c:v>
                </c:pt>
                <c:pt idx="40">
                  <c:v>0.6391</c:v>
                </c:pt>
                <c:pt idx="41">
                  <c:v>0.63697000000000004</c:v>
                </c:pt>
                <c:pt idx="42">
                  <c:v>0.64110999999999996</c:v>
                </c:pt>
                <c:pt idx="43">
                  <c:v>0.64020900000000003</c:v>
                </c:pt>
                <c:pt idx="44">
                  <c:v>0.64627000000000001</c:v>
                </c:pt>
                <c:pt idx="45">
                  <c:v>0.65097799999999995</c:v>
                </c:pt>
                <c:pt idx="46">
                  <c:v>0.64639599999999997</c:v>
                </c:pt>
                <c:pt idx="47">
                  <c:v>0.64532</c:v>
                </c:pt>
                <c:pt idx="48">
                  <c:v>0.64804600000000001</c:v>
                </c:pt>
                <c:pt idx="49">
                  <c:v>0.65054599999999996</c:v>
                </c:pt>
                <c:pt idx="50">
                  <c:v>0.65019499999999997</c:v>
                </c:pt>
                <c:pt idx="51">
                  <c:v>0.65203100000000003</c:v>
                </c:pt>
                <c:pt idx="52">
                  <c:v>0.64905000000000002</c:v>
                </c:pt>
              </c:numCache>
            </c:numRef>
          </c:val>
          <c:smooth val="0"/>
          <c:extLst>
            <c:ext xmlns:c16="http://schemas.microsoft.com/office/drawing/2014/chart" uri="{C3380CC4-5D6E-409C-BE32-E72D297353CC}">
              <c16:uniqueId val="{00000000-1DDA-4070-BFF4-3B3177BEF5D6}"/>
            </c:ext>
          </c:extLst>
        </c:ser>
        <c:ser>
          <c:idx val="1"/>
          <c:order val="1"/>
          <c:tx>
            <c:strRef>
              <c:f>'USDEUR Forcast Data'!$C$1</c:f>
              <c:strCache>
                <c:ptCount val="1"/>
                <c:pt idx="0">
                  <c:v>Forecast(Open)</c:v>
                </c:pt>
              </c:strCache>
            </c:strRef>
          </c:tx>
          <c:spPr>
            <a:ln w="25400" cap="rnd">
              <a:solidFill>
                <a:schemeClr val="accent2"/>
              </a:solidFill>
              <a:round/>
            </a:ln>
            <a:effectLst/>
          </c:spPr>
          <c:marker>
            <c:symbol val="none"/>
          </c:marker>
          <c:cat>
            <c:numRef>
              <c:f>'USDEUR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'USDEUR Forcast Data'!$C$2:$C$68</c:f>
              <c:numCache>
                <c:formatCode>General</c:formatCode>
                <c:ptCount val="67"/>
                <c:pt idx="52">
                  <c:v>0.64905000000000002</c:v>
                </c:pt>
                <c:pt idx="53">
                  <c:v>0.65081598300085419</c:v>
                </c:pt>
                <c:pt idx="54">
                  <c:v>0.65127135776402523</c:v>
                </c:pt>
                <c:pt idx="55">
                  <c:v>0.65172673252719626</c:v>
                </c:pt>
                <c:pt idx="56">
                  <c:v>0.65218210729036741</c:v>
                </c:pt>
                <c:pt idx="57">
                  <c:v>0.65263748205353844</c:v>
                </c:pt>
                <c:pt idx="58">
                  <c:v>0.65309285681670948</c:v>
                </c:pt>
                <c:pt idx="59">
                  <c:v>0.65354823157988051</c:v>
                </c:pt>
                <c:pt idx="60">
                  <c:v>0.65400360634305155</c:v>
                </c:pt>
                <c:pt idx="61">
                  <c:v>0.65445898110622258</c:v>
                </c:pt>
                <c:pt idx="62">
                  <c:v>0.65491435586939373</c:v>
                </c:pt>
                <c:pt idx="63">
                  <c:v>0.65536973063256476</c:v>
                </c:pt>
                <c:pt idx="64">
                  <c:v>0.6558251053957358</c:v>
                </c:pt>
                <c:pt idx="65">
                  <c:v>0.65628048015890683</c:v>
                </c:pt>
                <c:pt idx="66">
                  <c:v>0.65673585492207787</c:v>
                </c:pt>
              </c:numCache>
            </c:numRef>
          </c:val>
          <c:smooth val="0"/>
          <c:extLst>
            <c:ext xmlns:c16="http://schemas.microsoft.com/office/drawing/2014/chart" uri="{C3380CC4-5D6E-409C-BE32-E72D297353CC}">
              <c16:uniqueId val="{00000001-1DDA-4070-BFF4-3B3177BEF5D6}"/>
            </c:ext>
          </c:extLst>
        </c:ser>
        <c:ser>
          <c:idx val="2"/>
          <c:order val="2"/>
          <c:tx>
            <c:strRef>
              <c:f>'USDEUR Forcast Data'!$D$1</c:f>
              <c:strCache>
                <c:ptCount val="1"/>
                <c:pt idx="0">
                  <c:v>Lower Confidence Bound(Open)</c:v>
                </c:pt>
              </c:strCache>
            </c:strRef>
          </c:tx>
          <c:spPr>
            <a:ln w="12700" cap="rnd">
              <a:solidFill>
                <a:srgbClr val="ED7D31"/>
              </a:solidFill>
              <a:prstDash val="solid"/>
              <a:round/>
            </a:ln>
            <a:effectLst/>
          </c:spPr>
          <c:marker>
            <c:symbol val="none"/>
          </c:marker>
          <c:cat>
            <c:numRef>
              <c:f>'USDEUR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'USDEUR Forcast Data'!$D$2:$D$68</c:f>
              <c:numCache>
                <c:formatCode>General</c:formatCode>
                <c:ptCount val="67"/>
                <c:pt idx="52" formatCode="0.00">
                  <c:v>0.64905000000000002</c:v>
                </c:pt>
                <c:pt idx="53" formatCode="0.00">
                  <c:v>0.64513252369838248</c:v>
                </c:pt>
                <c:pt idx="54" formatCode="0.00">
                  <c:v>0.64387314930919026</c:v>
                </c:pt>
                <c:pt idx="55" formatCode="0.00">
                  <c:v>0.64239746339250547</c:v>
                </c:pt>
                <c:pt idx="56" formatCode="0.00">
                  <c:v>0.64073651517005614</c:v>
                </c:pt>
                <c:pt idx="57" formatCode="0.00">
                  <c:v>0.63891061117430792</c:v>
                </c:pt>
                <c:pt idx="58" formatCode="0.00">
                  <c:v>0.63693408134819485</c:v>
                </c:pt>
                <c:pt idx="59" formatCode="0.00">
                  <c:v>0.63481768841883712</c:v>
                </c:pt>
                <c:pt idx="60" formatCode="0.00">
                  <c:v>0.6325699132843331</c:v>
                </c:pt>
                <c:pt idx="61" formatCode="0.00">
                  <c:v>0.63019768632775774</c:v>
                </c:pt>
                <c:pt idx="62" formatCode="0.00">
                  <c:v>0.62770682984648751</c:v>
                </c:pt>
                <c:pt idx="63" formatCode="0.00">
                  <c:v>0.62510234077785842</c:v>
                </c:pt>
                <c:pt idx="64" formatCode="0.00">
                  <c:v>0.62238858015881393</c:v>
                </c:pt>
                <c:pt idx="65" formatCode="0.00">
                  <c:v>0.61956940536127258</c:v>
                </c:pt>
                <c:pt idx="66" formatCode="0.00">
                  <c:v>0.61664826564741482</c:v>
                </c:pt>
              </c:numCache>
            </c:numRef>
          </c:val>
          <c:smooth val="0"/>
          <c:extLst>
            <c:ext xmlns:c16="http://schemas.microsoft.com/office/drawing/2014/chart" uri="{C3380CC4-5D6E-409C-BE32-E72D297353CC}">
              <c16:uniqueId val="{00000002-1DDA-4070-BFF4-3B3177BEF5D6}"/>
            </c:ext>
          </c:extLst>
        </c:ser>
        <c:ser>
          <c:idx val="3"/>
          <c:order val="3"/>
          <c:tx>
            <c:strRef>
              <c:f>'USDEUR Forcast Data'!$E$1</c:f>
              <c:strCache>
                <c:ptCount val="1"/>
                <c:pt idx="0">
                  <c:v>Upper Confidence Bound(Open)</c:v>
                </c:pt>
              </c:strCache>
            </c:strRef>
          </c:tx>
          <c:spPr>
            <a:ln w="12700" cap="rnd">
              <a:solidFill>
                <a:srgbClr val="ED7D31"/>
              </a:solidFill>
              <a:prstDash val="solid"/>
              <a:round/>
            </a:ln>
            <a:effectLst/>
          </c:spPr>
          <c:marker>
            <c:symbol val="none"/>
          </c:marker>
          <c:cat>
            <c:numRef>
              <c:f>'USDEUR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'USDEUR Forcast Data'!$E$2:$E$68</c:f>
              <c:numCache>
                <c:formatCode>General</c:formatCode>
                <c:ptCount val="67"/>
                <c:pt idx="52" formatCode="0.00">
                  <c:v>0.64905000000000002</c:v>
                </c:pt>
                <c:pt idx="53" formatCode="0.00">
                  <c:v>0.65649944230332591</c:v>
                </c:pt>
                <c:pt idx="54" formatCode="0.00">
                  <c:v>0.65866956621886019</c:v>
                </c:pt>
                <c:pt idx="55" formatCode="0.00">
                  <c:v>0.66105600166188705</c:v>
                </c:pt>
                <c:pt idx="56" formatCode="0.00">
                  <c:v>0.66362769941067867</c:v>
                </c:pt>
                <c:pt idx="57" formatCode="0.00">
                  <c:v>0.66636435293276897</c:v>
                </c:pt>
                <c:pt idx="58" formatCode="0.00">
                  <c:v>0.66925163228522411</c:v>
                </c:pt>
                <c:pt idx="59" formatCode="0.00">
                  <c:v>0.6722787747409239</c:v>
                </c:pt>
                <c:pt idx="60" formatCode="0.00">
                  <c:v>0.67543729940177</c:v>
                </c:pt>
                <c:pt idx="61" formatCode="0.00">
                  <c:v>0.67872027588468742</c:v>
                </c:pt>
                <c:pt idx="62" formatCode="0.00">
                  <c:v>0.68212188189229994</c:v>
                </c:pt>
                <c:pt idx="63" formatCode="0.00">
                  <c:v>0.6856371204872711</c:v>
                </c:pt>
                <c:pt idx="64" formatCode="0.00">
                  <c:v>0.68926163063265766</c:v>
                </c:pt>
                <c:pt idx="65" formatCode="0.00">
                  <c:v>0.69299155495654108</c:v>
                </c:pt>
                <c:pt idx="66" formatCode="0.00">
                  <c:v>0.69682344419674092</c:v>
                </c:pt>
              </c:numCache>
            </c:numRef>
          </c:val>
          <c:smooth val="0"/>
          <c:extLst>
            <c:ext xmlns:c16="http://schemas.microsoft.com/office/drawing/2014/chart" uri="{C3380CC4-5D6E-409C-BE32-E72D297353CC}">
              <c16:uniqueId val="{00000003-1DDA-4070-BFF4-3B3177BEF5D6}"/>
            </c:ext>
          </c:extLst>
        </c:ser>
        <c:dLbls>
          <c:showLegendKey val="0"/>
          <c:showVal val="0"/>
          <c:showCatName val="0"/>
          <c:showSerName val="0"/>
          <c:showPercent val="0"/>
          <c:showBubbleSize val="0"/>
        </c:dLbls>
        <c:smooth val="0"/>
        <c:axId val="808900672"/>
        <c:axId val="808905664"/>
      </c:lineChart>
      <c:catAx>
        <c:axId val="80890067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05664"/>
        <c:crosses val="autoZero"/>
        <c:auto val="1"/>
        <c:lblAlgn val="ctr"/>
        <c:lblOffset val="100"/>
        <c:noMultiLvlLbl val="0"/>
      </c:catAx>
      <c:valAx>
        <c:axId val="808905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0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'SGDJPY Forcast Data'!$B$1</c:f>
              <c:strCache>
                <c:ptCount val="1"/>
                <c:pt idx="0">
                  <c:v>Open</c:v>
                </c:pt>
              </c:strCache>
            </c:strRef>
          </c:tx>
          <c:spPr>
            <a:ln w="28575" cap="rnd">
              <a:solidFill>
                <a:schemeClr val="accent1"/>
              </a:solidFill>
              <a:round/>
            </a:ln>
            <a:effectLst/>
          </c:spPr>
          <c:marker>
            <c:symbol val="none"/>
          </c:marker>
          <c:val>
            <c:numRef>
              <c:f>'SGDJPY Forcast Data'!$B$2:$B$68</c:f>
              <c:numCache>
                <c:formatCode>General</c:formatCode>
                <c:ptCount val="67"/>
                <c:pt idx="0">
                  <c:v>78.369698</c:v>
                </c:pt>
                <c:pt idx="1">
                  <c:v>78.022002999999998</c:v>
                </c:pt>
                <c:pt idx="2">
                  <c:v>78.133003000000002</c:v>
                </c:pt>
                <c:pt idx="3">
                  <c:v>78.699996999999996</c:v>
                </c:pt>
                <c:pt idx="4">
                  <c:v>79.036002999999994</c:v>
                </c:pt>
                <c:pt idx="5">
                  <c:v>79.275002000000001</c:v>
                </c:pt>
                <c:pt idx="6">
                  <c:v>79.721001000000001</c:v>
                </c:pt>
                <c:pt idx="7">
                  <c:v>80.097999999999999</c:v>
                </c:pt>
                <c:pt idx="8">
                  <c:v>80.832001000000005</c:v>
                </c:pt>
                <c:pt idx="9">
                  <c:v>81.178000999999995</c:v>
                </c:pt>
                <c:pt idx="10">
                  <c:v>80.989998</c:v>
                </c:pt>
                <c:pt idx="11">
                  <c:v>81.500702000000004</c:v>
                </c:pt>
                <c:pt idx="12">
                  <c:v>82.228995999999995</c:v>
                </c:pt>
                <c:pt idx="13">
                  <c:v>81.783996999999999</c:v>
                </c:pt>
                <c:pt idx="14">
                  <c:v>81.390404000000004</c:v>
                </c:pt>
                <c:pt idx="15">
                  <c:v>81.239898999999994</c:v>
                </c:pt>
                <c:pt idx="16">
                  <c:v>82.148003000000003</c:v>
                </c:pt>
                <c:pt idx="17">
                  <c:v>81.971001000000001</c:v>
                </c:pt>
                <c:pt idx="18">
                  <c:v>82.075996000000004</c:v>
                </c:pt>
                <c:pt idx="19">
                  <c:v>81.769699000000003</c:v>
                </c:pt>
                <c:pt idx="20">
                  <c:v>83.052002000000002</c:v>
                </c:pt>
                <c:pt idx="21">
                  <c:v>82.769997000000004</c:v>
                </c:pt>
                <c:pt idx="22">
                  <c:v>82.744399999999999</c:v>
                </c:pt>
                <c:pt idx="23">
                  <c:v>81.918998999999999</c:v>
                </c:pt>
                <c:pt idx="24">
                  <c:v>82.533996999999999</c:v>
                </c:pt>
                <c:pt idx="25">
                  <c:v>82.471001000000001</c:v>
                </c:pt>
                <c:pt idx="26">
                  <c:v>81.577003000000005</c:v>
                </c:pt>
                <c:pt idx="27">
                  <c:v>80.996002000000004</c:v>
                </c:pt>
                <c:pt idx="28">
                  <c:v>81.235000999999997</c:v>
                </c:pt>
                <c:pt idx="29">
                  <c:v>80.967003000000005</c:v>
                </c:pt>
                <c:pt idx="30">
                  <c:v>81.272696999999994</c:v>
                </c:pt>
                <c:pt idx="31">
                  <c:v>80.878997999999996</c:v>
                </c:pt>
                <c:pt idx="32">
                  <c:v>80.663002000000006</c:v>
                </c:pt>
                <c:pt idx="33">
                  <c:v>81.607596999999998</c:v>
                </c:pt>
                <c:pt idx="34">
                  <c:v>81.835999000000001</c:v>
                </c:pt>
                <c:pt idx="35">
                  <c:v>81.910895999999994</c:v>
                </c:pt>
                <c:pt idx="36">
                  <c:v>81.486000000000004</c:v>
                </c:pt>
                <c:pt idx="37">
                  <c:v>81.816299000000001</c:v>
                </c:pt>
                <c:pt idx="38">
                  <c:v>81.776497000000006</c:v>
                </c:pt>
                <c:pt idx="39">
                  <c:v>82.800499000000002</c:v>
                </c:pt>
                <c:pt idx="40">
                  <c:v>84.760002</c:v>
                </c:pt>
                <c:pt idx="41">
                  <c:v>84.265998999999994</c:v>
                </c:pt>
                <c:pt idx="42">
                  <c:v>84.648003000000003</c:v>
                </c:pt>
                <c:pt idx="43">
                  <c:v>84.032996999999995</c:v>
                </c:pt>
                <c:pt idx="44">
                  <c:v>84.293998999999999</c:v>
                </c:pt>
                <c:pt idx="45">
                  <c:v>83.781998000000002</c:v>
                </c:pt>
                <c:pt idx="46">
                  <c:v>82.987999000000002</c:v>
                </c:pt>
                <c:pt idx="47">
                  <c:v>82.429001</c:v>
                </c:pt>
                <c:pt idx="48">
                  <c:v>83.204002000000003</c:v>
                </c:pt>
                <c:pt idx="49">
                  <c:v>83.031998000000002</c:v>
                </c:pt>
                <c:pt idx="50">
                  <c:v>84.183998000000003</c:v>
                </c:pt>
                <c:pt idx="51">
                  <c:v>85.385002</c:v>
                </c:pt>
                <c:pt idx="52">
                  <c:v>85.153499500000009</c:v>
                </c:pt>
              </c:numCache>
            </c:numRef>
          </c:val>
          <c:smooth val="0"/>
          <c:extLst>
            <c:ext xmlns:c16="http://schemas.microsoft.com/office/drawing/2014/chart" uri="{C3380CC4-5D6E-409C-BE32-E72D297353CC}">
              <c16:uniqueId val="{00000000-38A5-4678-AF8B-A98535C63D61}"/>
            </c:ext>
          </c:extLst>
        </c:ser>
        <c:ser>
          <c:idx val="1"/>
          <c:order val="1"/>
          <c:tx>
            <c:strRef>
              <c:f>'SGDJPY Forcast Data'!$C$1</c:f>
              <c:strCache>
                <c:ptCount val="1"/>
                <c:pt idx="0">
                  <c:v>Forecast(Open)</c:v>
                </c:pt>
              </c:strCache>
            </c:strRef>
          </c:tx>
          <c:spPr>
            <a:ln w="25400" cap="rnd">
              <a:solidFill>
                <a:schemeClr val="accent2"/>
              </a:solidFill>
              <a:round/>
            </a:ln>
            <a:effectLst/>
          </c:spPr>
          <c:marker>
            <c:symbol val="none"/>
          </c:marker>
          <c:cat>
            <c:numRef>
              <c:f>'SGDJPY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'SGDJPY Forcast Data'!$C$2:$C$68</c:f>
              <c:numCache>
                <c:formatCode>General</c:formatCode>
                <c:ptCount val="67"/>
                <c:pt idx="52">
                  <c:v>85.153499500000009</c:v>
                </c:pt>
                <c:pt idx="53">
                  <c:v>85.01471194315701</c:v>
                </c:pt>
                <c:pt idx="54">
                  <c:v>85.108674938032948</c:v>
                </c:pt>
                <c:pt idx="55">
                  <c:v>85.2026379329089</c:v>
                </c:pt>
                <c:pt idx="56">
                  <c:v>85.296600927784837</c:v>
                </c:pt>
                <c:pt idx="57">
                  <c:v>85.390563922660789</c:v>
                </c:pt>
                <c:pt idx="58">
                  <c:v>85.484526917536726</c:v>
                </c:pt>
                <c:pt idx="59">
                  <c:v>85.578489912412678</c:v>
                </c:pt>
                <c:pt idx="60">
                  <c:v>85.672452907288616</c:v>
                </c:pt>
                <c:pt idx="61">
                  <c:v>85.766415902164567</c:v>
                </c:pt>
                <c:pt idx="62">
                  <c:v>85.860378897040505</c:v>
                </c:pt>
                <c:pt idx="63">
                  <c:v>85.954341891916457</c:v>
                </c:pt>
                <c:pt idx="64">
                  <c:v>86.048304886792394</c:v>
                </c:pt>
                <c:pt idx="65">
                  <c:v>86.142267881668346</c:v>
                </c:pt>
                <c:pt idx="66">
                  <c:v>86.236230876544283</c:v>
                </c:pt>
              </c:numCache>
            </c:numRef>
          </c:val>
          <c:smooth val="0"/>
          <c:extLst>
            <c:ext xmlns:c16="http://schemas.microsoft.com/office/drawing/2014/chart" uri="{C3380CC4-5D6E-409C-BE32-E72D297353CC}">
              <c16:uniqueId val="{00000001-38A5-4678-AF8B-A98535C63D61}"/>
            </c:ext>
          </c:extLst>
        </c:ser>
        <c:ser>
          <c:idx val="2"/>
          <c:order val="2"/>
          <c:tx>
            <c:strRef>
              <c:f>'SGDJPY Forcast Data'!$D$1</c:f>
              <c:strCache>
                <c:ptCount val="1"/>
                <c:pt idx="0">
                  <c:v>Lower Confidence Bound(Open)</c:v>
                </c:pt>
              </c:strCache>
            </c:strRef>
          </c:tx>
          <c:spPr>
            <a:ln w="12700" cap="rnd">
              <a:solidFill>
                <a:srgbClr val="ED7D31"/>
              </a:solidFill>
              <a:prstDash val="solid"/>
              <a:round/>
            </a:ln>
            <a:effectLst/>
          </c:spPr>
          <c:marker>
            <c:symbol val="none"/>
          </c:marker>
          <c:cat>
            <c:numRef>
              <c:f>'SGDJPY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'SGDJPY Forcast Data'!$D$2:$D$68</c:f>
              <c:numCache>
                <c:formatCode>General</c:formatCode>
                <c:ptCount val="67"/>
                <c:pt idx="52" formatCode="0.00">
                  <c:v>85.153499500000009</c:v>
                </c:pt>
                <c:pt idx="53" formatCode="0.00">
                  <c:v>83.668694175069348</c:v>
                </c:pt>
                <c:pt idx="54" formatCode="0.00">
                  <c:v>83.603178885030658</c:v>
                </c:pt>
                <c:pt idx="55" formatCode="0.00">
                  <c:v>83.552459124922706</c:v>
                </c:pt>
                <c:pt idx="56" formatCode="0.00">
                  <c:v>83.512929810762643</c:v>
                </c:pt>
                <c:pt idx="57" formatCode="0.00">
                  <c:v>83.482240141105251</c:v>
                </c:pt>
                <c:pt idx="58" formatCode="0.00">
                  <c:v>83.458756761149729</c:v>
                </c:pt>
                <c:pt idx="59" formatCode="0.00">
                  <c:v>83.441290461963533</c:v>
                </c:pt>
                <c:pt idx="60" formatCode="0.00">
                  <c:v>83.428943697979705</c:v>
                </c:pt>
                <c:pt idx="61" formatCode="0.00">
                  <c:v>83.421019433804233</c:v>
                </c:pt>
                <c:pt idx="62" formatCode="0.00">
                  <c:v>83.416963627554466</c:v>
                </c:pt>
                <c:pt idx="63" formatCode="0.00">
                  <c:v>83.416327323033386</c:v>
                </c:pt>
                <c:pt idx="64" formatCode="0.00">
                  <c:v>83.418740752674267</c:v>
                </c:pt>
                <c:pt idx="65" formatCode="0.00">
                  <c:v>83.423895104910486</c:v>
                </c:pt>
                <c:pt idx="66" formatCode="0.00">
                  <c:v>83.431529354220757</c:v>
                </c:pt>
              </c:numCache>
            </c:numRef>
          </c:val>
          <c:smooth val="0"/>
          <c:extLst>
            <c:ext xmlns:c16="http://schemas.microsoft.com/office/drawing/2014/chart" uri="{C3380CC4-5D6E-409C-BE32-E72D297353CC}">
              <c16:uniqueId val="{00000002-38A5-4678-AF8B-A98535C63D61}"/>
            </c:ext>
          </c:extLst>
        </c:ser>
        <c:ser>
          <c:idx val="3"/>
          <c:order val="3"/>
          <c:tx>
            <c:strRef>
              <c:f>'SGDJPY Forcast Data'!$E$1</c:f>
              <c:strCache>
                <c:ptCount val="1"/>
                <c:pt idx="0">
                  <c:v>Upper Confidence Bound(Open)</c:v>
                </c:pt>
              </c:strCache>
            </c:strRef>
          </c:tx>
          <c:spPr>
            <a:ln w="12700" cap="rnd">
              <a:solidFill>
                <a:srgbClr val="ED7D31"/>
              </a:solidFill>
              <a:prstDash val="solid"/>
              <a:round/>
            </a:ln>
            <a:effectLst/>
          </c:spPr>
          <c:marker>
            <c:symbol val="none"/>
          </c:marker>
          <c:cat>
            <c:numRef>
              <c:f>'SGDJPY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'SGDJPY Forcast Data'!$E$2:$E$68</c:f>
              <c:numCache>
                <c:formatCode>General</c:formatCode>
                <c:ptCount val="67"/>
                <c:pt idx="52" formatCode="0.00">
                  <c:v>85.153499500000009</c:v>
                </c:pt>
                <c:pt idx="53" formatCode="0.00">
                  <c:v>86.360729711244673</c:v>
                </c:pt>
                <c:pt idx="54" formatCode="0.00">
                  <c:v>86.614170991035238</c:v>
                </c:pt>
                <c:pt idx="55" formatCode="0.00">
                  <c:v>86.852816740895094</c:v>
                </c:pt>
                <c:pt idx="56" formatCode="0.00">
                  <c:v>87.080272044807032</c:v>
                </c:pt>
                <c:pt idx="57" formatCode="0.00">
                  <c:v>87.298887704216327</c:v>
                </c:pt>
                <c:pt idx="58" formatCode="0.00">
                  <c:v>87.510297073923724</c:v>
                </c:pt>
                <c:pt idx="59" formatCode="0.00">
                  <c:v>87.715689362861823</c:v>
                </c:pt>
                <c:pt idx="60" formatCode="0.00">
                  <c:v>87.915962116597527</c:v>
                </c:pt>
                <c:pt idx="61" formatCode="0.00">
                  <c:v>88.111812370524902</c:v>
                </c:pt>
                <c:pt idx="62" formatCode="0.00">
                  <c:v>88.303794166526544</c:v>
                </c:pt>
                <c:pt idx="63" formatCode="0.00">
                  <c:v>88.492356460799527</c:v>
                </c:pt>
                <c:pt idx="64" formatCode="0.00">
                  <c:v>88.677869020910521</c:v>
                </c:pt>
                <c:pt idx="65" formatCode="0.00">
                  <c:v>88.860640658426206</c:v>
                </c:pt>
                <c:pt idx="66" formatCode="0.00">
                  <c:v>89.04093239886781</c:v>
                </c:pt>
              </c:numCache>
            </c:numRef>
          </c:val>
          <c:smooth val="0"/>
          <c:extLst>
            <c:ext xmlns:c16="http://schemas.microsoft.com/office/drawing/2014/chart" uri="{C3380CC4-5D6E-409C-BE32-E72D297353CC}">
              <c16:uniqueId val="{00000003-38A5-4678-AF8B-A98535C63D61}"/>
            </c:ext>
          </c:extLst>
        </c:ser>
        <c:dLbls>
          <c:showLegendKey val="0"/>
          <c:showVal val="0"/>
          <c:showCatName val="0"/>
          <c:showSerName val="0"/>
          <c:showPercent val="0"/>
          <c:showBubbleSize val="0"/>
        </c:dLbls>
        <c:smooth val="0"/>
        <c:axId val="905913392"/>
        <c:axId val="905905072"/>
      </c:lineChart>
      <c:catAx>
        <c:axId val="905913392"/>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905072"/>
        <c:crosses val="autoZero"/>
        <c:auto val="1"/>
        <c:lblAlgn val="ctr"/>
        <c:lblOffset val="100"/>
        <c:noMultiLvlLbl val="0"/>
      </c:catAx>
      <c:valAx>
        <c:axId val="905905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91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'SGDGBP Forcast Data'!$B$1</c:f>
              <c:strCache>
                <c:ptCount val="1"/>
                <c:pt idx="0">
                  <c:v>Open</c:v>
                </c:pt>
              </c:strCache>
            </c:strRef>
          </c:tx>
          <c:spPr>
            <a:ln w="28575" cap="rnd">
              <a:solidFill>
                <a:schemeClr val="accent1"/>
              </a:solidFill>
              <a:round/>
            </a:ln>
            <a:effectLst/>
          </c:spPr>
          <c:marker>
            <c:symbol val="none"/>
          </c:marker>
          <c:val>
            <c:numRef>
              <c:f>'SGDGBP Forcast Data'!$B$2:$B$68</c:f>
              <c:numCache>
                <c:formatCode>General</c:formatCode>
                <c:ptCount val="67"/>
                <c:pt idx="0">
                  <c:v>0.55293000000000003</c:v>
                </c:pt>
                <c:pt idx="1">
                  <c:v>0.55315000000000003</c:v>
                </c:pt>
                <c:pt idx="2">
                  <c:v>0.55003000000000002</c:v>
                </c:pt>
                <c:pt idx="3">
                  <c:v>0.54864999999999997</c:v>
                </c:pt>
                <c:pt idx="4">
                  <c:v>0.54579999999999995</c:v>
                </c:pt>
                <c:pt idx="5">
                  <c:v>0.54403000000000001</c:v>
                </c:pt>
                <c:pt idx="6">
                  <c:v>0.53846499999999997</c:v>
                </c:pt>
                <c:pt idx="7">
                  <c:v>0.53825000000000001</c:v>
                </c:pt>
                <c:pt idx="8">
                  <c:v>0.53849999999999998</c:v>
                </c:pt>
                <c:pt idx="9">
                  <c:v>0.53405000000000002</c:v>
                </c:pt>
                <c:pt idx="10">
                  <c:v>0.53764999999999996</c:v>
                </c:pt>
                <c:pt idx="11">
                  <c:v>0.53856999999999999</c:v>
                </c:pt>
                <c:pt idx="12">
                  <c:v>0.53725999999999996</c:v>
                </c:pt>
                <c:pt idx="13">
                  <c:v>0.54374999999999996</c:v>
                </c:pt>
                <c:pt idx="14">
                  <c:v>0.54203000000000001</c:v>
                </c:pt>
                <c:pt idx="15">
                  <c:v>0.54315999999999998</c:v>
                </c:pt>
                <c:pt idx="16">
                  <c:v>0.54391</c:v>
                </c:pt>
                <c:pt idx="17">
                  <c:v>0.53773000000000004</c:v>
                </c:pt>
                <c:pt idx="18">
                  <c:v>0.53203</c:v>
                </c:pt>
                <c:pt idx="19">
                  <c:v>0.53108</c:v>
                </c:pt>
                <c:pt idx="20">
                  <c:v>0.53281000000000001</c:v>
                </c:pt>
                <c:pt idx="21">
                  <c:v>0.53310999999999997</c:v>
                </c:pt>
                <c:pt idx="22">
                  <c:v>0.53420000000000001</c:v>
                </c:pt>
                <c:pt idx="23">
                  <c:v>0.53808</c:v>
                </c:pt>
                <c:pt idx="24">
                  <c:v>0.53596999999999995</c:v>
                </c:pt>
                <c:pt idx="25">
                  <c:v>0.53657999999999995</c:v>
                </c:pt>
                <c:pt idx="26">
                  <c:v>0.53258000000000005</c:v>
                </c:pt>
                <c:pt idx="27">
                  <c:v>0.53551000000000004</c:v>
                </c:pt>
                <c:pt idx="28">
                  <c:v>0.53417000000000003</c:v>
                </c:pt>
                <c:pt idx="29">
                  <c:v>0.53115999999999997</c:v>
                </c:pt>
                <c:pt idx="30">
                  <c:v>0.53164999999999996</c:v>
                </c:pt>
                <c:pt idx="31">
                  <c:v>0.53222000000000003</c:v>
                </c:pt>
                <c:pt idx="32">
                  <c:v>0.53873000000000004</c:v>
                </c:pt>
                <c:pt idx="33">
                  <c:v>0.53993999999999998</c:v>
                </c:pt>
                <c:pt idx="34">
                  <c:v>0.53785400000000005</c:v>
                </c:pt>
                <c:pt idx="35">
                  <c:v>0.53856000000000004</c:v>
                </c:pt>
                <c:pt idx="36">
                  <c:v>0.53976000000000002</c:v>
                </c:pt>
                <c:pt idx="37">
                  <c:v>0.54053799999999996</c:v>
                </c:pt>
                <c:pt idx="38">
                  <c:v>0.54320999999999997</c:v>
                </c:pt>
                <c:pt idx="39">
                  <c:v>0.54174999999999995</c:v>
                </c:pt>
                <c:pt idx="40">
                  <c:v>0.53886999999999996</c:v>
                </c:pt>
                <c:pt idx="41">
                  <c:v>0.53864000000000001</c:v>
                </c:pt>
                <c:pt idx="42">
                  <c:v>0.54149000000000003</c:v>
                </c:pt>
                <c:pt idx="43">
                  <c:v>0.54903000000000002</c:v>
                </c:pt>
                <c:pt idx="44">
                  <c:v>0.55115999999999998</c:v>
                </c:pt>
                <c:pt idx="45">
                  <c:v>0.54639400000000005</c:v>
                </c:pt>
                <c:pt idx="46">
                  <c:v>0.54713999999999996</c:v>
                </c:pt>
                <c:pt idx="47">
                  <c:v>0.55118</c:v>
                </c:pt>
                <c:pt idx="48">
                  <c:v>0.55288000000000004</c:v>
                </c:pt>
                <c:pt idx="49">
                  <c:v>0.55281000000000002</c:v>
                </c:pt>
                <c:pt idx="50">
                  <c:v>0.549257</c:v>
                </c:pt>
                <c:pt idx="51">
                  <c:v>0.54842999999999997</c:v>
                </c:pt>
                <c:pt idx="52">
                  <c:v>0.5419750000000001</c:v>
                </c:pt>
              </c:numCache>
            </c:numRef>
          </c:val>
          <c:smooth val="0"/>
          <c:extLst>
            <c:ext xmlns:c16="http://schemas.microsoft.com/office/drawing/2014/chart" uri="{C3380CC4-5D6E-409C-BE32-E72D297353CC}">
              <c16:uniqueId val="{00000000-FC35-44E7-80B5-D085BFF65338}"/>
            </c:ext>
          </c:extLst>
        </c:ser>
        <c:ser>
          <c:idx val="1"/>
          <c:order val="1"/>
          <c:tx>
            <c:strRef>
              <c:f>'SGDGBP Forcast Data'!$C$1</c:f>
              <c:strCache>
                <c:ptCount val="1"/>
                <c:pt idx="0">
                  <c:v>Forecast(Open)</c:v>
                </c:pt>
              </c:strCache>
            </c:strRef>
          </c:tx>
          <c:spPr>
            <a:ln w="25400" cap="rnd">
              <a:solidFill>
                <a:schemeClr val="accent2"/>
              </a:solidFill>
              <a:round/>
            </a:ln>
            <a:effectLst/>
          </c:spPr>
          <c:marker>
            <c:symbol val="none"/>
          </c:marker>
          <c:cat>
            <c:numRef>
              <c:f>'SGDGBP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'SGDGBP Forcast Data'!$C$2:$C$68</c:f>
              <c:numCache>
                <c:formatCode>General</c:formatCode>
                <c:ptCount val="67"/>
                <c:pt idx="52">
                  <c:v>0.5419750000000001</c:v>
                </c:pt>
                <c:pt idx="53">
                  <c:v>0.54204800064505732</c:v>
                </c:pt>
                <c:pt idx="54">
                  <c:v>0.54212100129011465</c:v>
                </c:pt>
                <c:pt idx="55">
                  <c:v>0.54219400193517187</c:v>
                </c:pt>
                <c:pt idx="56">
                  <c:v>0.54226700258022908</c:v>
                </c:pt>
                <c:pt idx="57">
                  <c:v>0.54234000322528642</c:v>
                </c:pt>
                <c:pt idx="58">
                  <c:v>0.54241300387034364</c:v>
                </c:pt>
                <c:pt idx="59">
                  <c:v>0.54248600451540085</c:v>
                </c:pt>
                <c:pt idx="60">
                  <c:v>0.54255900516045807</c:v>
                </c:pt>
                <c:pt idx="61">
                  <c:v>0.5426320058055154</c:v>
                </c:pt>
                <c:pt idx="62">
                  <c:v>0.54270500645057262</c:v>
                </c:pt>
                <c:pt idx="63">
                  <c:v>0.54277800709562984</c:v>
                </c:pt>
                <c:pt idx="64">
                  <c:v>0.54285100774068717</c:v>
                </c:pt>
                <c:pt idx="65">
                  <c:v>0.54292400838574439</c:v>
                </c:pt>
                <c:pt idx="66">
                  <c:v>0.54299700903080161</c:v>
                </c:pt>
              </c:numCache>
            </c:numRef>
          </c:val>
          <c:smooth val="0"/>
          <c:extLst>
            <c:ext xmlns:c16="http://schemas.microsoft.com/office/drawing/2014/chart" uri="{C3380CC4-5D6E-409C-BE32-E72D297353CC}">
              <c16:uniqueId val="{00000001-FC35-44E7-80B5-D085BFF65338}"/>
            </c:ext>
          </c:extLst>
        </c:ser>
        <c:ser>
          <c:idx val="2"/>
          <c:order val="2"/>
          <c:tx>
            <c:strRef>
              <c:f>'SGDGBP Forcast Data'!$D$1</c:f>
              <c:strCache>
                <c:ptCount val="1"/>
                <c:pt idx="0">
                  <c:v>Lower Confidence Bound(Open)</c:v>
                </c:pt>
              </c:strCache>
            </c:strRef>
          </c:tx>
          <c:spPr>
            <a:ln w="12700" cap="rnd">
              <a:solidFill>
                <a:srgbClr val="ED7D31"/>
              </a:solidFill>
              <a:prstDash val="solid"/>
              <a:round/>
            </a:ln>
            <a:effectLst/>
          </c:spPr>
          <c:marker>
            <c:symbol val="none"/>
          </c:marker>
          <c:cat>
            <c:numRef>
              <c:f>'SGDGBP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'SGDGBP Forcast Data'!$D$2:$D$68</c:f>
              <c:numCache>
                <c:formatCode>General</c:formatCode>
                <c:ptCount val="67"/>
                <c:pt idx="52" formatCode="0.00">
                  <c:v>0.5419750000000001</c:v>
                </c:pt>
                <c:pt idx="53" formatCode="0.00">
                  <c:v>0.5318671113356519</c:v>
                </c:pt>
                <c:pt idx="54" formatCode="0.00">
                  <c:v>0.53179800011364597</c:v>
                </c:pt>
                <c:pt idx="55" formatCode="0.00">
                  <c:v>0.53172915312412616</c:v>
                </c:pt>
                <c:pt idx="56" formatCode="0.00">
                  <c:v>0.53166054999336498</c:v>
                </c:pt>
                <c:pt idx="57" formatCode="0.00">
                  <c:v>0.53159217143890081</c:v>
                </c:pt>
                <c:pt idx="58" formatCode="0.00">
                  <c:v>0.53152399919442428</c:v>
                </c:pt>
                <c:pt idx="59" formatCode="0.00">
                  <c:v>0.53145601594107905</c:v>
                </c:pt>
                <c:pt idx="60" formatCode="0.00">
                  <c:v>0.53138820524452179</c:v>
                </c:pt>
                <c:pt idx="61" formatCode="0.00">
                  <c:v>0.53132055149716739</c:v>
                </c:pt>
                <c:pt idx="62" formatCode="0.00">
                  <c:v>0.53125303986510919</c:v>
                </c:pt>
                <c:pt idx="63" formatCode="0.00">
                  <c:v>0.53118565623926428</c:v>
                </c:pt>
                <c:pt idx="64" formatCode="0.00">
                  <c:v>0.5311183871903421</c:v>
                </c:pt>
                <c:pt idx="65" formatCode="0.00">
                  <c:v>0.53105121992727822</c:v>
                </c:pt>
                <c:pt idx="66" formatCode="0.00">
                  <c:v>0.53098414225881851</c:v>
                </c:pt>
              </c:numCache>
            </c:numRef>
          </c:val>
          <c:smooth val="0"/>
          <c:extLst>
            <c:ext xmlns:c16="http://schemas.microsoft.com/office/drawing/2014/chart" uri="{C3380CC4-5D6E-409C-BE32-E72D297353CC}">
              <c16:uniqueId val="{00000002-FC35-44E7-80B5-D085BFF65338}"/>
            </c:ext>
          </c:extLst>
        </c:ser>
        <c:ser>
          <c:idx val="3"/>
          <c:order val="3"/>
          <c:tx>
            <c:strRef>
              <c:f>'SGDGBP Forcast Data'!$E$1</c:f>
              <c:strCache>
                <c:ptCount val="1"/>
                <c:pt idx="0">
                  <c:v>Upper Confidence Bound(Open)</c:v>
                </c:pt>
              </c:strCache>
            </c:strRef>
          </c:tx>
          <c:spPr>
            <a:ln w="12700" cap="rnd">
              <a:solidFill>
                <a:srgbClr val="ED7D31"/>
              </a:solidFill>
              <a:prstDash val="solid"/>
              <a:round/>
            </a:ln>
            <a:effectLst/>
          </c:spPr>
          <c:marker>
            <c:symbol val="none"/>
          </c:marker>
          <c:cat>
            <c:numRef>
              <c:f>'SGDGBP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'SGDGBP Forcast Data'!$E$2:$E$68</c:f>
              <c:numCache>
                <c:formatCode>General</c:formatCode>
                <c:ptCount val="67"/>
                <c:pt idx="52" formatCode="0.00">
                  <c:v>0.5419750000000001</c:v>
                </c:pt>
                <c:pt idx="53" formatCode="0.00">
                  <c:v>0.55222888995446273</c:v>
                </c:pt>
                <c:pt idx="54" formatCode="0.00">
                  <c:v>0.55244400246658332</c:v>
                </c:pt>
                <c:pt idx="55" formatCode="0.00">
                  <c:v>0.55265885074621757</c:v>
                </c:pt>
                <c:pt idx="56" formatCode="0.00">
                  <c:v>0.55287345516709319</c:v>
                </c:pt>
                <c:pt idx="57" formatCode="0.00">
                  <c:v>0.55308783501167202</c:v>
                </c:pt>
                <c:pt idx="58" formatCode="0.00">
                  <c:v>0.55330200854626299</c:v>
                </c:pt>
                <c:pt idx="59" formatCode="0.00">
                  <c:v>0.55351599308972266</c:v>
                </c:pt>
                <c:pt idx="60" formatCode="0.00">
                  <c:v>0.55372980507639435</c:v>
                </c:pt>
                <c:pt idx="61" formatCode="0.00">
                  <c:v>0.55394346011386342</c:v>
                </c:pt>
                <c:pt idx="62" formatCode="0.00">
                  <c:v>0.55415697303603606</c:v>
                </c:pt>
                <c:pt idx="63" formatCode="0.00">
                  <c:v>0.55437035795199541</c:v>
                </c:pt>
                <c:pt idx="64" formatCode="0.00">
                  <c:v>0.55458362829103225</c:v>
                </c:pt>
                <c:pt idx="65" formatCode="0.00">
                  <c:v>0.55479679684421057</c:v>
                </c:pt>
                <c:pt idx="66" formatCode="0.00">
                  <c:v>0.55500987580278471</c:v>
                </c:pt>
              </c:numCache>
            </c:numRef>
          </c:val>
          <c:smooth val="0"/>
          <c:extLst>
            <c:ext xmlns:c16="http://schemas.microsoft.com/office/drawing/2014/chart" uri="{C3380CC4-5D6E-409C-BE32-E72D297353CC}">
              <c16:uniqueId val="{00000003-FC35-44E7-80B5-D085BFF65338}"/>
            </c:ext>
          </c:extLst>
        </c:ser>
        <c:dLbls>
          <c:showLegendKey val="0"/>
          <c:showVal val="0"/>
          <c:showCatName val="0"/>
          <c:showSerName val="0"/>
          <c:showPercent val="0"/>
          <c:showBubbleSize val="0"/>
        </c:dLbls>
        <c:smooth val="0"/>
        <c:axId val="980112160"/>
        <c:axId val="980113824"/>
      </c:lineChart>
      <c:catAx>
        <c:axId val="98011216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13824"/>
        <c:crosses val="autoZero"/>
        <c:auto val="1"/>
        <c:lblAlgn val="ctr"/>
        <c:lblOffset val="100"/>
        <c:noMultiLvlLbl val="0"/>
      </c:catAx>
      <c:valAx>
        <c:axId val="98011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1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'SGDAUD Forcasting Data'!$B$1</c:f>
              <c:strCache>
                <c:ptCount val="1"/>
                <c:pt idx="0">
                  <c:v>Open</c:v>
                </c:pt>
              </c:strCache>
            </c:strRef>
          </c:tx>
          <c:spPr>
            <a:ln w="28575" cap="rnd">
              <a:solidFill>
                <a:schemeClr val="accent1"/>
              </a:solidFill>
              <a:round/>
            </a:ln>
            <a:effectLst/>
          </c:spPr>
          <c:marker>
            <c:symbol val="none"/>
          </c:marker>
          <c:val>
            <c:numRef>
              <c:f>'SGDAUD Forcasting Data'!$B$2:$B$68</c:f>
              <c:numCache>
                <c:formatCode>General</c:formatCode>
                <c:ptCount val="67"/>
                <c:pt idx="0">
                  <c:v>0.97204999999999997</c:v>
                </c:pt>
                <c:pt idx="1">
                  <c:v>0.97699000000000003</c:v>
                </c:pt>
                <c:pt idx="2">
                  <c:v>0.97574000000000005</c:v>
                </c:pt>
                <c:pt idx="3">
                  <c:v>0.98619900000000005</c:v>
                </c:pt>
                <c:pt idx="4">
                  <c:v>0.97657000000000005</c:v>
                </c:pt>
                <c:pt idx="5">
                  <c:v>0.97189000000000003</c:v>
                </c:pt>
                <c:pt idx="6">
                  <c:v>0.95818999999999999</c:v>
                </c:pt>
                <c:pt idx="7">
                  <c:v>0.97021999999999997</c:v>
                </c:pt>
                <c:pt idx="8">
                  <c:v>0.96752000000000005</c:v>
                </c:pt>
                <c:pt idx="9">
                  <c:v>0.95831999999999995</c:v>
                </c:pt>
                <c:pt idx="10">
                  <c:v>0.96306000000000003</c:v>
                </c:pt>
                <c:pt idx="11">
                  <c:v>0.97243999999999997</c:v>
                </c:pt>
                <c:pt idx="12">
                  <c:v>0.97524</c:v>
                </c:pt>
                <c:pt idx="13">
                  <c:v>0.97794999999999999</c:v>
                </c:pt>
                <c:pt idx="14">
                  <c:v>0.97097999999999995</c:v>
                </c:pt>
                <c:pt idx="15">
                  <c:v>0.97265000000000001</c:v>
                </c:pt>
                <c:pt idx="16">
                  <c:v>0.97372999999999998</c:v>
                </c:pt>
                <c:pt idx="17">
                  <c:v>0.96079999999999999</c:v>
                </c:pt>
                <c:pt idx="18">
                  <c:v>0.96464000000000005</c:v>
                </c:pt>
                <c:pt idx="19">
                  <c:v>0.97209000000000001</c:v>
                </c:pt>
                <c:pt idx="20">
                  <c:v>0.98011999999999999</c:v>
                </c:pt>
                <c:pt idx="21">
                  <c:v>0.97559600000000002</c:v>
                </c:pt>
                <c:pt idx="22">
                  <c:v>0.97824</c:v>
                </c:pt>
                <c:pt idx="23">
                  <c:v>0.99097999999999997</c:v>
                </c:pt>
                <c:pt idx="24">
                  <c:v>0.98068999999999995</c:v>
                </c:pt>
                <c:pt idx="25">
                  <c:v>0.98719000000000001</c:v>
                </c:pt>
                <c:pt idx="26">
                  <c:v>0.98829999999999996</c:v>
                </c:pt>
                <c:pt idx="27">
                  <c:v>0.99751999999999996</c:v>
                </c:pt>
                <c:pt idx="28">
                  <c:v>0.99756999999999996</c:v>
                </c:pt>
                <c:pt idx="29">
                  <c:v>1.00529</c:v>
                </c:pt>
                <c:pt idx="30">
                  <c:v>1.00508</c:v>
                </c:pt>
                <c:pt idx="31">
                  <c:v>1.00177</c:v>
                </c:pt>
                <c:pt idx="32">
                  <c:v>1.0280199999999999</c:v>
                </c:pt>
                <c:pt idx="33">
                  <c:v>1.0157</c:v>
                </c:pt>
                <c:pt idx="34">
                  <c:v>1.0015099999999999</c:v>
                </c:pt>
                <c:pt idx="35">
                  <c:v>1.01206</c:v>
                </c:pt>
                <c:pt idx="36">
                  <c:v>1.01996</c:v>
                </c:pt>
                <c:pt idx="37">
                  <c:v>1.01691</c:v>
                </c:pt>
                <c:pt idx="38">
                  <c:v>1.0131859999999999</c:v>
                </c:pt>
                <c:pt idx="39">
                  <c:v>1.01142</c:v>
                </c:pt>
                <c:pt idx="40">
                  <c:v>0.99868000000000001</c:v>
                </c:pt>
                <c:pt idx="41">
                  <c:v>0.99265999999999999</c:v>
                </c:pt>
                <c:pt idx="42">
                  <c:v>0.98540000000000005</c:v>
                </c:pt>
                <c:pt idx="43">
                  <c:v>1.0015099999999999</c:v>
                </c:pt>
                <c:pt idx="44">
                  <c:v>1.0084599999999999</c:v>
                </c:pt>
                <c:pt idx="45">
                  <c:v>1.01501</c:v>
                </c:pt>
                <c:pt idx="46">
                  <c:v>1.02193</c:v>
                </c:pt>
                <c:pt idx="47">
                  <c:v>1.0395000000000001</c:v>
                </c:pt>
                <c:pt idx="48">
                  <c:v>1.0228999999999999</c:v>
                </c:pt>
                <c:pt idx="49">
                  <c:v>1.02721</c:v>
                </c:pt>
                <c:pt idx="50">
                  <c:v>1.01833</c:v>
                </c:pt>
                <c:pt idx="51">
                  <c:v>1.0203</c:v>
                </c:pt>
                <c:pt idx="52">
                  <c:v>1.023115</c:v>
                </c:pt>
              </c:numCache>
            </c:numRef>
          </c:val>
          <c:smooth val="0"/>
          <c:extLst>
            <c:ext xmlns:c16="http://schemas.microsoft.com/office/drawing/2014/chart" uri="{C3380CC4-5D6E-409C-BE32-E72D297353CC}">
              <c16:uniqueId val="{00000000-4CD2-4686-92A1-F434FAC9435B}"/>
            </c:ext>
          </c:extLst>
        </c:ser>
        <c:ser>
          <c:idx val="1"/>
          <c:order val="1"/>
          <c:tx>
            <c:strRef>
              <c:f>'SGDAUD Forcasting Data'!$C$1</c:f>
              <c:strCache>
                <c:ptCount val="1"/>
                <c:pt idx="0">
                  <c:v>Forecast(Open)</c:v>
                </c:pt>
              </c:strCache>
            </c:strRef>
          </c:tx>
          <c:spPr>
            <a:ln w="25400" cap="rnd">
              <a:solidFill>
                <a:schemeClr val="accent2"/>
              </a:solidFill>
              <a:round/>
            </a:ln>
            <a:effectLst/>
          </c:spPr>
          <c:marker>
            <c:symbol val="none"/>
          </c:marker>
          <c:cat>
            <c:numRef>
              <c:f>'SGDAUD Forcasting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'SGDAUD Forcasting Data'!$C$2:$C$68</c:f>
              <c:numCache>
                <c:formatCode>General</c:formatCode>
                <c:ptCount val="67"/>
                <c:pt idx="52">
                  <c:v>1.023115</c:v>
                </c:pt>
                <c:pt idx="53">
                  <c:v>1.0255960770891226</c:v>
                </c:pt>
                <c:pt idx="54">
                  <c:v>1.0267692459233231</c:v>
                </c:pt>
                <c:pt idx="55">
                  <c:v>1.0279424147575238</c:v>
                </c:pt>
                <c:pt idx="56">
                  <c:v>1.0291155835917245</c:v>
                </c:pt>
                <c:pt idx="57">
                  <c:v>1.030288752425925</c:v>
                </c:pt>
                <c:pt idx="58">
                  <c:v>1.0314619212601257</c:v>
                </c:pt>
                <c:pt idx="59">
                  <c:v>1.0326350900943262</c:v>
                </c:pt>
                <c:pt idx="60">
                  <c:v>1.0338082589285269</c:v>
                </c:pt>
                <c:pt idx="61">
                  <c:v>1.0349814277627276</c:v>
                </c:pt>
                <c:pt idx="62">
                  <c:v>1.0361545965969281</c:v>
                </c:pt>
                <c:pt idx="63">
                  <c:v>1.0373277654311288</c:v>
                </c:pt>
                <c:pt idx="64">
                  <c:v>1.0385009342653295</c:v>
                </c:pt>
                <c:pt idx="65">
                  <c:v>1.03967410309953</c:v>
                </c:pt>
                <c:pt idx="66">
                  <c:v>1.0408472719337307</c:v>
                </c:pt>
              </c:numCache>
            </c:numRef>
          </c:val>
          <c:smooth val="0"/>
          <c:extLst>
            <c:ext xmlns:c16="http://schemas.microsoft.com/office/drawing/2014/chart" uri="{C3380CC4-5D6E-409C-BE32-E72D297353CC}">
              <c16:uniqueId val="{00000001-4CD2-4686-92A1-F434FAC9435B}"/>
            </c:ext>
          </c:extLst>
        </c:ser>
        <c:ser>
          <c:idx val="2"/>
          <c:order val="2"/>
          <c:tx>
            <c:strRef>
              <c:f>'SGDAUD Forcasting Data'!$D$1</c:f>
              <c:strCache>
                <c:ptCount val="1"/>
                <c:pt idx="0">
                  <c:v>Lower Confidence Bound(Open)</c:v>
                </c:pt>
              </c:strCache>
            </c:strRef>
          </c:tx>
          <c:spPr>
            <a:ln w="12700" cap="rnd">
              <a:solidFill>
                <a:srgbClr val="ED7D31"/>
              </a:solidFill>
              <a:prstDash val="solid"/>
              <a:round/>
            </a:ln>
            <a:effectLst/>
          </c:spPr>
          <c:marker>
            <c:symbol val="none"/>
          </c:marker>
          <c:cat>
            <c:numRef>
              <c:f>'SGDAUD Forcasting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'SGDAUD Forcasting Data'!$D$2:$D$68</c:f>
              <c:numCache>
                <c:formatCode>General</c:formatCode>
                <c:ptCount val="67"/>
                <c:pt idx="52" formatCode="0.00">
                  <c:v>1.023115</c:v>
                </c:pt>
                <c:pt idx="53" formatCode="0.00">
                  <c:v>1.0060213411624388</c:v>
                </c:pt>
                <c:pt idx="54" formatCode="0.00">
                  <c:v>1.006587313463188</c:v>
                </c:pt>
                <c:pt idx="55" formatCode="0.00">
                  <c:v>1.0071663890618892</c:v>
                </c:pt>
                <c:pt idx="56" formatCode="0.00">
                  <c:v>1.0077574565535077</c:v>
                </c:pt>
                <c:pt idx="57" formatCode="0.00">
                  <c:v>1.0083595434846326</c:v>
                </c:pt>
                <c:pt idx="58" formatCode="0.00">
                  <c:v>1.0089717933663813</c:v>
                </c:pt>
                <c:pt idx="59" formatCode="0.00">
                  <c:v>1.009593447345174</c:v>
                </c:pt>
                <c:pt idx="60" formatCode="0.00">
                  <c:v>1.0102238294285546</c:v>
                </c:pt>
                <c:pt idx="61" formatCode="0.00">
                  <c:v>1.0108623344589491</c:v>
                </c:pt>
                <c:pt idx="62" formatCode="0.00">
                  <c:v>1.0115084182361407</c:v>
                </c:pt>
                <c:pt idx="63" formatCode="0.00">
                  <c:v>1.0121615893376921</c:v>
                </c:pt>
                <c:pt idx="64" formatCode="0.00">
                  <c:v>1.0128214022941409</c:v>
                </c:pt>
                <c:pt idx="65" formatCode="0.00">
                  <c:v>1.0134874518548094</c:v>
                </c:pt>
                <c:pt idx="66" formatCode="0.00">
                  <c:v>1.0141593681388197</c:v>
                </c:pt>
              </c:numCache>
            </c:numRef>
          </c:val>
          <c:smooth val="0"/>
          <c:extLst>
            <c:ext xmlns:c16="http://schemas.microsoft.com/office/drawing/2014/chart" uri="{C3380CC4-5D6E-409C-BE32-E72D297353CC}">
              <c16:uniqueId val="{00000002-4CD2-4686-92A1-F434FAC9435B}"/>
            </c:ext>
          </c:extLst>
        </c:ser>
        <c:ser>
          <c:idx val="3"/>
          <c:order val="3"/>
          <c:tx>
            <c:strRef>
              <c:f>'SGDAUD Forcasting Data'!$E$1</c:f>
              <c:strCache>
                <c:ptCount val="1"/>
                <c:pt idx="0">
                  <c:v>Upper Confidence Bound(Open)</c:v>
                </c:pt>
              </c:strCache>
            </c:strRef>
          </c:tx>
          <c:spPr>
            <a:ln w="12700" cap="rnd">
              <a:solidFill>
                <a:srgbClr val="ED7D31"/>
              </a:solidFill>
              <a:prstDash val="solid"/>
              <a:round/>
            </a:ln>
            <a:effectLst/>
          </c:spPr>
          <c:marker>
            <c:symbol val="none"/>
          </c:marker>
          <c:cat>
            <c:numRef>
              <c:f>'SGDAUD Forcasting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'SGDAUD Forcasting Data'!$E$2:$E$68</c:f>
              <c:numCache>
                <c:formatCode>General</c:formatCode>
                <c:ptCount val="67"/>
                <c:pt idx="52" formatCode="0.00">
                  <c:v>1.023115</c:v>
                </c:pt>
                <c:pt idx="53" formatCode="0.00">
                  <c:v>1.0451708130158064</c:v>
                </c:pt>
                <c:pt idx="54" formatCode="0.00">
                  <c:v>1.0469511783834582</c:v>
                </c:pt>
                <c:pt idx="55" formatCode="0.00">
                  <c:v>1.0487184404531584</c:v>
                </c:pt>
                <c:pt idx="56" formatCode="0.00">
                  <c:v>1.0504737106299413</c:v>
                </c:pt>
                <c:pt idx="57" formatCode="0.00">
                  <c:v>1.0522179613672173</c:v>
                </c:pt>
                <c:pt idx="58" formatCode="0.00">
                  <c:v>1.0539520491538701</c:v>
                </c:pt>
                <c:pt idx="59" formatCode="0.00">
                  <c:v>1.0556767328434784</c:v>
                </c:pt>
                <c:pt idx="60" formatCode="0.00">
                  <c:v>1.0573926884284992</c:v>
                </c:pt>
                <c:pt idx="61" formatCode="0.00">
                  <c:v>1.0591005210665061</c:v>
                </c:pt>
                <c:pt idx="62" formatCode="0.00">
                  <c:v>1.0608007749577155</c:v>
                </c:pt>
                <c:pt idx="63" formatCode="0.00">
                  <c:v>1.0624939415245656</c:v>
                </c:pt>
                <c:pt idx="64" formatCode="0.00">
                  <c:v>1.0641804662365182</c:v>
                </c:pt>
                <c:pt idx="65" formatCode="0.00">
                  <c:v>1.0658607543442506</c:v>
                </c:pt>
                <c:pt idx="66" formatCode="0.00">
                  <c:v>1.0675351757286418</c:v>
                </c:pt>
              </c:numCache>
            </c:numRef>
          </c:val>
          <c:smooth val="0"/>
          <c:extLst>
            <c:ext xmlns:c16="http://schemas.microsoft.com/office/drawing/2014/chart" uri="{C3380CC4-5D6E-409C-BE32-E72D297353CC}">
              <c16:uniqueId val="{00000003-4CD2-4686-92A1-F434FAC9435B}"/>
            </c:ext>
          </c:extLst>
        </c:ser>
        <c:dLbls>
          <c:showLegendKey val="0"/>
          <c:showVal val="0"/>
          <c:showCatName val="0"/>
          <c:showSerName val="0"/>
          <c:showPercent val="0"/>
          <c:showBubbleSize val="0"/>
        </c:dLbls>
        <c:smooth val="0"/>
        <c:axId val="800800128"/>
        <c:axId val="800802208"/>
      </c:lineChart>
      <c:catAx>
        <c:axId val="80080012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802208"/>
        <c:crosses val="autoZero"/>
        <c:auto val="1"/>
        <c:lblAlgn val="ctr"/>
        <c:lblOffset val="100"/>
        <c:noMultiLvlLbl val="0"/>
      </c:catAx>
      <c:valAx>
        <c:axId val="80080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80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'SGDCAD Forcast Data'!$B$1</c:f>
              <c:strCache>
                <c:ptCount val="1"/>
                <c:pt idx="0">
                  <c:v>Open</c:v>
                </c:pt>
              </c:strCache>
            </c:strRef>
          </c:tx>
          <c:spPr>
            <a:ln w="28575" cap="rnd">
              <a:solidFill>
                <a:schemeClr val="accent1"/>
              </a:solidFill>
              <a:round/>
            </a:ln>
            <a:effectLst/>
          </c:spPr>
          <c:marker>
            <c:symbol val="none"/>
          </c:marker>
          <c:val>
            <c:numRef>
              <c:f>'SGDCAD Forcast Data'!$B$2:$B$68</c:f>
              <c:numCache>
                <c:formatCode>General</c:formatCode>
                <c:ptCount val="67"/>
                <c:pt idx="0">
                  <c:v>0.96043999999999996</c:v>
                </c:pt>
                <c:pt idx="1">
                  <c:v>0.95879999999999999</c:v>
                </c:pt>
                <c:pt idx="2">
                  <c:v>0.95786000000000004</c:v>
                </c:pt>
                <c:pt idx="3">
                  <c:v>0.96199000000000001</c:v>
                </c:pt>
                <c:pt idx="4">
                  <c:v>0.95682</c:v>
                </c:pt>
                <c:pt idx="5">
                  <c:v>0.95743999999999996</c:v>
                </c:pt>
                <c:pt idx="6">
                  <c:v>0.95172999999999996</c:v>
                </c:pt>
                <c:pt idx="7">
                  <c:v>0.95513000000000003</c:v>
                </c:pt>
                <c:pt idx="8">
                  <c:v>0.94203999999999999</c:v>
                </c:pt>
                <c:pt idx="9">
                  <c:v>0.92762999999999995</c:v>
                </c:pt>
                <c:pt idx="10">
                  <c:v>0.93137000000000003</c:v>
                </c:pt>
                <c:pt idx="11">
                  <c:v>0.93459000000000003</c:v>
                </c:pt>
                <c:pt idx="12">
                  <c:v>0.93372999999999995</c:v>
                </c:pt>
                <c:pt idx="13">
                  <c:v>0.93420000000000003</c:v>
                </c:pt>
                <c:pt idx="14">
                  <c:v>0.93762999999999996</c:v>
                </c:pt>
                <c:pt idx="15">
                  <c:v>0.94064999999999999</c:v>
                </c:pt>
                <c:pt idx="16">
                  <c:v>0.92301</c:v>
                </c:pt>
                <c:pt idx="17">
                  <c:v>0.91461000000000003</c:v>
                </c:pt>
                <c:pt idx="18">
                  <c:v>0.90863000000000005</c:v>
                </c:pt>
                <c:pt idx="19">
                  <c:v>0.90639999999999998</c:v>
                </c:pt>
                <c:pt idx="20">
                  <c:v>0.91247999999999996</c:v>
                </c:pt>
                <c:pt idx="21">
                  <c:v>0.91173999999999999</c:v>
                </c:pt>
                <c:pt idx="22">
                  <c:v>0.91690000000000005</c:v>
                </c:pt>
                <c:pt idx="23">
                  <c:v>0.92571000000000003</c:v>
                </c:pt>
                <c:pt idx="24">
                  <c:v>0.91854000000000002</c:v>
                </c:pt>
                <c:pt idx="25">
                  <c:v>0.91517000000000004</c:v>
                </c:pt>
                <c:pt idx="26">
                  <c:v>0.92162999999999995</c:v>
                </c:pt>
                <c:pt idx="27">
                  <c:v>0.92991000000000001</c:v>
                </c:pt>
                <c:pt idx="28">
                  <c:v>0.92364000000000002</c:v>
                </c:pt>
                <c:pt idx="29">
                  <c:v>0.92052</c:v>
                </c:pt>
                <c:pt idx="30">
                  <c:v>0.92691000000000001</c:v>
                </c:pt>
                <c:pt idx="31">
                  <c:v>0.92376000000000003</c:v>
                </c:pt>
                <c:pt idx="32">
                  <c:v>0.94133</c:v>
                </c:pt>
                <c:pt idx="33">
                  <c:v>0.93715999999999999</c:v>
                </c:pt>
                <c:pt idx="34">
                  <c:v>0.93410000000000004</c:v>
                </c:pt>
                <c:pt idx="35">
                  <c:v>0.94498000000000004</c:v>
                </c:pt>
                <c:pt idx="36">
                  <c:v>0.94582999999999995</c:v>
                </c:pt>
                <c:pt idx="37">
                  <c:v>0.93466000000000005</c:v>
                </c:pt>
                <c:pt idx="38">
                  <c:v>0.93081999999999998</c:v>
                </c:pt>
                <c:pt idx="39">
                  <c:v>0.92115999999999998</c:v>
                </c:pt>
                <c:pt idx="40">
                  <c:v>0.91756000000000004</c:v>
                </c:pt>
                <c:pt idx="41">
                  <c:v>0.91722000000000004</c:v>
                </c:pt>
                <c:pt idx="42">
                  <c:v>0.91746000000000005</c:v>
                </c:pt>
                <c:pt idx="43">
                  <c:v>0.92212000000000005</c:v>
                </c:pt>
                <c:pt idx="44">
                  <c:v>0.92774599999999996</c:v>
                </c:pt>
                <c:pt idx="45">
                  <c:v>0.92881999999999998</c:v>
                </c:pt>
                <c:pt idx="46">
                  <c:v>0.92850999999999995</c:v>
                </c:pt>
                <c:pt idx="47">
                  <c:v>0.93503999999999998</c:v>
                </c:pt>
                <c:pt idx="48">
                  <c:v>0.93240000000000001</c:v>
                </c:pt>
                <c:pt idx="49">
                  <c:v>0.94323000000000001</c:v>
                </c:pt>
                <c:pt idx="50">
                  <c:v>0.94354000000000005</c:v>
                </c:pt>
                <c:pt idx="51">
                  <c:v>0.93864999999999998</c:v>
                </c:pt>
                <c:pt idx="52">
                  <c:v>0.93227000000000004</c:v>
                </c:pt>
              </c:numCache>
            </c:numRef>
          </c:val>
          <c:smooth val="0"/>
          <c:extLst>
            <c:ext xmlns:c16="http://schemas.microsoft.com/office/drawing/2014/chart" uri="{C3380CC4-5D6E-409C-BE32-E72D297353CC}">
              <c16:uniqueId val="{00000000-CD3F-402C-BA68-83073B1059FE}"/>
            </c:ext>
          </c:extLst>
        </c:ser>
        <c:ser>
          <c:idx val="1"/>
          <c:order val="1"/>
          <c:tx>
            <c:strRef>
              <c:f>'SGDCAD Forcast Data'!$C$1</c:f>
              <c:strCache>
                <c:ptCount val="1"/>
                <c:pt idx="0">
                  <c:v>Forecast(Open)</c:v>
                </c:pt>
              </c:strCache>
            </c:strRef>
          </c:tx>
          <c:spPr>
            <a:ln w="25400" cap="rnd">
              <a:solidFill>
                <a:schemeClr val="accent2"/>
              </a:solidFill>
              <a:round/>
            </a:ln>
            <a:effectLst/>
          </c:spPr>
          <c:marker>
            <c:symbol val="none"/>
          </c:marker>
          <c:cat>
            <c:numRef>
              <c:f>'SGDCAD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'SGDCAD Forcast Data'!$C$2:$C$68</c:f>
              <c:numCache>
                <c:formatCode>General</c:formatCode>
                <c:ptCount val="67"/>
                <c:pt idx="52">
                  <c:v>0.93227000000000004</c:v>
                </c:pt>
                <c:pt idx="53">
                  <c:v>0.93524237468478577</c:v>
                </c:pt>
                <c:pt idx="54">
                  <c:v>0.93489615566510609</c:v>
                </c:pt>
                <c:pt idx="55">
                  <c:v>0.93454993664542652</c:v>
                </c:pt>
                <c:pt idx="56">
                  <c:v>0.93420371762574694</c:v>
                </c:pt>
                <c:pt idx="57">
                  <c:v>0.93385749860606726</c:v>
                </c:pt>
                <c:pt idx="58">
                  <c:v>0.93351127958638769</c:v>
                </c:pt>
                <c:pt idx="59">
                  <c:v>0.93316506056670812</c:v>
                </c:pt>
                <c:pt idx="60">
                  <c:v>0.93281884154702843</c:v>
                </c:pt>
                <c:pt idx="61">
                  <c:v>0.93247262252734886</c:v>
                </c:pt>
                <c:pt idx="62">
                  <c:v>0.93212640350766929</c:v>
                </c:pt>
                <c:pt idx="63">
                  <c:v>0.9317801844879896</c:v>
                </c:pt>
                <c:pt idx="64">
                  <c:v>0.93143396546831003</c:v>
                </c:pt>
                <c:pt idx="65">
                  <c:v>0.93108774644863046</c:v>
                </c:pt>
                <c:pt idx="66">
                  <c:v>0.93074152742895078</c:v>
                </c:pt>
              </c:numCache>
            </c:numRef>
          </c:val>
          <c:smooth val="0"/>
          <c:extLst>
            <c:ext xmlns:c16="http://schemas.microsoft.com/office/drawing/2014/chart" uri="{C3380CC4-5D6E-409C-BE32-E72D297353CC}">
              <c16:uniqueId val="{00000001-CD3F-402C-BA68-83073B1059FE}"/>
            </c:ext>
          </c:extLst>
        </c:ser>
        <c:ser>
          <c:idx val="2"/>
          <c:order val="2"/>
          <c:tx>
            <c:strRef>
              <c:f>'SGDCAD Forcast Data'!$D$1</c:f>
              <c:strCache>
                <c:ptCount val="1"/>
                <c:pt idx="0">
                  <c:v>Lower Confidence Bound(Open)</c:v>
                </c:pt>
              </c:strCache>
            </c:strRef>
          </c:tx>
          <c:spPr>
            <a:ln w="12700" cap="rnd">
              <a:solidFill>
                <a:srgbClr val="ED7D31"/>
              </a:solidFill>
              <a:prstDash val="solid"/>
              <a:round/>
            </a:ln>
            <a:effectLst/>
          </c:spPr>
          <c:marker>
            <c:symbol val="none"/>
          </c:marker>
          <c:cat>
            <c:numRef>
              <c:f>'SGDCAD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'SGDCAD Forcast Data'!$D$2:$D$68</c:f>
              <c:numCache>
                <c:formatCode>General</c:formatCode>
                <c:ptCount val="67"/>
                <c:pt idx="52" formatCode="0.00">
                  <c:v>0.93227000000000004</c:v>
                </c:pt>
                <c:pt idx="53" formatCode="0.00">
                  <c:v>0.92018223873405691</c:v>
                </c:pt>
                <c:pt idx="54" formatCode="0.00">
                  <c:v>0.91805167131352694</c:v>
                </c:pt>
                <c:pt idx="55" formatCode="0.00">
                  <c:v>0.91608664605559142</c:v>
                </c:pt>
                <c:pt idx="56" formatCode="0.00">
                  <c:v>0.91424682689918035</c:v>
                </c:pt>
                <c:pt idx="57" formatCode="0.00">
                  <c:v>0.91250591152481586</c:v>
                </c:pt>
                <c:pt idx="58" formatCode="0.00">
                  <c:v>0.91084562488001497</c:v>
                </c:pt>
                <c:pt idx="59" formatCode="0.00">
                  <c:v>0.90925266130966431</c:v>
                </c:pt>
                <c:pt idx="60" formatCode="0.00">
                  <c:v>0.90771697848105448</c:v>
                </c:pt>
                <c:pt idx="61" formatCode="0.00">
                  <c:v>0.90623077750174486</c:v>
                </c:pt>
                <c:pt idx="62" formatCode="0.00">
                  <c:v>0.90478785938515971</c:v>
                </c:pt>
                <c:pt idx="63" formatCode="0.00">
                  <c:v>0.90338320091279201</c:v>
                </c:pt>
                <c:pt idx="64" formatCode="0.00">
                  <c:v>0.90201266488084231</c:v>
                </c:pt>
                <c:pt idx="65" formatCode="0.00">
                  <c:v>0.90067279610150597</c:v>
                </c:pt>
                <c:pt idx="66" formatCode="0.00">
                  <c:v>0.89936067404882114</c:v>
                </c:pt>
              </c:numCache>
            </c:numRef>
          </c:val>
          <c:smooth val="0"/>
          <c:extLst>
            <c:ext xmlns:c16="http://schemas.microsoft.com/office/drawing/2014/chart" uri="{C3380CC4-5D6E-409C-BE32-E72D297353CC}">
              <c16:uniqueId val="{00000002-CD3F-402C-BA68-83073B1059FE}"/>
            </c:ext>
          </c:extLst>
        </c:ser>
        <c:ser>
          <c:idx val="3"/>
          <c:order val="3"/>
          <c:tx>
            <c:strRef>
              <c:f>'SGDCAD Forcast Data'!$E$1</c:f>
              <c:strCache>
                <c:ptCount val="1"/>
                <c:pt idx="0">
                  <c:v>Upper Confidence Bound(Open)</c:v>
                </c:pt>
              </c:strCache>
            </c:strRef>
          </c:tx>
          <c:spPr>
            <a:ln w="12700" cap="rnd">
              <a:solidFill>
                <a:srgbClr val="ED7D31"/>
              </a:solidFill>
              <a:prstDash val="solid"/>
              <a:round/>
            </a:ln>
            <a:effectLst/>
          </c:spPr>
          <c:marker>
            <c:symbol val="none"/>
          </c:marker>
          <c:cat>
            <c:numRef>
              <c:f>'SGDCAD Forcast Data'!$A$2:$A$68</c:f>
              <c:numCache>
                <c:formatCode>m/d/yyyy</c:formatCode>
                <c:ptCount val="67"/>
                <c:pt idx="0">
                  <c:v>44207</c:v>
                </c:pt>
                <c:pt idx="1">
                  <c:v>44214</c:v>
                </c:pt>
                <c:pt idx="2">
                  <c:v>44221</c:v>
                </c:pt>
                <c:pt idx="3">
                  <c:v>44228</c:v>
                </c:pt>
                <c:pt idx="4">
                  <c:v>44235</c:v>
                </c:pt>
                <c:pt idx="5">
                  <c:v>44242</c:v>
                </c:pt>
                <c:pt idx="6">
                  <c:v>44249</c:v>
                </c:pt>
                <c:pt idx="7">
                  <c:v>44256</c:v>
                </c:pt>
                <c:pt idx="8">
                  <c:v>44263</c:v>
                </c:pt>
                <c:pt idx="9">
                  <c:v>44270</c:v>
                </c:pt>
                <c:pt idx="10">
                  <c:v>44277</c:v>
                </c:pt>
                <c:pt idx="11">
                  <c:v>44284</c:v>
                </c:pt>
                <c:pt idx="12">
                  <c:v>44291</c:v>
                </c:pt>
                <c:pt idx="13">
                  <c:v>44298</c:v>
                </c:pt>
                <c:pt idx="14">
                  <c:v>44305</c:v>
                </c:pt>
                <c:pt idx="15">
                  <c:v>44312</c:v>
                </c:pt>
                <c:pt idx="16">
                  <c:v>44319</c:v>
                </c:pt>
                <c:pt idx="17">
                  <c:v>44326</c:v>
                </c:pt>
                <c:pt idx="18">
                  <c:v>44333</c:v>
                </c:pt>
                <c:pt idx="19">
                  <c:v>44340</c:v>
                </c:pt>
                <c:pt idx="20">
                  <c:v>44347</c:v>
                </c:pt>
                <c:pt idx="21">
                  <c:v>44354</c:v>
                </c:pt>
                <c:pt idx="22">
                  <c:v>44361</c:v>
                </c:pt>
                <c:pt idx="23">
                  <c:v>44368</c:v>
                </c:pt>
                <c:pt idx="24">
                  <c:v>44375</c:v>
                </c:pt>
                <c:pt idx="25">
                  <c:v>44382</c:v>
                </c:pt>
                <c:pt idx="26">
                  <c:v>44389</c:v>
                </c:pt>
                <c:pt idx="27">
                  <c:v>44396</c:v>
                </c:pt>
                <c:pt idx="28">
                  <c:v>44403</c:v>
                </c:pt>
                <c:pt idx="29">
                  <c:v>44410</c:v>
                </c:pt>
                <c:pt idx="30">
                  <c:v>44417</c:v>
                </c:pt>
                <c:pt idx="31">
                  <c:v>44424</c:v>
                </c:pt>
                <c:pt idx="32">
                  <c:v>44431</c:v>
                </c:pt>
                <c:pt idx="33">
                  <c:v>44438</c:v>
                </c:pt>
                <c:pt idx="34">
                  <c:v>44445</c:v>
                </c:pt>
                <c:pt idx="35">
                  <c:v>44452</c:v>
                </c:pt>
                <c:pt idx="36">
                  <c:v>44459</c:v>
                </c:pt>
                <c:pt idx="37">
                  <c:v>44466</c:v>
                </c:pt>
                <c:pt idx="38">
                  <c:v>44473</c:v>
                </c:pt>
                <c:pt idx="39">
                  <c:v>44480</c:v>
                </c:pt>
                <c:pt idx="40">
                  <c:v>44487</c:v>
                </c:pt>
                <c:pt idx="41">
                  <c:v>44494</c:v>
                </c:pt>
                <c:pt idx="42">
                  <c:v>44501</c:v>
                </c:pt>
                <c:pt idx="43">
                  <c:v>44508</c:v>
                </c:pt>
                <c:pt idx="44">
                  <c:v>44515</c:v>
                </c:pt>
                <c:pt idx="45">
                  <c:v>44522</c:v>
                </c:pt>
                <c:pt idx="46">
                  <c:v>44529</c:v>
                </c:pt>
                <c:pt idx="47">
                  <c:v>44536</c:v>
                </c:pt>
                <c:pt idx="48">
                  <c:v>44543</c:v>
                </c:pt>
                <c:pt idx="49">
                  <c:v>44550</c:v>
                </c:pt>
                <c:pt idx="50">
                  <c:v>44557</c:v>
                </c:pt>
                <c:pt idx="51">
                  <c:v>44564</c:v>
                </c:pt>
                <c:pt idx="52">
                  <c:v>44571</c:v>
                </c:pt>
                <c:pt idx="53">
                  <c:v>44578</c:v>
                </c:pt>
                <c:pt idx="54">
                  <c:v>44585</c:v>
                </c:pt>
                <c:pt idx="55">
                  <c:v>44592</c:v>
                </c:pt>
                <c:pt idx="56">
                  <c:v>44599</c:v>
                </c:pt>
                <c:pt idx="57">
                  <c:v>44606</c:v>
                </c:pt>
                <c:pt idx="58">
                  <c:v>44613</c:v>
                </c:pt>
                <c:pt idx="59">
                  <c:v>44620</c:v>
                </c:pt>
                <c:pt idx="60">
                  <c:v>44627</c:v>
                </c:pt>
                <c:pt idx="61">
                  <c:v>44634</c:v>
                </c:pt>
                <c:pt idx="62">
                  <c:v>44641</c:v>
                </c:pt>
                <c:pt idx="63">
                  <c:v>44648</c:v>
                </c:pt>
                <c:pt idx="64">
                  <c:v>44655</c:v>
                </c:pt>
                <c:pt idx="65">
                  <c:v>44662</c:v>
                </c:pt>
                <c:pt idx="66">
                  <c:v>44669</c:v>
                </c:pt>
              </c:numCache>
            </c:numRef>
          </c:cat>
          <c:val>
            <c:numRef>
              <c:f>'SGDCAD Forcast Data'!$E$2:$E$68</c:f>
              <c:numCache>
                <c:formatCode>General</c:formatCode>
                <c:ptCount val="67"/>
                <c:pt idx="52" formatCode="0.00">
                  <c:v>0.93227000000000004</c:v>
                </c:pt>
                <c:pt idx="53" formatCode="0.00">
                  <c:v>0.95030251063551463</c:v>
                </c:pt>
                <c:pt idx="54" formatCode="0.00">
                  <c:v>0.95174064001668524</c:v>
                </c:pt>
                <c:pt idx="55" formatCode="0.00">
                  <c:v>0.95301322723526161</c:v>
                </c:pt>
                <c:pt idx="56" formatCode="0.00">
                  <c:v>0.95416060835231353</c:v>
                </c:pt>
                <c:pt idx="57" formatCode="0.00">
                  <c:v>0.95520908568731866</c:v>
                </c:pt>
                <c:pt idx="58" formatCode="0.00">
                  <c:v>0.95617693429276041</c:v>
                </c:pt>
                <c:pt idx="59" formatCode="0.00">
                  <c:v>0.95707745982375192</c:v>
                </c:pt>
                <c:pt idx="60" formatCode="0.00">
                  <c:v>0.95792070461300238</c:v>
                </c:pt>
                <c:pt idx="61" formatCode="0.00">
                  <c:v>0.95871446755295286</c:v>
                </c:pt>
                <c:pt idx="62" formatCode="0.00">
                  <c:v>0.95946494763017887</c:v>
                </c:pt>
                <c:pt idx="63" formatCode="0.00">
                  <c:v>0.9601771680631872</c:v>
                </c:pt>
                <c:pt idx="64" formatCode="0.00">
                  <c:v>0.96085526605577776</c:v>
                </c:pt>
                <c:pt idx="65" formatCode="0.00">
                  <c:v>0.96150269679575495</c:v>
                </c:pt>
                <c:pt idx="66" formatCode="0.00">
                  <c:v>0.96212238080908041</c:v>
                </c:pt>
              </c:numCache>
            </c:numRef>
          </c:val>
          <c:smooth val="0"/>
          <c:extLst>
            <c:ext xmlns:c16="http://schemas.microsoft.com/office/drawing/2014/chart" uri="{C3380CC4-5D6E-409C-BE32-E72D297353CC}">
              <c16:uniqueId val="{00000003-CD3F-402C-BA68-83073B1059FE}"/>
            </c:ext>
          </c:extLst>
        </c:ser>
        <c:dLbls>
          <c:showLegendKey val="0"/>
          <c:showVal val="0"/>
          <c:showCatName val="0"/>
          <c:showSerName val="0"/>
          <c:showPercent val="0"/>
          <c:showBubbleSize val="0"/>
        </c:dLbls>
        <c:smooth val="0"/>
        <c:axId val="798788560"/>
        <c:axId val="798792304"/>
      </c:lineChart>
      <c:catAx>
        <c:axId val="79878856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792304"/>
        <c:crosses val="autoZero"/>
        <c:auto val="1"/>
        <c:lblAlgn val="ctr"/>
        <c:lblOffset val="100"/>
        <c:noMultiLvlLbl val="0"/>
      </c:catAx>
      <c:valAx>
        <c:axId val="79879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78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311972395980354E-2"/>
          <c:y val="3.7616325169310724E-2"/>
          <c:w val="0.88719645236740841"/>
          <c:h val="0.81555929990644715"/>
        </c:manualLayout>
      </c:layout>
      <c:lineChart>
        <c:grouping val="standard"/>
        <c:varyColors val="0"/>
        <c:ser>
          <c:idx val="0"/>
          <c:order val="0"/>
          <c:tx>
            <c:v>Price</c:v>
          </c:tx>
          <c:spPr>
            <a:ln w="19050" cap="rnd">
              <a:solidFill>
                <a:srgbClr val="00B0F0"/>
              </a:solidFill>
              <a:round/>
            </a:ln>
            <a:effectLst/>
          </c:spPr>
          <c:marker>
            <c:symbol val="none"/>
          </c:marker>
          <c:cat>
            <c:strRef>
              <c:f>[14]!CH_DATE</c:f>
              <c:strCache>
                <c:ptCount val="1"/>
                <c:pt idx="0">
                  <c:v>#REF!</c:v>
                </c:pt>
              </c:strCache>
            </c:strRef>
          </c:cat>
          <c:val>
            <c:numRef>
              <c:f>[14]!CH_PRICE</c:f>
              <c:numCache>
                <c:formatCode>General</c:formatCode>
                <c:ptCount val="1"/>
                <c:pt idx="0">
                  <c:v>1</c:v>
                </c:pt>
              </c:numCache>
            </c:numRef>
          </c:val>
          <c:smooth val="0"/>
          <c:extLst>
            <c:ext xmlns:c16="http://schemas.microsoft.com/office/drawing/2014/chart" uri="{C3380CC4-5D6E-409C-BE32-E72D297353CC}">
              <c16:uniqueId val="{00000000-7F91-4D7C-B8EF-9163CEF7FA70}"/>
            </c:ext>
          </c:extLst>
        </c:ser>
        <c:dLbls>
          <c:showLegendKey val="0"/>
          <c:showVal val="0"/>
          <c:showCatName val="0"/>
          <c:showSerName val="0"/>
          <c:showPercent val="0"/>
          <c:showBubbleSize val="0"/>
        </c:dLbls>
        <c:smooth val="0"/>
        <c:axId val="86299471"/>
        <c:axId val="86299055"/>
      </c:lineChart>
      <c:catAx>
        <c:axId val="86299471"/>
        <c:scaling>
          <c:orientation val="minMax"/>
        </c:scaling>
        <c:delete val="0"/>
        <c:axPos val="b"/>
        <c:numFmt formatCode="[$-409]d\-mmm\-yyyy;@" sourceLinked="0"/>
        <c:majorTickMark val="none"/>
        <c:minorTickMark val="none"/>
        <c:tickLblPos val="low"/>
        <c:spPr>
          <a:noFill/>
          <a:ln w="19050" cap="flat" cmpd="sng" algn="ctr">
            <a:solidFill>
              <a:srgbClr val="00B0F0"/>
            </a:solidFill>
            <a:round/>
          </a:ln>
          <a:effectLst/>
        </c:spPr>
        <c:txPr>
          <a:bodyPr rot="-60000000" spcFirstLastPara="1" vertOverflow="ellipsis" vert="horz" wrap="square" anchor="b" anchorCtr="0"/>
          <a:lstStyle/>
          <a:p>
            <a:pPr>
              <a:defRPr sz="1000" b="0" i="0" u="none" strike="noStrike" kern="1200" baseline="0">
                <a:solidFill>
                  <a:schemeClr val="tx1">
                    <a:lumMod val="65000"/>
                    <a:lumOff val="35000"/>
                  </a:schemeClr>
                </a:solidFill>
                <a:latin typeface="Arial Nova Cond Light" panose="020B0306020202020204" pitchFamily="34" charset="0"/>
                <a:ea typeface="+mn-ea"/>
                <a:cs typeface="+mn-cs"/>
              </a:defRPr>
            </a:pPr>
            <a:endParaRPr lang="en-US"/>
          </a:p>
        </c:txPr>
        <c:crossAx val="86299055"/>
        <c:crosses val="autoZero"/>
        <c:auto val="0"/>
        <c:lblAlgn val="ctr"/>
        <c:lblOffset val="100"/>
        <c:noMultiLvlLbl val="1"/>
      </c:catAx>
      <c:valAx>
        <c:axId val="86299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rgbClr val="00B0F0"/>
                    </a:solidFill>
                    <a:latin typeface="+mn-lt"/>
                    <a:ea typeface="+mn-ea"/>
                    <a:cs typeface="+mn-cs"/>
                  </a:defRPr>
                </a:pPr>
                <a:r>
                  <a:rPr lang="en-US" sz="1200">
                    <a:solidFill>
                      <a:srgbClr val="00B0F0"/>
                    </a:solidFill>
                  </a:rPr>
                  <a:t>Price</a:t>
                </a:r>
              </a:p>
            </c:rich>
          </c:tx>
          <c:layout>
            <c:manualLayout>
              <c:xMode val="edge"/>
              <c:yMode val="edge"/>
              <c:x val="2.5578188837861553E-2"/>
              <c:y val="4.6415536250211359E-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rgbClr val="00B0F0"/>
                  </a:solidFill>
                  <a:latin typeface="+mn-lt"/>
                  <a:ea typeface="+mn-ea"/>
                  <a:cs typeface="+mn-cs"/>
                </a:defRPr>
              </a:pPr>
              <a:endParaRPr lang="en-US"/>
            </a:p>
          </c:txPr>
        </c:title>
        <c:numFmt formatCode="General" sourceLinked="0"/>
        <c:majorTickMark val="none"/>
        <c:minorTickMark val="none"/>
        <c:tickLblPos val="nextTo"/>
        <c:spPr>
          <a:noFill/>
          <a:ln w="19050">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Nova Cond Light" panose="020B0306020202020204" pitchFamily="34" charset="0"/>
                <a:ea typeface="+mn-ea"/>
                <a:cs typeface="+mn-cs"/>
              </a:defRPr>
            </a:pPr>
            <a:endParaRPr lang="en-US"/>
          </a:p>
        </c:txPr>
        <c:crossAx val="86299471"/>
        <c:crosses val="autoZero"/>
        <c:crossBetween val="between"/>
      </c:valAx>
      <c:spPr>
        <a:pattFill prst="lgGrid">
          <a:fgClr>
            <a:schemeClr val="accent3">
              <a:lumMod val="20000"/>
              <a:lumOff val="80000"/>
            </a:schemeClr>
          </a:fgClr>
          <a:bgClr>
            <a:schemeClr val="bg1"/>
          </a:bgClr>
        </a:pattFill>
        <a:ln>
          <a:solidFill>
            <a:srgbClr val="00B0F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_xlchart.v1.0</cx:f>
      </cx:strDim>
      <cx:numDim type="size">
        <cx:f dir="row">_xlchart.v1.1</cx:f>
      </cx:numDim>
    </cx:data>
  </cx:chartData>
  <cx:chart>
    <cx:title pos="t" align="ctr" overlay="0">
      <cx:tx>
        <cx:txData>
          <cx:v>Forecasted CPF Account Valuation</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Forecasted CPF Account Valuation</a:t>
          </a:r>
        </a:p>
      </cx:txPr>
    </cx:title>
    <cx:plotArea>
      <cx:plotAreaRegion>
        <cx:series layoutId="treemap" uniqueId="{76782DA2-39CF-4E14-854B-0BA47802DFD7}">
          <cx:spPr>
            <a:ln>
              <a:solidFill>
                <a:srgbClr val="000000"/>
              </a:solidFill>
            </a:ln>
          </cx:spPr>
          <cx:dataPt idx="2">
            <cx:spPr>
              <a:solidFill>
                <a:srgbClr val="70AD47"/>
              </a:solidFill>
            </cx:spPr>
          </cx:dataPt>
          <cx:dataLabels pos="inEnd">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CRYPTO PORTFOLIO</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CRYPTO PORTFOLIO</a:t>
          </a:r>
        </a:p>
      </cx:txPr>
    </cx:title>
    <cx:plotArea>
      <cx:plotAreaRegion>
        <cx:series layoutId="treemap" uniqueId="{8338E6A9-D413-4BCC-BB61-91B3E488CDE0}">
          <cx:dataLabels pos="inEnd">
            <cx:visibility seriesName="0" categoryName="1" value="1"/>
            <cx:separator>, </cx:separator>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withinLinear" id="19">
  <a:schemeClr val="accent6"/>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Stock Investment Tracker'!A1"/><Relationship Id="rId13" Type="http://schemas.openxmlformats.org/officeDocument/2006/relationships/hyperlink" Target="#'Mortgage Calculator'!A1"/><Relationship Id="rId18" Type="http://schemas.openxmlformats.org/officeDocument/2006/relationships/hyperlink" Target="#'Cryptocurrency Holdings'!A1"/><Relationship Id="rId3" Type="http://schemas.openxmlformats.org/officeDocument/2006/relationships/hyperlink" Target="#'Savings Tracker'!A1"/><Relationship Id="rId7" Type="http://schemas.openxmlformats.org/officeDocument/2006/relationships/hyperlink" Target="#'Stock Ledger'!A1"/><Relationship Id="rId12" Type="http://schemas.openxmlformats.org/officeDocument/2006/relationships/hyperlink" Target="#'Credit card summary'!A1"/><Relationship Id="rId17" Type="http://schemas.openxmlformats.org/officeDocument/2006/relationships/hyperlink" Target="#Summary!A1"/><Relationship Id="rId2" Type="http://schemas.openxmlformats.org/officeDocument/2006/relationships/hyperlink" Target="#'Registration Form'!A1"/><Relationship Id="rId16" Type="http://schemas.openxmlformats.org/officeDocument/2006/relationships/hyperlink" Target="#Budget!A1"/><Relationship Id="rId1" Type="http://schemas.openxmlformats.org/officeDocument/2006/relationships/image" Target="../media/image2.png"/><Relationship Id="rId6" Type="http://schemas.openxmlformats.org/officeDocument/2006/relationships/hyperlink" Target="#'Loan Calculator'!A1"/><Relationship Id="rId11" Type="http://schemas.openxmlformats.org/officeDocument/2006/relationships/hyperlink" Target="#'Credit Card pay off calculator'!A1"/><Relationship Id="rId5" Type="http://schemas.openxmlformats.org/officeDocument/2006/relationships/hyperlink" Target="#'Savings Estimator'!A1"/><Relationship Id="rId15" Type="http://schemas.openxmlformats.org/officeDocument/2006/relationships/hyperlink" Target="#Income!A1"/><Relationship Id="rId10" Type="http://schemas.openxmlformats.org/officeDocument/2006/relationships/hyperlink" Target="#'Watch List'!A1"/><Relationship Id="rId19" Type="http://schemas.openxmlformats.org/officeDocument/2006/relationships/hyperlink" Target="#'Cryptocurrency GoinGecko API'!A1"/><Relationship Id="rId4" Type="http://schemas.openxmlformats.org/officeDocument/2006/relationships/hyperlink" Target="#'CPF Contribution &amp; Forecast'!A1"/><Relationship Id="rId9" Type="http://schemas.openxmlformats.org/officeDocument/2006/relationships/hyperlink" Target="#'CPF Tracker'!A1"/><Relationship Id="rId14" Type="http://schemas.openxmlformats.org/officeDocument/2006/relationships/hyperlink" Target="#'Amortization Table'!A1"/></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4.png"/><Relationship Id="rId4"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image" Target="../media/image4.png"/><Relationship Id="rId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image" Target="../media/image4.png"/><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image" Target="../media/image4.png"/><Relationship Id="rId5" Type="http://schemas.openxmlformats.org/officeDocument/2006/relationships/chart" Target="../charts/chart23.xml"/><Relationship Id="rId4"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5.xml"/><Relationship Id="rId1" Type="http://schemas.openxmlformats.org/officeDocument/2006/relationships/chart" Target="../charts/chart24.xml"/><Relationship Id="rId5" Type="http://schemas.openxmlformats.org/officeDocument/2006/relationships/chart" Target="../charts/chart26.xml"/><Relationship Id="rId4" Type="http://schemas.openxmlformats.org/officeDocument/2006/relationships/image" Target="../media/image12.png"/></Relationships>
</file>

<file path=xl/drawings/_rels/drawing15.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image" Target="../media/image4.png"/><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chart" Target="../charts/chart44.xml"/></Relationships>
</file>

<file path=xl/drawings/_rels/drawing30.xml.rels><?xml version="1.0" encoding="UTF-8" standalone="yes"?>
<Relationships xmlns="http://schemas.openxmlformats.org/package/2006/relationships"><Relationship Id="rId8" Type="http://schemas.openxmlformats.org/officeDocument/2006/relationships/image" Target="../media/image30.jpeg"/><Relationship Id="rId3" Type="http://schemas.openxmlformats.org/officeDocument/2006/relationships/image" Target="../media/image25.png"/><Relationship Id="rId7" Type="http://schemas.openxmlformats.org/officeDocument/2006/relationships/image" Target="../media/image29.pn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8.png"/><Relationship Id="rId5" Type="http://schemas.openxmlformats.org/officeDocument/2006/relationships/image" Target="../media/image27.png"/><Relationship Id="rId4" Type="http://schemas.openxmlformats.org/officeDocument/2006/relationships/image" Target="../media/image2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oneCellAnchor>
    <xdr:from>
      <xdr:col>1</xdr:col>
      <xdr:colOff>249555</xdr:colOff>
      <xdr:row>4</xdr:row>
      <xdr:rowOff>45720</xdr:rowOff>
    </xdr:from>
    <xdr:ext cx="1203063" cy="1306830"/>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467" y="807720"/>
          <a:ext cx="1203063" cy="13068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550546</xdr:colOff>
      <xdr:row>24</xdr:row>
      <xdr:rowOff>112395</xdr:rowOff>
    </xdr:from>
    <xdr:to>
      <xdr:col>11</xdr:col>
      <xdr:colOff>19050</xdr:colOff>
      <xdr:row>27</xdr:row>
      <xdr:rowOff>131445</xdr:rowOff>
    </xdr:to>
    <xdr:sp macro="" textlink="">
      <xdr:nvSpPr>
        <xdr:cNvPr id="22" name="Rectangle: Rounded Corners 2">
          <a:hlinkClick xmlns:r="http://schemas.openxmlformats.org/officeDocument/2006/relationships" r:id="rId2"/>
          <a:extLst>
            <a:ext uri="{FF2B5EF4-FFF2-40B4-BE49-F238E27FC236}">
              <a16:creationId xmlns:a16="http://schemas.microsoft.com/office/drawing/2014/main" id="{00000000-0008-0000-0000-000016000000}"/>
            </a:ext>
          </a:extLst>
        </xdr:cNvPr>
        <xdr:cNvSpPr/>
      </xdr:nvSpPr>
      <xdr:spPr>
        <a:xfrm>
          <a:off x="550546" y="4684395"/>
          <a:ext cx="6001533" cy="590550"/>
        </a:xfrm>
        <a:prstGeom prst="roundRect">
          <a:avLst/>
        </a:prstGeom>
        <a:solidFill>
          <a:srgbClr val="5C5CE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Registration</a:t>
          </a:r>
        </a:p>
      </xdr:txBody>
    </xdr:sp>
    <xdr:clientData/>
  </xdr:twoCellAnchor>
  <xdr:twoCellAnchor>
    <xdr:from>
      <xdr:col>12</xdr:col>
      <xdr:colOff>64771</xdr:colOff>
      <xdr:row>6</xdr:row>
      <xdr:rowOff>93345</xdr:rowOff>
    </xdr:from>
    <xdr:to>
      <xdr:col>15</xdr:col>
      <xdr:colOff>228600</xdr:colOff>
      <xdr:row>9</xdr:row>
      <xdr:rowOff>112395</xdr:rowOff>
    </xdr:to>
    <xdr:sp macro="" textlink="">
      <xdr:nvSpPr>
        <xdr:cNvPr id="3" name="Rectangle: Rounded Corners 3">
          <a:hlinkClick xmlns:r="http://schemas.openxmlformats.org/officeDocument/2006/relationships" r:id="rId3"/>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16000000}"/>
            </a:ext>
          </a:extLst>
        </xdr:cNvPr>
        <xdr:cNvSpPr/>
      </xdr:nvSpPr>
      <xdr:spPr>
        <a:xfrm>
          <a:off x="7151371" y="1236345"/>
          <a:ext cx="1935479" cy="590550"/>
        </a:xfrm>
        <a:prstGeom prst="roundRect">
          <a:avLst/>
        </a:prstGeom>
        <a:solidFill>
          <a:srgbClr val="00B0F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1600" b="1" i="0">
              <a:solidFill>
                <a:schemeClr val="lt1"/>
              </a:solidFill>
              <a:latin typeface="Bahnschrift SemiBold" panose="020B0502040204020203" pitchFamily="34" charset="0"/>
            </a:rPr>
            <a:t>Savings Tracker</a:t>
          </a:r>
        </a:p>
      </xdr:txBody>
    </xdr:sp>
    <xdr:clientData/>
  </xdr:twoCellAnchor>
  <xdr:twoCellAnchor>
    <xdr:from>
      <xdr:col>12</xdr:col>
      <xdr:colOff>74295</xdr:colOff>
      <xdr:row>10</xdr:row>
      <xdr:rowOff>83820</xdr:rowOff>
    </xdr:from>
    <xdr:to>
      <xdr:col>16</xdr:col>
      <xdr:colOff>190500</xdr:colOff>
      <xdr:row>13</xdr:row>
      <xdr:rowOff>102870</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7160895" y="1988820"/>
          <a:ext cx="2478405" cy="590550"/>
        </a:xfrm>
        <a:prstGeom prst="roundRect">
          <a:avLst/>
        </a:prstGeom>
        <a:solidFill>
          <a:srgbClr val="7030A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CPF</a:t>
          </a:r>
          <a:r>
            <a:rPr lang="en-US" sz="1600" b="1" i="0" baseline="0">
              <a:latin typeface="Bahnschrift SemiBold" panose="020B0502040204020203" pitchFamily="34" charset="0"/>
            </a:rPr>
            <a:t> Forecast Calculator</a:t>
          </a:r>
          <a:endParaRPr lang="en-US" sz="1600" b="1" i="0">
            <a:latin typeface="Bahnschrift SemiBold" panose="020B0502040204020203" pitchFamily="34" charset="0"/>
          </a:endParaRPr>
        </a:p>
      </xdr:txBody>
    </xdr:sp>
    <xdr:clientData/>
  </xdr:twoCellAnchor>
  <xdr:twoCellAnchor>
    <xdr:from>
      <xdr:col>15</xdr:col>
      <xdr:colOff>407669</xdr:colOff>
      <xdr:row>6</xdr:row>
      <xdr:rowOff>74295</xdr:rowOff>
    </xdr:from>
    <xdr:to>
      <xdr:col>19</xdr:col>
      <xdr:colOff>200024</xdr:colOff>
      <xdr:row>9</xdr:row>
      <xdr:rowOff>93345</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9265919" y="1217295"/>
          <a:ext cx="2154555" cy="590550"/>
        </a:xfrm>
        <a:prstGeom prst="roundRect">
          <a:avLst/>
        </a:prstGeom>
        <a:solidFill>
          <a:srgbClr val="00B0F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Savings</a:t>
          </a:r>
          <a:r>
            <a:rPr lang="en-US" sz="1600" b="1" i="0" baseline="0">
              <a:latin typeface="Bahnschrift SemiBold" panose="020B0502040204020203" pitchFamily="34" charset="0"/>
            </a:rPr>
            <a:t> Estimator</a:t>
          </a:r>
          <a:endParaRPr lang="en-US" sz="1600" b="1" i="0">
            <a:latin typeface="Bahnschrift SemiBold" panose="020B0502040204020203" pitchFamily="34" charset="0"/>
          </a:endParaRPr>
        </a:p>
      </xdr:txBody>
    </xdr:sp>
    <xdr:clientData/>
  </xdr:twoCellAnchor>
  <xdr:twoCellAnchor>
    <xdr:from>
      <xdr:col>12</xdr:col>
      <xdr:colOff>104554</xdr:colOff>
      <xdr:row>26</xdr:row>
      <xdr:rowOff>14904</xdr:rowOff>
    </xdr:from>
    <xdr:to>
      <xdr:col>15</xdr:col>
      <xdr:colOff>30258</xdr:colOff>
      <xdr:row>29</xdr:row>
      <xdr:rowOff>33954</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7231495" y="4967904"/>
          <a:ext cx="1707439" cy="590550"/>
        </a:xfrm>
        <a:prstGeom prst="roundRect">
          <a:avLst/>
        </a:prstGeom>
        <a:solidFill>
          <a:srgbClr val="5C5CE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Loan</a:t>
          </a:r>
          <a:r>
            <a:rPr lang="en-US" sz="1600" b="1" i="0" baseline="0">
              <a:latin typeface="Bahnschrift SemiBold" panose="020B0502040204020203" pitchFamily="34" charset="0"/>
            </a:rPr>
            <a:t> Calculator</a:t>
          </a:r>
          <a:endParaRPr lang="en-US" sz="1600" b="1" i="0">
            <a:latin typeface="Bahnschrift SemiBold" panose="020B0502040204020203" pitchFamily="34" charset="0"/>
          </a:endParaRPr>
        </a:p>
      </xdr:txBody>
    </xdr:sp>
    <xdr:clientData/>
  </xdr:twoCellAnchor>
  <xdr:twoCellAnchor>
    <xdr:from>
      <xdr:col>12</xdr:col>
      <xdr:colOff>102871</xdr:colOff>
      <xdr:row>14</xdr:row>
      <xdr:rowOff>83820</xdr:rowOff>
    </xdr:from>
    <xdr:to>
      <xdr:col>15</xdr:col>
      <xdr:colOff>400050</xdr:colOff>
      <xdr:row>17</xdr:row>
      <xdr:rowOff>102870</xdr:rowOff>
    </xdr:to>
    <xdr:sp macro="" textlink="">
      <xdr:nvSpPr>
        <xdr:cNvPr id="19" name="Rectangle: Rounded Corners 7">
          <a:hlinkClick xmlns:r="http://schemas.openxmlformats.org/officeDocument/2006/relationships" r:id="rId7"/>
          <a:extLst>
            <a:ext uri="{FF2B5EF4-FFF2-40B4-BE49-F238E27FC236}">
              <a16:creationId xmlns:a16="http://schemas.microsoft.com/office/drawing/2014/main" id="{00000000-0008-0000-0000-000013000000}"/>
            </a:ext>
          </a:extLst>
        </xdr:cNvPr>
        <xdr:cNvSpPr/>
      </xdr:nvSpPr>
      <xdr:spPr>
        <a:xfrm>
          <a:off x="7189471" y="2750820"/>
          <a:ext cx="2068829" cy="590550"/>
        </a:xfrm>
        <a:prstGeom prst="roundRect">
          <a:avLst/>
        </a:prstGeom>
        <a:solidFill>
          <a:schemeClr val="accent2">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Investment Ledger</a:t>
          </a:r>
        </a:p>
      </xdr:txBody>
    </xdr:sp>
    <xdr:clientData/>
  </xdr:twoCellAnchor>
  <xdr:twoCellAnchor>
    <xdr:from>
      <xdr:col>15</xdr:col>
      <xdr:colOff>560071</xdr:colOff>
      <xdr:row>14</xdr:row>
      <xdr:rowOff>74295</xdr:rowOff>
    </xdr:from>
    <xdr:to>
      <xdr:col>19</xdr:col>
      <xdr:colOff>266700</xdr:colOff>
      <xdr:row>17</xdr:row>
      <xdr:rowOff>93345</xdr:rowOff>
    </xdr:to>
    <xdr:sp macro="" textlink="">
      <xdr:nvSpPr>
        <xdr:cNvPr id="20" name="Rectangle: Rounded Corners 8">
          <a:hlinkClick xmlns:r="http://schemas.openxmlformats.org/officeDocument/2006/relationships" r:id="rId8"/>
          <a:extLst>
            <a:ext uri="{FF2B5EF4-FFF2-40B4-BE49-F238E27FC236}">
              <a16:creationId xmlns:a16="http://schemas.microsoft.com/office/drawing/2014/main" id="{00000000-0008-0000-0000-000014000000}"/>
            </a:ext>
          </a:extLst>
        </xdr:cNvPr>
        <xdr:cNvSpPr/>
      </xdr:nvSpPr>
      <xdr:spPr>
        <a:xfrm>
          <a:off x="9418321" y="2741295"/>
          <a:ext cx="2068829" cy="590550"/>
        </a:xfrm>
        <a:prstGeom prst="roundRect">
          <a:avLst/>
        </a:prstGeom>
        <a:solidFill>
          <a:schemeClr val="accent2">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Investment</a:t>
          </a:r>
          <a:r>
            <a:rPr lang="en-US" sz="1600" b="1" i="0" baseline="0">
              <a:latin typeface="Bahnschrift SemiBold" panose="020B0502040204020203" pitchFamily="34" charset="0"/>
            </a:rPr>
            <a:t> Tracker</a:t>
          </a:r>
        </a:p>
      </xdr:txBody>
    </xdr:sp>
    <xdr:clientData/>
  </xdr:twoCellAnchor>
  <xdr:twoCellAnchor>
    <xdr:from>
      <xdr:col>16</xdr:col>
      <xdr:colOff>350520</xdr:colOff>
      <xdr:row>10</xdr:row>
      <xdr:rowOff>93345</xdr:rowOff>
    </xdr:from>
    <xdr:to>
      <xdr:col>20</xdr:col>
      <xdr:colOff>466725</xdr:colOff>
      <xdr:row>13</xdr:row>
      <xdr:rowOff>112395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00000000-0008-0000-0000-00000A000000}"/>
            </a:ext>
            <a:ext uri="{147F2762-F138-4A5C-976F-8EAC2B608ADB}">
              <a16:predDERef xmlns:a16="http://schemas.microsoft.com/office/drawing/2014/main" pred="{960AFA09-171F-49C5-89FE-BFED8D59B78E}"/>
            </a:ext>
          </a:extLst>
        </xdr:cNvPr>
        <xdr:cNvSpPr/>
      </xdr:nvSpPr>
      <xdr:spPr>
        <a:xfrm>
          <a:off x="9799320" y="1998345"/>
          <a:ext cx="2478405" cy="590550"/>
        </a:xfrm>
        <a:prstGeom prst="roundRect">
          <a:avLst/>
        </a:prstGeom>
        <a:solidFill>
          <a:srgbClr val="7030A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CPF</a:t>
          </a:r>
          <a:r>
            <a:rPr lang="en-US" sz="1600" b="1" i="0" baseline="0">
              <a:latin typeface="Bahnschrift SemiBold" panose="020B0502040204020203" pitchFamily="34" charset="0"/>
            </a:rPr>
            <a:t> Tracker</a:t>
          </a:r>
          <a:endParaRPr lang="en-US" sz="1600" b="1" i="0">
            <a:latin typeface="Bahnschrift SemiBold" panose="020B0502040204020203" pitchFamily="34" charset="0"/>
          </a:endParaRPr>
        </a:p>
      </xdr:txBody>
    </xdr:sp>
    <xdr:clientData/>
  </xdr:twoCellAnchor>
  <xdr:twoCellAnchor>
    <xdr:from>
      <xdr:col>19</xdr:col>
      <xdr:colOff>436246</xdr:colOff>
      <xdr:row>14</xdr:row>
      <xdr:rowOff>83820</xdr:rowOff>
    </xdr:from>
    <xdr:to>
      <xdr:col>23</xdr:col>
      <xdr:colOff>9525</xdr:colOff>
      <xdr:row>17</xdr:row>
      <xdr:rowOff>102870</xdr:rowOff>
    </xdr:to>
    <xdr:sp macro="" textlink="">
      <xdr:nvSpPr>
        <xdr:cNvPr id="21" name="Rectangle: Rounded Corners 10">
          <a:hlinkClick xmlns:r="http://schemas.openxmlformats.org/officeDocument/2006/relationships" r:id="rId10"/>
          <a:extLst>
            <a:ext uri="{FF2B5EF4-FFF2-40B4-BE49-F238E27FC236}">
              <a16:creationId xmlns:a16="http://schemas.microsoft.com/office/drawing/2014/main" id="{00000000-0008-0000-0000-000015000000}"/>
            </a:ext>
          </a:extLst>
        </xdr:cNvPr>
        <xdr:cNvSpPr/>
      </xdr:nvSpPr>
      <xdr:spPr>
        <a:xfrm>
          <a:off x="11656696" y="2750820"/>
          <a:ext cx="1935479" cy="590550"/>
        </a:xfrm>
        <a:prstGeom prst="roundRect">
          <a:avLst/>
        </a:prstGeom>
        <a:solidFill>
          <a:schemeClr val="accent2">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baseline="0">
              <a:latin typeface="Bahnschrift SemiBold" panose="020B0502040204020203" pitchFamily="34" charset="0"/>
            </a:rPr>
            <a:t>Stock Watchlist</a:t>
          </a:r>
        </a:p>
      </xdr:txBody>
    </xdr:sp>
    <xdr:clientData/>
  </xdr:twoCellAnchor>
  <xdr:twoCellAnchor>
    <xdr:from>
      <xdr:col>12</xdr:col>
      <xdr:colOff>59730</xdr:colOff>
      <xdr:row>22</xdr:row>
      <xdr:rowOff>14904</xdr:rowOff>
    </xdr:from>
    <xdr:to>
      <xdr:col>17</xdr:col>
      <xdr:colOff>80684</xdr:colOff>
      <xdr:row>25</xdr:row>
      <xdr:rowOff>7284</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00000000-0008-0000-0000-00000C000000}"/>
            </a:ext>
          </a:extLst>
        </xdr:cNvPr>
        <xdr:cNvSpPr/>
      </xdr:nvSpPr>
      <xdr:spPr>
        <a:xfrm>
          <a:off x="7186671" y="4205904"/>
          <a:ext cx="2990513" cy="563880"/>
        </a:xfrm>
        <a:prstGeom prst="roundRect">
          <a:avLst/>
        </a:prstGeom>
        <a:solidFill>
          <a:srgbClr val="00B05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Credit</a:t>
          </a:r>
          <a:r>
            <a:rPr lang="en-US" sz="1600" b="1" i="0" baseline="0">
              <a:latin typeface="Bahnschrift SemiBold" panose="020B0502040204020203" pitchFamily="34" charset="0"/>
            </a:rPr>
            <a:t> Card Payoff Calculator</a:t>
          </a:r>
          <a:endParaRPr lang="en-US" sz="1600" b="1" i="0">
            <a:latin typeface="Bahnschrift SemiBold" panose="020B0502040204020203" pitchFamily="34" charset="0"/>
          </a:endParaRPr>
        </a:p>
      </xdr:txBody>
    </xdr:sp>
    <xdr:clientData/>
  </xdr:twoCellAnchor>
  <xdr:twoCellAnchor>
    <xdr:from>
      <xdr:col>17</xdr:col>
      <xdr:colOff>278806</xdr:colOff>
      <xdr:row>21</xdr:row>
      <xdr:rowOff>186354</xdr:rowOff>
    </xdr:from>
    <xdr:to>
      <xdr:col>21</xdr:col>
      <xdr:colOff>185460</xdr:colOff>
      <xdr:row>25</xdr:row>
      <xdr:rowOff>14904</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00000000-0008-0000-0000-00000D000000}"/>
            </a:ext>
          </a:extLst>
        </xdr:cNvPr>
        <xdr:cNvSpPr/>
      </xdr:nvSpPr>
      <xdr:spPr>
        <a:xfrm>
          <a:off x="10375306" y="4186854"/>
          <a:ext cx="2282301" cy="590550"/>
        </a:xfrm>
        <a:prstGeom prst="roundRect">
          <a:avLst/>
        </a:prstGeom>
        <a:solidFill>
          <a:srgbClr val="00B050"/>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Credit</a:t>
          </a:r>
          <a:r>
            <a:rPr lang="en-US" sz="1600" b="1" i="0" baseline="0">
              <a:latin typeface="Bahnschrift SemiBold" panose="020B0502040204020203" pitchFamily="34" charset="0"/>
            </a:rPr>
            <a:t> Card Summary</a:t>
          </a:r>
          <a:endParaRPr lang="en-US" sz="1600" b="1" i="0">
            <a:latin typeface="Bahnschrift SemiBold" panose="020B0502040204020203" pitchFamily="34" charset="0"/>
          </a:endParaRPr>
        </a:p>
      </xdr:txBody>
    </xdr:sp>
    <xdr:clientData/>
  </xdr:twoCellAnchor>
  <xdr:twoCellAnchor>
    <xdr:from>
      <xdr:col>15</xdr:col>
      <xdr:colOff>135930</xdr:colOff>
      <xdr:row>26</xdr:row>
      <xdr:rowOff>5379</xdr:rowOff>
    </xdr:from>
    <xdr:to>
      <xdr:col>18</xdr:col>
      <xdr:colOff>480734</xdr:colOff>
      <xdr:row>29</xdr:row>
      <xdr:rowOff>24429</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00000000-0008-0000-0000-00000E000000}"/>
            </a:ext>
          </a:extLst>
        </xdr:cNvPr>
        <xdr:cNvSpPr/>
      </xdr:nvSpPr>
      <xdr:spPr>
        <a:xfrm>
          <a:off x="9044606" y="4958379"/>
          <a:ext cx="2126540" cy="590550"/>
        </a:xfrm>
        <a:prstGeom prst="roundRect">
          <a:avLst/>
        </a:prstGeom>
        <a:solidFill>
          <a:srgbClr val="5C5CE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Mortgage</a:t>
          </a:r>
          <a:r>
            <a:rPr lang="en-US" sz="1600" b="1" i="0" baseline="0">
              <a:latin typeface="Bahnschrift SemiBold" panose="020B0502040204020203" pitchFamily="34" charset="0"/>
            </a:rPr>
            <a:t> Calculator</a:t>
          </a:r>
          <a:endParaRPr lang="en-US" sz="1600" b="1" i="0">
            <a:latin typeface="Bahnschrift SemiBold" panose="020B0502040204020203" pitchFamily="34" charset="0"/>
          </a:endParaRPr>
        </a:p>
      </xdr:txBody>
    </xdr:sp>
    <xdr:clientData/>
  </xdr:twoCellAnchor>
  <xdr:twoCellAnchor>
    <xdr:from>
      <xdr:col>19</xdr:col>
      <xdr:colOff>50205</xdr:colOff>
      <xdr:row>25</xdr:row>
      <xdr:rowOff>186354</xdr:rowOff>
    </xdr:from>
    <xdr:to>
      <xdr:col>22</xdr:col>
      <xdr:colOff>395009</xdr:colOff>
      <xdr:row>29</xdr:row>
      <xdr:rowOff>14904</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00000000-0008-0000-0000-00000F000000}"/>
            </a:ext>
          </a:extLst>
        </xdr:cNvPr>
        <xdr:cNvSpPr/>
      </xdr:nvSpPr>
      <xdr:spPr>
        <a:xfrm>
          <a:off x="11334529" y="4948854"/>
          <a:ext cx="2126539" cy="590550"/>
        </a:xfrm>
        <a:prstGeom prst="roundRect">
          <a:avLst/>
        </a:prstGeom>
        <a:solidFill>
          <a:srgbClr val="5C5CE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Amortization</a:t>
          </a:r>
          <a:r>
            <a:rPr lang="en-US" sz="1600" b="1" i="0" baseline="0">
              <a:latin typeface="Bahnschrift SemiBold" panose="020B0502040204020203" pitchFamily="34" charset="0"/>
            </a:rPr>
            <a:t> Table</a:t>
          </a:r>
          <a:endParaRPr lang="en-US" sz="1600" b="1" i="0">
            <a:latin typeface="Bahnschrift SemiBold" panose="020B0502040204020203" pitchFamily="34" charset="0"/>
          </a:endParaRPr>
        </a:p>
      </xdr:txBody>
    </xdr:sp>
    <xdr:clientData/>
  </xdr:twoCellAnchor>
  <xdr:twoCellAnchor>
    <xdr:from>
      <xdr:col>12</xdr:col>
      <xdr:colOff>69256</xdr:colOff>
      <xdr:row>30</xdr:row>
      <xdr:rowOff>33954</xdr:rowOff>
    </xdr:from>
    <xdr:to>
      <xdr:col>13</xdr:col>
      <xdr:colOff>490259</xdr:colOff>
      <xdr:row>33</xdr:row>
      <xdr:rowOff>53004</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00000000-0008-0000-0000-000010000000}"/>
            </a:ext>
          </a:extLst>
        </xdr:cNvPr>
        <xdr:cNvSpPr/>
      </xdr:nvSpPr>
      <xdr:spPr>
        <a:xfrm>
          <a:off x="7196197" y="5748954"/>
          <a:ext cx="1014915" cy="590550"/>
        </a:xfrm>
        <a:prstGeom prst="roundRect">
          <a:avLst/>
        </a:prstGeom>
        <a:solidFill>
          <a:schemeClr val="accent4"/>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Income</a:t>
          </a:r>
        </a:p>
      </xdr:txBody>
    </xdr:sp>
    <xdr:clientData/>
  </xdr:twoCellAnchor>
  <xdr:twoCellAnchor>
    <xdr:from>
      <xdr:col>14</xdr:col>
      <xdr:colOff>88306</xdr:colOff>
      <xdr:row>30</xdr:row>
      <xdr:rowOff>33954</xdr:rowOff>
    </xdr:from>
    <xdr:to>
      <xdr:col>15</xdr:col>
      <xdr:colOff>528359</xdr:colOff>
      <xdr:row>33</xdr:row>
      <xdr:rowOff>53004</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00000000-0008-0000-0000-000011000000}"/>
            </a:ext>
          </a:extLst>
        </xdr:cNvPr>
        <xdr:cNvSpPr/>
      </xdr:nvSpPr>
      <xdr:spPr>
        <a:xfrm>
          <a:off x="8403071" y="5748954"/>
          <a:ext cx="1033964" cy="590550"/>
        </a:xfrm>
        <a:prstGeom prst="roundRect">
          <a:avLst/>
        </a:prstGeom>
        <a:solidFill>
          <a:schemeClr val="accent4"/>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Budget</a:t>
          </a:r>
        </a:p>
      </xdr:txBody>
    </xdr:sp>
    <xdr:clientData/>
  </xdr:twoCellAnchor>
  <xdr:twoCellAnchor>
    <xdr:from>
      <xdr:col>16</xdr:col>
      <xdr:colOff>97831</xdr:colOff>
      <xdr:row>30</xdr:row>
      <xdr:rowOff>33954</xdr:rowOff>
    </xdr:from>
    <xdr:to>
      <xdr:col>20</xdr:col>
      <xdr:colOff>588871</xdr:colOff>
      <xdr:row>33</xdr:row>
      <xdr:rowOff>53004</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00000000-0008-0000-0000-000012000000}"/>
            </a:ext>
          </a:extLst>
        </xdr:cNvPr>
        <xdr:cNvSpPr/>
      </xdr:nvSpPr>
      <xdr:spPr>
        <a:xfrm>
          <a:off x="9600419" y="5748954"/>
          <a:ext cx="2866687" cy="590550"/>
        </a:xfrm>
        <a:prstGeom prst="roundRect">
          <a:avLst/>
        </a:prstGeom>
        <a:solidFill>
          <a:schemeClr val="accent4"/>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Personal</a:t>
          </a:r>
          <a:r>
            <a:rPr lang="en-US" sz="1600" b="1" i="0" baseline="0">
              <a:latin typeface="Bahnschrift SemiBold" panose="020B0502040204020203" pitchFamily="34" charset="0"/>
            </a:rPr>
            <a:t> Expense Summary</a:t>
          </a:r>
          <a:endParaRPr lang="en-US" sz="1600" b="1" i="0">
            <a:latin typeface="Bahnschrift SemiBold" panose="020B0502040204020203" pitchFamily="34" charset="0"/>
          </a:endParaRPr>
        </a:p>
      </xdr:txBody>
    </xdr:sp>
    <xdr:clientData/>
  </xdr:twoCellAnchor>
  <xdr:twoCellAnchor>
    <xdr:from>
      <xdr:col>12</xdr:col>
      <xdr:colOff>75418</xdr:colOff>
      <xdr:row>18</xdr:row>
      <xdr:rowOff>40678</xdr:rowOff>
    </xdr:from>
    <xdr:to>
      <xdr:col>16</xdr:col>
      <xdr:colOff>336177</xdr:colOff>
      <xdr:row>21</xdr:row>
      <xdr:rowOff>59728</xdr:rowOff>
    </xdr:to>
    <xdr:sp macro="" textlink="">
      <xdr:nvSpPr>
        <xdr:cNvPr id="180" name="Rectangle: Rounded Corners 34">
          <a:hlinkClick xmlns:r="http://schemas.openxmlformats.org/officeDocument/2006/relationships" r:id="rId18"/>
          <a:extLst>
            <a:ext uri="{FF2B5EF4-FFF2-40B4-BE49-F238E27FC236}">
              <a16:creationId xmlns:a16="http://schemas.microsoft.com/office/drawing/2014/main" id="{00000000-0008-0000-0000-0000B4000000}"/>
            </a:ext>
          </a:extLst>
        </xdr:cNvPr>
        <xdr:cNvSpPr/>
      </xdr:nvSpPr>
      <xdr:spPr>
        <a:xfrm>
          <a:off x="7202359" y="3469678"/>
          <a:ext cx="2636406" cy="590550"/>
        </a:xfrm>
        <a:prstGeom prst="roundRect">
          <a:avLst/>
        </a:prstGeom>
        <a:solidFill>
          <a:srgbClr val="D86A6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Cryptocurrency</a:t>
          </a:r>
          <a:r>
            <a:rPr lang="en-US" sz="1600" b="1" i="0" baseline="0">
              <a:latin typeface="Bahnschrift SemiBold" panose="020B0502040204020203" pitchFamily="34" charset="0"/>
            </a:rPr>
            <a:t> Tracker</a:t>
          </a:r>
          <a:endParaRPr lang="en-US" sz="1600" b="1" i="0">
            <a:latin typeface="Bahnschrift SemiBold" panose="020B0502040204020203" pitchFamily="34" charset="0"/>
          </a:endParaRPr>
        </a:p>
      </xdr:txBody>
    </xdr:sp>
    <xdr:clientData/>
  </xdr:twoCellAnchor>
  <xdr:twoCellAnchor>
    <xdr:from>
      <xdr:col>16</xdr:col>
      <xdr:colOff>474347</xdr:colOff>
      <xdr:row>18</xdr:row>
      <xdr:rowOff>47402</xdr:rowOff>
    </xdr:from>
    <xdr:to>
      <xdr:col>20</xdr:col>
      <xdr:colOff>448236</xdr:colOff>
      <xdr:row>21</xdr:row>
      <xdr:rowOff>66452</xdr:rowOff>
    </xdr:to>
    <xdr:sp macro="" textlink="">
      <xdr:nvSpPr>
        <xdr:cNvPr id="181" name="Rectangle: Rounded Corners 35">
          <a:hlinkClick xmlns:r="http://schemas.openxmlformats.org/officeDocument/2006/relationships" r:id="rId19"/>
          <a:extLst>
            <a:ext uri="{FF2B5EF4-FFF2-40B4-BE49-F238E27FC236}">
              <a16:creationId xmlns:a16="http://schemas.microsoft.com/office/drawing/2014/main" id="{00000000-0008-0000-0000-0000B5000000}"/>
            </a:ext>
          </a:extLst>
        </xdr:cNvPr>
        <xdr:cNvSpPr/>
      </xdr:nvSpPr>
      <xdr:spPr>
        <a:xfrm>
          <a:off x="9976935" y="3476402"/>
          <a:ext cx="2349536" cy="590550"/>
        </a:xfrm>
        <a:prstGeom prst="roundRect">
          <a:avLst/>
        </a:prstGeom>
        <a:solidFill>
          <a:srgbClr val="D86A6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600" b="1" i="0">
              <a:latin typeface="Bahnschrift SemiBold" panose="020B0502040204020203" pitchFamily="34" charset="0"/>
            </a:rPr>
            <a:t>Crypto</a:t>
          </a:r>
          <a:r>
            <a:rPr lang="en-US" sz="1600" b="1" i="0" baseline="0">
              <a:latin typeface="Bahnschrift SemiBold" panose="020B0502040204020203" pitchFamily="34" charset="0"/>
            </a:rPr>
            <a:t> Prices API</a:t>
          </a:r>
          <a:endParaRPr lang="en-US" sz="1600" b="1" i="0">
            <a:latin typeface="Bahnschrift SemiBold"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438150</xdr:colOff>
      <xdr:row>3</xdr:row>
      <xdr:rowOff>19050</xdr:rowOff>
    </xdr:from>
    <xdr:to>
      <xdr:col>19</xdr:col>
      <xdr:colOff>47625</xdr:colOff>
      <xdr:row>6</xdr:row>
      <xdr:rowOff>76200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8620125" y="523875"/>
          <a:ext cx="2657475" cy="514350"/>
        </a:xfrm>
        <a:prstGeom prst="roundRect">
          <a:avLst/>
        </a:prstGeom>
        <a:solidFill>
          <a:srgbClr val="5C5CE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lt"/>
              <a:cs typeface="+mn-lt"/>
            </a:rPr>
            <a:t>Submit</a:t>
          </a:r>
        </a:p>
      </xdr:txBody>
    </xdr:sp>
    <xdr:clientData/>
  </xdr:twoCellAnchor>
  <xdr:twoCellAnchor editAs="oneCell">
    <xdr:from>
      <xdr:col>8</xdr:col>
      <xdr:colOff>866775</xdr:colOff>
      <xdr:row>1</xdr:row>
      <xdr:rowOff>133350</xdr:rowOff>
    </xdr:from>
    <xdr:to>
      <xdr:col>10</xdr:col>
      <xdr:colOff>323239</xdr:colOff>
      <xdr:row>7</xdr:row>
      <xdr:rowOff>94639</xdr:rowOff>
    </xdr:to>
    <xdr:pic>
      <xdr:nvPicPr>
        <xdr:cNvPr id="5" name="Picture 7">
          <a:extLst>
            <a:ext uri="{FF2B5EF4-FFF2-40B4-BE49-F238E27FC236}">
              <a16:creationId xmlns:a16="http://schemas.microsoft.com/office/drawing/2014/main" id="{00000000-0008-0000-0100-000005000000}"/>
            </a:ext>
            <a:ext uri="{147F2762-F138-4A5C-976F-8EAC2B608ADB}">
              <a16:predDERef xmlns:a16="http://schemas.microsoft.com/office/drawing/2014/main" pred="{4362D2D6-22CB-48CC-87D2-8CA140477F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62600" y="323850"/>
          <a:ext cx="875689" cy="8756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133350</xdr:colOff>
      <xdr:row>0</xdr:row>
      <xdr:rowOff>95250</xdr:rowOff>
    </xdr:from>
    <xdr:to>
      <xdr:col>0</xdr:col>
      <xdr:colOff>742950</xdr:colOff>
      <xdr:row>2</xdr:row>
      <xdr:rowOff>107950</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33350" y="95250"/>
          <a:ext cx="609600"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133350</xdr:colOff>
      <xdr:row>0</xdr:row>
      <xdr:rowOff>95250</xdr:rowOff>
    </xdr:from>
    <xdr:to>
      <xdr:col>0</xdr:col>
      <xdr:colOff>742950</xdr:colOff>
      <xdr:row>3</xdr:row>
      <xdr:rowOff>57150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3350" y="95250"/>
          <a:ext cx="609600" cy="6096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1079500</xdr:colOff>
          <xdr:row>4</xdr:row>
          <xdr:rowOff>317500</xdr:rowOff>
        </xdr:from>
        <xdr:to>
          <xdr:col>5</xdr:col>
          <xdr:colOff>679450</xdr:colOff>
          <xdr:row>6</xdr:row>
          <xdr:rowOff>120650</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03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5</xdr:row>
          <xdr:rowOff>12700</xdr:rowOff>
        </xdr:from>
        <xdr:to>
          <xdr:col>9</xdr:col>
          <xdr:colOff>762000</xdr:colOff>
          <xdr:row>6</xdr:row>
          <xdr:rowOff>254000</xdr:rowOff>
        </xdr:to>
        <xdr:sp macro="" textlink="">
          <xdr:nvSpPr>
            <xdr:cNvPr id="41986" name="CommandButton2" hidden="1">
              <a:extLst>
                <a:ext uri="{63B3BB69-23CF-44E3-9099-C40C66FF867C}">
                  <a14:compatExt spid="_x0000_s41986"/>
                </a:ext>
                <a:ext uri="{FF2B5EF4-FFF2-40B4-BE49-F238E27FC236}">
                  <a16:creationId xmlns:a16="http://schemas.microsoft.com/office/drawing/2014/main" id="{00000000-0008-0000-03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142412</xdr:colOff>
      <xdr:row>20</xdr:row>
      <xdr:rowOff>76200</xdr:rowOff>
    </xdr:from>
    <xdr:to>
      <xdr:col>12</xdr:col>
      <xdr:colOff>1308100</xdr:colOff>
      <xdr:row>41</xdr:row>
      <xdr:rowOff>203199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660400</xdr:colOff>
      <xdr:row>46</xdr:row>
      <xdr:rowOff>406400</xdr:rowOff>
    </xdr:from>
    <xdr:to>
      <xdr:col>11</xdr:col>
      <xdr:colOff>1079500</xdr:colOff>
      <xdr:row>62</xdr:row>
      <xdr:rowOff>152400</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12700</xdr:colOff>
      <xdr:row>43</xdr:row>
      <xdr:rowOff>25401</xdr:rowOff>
    </xdr:from>
    <xdr:to>
      <xdr:col>11</xdr:col>
      <xdr:colOff>66040</xdr:colOff>
      <xdr:row>46</xdr:row>
      <xdr:rowOff>266700</xdr:rowOff>
    </xdr:to>
    <mc:AlternateContent xmlns:mc="http://schemas.openxmlformats.org/markup-compatibility/2006" xmlns:a14="http://schemas.microsoft.com/office/drawing/2010/main">
      <mc:Choice Requires="a14">
        <xdr:graphicFrame macro="">
          <xdr:nvGraphicFramePr>
            <xdr:cNvPr id="3" name="Banks">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Banks"/>
            </a:graphicData>
          </a:graphic>
        </xdr:graphicFrame>
      </mc:Choice>
      <mc:Fallback xmlns="">
        <xdr:sp macro="" textlink="">
          <xdr:nvSpPr>
            <xdr:cNvPr id="0" name=""/>
            <xdr:cNvSpPr>
              <a:spLocks noTextEdit="1"/>
            </xdr:cNvSpPr>
          </xdr:nvSpPr>
          <xdr:spPr>
            <a:xfrm>
              <a:off x="4622800" y="10033001"/>
              <a:ext cx="11214100" cy="101599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19</xdr:row>
      <xdr:rowOff>314325</xdr:rowOff>
    </xdr:from>
    <xdr:to>
      <xdr:col>11</xdr:col>
      <xdr:colOff>373380</xdr:colOff>
      <xdr:row>25</xdr:row>
      <xdr:rowOff>0</xdr:rowOff>
    </xdr:to>
    <mc:AlternateContent xmlns:mc="http://schemas.openxmlformats.org/markup-compatibility/2006" xmlns:a14="http://schemas.microsoft.com/office/drawing/2010/main">
      <mc:Choice Requires="a14">
        <xdr:graphicFrame macro="">
          <xdr:nvGraphicFramePr>
            <xdr:cNvPr id="4" name="Banks 1">
              <a:extLst>
                <a:ext uri="{FF2B5EF4-FFF2-40B4-BE49-F238E27FC236}">
                  <a16:creationId xmlns:a16="http://schemas.microsoft.com/office/drawing/2014/main" id="{00000000-0008-0000-0300-000004000000}"/>
                </a:ext>
                <a:ext uri="{147F2762-F138-4A5C-976F-8EAC2B608ADB}">
                  <a16:predDERef xmlns:a16="http://schemas.microsoft.com/office/drawing/2014/main" pred="{4AA36B70-B22A-4A99-971E-94D257187046}"/>
                </a:ext>
              </a:extLst>
            </xdr:cNvPr>
            <xdr:cNvGraphicFramePr/>
          </xdr:nvGraphicFramePr>
          <xdr:xfrm>
            <a:off x="0" y="0"/>
            <a:ext cx="0" cy="0"/>
          </xdr:xfrm>
          <a:graphic>
            <a:graphicData uri="http://schemas.microsoft.com/office/drawing/2010/slicer">
              <sle:slicer xmlns:sle="http://schemas.microsoft.com/office/drawing/2010/slicer" name="Banks 1"/>
            </a:graphicData>
          </a:graphic>
        </xdr:graphicFrame>
      </mc:Choice>
      <mc:Fallback xmlns="">
        <xdr:sp macro="" textlink="">
          <xdr:nvSpPr>
            <xdr:cNvPr id="0" name=""/>
            <xdr:cNvSpPr>
              <a:spLocks noTextEdit="1"/>
            </xdr:cNvSpPr>
          </xdr:nvSpPr>
          <xdr:spPr>
            <a:xfrm>
              <a:off x="4546600" y="4857751"/>
              <a:ext cx="7556500" cy="103504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123825</xdr:colOff>
      <xdr:row>3</xdr:row>
      <xdr:rowOff>28575</xdr:rowOff>
    </xdr:from>
    <xdr:ext cx="2790825" cy="3343275"/>
    <xdr:graphicFrame macro="">
      <xdr:nvGraphicFramePr>
        <xdr:cNvPr id="7" name="SavingsChart" descr="Pie chart comparing total current savings to money yet to be saved">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editAs="oneCell">
    <xdr:from>
      <xdr:col>0</xdr:col>
      <xdr:colOff>133350</xdr:colOff>
      <xdr:row>0</xdr:row>
      <xdr:rowOff>95250</xdr:rowOff>
    </xdr:from>
    <xdr:to>
      <xdr:col>0</xdr:col>
      <xdr:colOff>742950</xdr:colOff>
      <xdr:row>0</xdr:row>
      <xdr:rowOff>704850</xdr:rowOff>
    </xdr:to>
    <xdr:pic>
      <xdr:nvPicPr>
        <xdr:cNvPr id="5" name="Picture 1">
          <a:extLst>
            <a:ext uri="{FF2B5EF4-FFF2-40B4-BE49-F238E27FC236}">
              <a16:creationId xmlns:a16="http://schemas.microsoft.com/office/drawing/2014/main" id="{00000000-0008-0000-0400-000005000000}"/>
            </a:ext>
            <a:ext uri="{147F2762-F138-4A5C-976F-8EAC2B608ADB}">
              <a16:predDERef xmlns:a16="http://schemas.microsoft.com/office/drawing/2014/main" pred="{4E5B047E-EEB3-4211-9CA9-0761982BDB98}"/>
            </a:ext>
          </a:extLst>
        </xdr:cNvPr>
        <xdr:cNvPicPr>
          <a:picLocks noChangeAspect="1"/>
        </xdr:cNvPicPr>
      </xdr:nvPicPr>
      <xdr:blipFill>
        <a:blip xmlns:r="http://schemas.openxmlformats.org/officeDocument/2006/relationships" r:embed="rId2"/>
        <a:stretch>
          <a:fillRect/>
        </a:stretch>
      </xdr:blipFill>
      <xdr:spPr>
        <a:xfrm>
          <a:off x="133350" y="95250"/>
          <a:ext cx="609600"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21</xdr:row>
      <xdr:rowOff>23132</xdr:rowOff>
    </xdr:from>
    <xdr:to>
      <xdr:col>1</xdr:col>
      <xdr:colOff>2884714</xdr:colOff>
      <xdr:row>35</xdr:row>
      <xdr:rowOff>171450</xdr:rowOff>
    </xdr:to>
    <xdr:graphicFrame macro="">
      <xdr:nvGraphicFramePr>
        <xdr:cNvPr id="4" name="Chart 3">
          <a:extLst>
            <a:ext uri="{FF2B5EF4-FFF2-40B4-BE49-F238E27FC236}">
              <a16:creationId xmlns:a16="http://schemas.microsoft.com/office/drawing/2014/main" id="{00000000-0008-0000-0500-000004000000}"/>
            </a:ext>
            <a:ext uri="{147F2762-F138-4A5C-976F-8EAC2B608ADB}">
              <a16:predDERef xmlns:a16="http://schemas.microsoft.com/office/drawing/2014/main" pred="{6F718EEA-6AC5-4C8E-9428-9F1D0F7870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2720</xdr:colOff>
      <xdr:row>21</xdr:row>
      <xdr:rowOff>19050</xdr:rowOff>
    </xdr:from>
    <xdr:to>
      <xdr:col>3</xdr:col>
      <xdr:colOff>2952749</xdr:colOff>
      <xdr:row>35</xdr:row>
      <xdr:rowOff>180975</xdr:rowOff>
    </xdr:to>
    <xdr:graphicFrame macro="">
      <xdr:nvGraphicFramePr>
        <xdr:cNvPr id="2" name="Chart 1">
          <a:extLst>
            <a:ext uri="{FF2B5EF4-FFF2-40B4-BE49-F238E27FC236}">
              <a16:creationId xmlns:a16="http://schemas.microsoft.com/office/drawing/2014/main" id="{00000000-0008-0000-0500-000002000000}"/>
            </a:ext>
            <a:ext uri="{147F2762-F138-4A5C-976F-8EAC2B608ADB}">
              <a16:predDERef xmlns:a16="http://schemas.microsoft.com/office/drawing/2014/main" pred="{3E79C53D-48AC-4DA1-836B-60B848689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13610</xdr:colOff>
      <xdr:row>21</xdr:row>
      <xdr:rowOff>19049</xdr:rowOff>
    </xdr:from>
    <xdr:to>
      <xdr:col>6</xdr:col>
      <xdr:colOff>11207</xdr:colOff>
      <xdr:row>35</xdr:row>
      <xdr:rowOff>179294</xdr:rowOff>
    </xdr:to>
    <xdr:graphicFrame macro="">
      <xdr:nvGraphicFramePr>
        <xdr:cNvPr id="5" name="Chart 4">
          <a:extLst>
            <a:ext uri="{FF2B5EF4-FFF2-40B4-BE49-F238E27FC236}">
              <a16:creationId xmlns:a16="http://schemas.microsoft.com/office/drawing/2014/main" id="{00000000-0008-0000-0500-000005000000}"/>
            </a:ext>
            <a:ext uri="{147F2762-F138-4A5C-976F-8EAC2B608ADB}">
              <a16:predDERef xmlns:a16="http://schemas.microsoft.com/office/drawing/2014/main" pred="{A55083B5-8FDE-4189-AD0E-B17F4DEAA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16809</xdr:colOff>
      <xdr:row>19</xdr:row>
      <xdr:rowOff>1120</xdr:rowOff>
    </xdr:from>
    <xdr:to>
      <xdr:col>7</xdr:col>
      <xdr:colOff>0</xdr:colOff>
      <xdr:row>36</xdr:row>
      <xdr:rowOff>0</xdr:rowOff>
    </xdr:to>
    <mc:AlternateContent xmlns:mc="http://schemas.openxmlformats.org/markup-compatibility/2006">
      <mc:Choice xmlns:cx1="http://schemas.microsoft.com/office/drawing/2015/9/8/chartex" Requires="cx1">
        <xdr:graphicFrame macro="">
          <xdr:nvGraphicFramePr>
            <xdr:cNvPr id="28" name="Chart 21">
              <a:extLst>
                <a:ext uri="{FF2B5EF4-FFF2-40B4-BE49-F238E27FC236}">
                  <a16:creationId xmlns:a16="http://schemas.microsoft.com/office/drawing/2014/main" id="{00000000-0008-0000-0500-00001C000000}"/>
                </a:ext>
                <a:ext uri="{147F2762-F138-4A5C-976F-8EAC2B608ADB}">
                  <a16:predDERef xmlns:a16="http://schemas.microsoft.com/office/drawing/2014/main" pred="{098C670E-7709-454A-8E02-9C1822F84A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4875809" y="4935070"/>
              <a:ext cx="3894791" cy="390413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154305</xdr:colOff>
      <xdr:row>1</xdr:row>
      <xdr:rowOff>15240</xdr:rowOff>
    </xdr:from>
    <xdr:to>
      <xdr:col>0</xdr:col>
      <xdr:colOff>744855</xdr:colOff>
      <xdr:row>3</xdr:row>
      <xdr:rowOff>171450</xdr:rowOff>
    </xdr:to>
    <xdr:pic>
      <xdr:nvPicPr>
        <xdr:cNvPr id="3" name="Picture 2">
          <a:extLst>
            <a:ext uri="{FF2B5EF4-FFF2-40B4-BE49-F238E27FC236}">
              <a16:creationId xmlns:a16="http://schemas.microsoft.com/office/drawing/2014/main" id="{00000000-0008-0000-0600-000003000000}"/>
            </a:ext>
            <a:ext uri="{147F2762-F138-4A5C-976F-8EAC2B608ADB}">
              <a16:predDERef xmlns:a16="http://schemas.microsoft.com/office/drawing/2014/main" pred="{05665333-8C34-4C89-B110-E6D1747F722E}"/>
            </a:ext>
          </a:extLst>
        </xdr:cNvPr>
        <xdr:cNvPicPr>
          <a:picLocks noChangeAspect="1"/>
        </xdr:cNvPicPr>
      </xdr:nvPicPr>
      <xdr:blipFill>
        <a:blip xmlns:r="http://schemas.openxmlformats.org/officeDocument/2006/relationships" r:embed="rId1"/>
        <a:stretch>
          <a:fillRect/>
        </a:stretch>
      </xdr:blipFill>
      <xdr:spPr>
        <a:xfrm>
          <a:off x="154305" y="196215"/>
          <a:ext cx="600075" cy="518160"/>
        </a:xfrm>
        <a:prstGeom prst="rect">
          <a:avLst/>
        </a:prstGeom>
      </xdr:spPr>
    </xdr:pic>
    <xdr:clientData/>
  </xdr:twoCellAnchor>
  <xdr:twoCellAnchor>
    <xdr:from>
      <xdr:col>3</xdr:col>
      <xdr:colOff>17612</xdr:colOff>
      <xdr:row>18</xdr:row>
      <xdr:rowOff>75078</xdr:rowOff>
    </xdr:from>
    <xdr:to>
      <xdr:col>6</xdr:col>
      <xdr:colOff>1690254</xdr:colOff>
      <xdr:row>42</xdr:row>
      <xdr:rowOff>96982</xdr:rowOff>
    </xdr:to>
    <xdr:graphicFrame macro="">
      <xdr:nvGraphicFramePr>
        <xdr:cNvPr id="10" name="Chart 9">
          <a:extLst>
            <a:ext uri="{FF2B5EF4-FFF2-40B4-BE49-F238E27FC236}">
              <a16:creationId xmlns:a16="http://schemas.microsoft.com/office/drawing/2014/main" id="{00000000-0008-0000-0600-00000A000000}"/>
            </a:ext>
            <a:ext uri="{147F2762-F138-4A5C-976F-8EAC2B608ADB}">
              <a16:predDERef xmlns:a16="http://schemas.microsoft.com/office/drawing/2014/main" pred="{76CB3C5B-A275-4FDC-9AA0-B71CA391B9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13918</xdr:colOff>
      <xdr:row>18</xdr:row>
      <xdr:rowOff>41497</xdr:rowOff>
    </xdr:from>
    <xdr:to>
      <xdr:col>12</xdr:col>
      <xdr:colOff>249382</xdr:colOff>
      <xdr:row>41</xdr:row>
      <xdr:rowOff>83127</xdr:rowOff>
    </xdr:to>
    <xdr:graphicFrame macro="">
      <xdr:nvGraphicFramePr>
        <xdr:cNvPr id="11" name="Chart 10">
          <a:extLst>
            <a:ext uri="{FF2B5EF4-FFF2-40B4-BE49-F238E27FC236}">
              <a16:creationId xmlns:a16="http://schemas.microsoft.com/office/drawing/2014/main" id="{00000000-0008-0000-0600-00000B000000}"/>
            </a:ext>
            <a:ext uri="{147F2762-F138-4A5C-976F-8EAC2B608ADB}">
              <a16:predDERef xmlns:a16="http://schemas.microsoft.com/office/drawing/2014/main" pred="{9E3871DE-C087-4687-99DA-4530E46D78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545211</xdr:colOff>
      <xdr:row>17</xdr:row>
      <xdr:rowOff>166321</xdr:rowOff>
    </xdr:from>
    <xdr:to>
      <xdr:col>19</xdr:col>
      <xdr:colOff>429491</xdr:colOff>
      <xdr:row>41</xdr:row>
      <xdr:rowOff>-1</xdr:rowOff>
    </xdr:to>
    <xdr:graphicFrame macro="">
      <xdr:nvGraphicFramePr>
        <xdr:cNvPr id="12" name="Chart 11">
          <a:extLst>
            <a:ext uri="{FF2B5EF4-FFF2-40B4-BE49-F238E27FC236}">
              <a16:creationId xmlns:a16="http://schemas.microsoft.com/office/drawing/2014/main" id="{00000000-0008-0000-0600-00000C000000}"/>
            </a:ext>
            <a:ext uri="{147F2762-F138-4A5C-976F-8EAC2B608ADB}">
              <a16:predDERef xmlns:a16="http://schemas.microsoft.com/office/drawing/2014/main" pred="{E7211733-A6D5-470A-AE9D-B7930B8B80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154305</xdr:colOff>
      <xdr:row>1</xdr:row>
      <xdr:rowOff>15240</xdr:rowOff>
    </xdr:from>
    <xdr:to>
      <xdr:col>1</xdr:col>
      <xdr:colOff>74295</xdr:colOff>
      <xdr:row>3</xdr:row>
      <xdr:rowOff>167640</xdr:rowOff>
    </xdr:to>
    <xdr:pic>
      <xdr:nvPicPr>
        <xdr:cNvPr id="5" name="Picture 4">
          <a:extLst>
            <a:ext uri="{FF2B5EF4-FFF2-40B4-BE49-F238E27FC236}">
              <a16:creationId xmlns:a16="http://schemas.microsoft.com/office/drawing/2014/main" id="{00000000-0008-0000-0700-000005000000}"/>
            </a:ext>
            <a:ext uri="{147F2762-F138-4A5C-976F-8EAC2B608ADB}">
              <a16:predDERef xmlns:a16="http://schemas.microsoft.com/office/drawing/2014/main" pred="{05665333-8C34-4C89-B110-E6D1747F722E}"/>
            </a:ext>
          </a:extLst>
        </xdr:cNvPr>
        <xdr:cNvPicPr>
          <a:picLocks noChangeAspect="1"/>
        </xdr:cNvPicPr>
      </xdr:nvPicPr>
      <xdr:blipFill>
        <a:blip xmlns:r="http://schemas.openxmlformats.org/officeDocument/2006/relationships" r:embed="rId1"/>
        <a:stretch>
          <a:fillRect/>
        </a:stretch>
      </xdr:blipFill>
      <xdr:spPr>
        <a:xfrm>
          <a:off x="154305" y="200025"/>
          <a:ext cx="586740" cy="510540"/>
        </a:xfrm>
        <a:prstGeom prst="rect">
          <a:avLst/>
        </a:prstGeom>
      </xdr:spPr>
    </xdr:pic>
    <xdr:clientData/>
  </xdr:twoCellAnchor>
  <xdr:twoCellAnchor>
    <xdr:from>
      <xdr:col>2</xdr:col>
      <xdr:colOff>213014</xdr:colOff>
      <xdr:row>19</xdr:row>
      <xdr:rowOff>19223</xdr:rowOff>
    </xdr:from>
    <xdr:to>
      <xdr:col>6</xdr:col>
      <xdr:colOff>53687</xdr:colOff>
      <xdr:row>38</xdr:row>
      <xdr:rowOff>152571</xdr:rowOff>
    </xdr:to>
    <xdr:graphicFrame macro="">
      <xdr:nvGraphicFramePr>
        <xdr:cNvPr id="7" name="Chart 6">
          <a:extLst>
            <a:ext uri="{FF2B5EF4-FFF2-40B4-BE49-F238E27FC236}">
              <a16:creationId xmlns:a16="http://schemas.microsoft.com/office/drawing/2014/main" id="{00000000-0008-0000-0700-000007000000}"/>
            </a:ext>
            <a:ext uri="{147F2762-F138-4A5C-976F-8EAC2B608ADB}">
              <a16:predDERef xmlns:a16="http://schemas.microsoft.com/office/drawing/2014/main" pred="{D7C628A8-1290-4673-84FC-4044591EDF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222710</xdr:colOff>
      <xdr:row>18</xdr:row>
      <xdr:rowOff>92306</xdr:rowOff>
    </xdr:from>
    <xdr:to>
      <xdr:col>10</xdr:col>
      <xdr:colOff>1831397</xdr:colOff>
      <xdr:row>38</xdr:row>
      <xdr:rowOff>142008</xdr:rowOff>
    </xdr:to>
    <xdr:graphicFrame macro="">
      <xdr:nvGraphicFramePr>
        <xdr:cNvPr id="8" name="Chart 7">
          <a:extLst>
            <a:ext uri="{FF2B5EF4-FFF2-40B4-BE49-F238E27FC236}">
              <a16:creationId xmlns:a16="http://schemas.microsoft.com/office/drawing/2014/main" id="{00000000-0008-0000-0700-000008000000}"/>
            </a:ext>
            <a:ext uri="{147F2762-F138-4A5C-976F-8EAC2B608ADB}">
              <a16:predDERef xmlns:a16="http://schemas.microsoft.com/office/drawing/2014/main" pred="{E85D1054-498F-45FE-9976-8DE0396F2E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2232139</xdr:colOff>
      <xdr:row>18</xdr:row>
      <xdr:rowOff>92306</xdr:rowOff>
    </xdr:from>
    <xdr:to>
      <xdr:col>16</xdr:col>
      <xdr:colOff>604230</xdr:colOff>
      <xdr:row>39</xdr:row>
      <xdr:rowOff>15327</xdr:rowOff>
    </xdr:to>
    <xdr:graphicFrame macro="">
      <xdr:nvGraphicFramePr>
        <xdr:cNvPr id="9" name="Chart 8">
          <a:extLst>
            <a:ext uri="{FF2B5EF4-FFF2-40B4-BE49-F238E27FC236}">
              <a16:creationId xmlns:a16="http://schemas.microsoft.com/office/drawing/2014/main" id="{00000000-0008-0000-0700-000009000000}"/>
            </a:ext>
            <a:ext uri="{147F2762-F138-4A5C-976F-8EAC2B608ADB}">
              <a16:predDERef xmlns:a16="http://schemas.microsoft.com/office/drawing/2014/main" pred="{C304A81E-F903-45B9-B0D1-60E224E5F0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1333500</xdr:colOff>
      <xdr:row>19</xdr:row>
      <xdr:rowOff>0</xdr:rowOff>
    </xdr:from>
    <xdr:to>
      <xdr:col>7</xdr:col>
      <xdr:colOff>1466850</xdr:colOff>
      <xdr:row>36</xdr:row>
      <xdr:rowOff>171450</xdr:rowOff>
    </xdr:to>
    <xdr:graphicFrame macro="">
      <xdr:nvGraphicFramePr>
        <xdr:cNvPr id="4" name="Chart 1">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1438275</xdr:colOff>
      <xdr:row>19</xdr:row>
      <xdr:rowOff>0</xdr:rowOff>
    </xdr:from>
    <xdr:to>
      <xdr:col>10</xdr:col>
      <xdr:colOff>0</xdr:colOff>
      <xdr:row>36</xdr:row>
      <xdr:rowOff>180975</xdr:rowOff>
    </xdr:to>
    <xdr:graphicFrame macro="">
      <xdr:nvGraphicFramePr>
        <xdr:cNvPr id="6" name="Chart 2">
          <a:extLst>
            <a:ext uri="{FF2B5EF4-FFF2-40B4-BE49-F238E27FC236}">
              <a16:creationId xmlns:a16="http://schemas.microsoft.com/office/drawing/2014/main" id="{00000000-0008-0000-0800-000006000000}"/>
            </a:ext>
            <a:ext uri="{147F2762-F138-4A5C-976F-8EAC2B608ADB}">
              <a16:predDERef xmlns:a16="http://schemas.microsoft.com/office/drawing/2014/main" pre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0</xdr:rowOff>
    </xdr:from>
    <xdr:to>
      <xdr:col>3</xdr:col>
      <xdr:colOff>1333500</xdr:colOff>
      <xdr:row>36</xdr:row>
      <xdr:rowOff>161925</xdr:rowOff>
    </xdr:to>
    <mc:AlternateContent xmlns:mc="http://schemas.openxmlformats.org/markup-compatibility/2006">
      <mc:Choice xmlns:cx1="http://schemas.microsoft.com/office/drawing/2015/9/8/chartex" Requires="cx1">
        <xdr:graphicFrame macro="">
          <xdr:nvGraphicFramePr>
            <xdr:cNvPr id="5" name="Chart 3">
              <a:extLst>
                <a:ext uri="{FF2B5EF4-FFF2-40B4-BE49-F238E27FC236}">
                  <a16:creationId xmlns:a16="http://schemas.microsoft.com/office/drawing/2014/main" id="{00000000-0008-0000-0800-000005000000}"/>
                </a:ext>
                <a:ext uri="{147F2762-F138-4A5C-976F-8EAC2B608ADB}">
                  <a16:predDERef xmlns:a16="http://schemas.microsoft.com/office/drawing/2014/main" pred="{EFCAD476-7584-469E-9FFF-B2FBDECCF2B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0" y="3460750"/>
              <a:ext cx="5562600" cy="38639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348503</xdr:colOff>
      <xdr:row>0</xdr:row>
      <xdr:rowOff>109818</xdr:rowOff>
    </xdr:from>
    <xdr:to>
      <xdr:col>1</xdr:col>
      <xdr:colOff>277906</xdr:colOff>
      <xdr:row>3</xdr:row>
      <xdr:rowOff>231402</xdr:rowOff>
    </xdr:to>
    <xdr:pic>
      <xdr:nvPicPr>
        <xdr:cNvPr id="2" name="Picture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8503" y="109818"/>
          <a:ext cx="1177178" cy="118838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457200</xdr:colOff>
          <xdr:row>1</xdr:row>
          <xdr:rowOff>0</xdr:rowOff>
        </xdr:from>
        <xdr:to>
          <xdr:col>5</xdr:col>
          <xdr:colOff>488950</xdr:colOff>
          <xdr:row>1</xdr:row>
          <xdr:rowOff>31750</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A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68580</xdr:colOff>
      <xdr:row>0</xdr:row>
      <xdr:rowOff>60960</xdr:rowOff>
    </xdr:from>
    <xdr:ext cx="687705" cy="650240"/>
    <xdr:pic>
      <xdr:nvPicPr>
        <xdr:cNvPr id="2" name="Picture 1">
          <a:extLst>
            <a:ext uri="{FF2B5EF4-FFF2-40B4-BE49-F238E27FC236}">
              <a16:creationId xmlns:a16="http://schemas.microsoft.com/office/drawing/2014/main" id="{00000000-0008-0000-0B00-000002000000}"/>
            </a:ext>
            <a:ext uri="{147F2762-F138-4A5C-976F-8EAC2B608ADB}">
              <a16:predDERef xmlns:a16="http://schemas.microsoft.com/office/drawing/2014/main" pred="{4E5B047E-EEB3-4211-9CA9-0761982BDB98}"/>
            </a:ext>
          </a:extLst>
        </xdr:cNvPr>
        <xdr:cNvPicPr>
          <a:picLocks noChangeAspect="1"/>
        </xdr:cNvPicPr>
      </xdr:nvPicPr>
      <xdr:blipFill>
        <a:blip xmlns:r="http://schemas.openxmlformats.org/officeDocument/2006/relationships" r:embed="rId1"/>
        <a:stretch>
          <a:fillRect/>
        </a:stretch>
      </xdr:blipFill>
      <xdr:spPr>
        <a:xfrm>
          <a:off x="68580" y="60960"/>
          <a:ext cx="687705" cy="650240"/>
        </a:xfrm>
        <a:prstGeom prst="rect">
          <a:avLst/>
        </a:prstGeom>
      </xdr:spPr>
    </xdr:pic>
    <xdr:clientData/>
  </xdr:oneCellAnchor>
  <xdr:twoCellAnchor>
    <xdr:from>
      <xdr:col>2</xdr:col>
      <xdr:colOff>9525</xdr:colOff>
      <xdr:row>20</xdr:row>
      <xdr:rowOff>371475</xdr:rowOff>
    </xdr:from>
    <xdr:to>
      <xdr:col>3</xdr:col>
      <xdr:colOff>2857500</xdr:colOff>
      <xdr:row>36</xdr:row>
      <xdr:rowOff>0</xdr:rowOff>
    </xdr:to>
    <xdr:graphicFrame macro="">
      <xdr:nvGraphicFramePr>
        <xdr:cNvPr id="3" name="Chart 2">
          <a:extLst>
            <a:ext uri="{FF2B5EF4-FFF2-40B4-BE49-F238E27FC236}">
              <a16:creationId xmlns:a16="http://schemas.microsoft.com/office/drawing/2014/main" id="{00000000-0008-0000-0B00-000003000000}"/>
            </a:ext>
            <a:ext uri="{147F2762-F138-4A5C-976F-8EAC2B608ADB}">
              <a16:predDERef xmlns:a16="http://schemas.microsoft.com/office/drawing/2014/main" pred="{05AD3265-3D09-4B27-B8A6-CB31C5845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7197</xdr:colOff>
      <xdr:row>15</xdr:row>
      <xdr:rowOff>0</xdr:rowOff>
    </xdr:from>
    <xdr:to>
      <xdr:col>8</xdr:col>
      <xdr:colOff>5111</xdr:colOff>
      <xdr:row>22</xdr:row>
      <xdr:rowOff>79375</xdr:rowOff>
    </xdr:to>
    <xdr:graphicFrame macro="">
      <xdr:nvGraphicFramePr>
        <xdr:cNvPr id="4" name="Chart 3">
          <a:extLst>
            <a:ext uri="{FF2B5EF4-FFF2-40B4-BE49-F238E27FC236}">
              <a16:creationId xmlns:a16="http://schemas.microsoft.com/office/drawing/2014/main" id="{00000000-0008-0000-0B00-000004000000}"/>
            </a:ext>
            <a:ext uri="{147F2762-F138-4A5C-976F-8EAC2B608ADB}">
              <a16:predDERef xmlns:a16="http://schemas.microsoft.com/office/drawing/2014/main" pred="{1DC0EDCD-D0A7-445F-BFE6-271549BF10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3809</xdr:colOff>
      <xdr:row>22</xdr:row>
      <xdr:rowOff>79375</xdr:rowOff>
    </xdr:from>
    <xdr:to>
      <xdr:col>8</xdr:col>
      <xdr:colOff>3809</xdr:colOff>
      <xdr:row>36</xdr:row>
      <xdr:rowOff>0</xdr:rowOff>
    </xdr:to>
    <xdr:graphicFrame macro="">
      <xdr:nvGraphicFramePr>
        <xdr:cNvPr id="5" name="Chart 4">
          <a:extLst>
            <a:ext uri="{FF2B5EF4-FFF2-40B4-BE49-F238E27FC236}">
              <a16:creationId xmlns:a16="http://schemas.microsoft.com/office/drawing/2014/main" id="{00000000-0008-0000-0B00-000005000000}"/>
            </a:ext>
            <a:ext uri="{147F2762-F138-4A5C-976F-8EAC2B608ADB}">
              <a16:predDERef xmlns:a16="http://schemas.microsoft.com/office/drawing/2014/main" pred="{17515A0D-BB47-4E02-8974-939237498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15</xdr:row>
      <xdr:rowOff>0</xdr:rowOff>
    </xdr:from>
    <xdr:to>
      <xdr:col>11</xdr:col>
      <xdr:colOff>0</xdr:colOff>
      <xdr:row>22</xdr:row>
      <xdr:rowOff>76200</xdr:rowOff>
    </xdr:to>
    <xdr:graphicFrame macro="">
      <xdr:nvGraphicFramePr>
        <xdr:cNvPr id="6" name="Chart 5">
          <a:extLst>
            <a:ext uri="{FF2B5EF4-FFF2-40B4-BE49-F238E27FC236}">
              <a16:creationId xmlns:a16="http://schemas.microsoft.com/office/drawing/2014/main" id="{00000000-0008-0000-0B00-000006000000}"/>
            </a:ext>
            <a:ext uri="{147F2762-F138-4A5C-976F-8EAC2B608ADB}">
              <a16:predDERef xmlns:a16="http://schemas.microsoft.com/office/drawing/2014/main" pred="{95036A30-3F75-46D2-9F3C-272D4DF6B5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xdr:colOff>
      <xdr:row>22</xdr:row>
      <xdr:rowOff>76200</xdr:rowOff>
    </xdr:from>
    <xdr:to>
      <xdr:col>11</xdr:col>
      <xdr:colOff>1</xdr:colOff>
      <xdr:row>36</xdr:row>
      <xdr:rowOff>1</xdr:rowOff>
    </xdr:to>
    <xdr:graphicFrame macro="">
      <xdr:nvGraphicFramePr>
        <xdr:cNvPr id="7" name="Chart 6">
          <a:extLst>
            <a:ext uri="{FF2B5EF4-FFF2-40B4-BE49-F238E27FC236}">
              <a16:creationId xmlns:a16="http://schemas.microsoft.com/office/drawing/2014/main" id="{00000000-0008-0000-0B00-000007000000}"/>
            </a:ext>
            <a:ext uri="{147F2762-F138-4A5C-976F-8EAC2B608ADB}">
              <a16:predDERef xmlns:a16="http://schemas.microsoft.com/office/drawing/2014/main" pred="{3149BAD1-1999-420C-8D1D-7FF7E2D36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891540</xdr:colOff>
      <xdr:row>2</xdr:row>
      <xdr:rowOff>72390</xdr:rowOff>
    </xdr:to>
    <xdr:pic>
      <xdr:nvPicPr>
        <xdr:cNvPr id="4" name="Picture 1">
          <a:extLst>
            <a:ext uri="{FF2B5EF4-FFF2-40B4-BE49-F238E27FC236}">
              <a16:creationId xmlns:a16="http://schemas.microsoft.com/office/drawing/2014/main" id="{00000000-0008-0000-0F00-000004000000}"/>
            </a:ext>
            <a:ext uri="{147F2762-F138-4A5C-976F-8EAC2B608ADB}">
              <a16:predDERef xmlns:a16="http://schemas.microsoft.com/office/drawing/2014/main" pred="{4E5B047E-EEB3-4211-9CA9-0761982BDB98}"/>
            </a:ext>
          </a:extLst>
        </xdr:cNvPr>
        <xdr:cNvPicPr>
          <a:picLocks noChangeAspect="1"/>
        </xdr:cNvPicPr>
      </xdr:nvPicPr>
      <xdr:blipFill>
        <a:blip xmlns:r="http://schemas.openxmlformats.org/officeDocument/2006/relationships" r:embed="rId1"/>
        <a:stretch>
          <a:fillRect/>
        </a:stretch>
      </xdr:blipFill>
      <xdr:spPr>
        <a:xfrm>
          <a:off x="142875" y="57150"/>
          <a:ext cx="742950" cy="742950"/>
        </a:xfrm>
        <a:prstGeom prst="rect">
          <a:avLst/>
        </a:prstGeom>
      </xdr:spPr>
    </xdr:pic>
    <xdr:clientData/>
  </xdr:twoCellAnchor>
  <xdr:twoCellAnchor>
    <xdr:from>
      <xdr:col>2</xdr:col>
      <xdr:colOff>771525</xdr:colOff>
      <xdr:row>30</xdr:row>
      <xdr:rowOff>9525</xdr:rowOff>
    </xdr:from>
    <xdr:to>
      <xdr:col>5</xdr:col>
      <xdr:colOff>744682</xdr:colOff>
      <xdr:row>44</xdr:row>
      <xdr:rowOff>173182</xdr:rowOff>
    </xdr:to>
    <xdr:graphicFrame macro="">
      <xdr:nvGraphicFramePr>
        <xdr:cNvPr id="2" name="Chart 1">
          <a:extLst>
            <a:ext uri="{FF2B5EF4-FFF2-40B4-BE49-F238E27FC236}">
              <a16:creationId xmlns:a16="http://schemas.microsoft.com/office/drawing/2014/main" id="{00000000-0008-0000-0F00-000002000000}"/>
            </a:ext>
            <a:ext uri="{147F2762-F138-4A5C-976F-8EAC2B608ADB}">
              <a16:predDERef xmlns:a16="http://schemas.microsoft.com/office/drawing/2014/main" pred="{66E17315-06BB-499E-B3E0-14A39BA22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742950</xdr:colOff>
      <xdr:row>30</xdr:row>
      <xdr:rowOff>9525</xdr:rowOff>
    </xdr:from>
    <xdr:to>
      <xdr:col>8</xdr:col>
      <xdr:colOff>1240848</xdr:colOff>
      <xdr:row>45</xdr:row>
      <xdr:rowOff>41564</xdr:rowOff>
    </xdr:to>
    <xdr:graphicFrame macro="">
      <xdr:nvGraphicFramePr>
        <xdr:cNvPr id="7" name="Chart 6">
          <a:extLst>
            <a:ext uri="{FF2B5EF4-FFF2-40B4-BE49-F238E27FC236}">
              <a16:creationId xmlns:a16="http://schemas.microsoft.com/office/drawing/2014/main" id="{00000000-0008-0000-0F00-000007000000}"/>
            </a:ext>
            <a:ext uri="{147F2762-F138-4A5C-976F-8EAC2B608ADB}">
              <a16:predDERef xmlns:a16="http://schemas.microsoft.com/office/drawing/2014/main" pred="{8D69AB7A-D0AE-49AA-84E9-45094F8DAD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1298864</xdr:colOff>
      <xdr:row>30</xdr:row>
      <xdr:rowOff>17318</xdr:rowOff>
    </xdr:from>
    <xdr:to>
      <xdr:col>13</xdr:col>
      <xdr:colOff>969817</xdr:colOff>
      <xdr:row>49</xdr:row>
      <xdr:rowOff>103909</xdr:rowOff>
    </xdr:to>
    <xdr:graphicFrame macro="">
      <xdr:nvGraphicFramePr>
        <xdr:cNvPr id="8" name="Chart 7">
          <a:extLst>
            <a:ext uri="{FF2B5EF4-FFF2-40B4-BE49-F238E27FC236}">
              <a16:creationId xmlns:a16="http://schemas.microsoft.com/office/drawing/2014/main" id="{00000000-0008-0000-0F00-000008000000}"/>
            </a:ext>
            <a:ext uri="{147F2762-F138-4A5C-976F-8EAC2B608ADB}">
              <a16:predDERef xmlns:a16="http://schemas.microsoft.com/office/drawing/2014/main" pred="{55713EE0-FCD6-49E1-936F-AC6A0E7D4F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904875</xdr:colOff>
      <xdr:row>47</xdr:row>
      <xdr:rowOff>47625</xdr:rowOff>
    </xdr:from>
    <xdr:to>
      <xdr:col>7</xdr:col>
      <xdr:colOff>38100</xdr:colOff>
      <xdr:row>74</xdr:row>
      <xdr:rowOff>114300</xdr:rowOff>
    </xdr:to>
    <xdr:graphicFrame macro="">
      <xdr:nvGraphicFramePr>
        <xdr:cNvPr id="10" name="Chart 9">
          <a:extLst>
            <a:ext uri="{FF2B5EF4-FFF2-40B4-BE49-F238E27FC236}">
              <a16:creationId xmlns:a16="http://schemas.microsoft.com/office/drawing/2014/main" id="{00000000-0008-0000-0F00-00000A000000}"/>
            </a:ext>
            <a:ext uri="{147F2762-F138-4A5C-976F-8EAC2B608ADB}">
              <a16:predDERef xmlns:a16="http://schemas.microsoft.com/office/drawing/2014/main" pred="{0C05C500-D54F-4305-BE6C-83B0A1EB4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368300</xdr:colOff>
          <xdr:row>0</xdr:row>
          <xdr:rowOff>260350</xdr:rowOff>
        </xdr:from>
        <xdr:to>
          <xdr:col>14</xdr:col>
          <xdr:colOff>533400</xdr:colOff>
          <xdr:row>2</xdr:row>
          <xdr:rowOff>273050</xdr:rowOff>
        </xdr:to>
        <xdr:sp macro="" textlink="">
          <xdr:nvSpPr>
            <xdr:cNvPr id="27656" name="CommandButton1" hidden="1">
              <a:extLst>
                <a:ext uri="{63B3BB69-23CF-44E3-9099-C40C66FF867C}">
                  <a14:compatExt spid="_x0000_s27656"/>
                </a:ext>
                <a:ext uri="{FF2B5EF4-FFF2-40B4-BE49-F238E27FC236}">
                  <a16:creationId xmlns:a16="http://schemas.microsoft.com/office/drawing/2014/main" id="{00000000-0008-0000-0F00-00000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0</xdr:colOff>
      <xdr:row>5</xdr:row>
      <xdr:rowOff>95250</xdr:rowOff>
    </xdr:from>
    <xdr:to>
      <xdr:col>3</xdr:col>
      <xdr:colOff>3333750</xdr:colOff>
      <xdr:row>21</xdr:row>
      <xdr:rowOff>171450</xdr:rowOff>
    </xdr:to>
    <xdr:graphicFrame macro="">
      <xdr:nvGraphicFramePr>
        <xdr:cNvPr id="4" name="Chart 1">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3333750</xdr:colOff>
      <xdr:row>5</xdr:row>
      <xdr:rowOff>95250</xdr:rowOff>
    </xdr:from>
    <xdr:to>
      <xdr:col>4</xdr:col>
      <xdr:colOff>3314700</xdr:colOff>
      <xdr:row>21</xdr:row>
      <xdr:rowOff>171450</xdr:rowOff>
    </xdr:to>
    <xdr:graphicFrame macro="">
      <xdr:nvGraphicFramePr>
        <xdr:cNvPr id="6" name="Chart 2">
          <a:extLst>
            <a:ext uri="{FF2B5EF4-FFF2-40B4-BE49-F238E27FC236}">
              <a16:creationId xmlns:a16="http://schemas.microsoft.com/office/drawing/2014/main" id="{00000000-0008-0000-1000-000006000000}"/>
            </a:ext>
            <a:ext uri="{147F2762-F138-4A5C-976F-8EAC2B608ADB}">
              <a16:predDERef xmlns:a16="http://schemas.microsoft.com/office/drawing/2014/main" pred="{C5C1B65A-F564-46A7-AEAE-C05676BEC1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1905</xdr:colOff>
      <xdr:row>0</xdr:row>
      <xdr:rowOff>137160</xdr:rowOff>
    </xdr:from>
    <xdr:to>
      <xdr:col>1</xdr:col>
      <xdr:colOff>81915</xdr:colOff>
      <xdr:row>4</xdr:row>
      <xdr:rowOff>3810</xdr:rowOff>
    </xdr:to>
    <xdr:pic>
      <xdr:nvPicPr>
        <xdr:cNvPr id="5" name="Picture 1">
          <a:extLst>
            <a:ext uri="{FF2B5EF4-FFF2-40B4-BE49-F238E27FC236}">
              <a16:creationId xmlns:a16="http://schemas.microsoft.com/office/drawing/2014/main" id="{00000000-0008-0000-1000-000005000000}"/>
            </a:ext>
            <a:ext uri="{147F2762-F138-4A5C-976F-8EAC2B608ADB}">
              <a16:predDERef xmlns:a16="http://schemas.microsoft.com/office/drawing/2014/main" pred="{05665333-8C34-4C89-B110-E6D1747F722E}"/>
            </a:ext>
          </a:extLst>
        </xdr:cNvPr>
        <xdr:cNvPicPr>
          <a:picLocks noChangeAspect="1"/>
        </xdr:cNvPicPr>
      </xdr:nvPicPr>
      <xdr:blipFill>
        <a:blip xmlns:r="http://schemas.openxmlformats.org/officeDocument/2006/relationships" r:embed="rId3"/>
        <a:stretch>
          <a:fillRect/>
        </a:stretch>
      </xdr:blipFill>
      <xdr:spPr>
        <a:xfrm>
          <a:off x="1905" y="137160"/>
          <a:ext cx="689610" cy="647700"/>
        </a:xfrm>
        <a:prstGeom prst="rect">
          <a:avLst/>
        </a:prstGeom>
      </xdr:spPr>
    </xdr:pic>
    <xdr:clientData/>
  </xdr:twoCellAnchor>
  <xdr:twoCellAnchor editAs="oneCell">
    <xdr:from>
      <xdr:col>4</xdr:col>
      <xdr:colOff>2228850</xdr:colOff>
      <xdr:row>0</xdr:row>
      <xdr:rowOff>57150</xdr:rowOff>
    </xdr:from>
    <xdr:to>
      <xdr:col>5</xdr:col>
      <xdr:colOff>304800</xdr:colOff>
      <xdr:row>5</xdr:row>
      <xdr:rowOff>38100</xdr:rowOff>
    </xdr:to>
    <xdr:pic>
      <xdr:nvPicPr>
        <xdr:cNvPr id="11" name="Picture 10">
          <a:extLst>
            <a:ext uri="{FF2B5EF4-FFF2-40B4-BE49-F238E27FC236}">
              <a16:creationId xmlns:a16="http://schemas.microsoft.com/office/drawing/2014/main" id="{00000000-0008-0000-1000-00000B000000}"/>
            </a:ext>
            <a:ext uri="{147F2762-F138-4A5C-976F-8EAC2B608ADB}">
              <a16:predDERef xmlns:a16="http://schemas.microsoft.com/office/drawing/2014/main" pred="{6AD380E6-CC3C-426D-A326-97EA743962DF}"/>
            </a:ext>
          </a:extLst>
        </xdr:cNvPr>
        <xdr:cNvPicPr>
          <a:picLocks noChangeAspect="1"/>
        </xdr:cNvPicPr>
      </xdr:nvPicPr>
      <xdr:blipFill>
        <a:blip xmlns:r="http://schemas.openxmlformats.org/officeDocument/2006/relationships" r:embed="rId4"/>
        <a:stretch>
          <a:fillRect/>
        </a:stretch>
      </xdr:blipFill>
      <xdr:spPr>
        <a:xfrm>
          <a:off x="7934325" y="57150"/>
          <a:ext cx="1419225" cy="1209675"/>
        </a:xfrm>
        <a:prstGeom prst="rect">
          <a:avLst/>
        </a:prstGeom>
      </xdr:spPr>
    </xdr:pic>
    <xdr:clientData/>
  </xdr:twoCellAnchor>
  <xdr:twoCellAnchor>
    <xdr:from>
      <xdr:col>5</xdr:col>
      <xdr:colOff>133350</xdr:colOff>
      <xdr:row>20</xdr:row>
      <xdr:rowOff>114300</xdr:rowOff>
    </xdr:from>
    <xdr:to>
      <xdr:col>8</xdr:col>
      <xdr:colOff>561975</xdr:colOff>
      <xdr:row>34</xdr:row>
      <xdr:rowOff>76200</xdr:rowOff>
    </xdr:to>
    <xdr:graphicFrame macro="">
      <xdr:nvGraphicFramePr>
        <xdr:cNvPr id="21" name="Chart 2">
          <a:extLst>
            <a:ext uri="{FF2B5EF4-FFF2-40B4-BE49-F238E27FC236}">
              <a16:creationId xmlns:a16="http://schemas.microsoft.com/office/drawing/2014/main" id="{00000000-0008-0000-1000-000015000000}"/>
            </a:ext>
            <a:ext uri="{147F2762-F138-4A5C-976F-8EAC2B608ADB}">
              <a16:predDERef xmlns:a16="http://schemas.microsoft.com/office/drawing/2014/main" pred="{9840F3C3-3D70-42D2-BE38-53D53C2177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107950</xdr:colOff>
          <xdr:row>36</xdr:row>
          <xdr:rowOff>25400</xdr:rowOff>
        </xdr:from>
        <xdr:to>
          <xdr:col>8</xdr:col>
          <xdr:colOff>450850</xdr:colOff>
          <xdr:row>38</xdr:row>
          <xdr:rowOff>107950</xdr:rowOff>
        </xdr:to>
        <xdr:sp macro="" textlink="">
          <xdr:nvSpPr>
            <xdr:cNvPr id="28673" name="CommandButton1" hidden="1">
              <a:extLst>
                <a:ext uri="{63B3BB69-23CF-44E3-9099-C40C66FF867C}">
                  <a14:compatExt spid="_x0000_s28673"/>
                </a:ext>
                <a:ext uri="{FF2B5EF4-FFF2-40B4-BE49-F238E27FC236}">
                  <a16:creationId xmlns:a16="http://schemas.microsoft.com/office/drawing/2014/main" id="{00000000-0008-0000-10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127000</xdr:colOff>
          <xdr:row>39</xdr:row>
          <xdr:rowOff>0</xdr:rowOff>
        </xdr:from>
        <xdr:to>
          <xdr:col>8</xdr:col>
          <xdr:colOff>6350</xdr:colOff>
          <xdr:row>40</xdr:row>
          <xdr:rowOff>158750</xdr:rowOff>
        </xdr:to>
        <xdr:sp macro="" textlink="">
          <xdr:nvSpPr>
            <xdr:cNvPr id="28675" name="CommandButton2" hidden="1">
              <a:extLst>
                <a:ext uri="{63B3BB69-23CF-44E3-9099-C40C66FF867C}">
                  <a14:compatExt spid="_x0000_s28675"/>
                </a:ext>
                <a:ext uri="{FF2B5EF4-FFF2-40B4-BE49-F238E27FC236}">
                  <a16:creationId xmlns:a16="http://schemas.microsoft.com/office/drawing/2014/main" id="{00000000-0008-0000-1000-000003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57150</xdr:rowOff>
    </xdr:from>
    <xdr:to>
      <xdr:col>0</xdr:col>
      <xdr:colOff>758190</xdr:colOff>
      <xdr:row>3</xdr:row>
      <xdr:rowOff>167640</xdr:rowOff>
    </xdr:to>
    <xdr:pic>
      <xdr:nvPicPr>
        <xdr:cNvPr id="2" name="Picture 1">
          <a:extLst>
            <a:ext uri="{FF2B5EF4-FFF2-40B4-BE49-F238E27FC236}">
              <a16:creationId xmlns:a16="http://schemas.microsoft.com/office/drawing/2014/main" id="{00000000-0008-0000-1100-000002000000}"/>
            </a:ext>
            <a:ext uri="{147F2762-F138-4A5C-976F-8EAC2B608ADB}">
              <a16:predDERef xmlns:a16="http://schemas.microsoft.com/office/drawing/2014/main" pred="{05665333-8C34-4C89-B110-E6D1747F722E}"/>
            </a:ext>
          </a:extLst>
        </xdr:cNvPr>
        <xdr:cNvPicPr>
          <a:picLocks noChangeAspect="1"/>
        </xdr:cNvPicPr>
      </xdr:nvPicPr>
      <xdr:blipFill>
        <a:blip xmlns:r="http://schemas.openxmlformats.org/officeDocument/2006/relationships" r:embed="rId1"/>
        <a:stretch>
          <a:fillRect/>
        </a:stretch>
      </xdr:blipFill>
      <xdr:spPr>
        <a:xfrm>
          <a:off x="66675" y="57150"/>
          <a:ext cx="691515" cy="643890"/>
        </a:xfrm>
        <a:prstGeom prst="rect">
          <a:avLst/>
        </a:prstGeom>
      </xdr:spPr>
    </xdr:pic>
    <xdr:clientData/>
  </xdr:twoCellAnchor>
  <xdr:twoCellAnchor>
    <xdr:from>
      <xdr:col>5</xdr:col>
      <xdr:colOff>600075</xdr:colOff>
      <xdr:row>15</xdr:row>
      <xdr:rowOff>171450</xdr:rowOff>
    </xdr:from>
    <xdr:to>
      <xdr:col>6</xdr:col>
      <xdr:colOff>2076450</xdr:colOff>
      <xdr:row>30</xdr:row>
      <xdr:rowOff>171450</xdr:rowOff>
    </xdr:to>
    <xdr:graphicFrame macro="">
      <xdr:nvGraphicFramePr>
        <xdr:cNvPr id="4" name="Chart 2">
          <a:extLst>
            <a:ext uri="{FF2B5EF4-FFF2-40B4-BE49-F238E27FC236}">
              <a16:creationId xmlns:a16="http://schemas.microsoft.com/office/drawing/2014/main" id="{00000000-0008-0000-1100-000004000000}"/>
            </a:ext>
            <a:ext uri="{147F2762-F138-4A5C-976F-8EAC2B608ADB}">
              <a16:predDERef xmlns:a16="http://schemas.microsoft.com/office/drawing/2014/main" pred="{816DCD80-151A-4862-95CF-B533EA1D69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1174750</xdr:colOff>
          <xdr:row>1</xdr:row>
          <xdr:rowOff>12700</xdr:rowOff>
        </xdr:from>
        <xdr:to>
          <xdr:col>8</xdr:col>
          <xdr:colOff>107950</xdr:colOff>
          <xdr:row>3</xdr:row>
          <xdr:rowOff>82550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5</xdr:col>
      <xdr:colOff>9525</xdr:colOff>
      <xdr:row>9</xdr:row>
      <xdr:rowOff>28575</xdr:rowOff>
    </xdr:from>
    <xdr:to>
      <xdr:col>15</xdr:col>
      <xdr:colOff>47625</xdr:colOff>
      <xdr:row>24</xdr:row>
      <xdr:rowOff>104775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5</xdr:col>
      <xdr:colOff>9525</xdr:colOff>
      <xdr:row>9</xdr:row>
      <xdr:rowOff>28575</xdr:rowOff>
    </xdr:from>
    <xdr:to>
      <xdr:col>15</xdr:col>
      <xdr:colOff>47625</xdr:colOff>
      <xdr:row>24</xdr:row>
      <xdr:rowOff>104775</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5</xdr:col>
      <xdr:colOff>9525</xdr:colOff>
      <xdr:row>9</xdr:row>
      <xdr:rowOff>28575</xdr:rowOff>
    </xdr:from>
    <xdr:to>
      <xdr:col>15</xdr:col>
      <xdr:colOff>47625</xdr:colOff>
      <xdr:row>24</xdr:row>
      <xdr:rowOff>104775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5</xdr:col>
      <xdr:colOff>9525</xdr:colOff>
      <xdr:row>9</xdr:row>
      <xdr:rowOff>28575</xdr:rowOff>
    </xdr:from>
    <xdr:to>
      <xdr:col>15</xdr:col>
      <xdr:colOff>47625</xdr:colOff>
      <xdr:row>24</xdr:row>
      <xdr:rowOff>104775</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5</xdr:col>
      <xdr:colOff>9525</xdr:colOff>
      <xdr:row>9</xdr:row>
      <xdr:rowOff>28575</xdr:rowOff>
    </xdr:from>
    <xdr:to>
      <xdr:col>15</xdr:col>
      <xdr:colOff>47625</xdr:colOff>
      <xdr:row>24</xdr:row>
      <xdr:rowOff>104775</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5</xdr:col>
      <xdr:colOff>9525</xdr:colOff>
      <xdr:row>9</xdr:row>
      <xdr:rowOff>28575</xdr:rowOff>
    </xdr:from>
    <xdr:to>
      <xdr:col>15</xdr:col>
      <xdr:colOff>47625</xdr:colOff>
      <xdr:row>24</xdr:row>
      <xdr:rowOff>104775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69850</xdr:colOff>
          <xdr:row>1</xdr:row>
          <xdr:rowOff>69850</xdr:rowOff>
        </xdr:from>
        <xdr:to>
          <xdr:col>8</xdr:col>
          <xdr:colOff>114300</xdr:colOff>
          <xdr:row>2</xdr:row>
          <xdr:rowOff>12700</xdr:rowOff>
        </xdr:to>
        <xdr:sp macro="" textlink="">
          <xdr:nvSpPr>
            <xdr:cNvPr id="66564" name="CommandButton1" hidden="1">
              <a:extLst>
                <a:ext uri="{63B3BB69-23CF-44E3-9099-C40C66FF867C}">
                  <a14:compatExt spid="_x0000_s66564"/>
                </a:ext>
                <a:ext uri="{FF2B5EF4-FFF2-40B4-BE49-F238E27FC236}">
                  <a16:creationId xmlns:a16="http://schemas.microsoft.com/office/drawing/2014/main" id="{00000000-0008-0000-1800-000004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2</xdr:row>
          <xdr:rowOff>222250</xdr:rowOff>
        </xdr:from>
        <xdr:to>
          <xdr:col>8</xdr:col>
          <xdr:colOff>146050</xdr:colOff>
          <xdr:row>3</xdr:row>
          <xdr:rowOff>336550</xdr:rowOff>
        </xdr:to>
        <xdr:sp macro="" textlink="">
          <xdr:nvSpPr>
            <xdr:cNvPr id="66568" name="CommandButton2" hidden="1">
              <a:extLst>
                <a:ext uri="{63B3BB69-23CF-44E3-9099-C40C66FF867C}">
                  <a14:compatExt spid="_x0000_s66568"/>
                </a:ext>
                <a:ext uri="{FF2B5EF4-FFF2-40B4-BE49-F238E27FC236}">
                  <a16:creationId xmlns:a16="http://schemas.microsoft.com/office/drawing/2014/main" id="{00000000-0008-0000-18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1</xdr:row>
      <xdr:rowOff>12701</xdr:rowOff>
    </xdr:from>
    <xdr:to>
      <xdr:col>8</xdr:col>
      <xdr:colOff>12700</xdr:colOff>
      <xdr:row>2</xdr:row>
      <xdr:rowOff>107951</xdr:rowOff>
    </xdr:to>
    <mc:AlternateContent xmlns:mc="http://schemas.openxmlformats.org/markup-compatibility/2006" xmlns:sle15="http://schemas.microsoft.com/office/drawing/2012/slicer">
      <mc:Choice Requires="sle15">
        <xdr:graphicFrame macro="">
          <xdr:nvGraphicFramePr>
            <xdr:cNvPr id="2" name="Category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527050"/>
              <a:ext cx="13100050" cy="1504949"/>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9</xdr:col>
          <xdr:colOff>12700</xdr:colOff>
          <xdr:row>1</xdr:row>
          <xdr:rowOff>12700</xdr:rowOff>
        </xdr:from>
        <xdr:to>
          <xdr:col>10</xdr:col>
          <xdr:colOff>31750</xdr:colOff>
          <xdr:row>1</xdr:row>
          <xdr:rowOff>533400</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9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603250</xdr:colOff>
          <xdr:row>1</xdr:row>
          <xdr:rowOff>869950</xdr:rowOff>
        </xdr:from>
        <xdr:to>
          <xdr:col>10</xdr:col>
          <xdr:colOff>12700</xdr:colOff>
          <xdr:row>2</xdr:row>
          <xdr:rowOff>0</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9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3</xdr:col>
      <xdr:colOff>114300</xdr:colOff>
      <xdr:row>2</xdr:row>
      <xdr:rowOff>47625</xdr:rowOff>
    </xdr:from>
    <xdr:ext cx="3209925" cy="3391189"/>
    <xdr:graphicFrame macro="">
      <xdr:nvGraphicFramePr>
        <xdr:cNvPr id="2" name="chtIncomeExpenses" descr="Column bar chart comparing income and expenses">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xdr:from>
      <xdr:col>5</xdr:col>
      <xdr:colOff>95250</xdr:colOff>
      <xdr:row>2</xdr:row>
      <xdr:rowOff>50800</xdr:rowOff>
    </xdr:from>
    <xdr:to>
      <xdr:col>17</xdr:col>
      <xdr:colOff>87032</xdr:colOff>
      <xdr:row>10</xdr:row>
      <xdr:rowOff>74930</xdr:rowOff>
    </xdr:to>
    <xdr:graphicFrame macro="">
      <xdr:nvGraphicFramePr>
        <xdr:cNvPr id="3" name="Budget_Chart" descr="Pivot Table Chart to show breakdown of actual expenses" title="Actual Expenses Breakdown">
          <a:extLst>
            <a:ext uri="{FF2B5EF4-FFF2-40B4-BE49-F238E27FC236}">
              <a16:creationId xmlns:a16="http://schemas.microsoft.com/office/drawing/2014/main" id="{00000000-0008-0000-1A00-000003000000}"/>
            </a:ext>
            <a:ext uri="{147F2762-F138-4A5C-976F-8EAC2B608ADB}">
              <a16:predDERef xmlns:a16="http://schemas.microsoft.com/office/drawing/2014/main" pred="{3A645704-FC44-4EE0-85D9-82505181F0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95250</xdr:colOff>
      <xdr:row>13</xdr:row>
      <xdr:rowOff>133350</xdr:rowOff>
    </xdr:from>
    <xdr:to>
      <xdr:col>1</xdr:col>
      <xdr:colOff>1085850</xdr:colOff>
      <xdr:row>31</xdr:row>
      <xdr:rowOff>171450</xdr:rowOff>
    </xdr:to>
    <xdr:graphicFrame macro="">
      <xdr:nvGraphicFramePr>
        <xdr:cNvPr id="4" name="Money Tracker chart" descr="Column chart to display percentage of available cash">
          <a:extLst>
            <a:ext uri="{FF2B5EF4-FFF2-40B4-BE49-F238E27FC236}">
              <a16:creationId xmlns:a16="http://schemas.microsoft.com/office/drawing/2014/main" id="{00000000-0008-0000-1A00-000004000000}"/>
            </a:ext>
            <a:ext uri="{147F2762-F138-4A5C-976F-8EAC2B608ADB}">
              <a16:predDERef xmlns:a16="http://schemas.microsoft.com/office/drawing/2014/main" pred="{E7D0DA68-5AB0-49E3-8731-2BC67765DE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265112</xdr:colOff>
      <xdr:row>2</xdr:row>
      <xdr:rowOff>293688</xdr:rowOff>
    </xdr:from>
    <xdr:to>
      <xdr:col>7</xdr:col>
      <xdr:colOff>2016125</xdr:colOff>
      <xdr:row>14</xdr:row>
      <xdr:rowOff>30163</xdr:rowOff>
    </xdr:to>
    <xdr:graphicFrame macro="">
      <xdr:nvGraphicFramePr>
        <xdr:cNvPr id="3" name="Chart 1">
          <a:extLst>
            <a:ext uri="{FF2B5EF4-FFF2-40B4-BE49-F238E27FC236}">
              <a16:creationId xmlns:a16="http://schemas.microsoft.com/office/drawing/2014/main" id="{00000000-0008-0000-1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0</xdr:colOff>
      <xdr:row>174</xdr:row>
      <xdr:rowOff>6350</xdr:rowOff>
    </xdr:from>
    <xdr:to>
      <xdr:col>18</xdr:col>
      <xdr:colOff>6350</xdr:colOff>
      <xdr:row>182</xdr:row>
      <xdr:rowOff>69850</xdr:rowOff>
    </xdr:to>
    <mc:AlternateContent xmlns:mc="http://schemas.openxmlformats.org/markup-compatibility/2006" xmlns:sle15="http://schemas.microsoft.com/office/drawing/2012/slicer">
      <mc:Choice Requires="sle15">
        <xdr:graphicFrame macro="">
          <xdr:nvGraphicFramePr>
            <xdr:cNvPr id="2" name="Name">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6553200" y="558800"/>
              <a:ext cx="8064500" cy="15367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66675</xdr:colOff>
      <xdr:row>0</xdr:row>
      <xdr:rowOff>57150</xdr:rowOff>
    </xdr:from>
    <xdr:to>
      <xdr:col>0</xdr:col>
      <xdr:colOff>760911</xdr:colOff>
      <xdr:row>3</xdr:row>
      <xdr:rowOff>167640</xdr:rowOff>
    </xdr:to>
    <xdr:pic>
      <xdr:nvPicPr>
        <xdr:cNvPr id="2" name="Picture 1">
          <a:extLst>
            <a:ext uri="{FF2B5EF4-FFF2-40B4-BE49-F238E27FC236}">
              <a16:creationId xmlns:a16="http://schemas.microsoft.com/office/drawing/2014/main" id="{00000000-0008-0000-2000-000002000000}"/>
            </a:ext>
            <a:ext uri="{147F2762-F138-4A5C-976F-8EAC2B608ADB}">
              <a16:predDERef xmlns:a16="http://schemas.microsoft.com/office/drawing/2014/main" pred="{05665333-8C34-4C89-B110-E6D1747F722E}"/>
            </a:ext>
          </a:extLst>
        </xdr:cNvPr>
        <xdr:cNvPicPr>
          <a:picLocks noChangeAspect="1"/>
        </xdr:cNvPicPr>
      </xdr:nvPicPr>
      <xdr:blipFill>
        <a:blip xmlns:r="http://schemas.openxmlformats.org/officeDocument/2006/relationships" r:embed="rId1"/>
        <a:stretch>
          <a:fillRect/>
        </a:stretch>
      </xdr:blipFill>
      <xdr:spPr>
        <a:xfrm>
          <a:off x="66675" y="57150"/>
          <a:ext cx="691515" cy="681990"/>
        </a:xfrm>
        <a:prstGeom prst="rect">
          <a:avLst/>
        </a:prstGeom>
      </xdr:spPr>
    </xdr:pic>
    <xdr:clientData/>
  </xdr:twoCellAnchor>
  <xdr:twoCellAnchor>
    <xdr:from>
      <xdr:col>3</xdr:col>
      <xdr:colOff>5444</xdr:colOff>
      <xdr:row>4</xdr:row>
      <xdr:rowOff>2720</xdr:rowOff>
    </xdr:from>
    <xdr:to>
      <xdr:col>10</xdr:col>
      <xdr:colOff>587831</xdr:colOff>
      <xdr:row>15</xdr:row>
      <xdr:rowOff>12245</xdr:rowOff>
    </xdr:to>
    <xdr:graphicFrame macro="">
      <xdr:nvGraphicFramePr>
        <xdr:cNvPr id="3" name="Chart 2">
          <a:extLst>
            <a:ext uri="{FF2B5EF4-FFF2-40B4-BE49-F238E27FC236}">
              <a16:creationId xmlns:a16="http://schemas.microsoft.com/office/drawing/2014/main" id="{00000000-0008-0000-2000-000003000000}"/>
            </a:ext>
            <a:ext uri="{147F2762-F138-4A5C-976F-8EAC2B608ADB}">
              <a16:predDERef xmlns:a16="http://schemas.microsoft.com/office/drawing/2014/main" pred="{F1B94D54-B86F-43BC-ACE6-84A178BD35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462643</xdr:colOff>
      <xdr:row>15</xdr:row>
      <xdr:rowOff>108856</xdr:rowOff>
    </xdr:from>
    <xdr:to>
      <xdr:col>8</xdr:col>
      <xdr:colOff>68036</xdr:colOff>
      <xdr:row>17</xdr:row>
      <xdr:rowOff>122463</xdr:rowOff>
    </xdr:to>
    <xdr:sp macro="" textlink="">
      <xdr:nvSpPr>
        <xdr:cNvPr id="4" name="TextBox 3">
          <a:extLst>
            <a:ext uri="{FF2B5EF4-FFF2-40B4-BE49-F238E27FC236}">
              <a16:creationId xmlns:a16="http://schemas.microsoft.com/office/drawing/2014/main" id="{00000000-0008-0000-2000-000004000000}"/>
            </a:ext>
          </a:extLst>
        </xdr:cNvPr>
        <xdr:cNvSpPr txBox="1"/>
      </xdr:nvSpPr>
      <xdr:spPr>
        <a:xfrm>
          <a:off x="3687536" y="3020785"/>
          <a:ext cx="2054679" cy="3946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600" b="0" i="0">
              <a:solidFill>
                <a:schemeClr val="dk1"/>
              </a:solidFill>
              <a:effectLst/>
              <a:latin typeface="+mn-lt"/>
              <a:ea typeface="+mn-ea"/>
              <a:cs typeface="+mn-cs"/>
            </a:rPr>
            <a:t>SGD/USD (SGDUSD=X)</a:t>
          </a:r>
          <a:endParaRPr lang="en-SG" sz="1600" b="0"/>
        </a:p>
      </xdr:txBody>
    </xdr:sp>
    <xdr:clientData/>
  </xdr:twoCellAnchor>
  <xdr:twoCellAnchor>
    <xdr:from>
      <xdr:col>12</xdr:col>
      <xdr:colOff>1</xdr:colOff>
      <xdr:row>4</xdr:row>
      <xdr:rowOff>1</xdr:rowOff>
    </xdr:from>
    <xdr:to>
      <xdr:col>19</xdr:col>
      <xdr:colOff>598715</xdr:colOff>
      <xdr:row>14</xdr:row>
      <xdr:rowOff>136072</xdr:rowOff>
    </xdr:to>
    <xdr:graphicFrame macro="">
      <xdr:nvGraphicFramePr>
        <xdr:cNvPr id="5" name="Chart 4">
          <a:extLst>
            <a:ext uri="{FF2B5EF4-FFF2-40B4-BE49-F238E27FC236}">
              <a16:creationId xmlns:a16="http://schemas.microsoft.com/office/drawing/2014/main" id="{00000000-0008-0000-2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601436</xdr:colOff>
      <xdr:row>15</xdr:row>
      <xdr:rowOff>84363</xdr:rowOff>
    </xdr:from>
    <xdr:to>
      <xdr:col>17</xdr:col>
      <xdr:colOff>206830</xdr:colOff>
      <xdr:row>17</xdr:row>
      <xdr:rowOff>97970</xdr:rowOff>
    </xdr:to>
    <xdr:sp macro="" textlink="">
      <xdr:nvSpPr>
        <xdr:cNvPr id="6" name="TextBox 5">
          <a:extLst>
            <a:ext uri="{FF2B5EF4-FFF2-40B4-BE49-F238E27FC236}">
              <a16:creationId xmlns:a16="http://schemas.microsoft.com/office/drawing/2014/main" id="{00000000-0008-0000-2000-000006000000}"/>
            </a:ext>
          </a:extLst>
        </xdr:cNvPr>
        <xdr:cNvSpPr txBox="1"/>
      </xdr:nvSpPr>
      <xdr:spPr>
        <a:xfrm>
          <a:off x="9337222" y="2996292"/>
          <a:ext cx="2054679" cy="3946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600" b="0" i="0">
              <a:solidFill>
                <a:schemeClr val="dk1"/>
              </a:solidFill>
              <a:effectLst/>
              <a:latin typeface="+mn-lt"/>
              <a:ea typeface="+mn-ea"/>
              <a:cs typeface="+mn-cs"/>
            </a:rPr>
            <a:t>SGD/EUR (SGDEUR=X)</a:t>
          </a:r>
          <a:endParaRPr lang="en-SG" sz="1600" b="0"/>
        </a:p>
      </xdr:txBody>
    </xdr:sp>
    <xdr:clientData/>
  </xdr:twoCellAnchor>
  <xdr:twoCellAnchor>
    <xdr:from>
      <xdr:col>21</xdr:col>
      <xdr:colOff>0</xdr:colOff>
      <xdr:row>4</xdr:row>
      <xdr:rowOff>0</xdr:rowOff>
    </xdr:from>
    <xdr:to>
      <xdr:col>28</xdr:col>
      <xdr:colOff>408214</xdr:colOff>
      <xdr:row>14</xdr:row>
      <xdr:rowOff>68035</xdr:rowOff>
    </xdr:to>
    <xdr:graphicFrame macro="">
      <xdr:nvGraphicFramePr>
        <xdr:cNvPr id="7" name="Chart 6">
          <a:extLst>
            <a:ext uri="{FF2B5EF4-FFF2-40B4-BE49-F238E27FC236}">
              <a16:creationId xmlns:a16="http://schemas.microsoft.com/office/drawing/2014/main" id="{00000000-0008-0000-2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87087</xdr:colOff>
      <xdr:row>15</xdr:row>
      <xdr:rowOff>19049</xdr:rowOff>
    </xdr:from>
    <xdr:to>
      <xdr:col>26</xdr:col>
      <xdr:colOff>304801</xdr:colOff>
      <xdr:row>17</xdr:row>
      <xdr:rowOff>32656</xdr:rowOff>
    </xdr:to>
    <xdr:sp macro="" textlink="">
      <xdr:nvSpPr>
        <xdr:cNvPr id="8" name="TextBox 7">
          <a:extLst>
            <a:ext uri="{FF2B5EF4-FFF2-40B4-BE49-F238E27FC236}">
              <a16:creationId xmlns:a16="http://schemas.microsoft.com/office/drawing/2014/main" id="{00000000-0008-0000-2000-000008000000}"/>
            </a:ext>
          </a:extLst>
        </xdr:cNvPr>
        <xdr:cNvSpPr txBox="1"/>
      </xdr:nvSpPr>
      <xdr:spPr>
        <a:xfrm>
          <a:off x="14986908" y="2930978"/>
          <a:ext cx="2054679" cy="3946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600" b="0" i="0">
              <a:solidFill>
                <a:schemeClr val="dk1"/>
              </a:solidFill>
              <a:effectLst/>
              <a:latin typeface="+mn-lt"/>
              <a:ea typeface="+mn-ea"/>
              <a:cs typeface="+mn-cs"/>
            </a:rPr>
            <a:t>SGD/JPY (SGDJPY=X)</a:t>
          </a:r>
          <a:endParaRPr lang="en-SG" sz="1600" b="0"/>
        </a:p>
      </xdr:txBody>
    </xdr:sp>
    <xdr:clientData/>
  </xdr:twoCellAnchor>
  <xdr:twoCellAnchor>
    <xdr:from>
      <xdr:col>3</xdr:col>
      <xdr:colOff>0</xdr:colOff>
      <xdr:row>18</xdr:row>
      <xdr:rowOff>0</xdr:rowOff>
    </xdr:from>
    <xdr:to>
      <xdr:col>10</xdr:col>
      <xdr:colOff>581025</xdr:colOff>
      <xdr:row>29</xdr:row>
      <xdr:rowOff>161925</xdr:rowOff>
    </xdr:to>
    <xdr:graphicFrame macro="">
      <xdr:nvGraphicFramePr>
        <xdr:cNvPr id="9" name="Chart 8">
          <a:extLst>
            <a:ext uri="{FF2B5EF4-FFF2-40B4-BE49-F238E27FC236}">
              <a16:creationId xmlns:a16="http://schemas.microsoft.com/office/drawing/2014/main" id="{00000000-0008-0000-2000-000009000000}"/>
            </a:ext>
            <a:ext uri="{147F2762-F138-4A5C-976F-8EAC2B608ADB}">
              <a16:predDERef xmlns:a16="http://schemas.microsoft.com/office/drawing/2014/main" pred="{19710300-EDFA-4C8A-9DD3-51E693DC9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383721</xdr:colOff>
      <xdr:row>30</xdr:row>
      <xdr:rowOff>138792</xdr:rowOff>
    </xdr:from>
    <xdr:to>
      <xdr:col>7</xdr:col>
      <xdr:colOff>601436</xdr:colOff>
      <xdr:row>32</xdr:row>
      <xdr:rowOff>152399</xdr:rowOff>
    </xdr:to>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3608614" y="5908221"/>
          <a:ext cx="2054679" cy="3946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600" b="0" i="0">
              <a:solidFill>
                <a:schemeClr val="dk1"/>
              </a:solidFill>
              <a:effectLst/>
              <a:latin typeface="+mn-lt"/>
              <a:ea typeface="+mn-ea"/>
              <a:cs typeface="+mn-cs"/>
            </a:rPr>
            <a:t>SGD/GBP (SGDGBP=X)</a:t>
          </a:r>
          <a:endParaRPr lang="en-SG" sz="1600" b="0"/>
        </a:p>
      </xdr:txBody>
    </xdr:sp>
    <xdr:clientData/>
  </xdr:twoCellAnchor>
  <xdr:twoCellAnchor>
    <xdr:from>
      <xdr:col>12</xdr:col>
      <xdr:colOff>0</xdr:colOff>
      <xdr:row>18</xdr:row>
      <xdr:rowOff>0</xdr:rowOff>
    </xdr:from>
    <xdr:to>
      <xdr:col>20</xdr:col>
      <xdr:colOff>0</xdr:colOff>
      <xdr:row>29</xdr:row>
      <xdr:rowOff>122464</xdr:rowOff>
    </xdr:to>
    <xdr:graphicFrame macro="">
      <xdr:nvGraphicFramePr>
        <xdr:cNvPr id="11" name="Chart 10">
          <a:extLst>
            <a:ext uri="{FF2B5EF4-FFF2-40B4-BE49-F238E27FC236}">
              <a16:creationId xmlns:a16="http://schemas.microsoft.com/office/drawing/2014/main" id="{00000000-0008-0000-2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576944</xdr:colOff>
      <xdr:row>31</xdr:row>
      <xdr:rowOff>19048</xdr:rowOff>
    </xdr:from>
    <xdr:to>
      <xdr:col>17</xdr:col>
      <xdr:colOff>381001</xdr:colOff>
      <xdr:row>33</xdr:row>
      <xdr:rowOff>32655</xdr:rowOff>
    </xdr:to>
    <xdr:sp macro="" textlink="">
      <xdr:nvSpPr>
        <xdr:cNvPr id="12" name="TextBox 11">
          <a:extLst>
            <a:ext uri="{FF2B5EF4-FFF2-40B4-BE49-F238E27FC236}">
              <a16:creationId xmlns:a16="http://schemas.microsoft.com/office/drawing/2014/main" id="{00000000-0008-0000-2000-00000C000000}"/>
            </a:ext>
          </a:extLst>
        </xdr:cNvPr>
        <xdr:cNvSpPr txBox="1"/>
      </xdr:nvSpPr>
      <xdr:spPr>
        <a:xfrm>
          <a:off x="9312730" y="5978977"/>
          <a:ext cx="2253342" cy="3946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600" b="0" i="0">
              <a:solidFill>
                <a:schemeClr val="dk1"/>
              </a:solidFill>
              <a:effectLst/>
              <a:latin typeface="+mn-lt"/>
              <a:ea typeface="+mn-ea"/>
              <a:cs typeface="+mn-cs"/>
            </a:rPr>
            <a:t>SGD/AUD (SGDAUD=X)</a:t>
          </a:r>
          <a:endParaRPr lang="en-SG" sz="1600" b="0"/>
        </a:p>
      </xdr:txBody>
    </xdr:sp>
    <xdr:clientData/>
  </xdr:twoCellAnchor>
  <xdr:twoCellAnchor>
    <xdr:from>
      <xdr:col>21</xdr:col>
      <xdr:colOff>27214</xdr:colOff>
      <xdr:row>17</xdr:row>
      <xdr:rowOff>163285</xdr:rowOff>
    </xdr:from>
    <xdr:to>
      <xdr:col>28</xdr:col>
      <xdr:colOff>421821</xdr:colOff>
      <xdr:row>29</xdr:row>
      <xdr:rowOff>95249</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100693</xdr:colOff>
      <xdr:row>31</xdr:row>
      <xdr:rowOff>32656</xdr:rowOff>
    </xdr:from>
    <xdr:to>
      <xdr:col>26</xdr:col>
      <xdr:colOff>318407</xdr:colOff>
      <xdr:row>33</xdr:row>
      <xdr:rowOff>46263</xdr:rowOff>
    </xdr:to>
    <xdr:sp macro="" textlink="">
      <xdr:nvSpPr>
        <xdr:cNvPr id="14" name="TextBox 13">
          <a:extLst>
            <a:ext uri="{FF2B5EF4-FFF2-40B4-BE49-F238E27FC236}">
              <a16:creationId xmlns:a16="http://schemas.microsoft.com/office/drawing/2014/main" id="{00000000-0008-0000-2000-00000E000000}"/>
            </a:ext>
          </a:extLst>
        </xdr:cNvPr>
        <xdr:cNvSpPr txBox="1"/>
      </xdr:nvSpPr>
      <xdr:spPr>
        <a:xfrm>
          <a:off x="15000514" y="5992585"/>
          <a:ext cx="2054679" cy="3946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600" b="0" i="0">
              <a:solidFill>
                <a:schemeClr val="dk1"/>
              </a:solidFill>
              <a:effectLst/>
              <a:latin typeface="+mn-lt"/>
              <a:ea typeface="+mn-ea"/>
              <a:cs typeface="+mn-cs"/>
            </a:rPr>
            <a:t>SGD/CAD (SGDCAD=X)</a:t>
          </a:r>
          <a:endParaRPr lang="en-SG" sz="1600" b="0"/>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12700</xdr:colOff>
          <xdr:row>3</xdr:row>
          <xdr:rowOff>38100</xdr:rowOff>
        </xdr:to>
        <xdr:sp macro="" textlink="">
          <xdr:nvSpPr>
            <xdr:cNvPr id="51201" name="ComboBox1" hidden="1">
              <a:extLst>
                <a:ext uri="{63B3BB69-23CF-44E3-9099-C40C66FF867C}">
                  <a14:compatExt spid="_x0000_s51201"/>
                </a:ext>
                <a:ext uri="{FF2B5EF4-FFF2-40B4-BE49-F238E27FC236}">
                  <a16:creationId xmlns:a16="http://schemas.microsoft.com/office/drawing/2014/main" id="{00000000-0008-0000-22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521474</xdr:colOff>
      <xdr:row>11</xdr:row>
      <xdr:rowOff>61291</xdr:rowOff>
    </xdr:from>
    <xdr:to>
      <xdr:col>6</xdr:col>
      <xdr:colOff>849134</xdr:colOff>
      <xdr:row>11</xdr:row>
      <xdr:rowOff>337930</xdr:rowOff>
    </xdr:to>
    <xdr:sp macro="" textlink="">
      <xdr:nvSpPr>
        <xdr:cNvPr id="3" name="Rectangle: Rounded Corners 2">
          <a:extLst>
            <a:ext uri="{FF2B5EF4-FFF2-40B4-BE49-F238E27FC236}">
              <a16:creationId xmlns:a16="http://schemas.microsoft.com/office/drawing/2014/main" id="{00000000-0008-0000-2200-000003000000}"/>
            </a:ext>
          </a:extLst>
        </xdr:cNvPr>
        <xdr:cNvSpPr/>
      </xdr:nvSpPr>
      <xdr:spPr>
        <a:xfrm>
          <a:off x="5614174" y="2086941"/>
          <a:ext cx="1242060" cy="2766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SG" sz="1100" u="sng"/>
            <a:t>C</a:t>
          </a:r>
          <a:r>
            <a:rPr lang="en-SG" sz="1100"/>
            <a:t>onfirm</a:t>
          </a:r>
        </a:p>
      </xdr:txBody>
    </xdr:sp>
    <xdr:clientData/>
  </xdr:twoCellAnchor>
  <xdr:twoCellAnchor editAs="oneCell">
    <xdr:from>
      <xdr:col>0</xdr:col>
      <xdr:colOff>95252</xdr:colOff>
      <xdr:row>0</xdr:row>
      <xdr:rowOff>137160</xdr:rowOff>
    </xdr:from>
    <xdr:to>
      <xdr:col>1</xdr:col>
      <xdr:colOff>53996</xdr:colOff>
      <xdr:row>3</xdr:row>
      <xdr:rowOff>38101</xdr:rowOff>
    </xdr:to>
    <xdr:pic>
      <xdr:nvPicPr>
        <xdr:cNvPr id="5" name="Picture 4">
          <a:extLst>
            <a:ext uri="{FF2B5EF4-FFF2-40B4-BE49-F238E27FC236}">
              <a16:creationId xmlns:a16="http://schemas.microsoft.com/office/drawing/2014/main" id="{00000000-0008-0000-2200-000005000000}"/>
            </a:ext>
            <a:ext uri="{147F2762-F138-4A5C-976F-8EAC2B608ADB}">
              <a16:predDERef xmlns:a16="http://schemas.microsoft.com/office/drawing/2014/main" pred="{05665333-8C34-4C89-B110-E6D1747F722E}"/>
            </a:ext>
          </a:extLst>
        </xdr:cNvPr>
        <xdr:cNvPicPr>
          <a:picLocks noChangeAspect="1"/>
        </xdr:cNvPicPr>
      </xdr:nvPicPr>
      <xdr:blipFill>
        <a:blip xmlns:r="http://schemas.openxmlformats.org/officeDocument/2006/relationships" r:embed="rId1"/>
        <a:stretch>
          <a:fillRect/>
        </a:stretch>
      </xdr:blipFill>
      <xdr:spPr>
        <a:xfrm>
          <a:off x="95252" y="137160"/>
          <a:ext cx="568344" cy="45339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absoluteAnchor>
    <xdr:pos x="238125" y="1416983"/>
    <xdr:ext cx="11138088" cy="6212542"/>
    <xdr:graphicFrame macro="">
      <xdr:nvGraphicFramePr>
        <xdr:cNvPr id="2" name="Chart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4655801" y="1022219"/>
    <xdr:ext cx="4259440" cy="475129"/>
    <mc:AlternateContent xmlns:mc="http://schemas.openxmlformats.org/markup-compatibility/2006" xmlns:a14="http://schemas.microsoft.com/office/drawing/2010/main">
      <mc:Choice Requires="a14">
        <xdr:graphicFrame macro="">
          <xdr:nvGraphicFramePr>
            <xdr:cNvPr id="3" name="Period">
              <a:extLst>
                <a:ext uri="{FF2B5EF4-FFF2-40B4-BE49-F238E27FC236}">
                  <a16:creationId xmlns:a16="http://schemas.microsoft.com/office/drawing/2014/main" id="{00000000-0008-0000-2300-000003000000}"/>
                </a:ext>
              </a:extLst>
            </xdr:cNvPr>
            <xdr:cNvGraphicFramePr/>
          </xdr:nvGraphicFramePr>
          <xdr:xfrm>
            <a:off x="0" y="0"/>
            <a:ext cx="0" cy="0"/>
          </xdr:xfrm>
          <a:graphic>
            <a:graphicData uri="http://schemas.microsoft.com/office/drawing/2010/slicer">
              <sle:slicer xmlns:sle="http://schemas.microsoft.com/office/drawing/2010/slicer" name="Period"/>
            </a:graphicData>
          </a:graphic>
        </xdr:graphicFrame>
      </mc:Choice>
      <mc:Fallback xmlns="">
        <xdr:sp macro="" textlink="">
          <xdr:nvSpPr>
            <xdr:cNvPr id="0" name=""/>
            <xdr:cNvSpPr>
              <a:spLocks noTextEdit="1"/>
            </xdr:cNvSpPr>
          </xdr:nvSpPr>
          <xdr:spPr>
            <a:xfrm>
              <a:off x="4655801" y="1022219"/>
              <a:ext cx="4259440" cy="4751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absoluteAnchor>
  <xdr:oneCellAnchor>
    <xdr:from>
      <xdr:col>7</xdr:col>
      <xdr:colOff>1589442</xdr:colOff>
      <xdr:row>3</xdr:row>
      <xdr:rowOff>103095</xdr:rowOff>
    </xdr:from>
    <xdr:ext cx="2297430" cy="476249"/>
    <mc:AlternateContent xmlns:mc="http://schemas.openxmlformats.org/markup-compatibility/2006" xmlns:a14="http://schemas.microsoft.com/office/drawing/2010/main">
      <mc:Choice Requires="a14">
        <xdr:graphicFrame macro="">
          <xdr:nvGraphicFramePr>
            <xdr:cNvPr id="4" name="Options">
              <a:extLst>
                <a:ext uri="{FF2B5EF4-FFF2-40B4-BE49-F238E27FC236}">
                  <a16:creationId xmlns:a16="http://schemas.microsoft.com/office/drawing/2014/main" id="{00000000-0008-0000-2300-000004000000}"/>
                </a:ext>
              </a:extLst>
            </xdr:cNvPr>
            <xdr:cNvGraphicFramePr/>
          </xdr:nvGraphicFramePr>
          <xdr:xfrm>
            <a:off x="0" y="0"/>
            <a:ext cx="0" cy="0"/>
          </xdr:xfrm>
          <a:graphic>
            <a:graphicData uri="http://schemas.microsoft.com/office/drawing/2010/slicer">
              <sle:slicer xmlns:sle="http://schemas.microsoft.com/office/drawing/2010/slicer" name="Options"/>
            </a:graphicData>
          </a:graphic>
        </xdr:graphicFrame>
      </mc:Choice>
      <mc:Fallback xmlns="">
        <xdr:sp macro="" textlink="">
          <xdr:nvSpPr>
            <xdr:cNvPr id="0" name=""/>
            <xdr:cNvSpPr>
              <a:spLocks noTextEdit="1"/>
            </xdr:cNvSpPr>
          </xdr:nvSpPr>
          <xdr:spPr>
            <a:xfrm>
              <a:off x="8884471" y="988360"/>
              <a:ext cx="2297430" cy="476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oneCellAnchor>
  <mc:AlternateContent xmlns:mc="http://schemas.openxmlformats.org/markup-compatibility/2006">
    <mc:Choice xmlns:a14="http://schemas.microsoft.com/office/drawing/2010/main" Requires="a14">
      <xdr:oneCellAnchor>
        <xdr:from>
          <xdr:col>4</xdr:col>
          <xdr:colOff>491574</xdr:colOff>
          <xdr:row>5</xdr:row>
          <xdr:rowOff>911</xdr:rowOff>
        </xdr:from>
        <xdr:ext cx="381000" cy="247245"/>
        <xdr:pic>
          <xdr:nvPicPr>
            <xdr:cNvPr id="5" name="Picture 4">
              <a:extLst>
                <a:ext uri="{FF2B5EF4-FFF2-40B4-BE49-F238E27FC236}">
                  <a16:creationId xmlns:a16="http://schemas.microsoft.com/office/drawing/2014/main" id="{00000000-0008-0000-2300-000005000000}"/>
                </a:ext>
              </a:extLst>
            </xdr:cNvPr>
            <xdr:cNvPicPr>
              <a:picLocks noChangeAspect="1"/>
              <a:extLst>
                <a:ext uri="{84589F7E-364E-4C9E-8A38-B11213B215E9}">
                  <a14:cameraTool cellRange="IMG" spid="_x0000_s84115"/>
                </a:ext>
              </a:extLst>
            </xdr:cNvPicPr>
          </xdr:nvPicPr>
          <xdr:blipFill>
            <a:blip xmlns:r="http://schemas.openxmlformats.org/officeDocument/2006/relationships" r:embed="rId2"/>
            <a:stretch>
              <a:fillRect/>
            </a:stretch>
          </xdr:blipFill>
          <xdr:spPr>
            <a:xfrm>
              <a:off x="3293045" y="1300793"/>
              <a:ext cx="381000" cy="247245"/>
            </a:xfrm>
            <a:prstGeom prst="rect">
              <a:avLst/>
            </a:prstGeom>
          </xdr:spPr>
        </xdr:pic>
        <xdr:clientData/>
      </xdr:oneCellAnchor>
    </mc:Choice>
    <mc:Fallback/>
  </mc:AlternateContent>
  <mc:AlternateContent xmlns:mc="http://schemas.openxmlformats.org/markup-compatibility/2006">
    <mc:Choice xmlns:a14="http://schemas.microsoft.com/office/drawing/2010/main" Requires="a14">
      <xdr:oneCellAnchor>
        <xdr:from>
          <xdr:col>6</xdr:col>
          <xdr:colOff>9525</xdr:colOff>
          <xdr:row>5</xdr:row>
          <xdr:rowOff>911</xdr:rowOff>
        </xdr:from>
        <xdr:ext cx="381000" cy="182394"/>
        <xdr:pic>
          <xdr:nvPicPr>
            <xdr:cNvPr id="6" name="Picture 5">
              <a:extLst>
                <a:ext uri="{FF2B5EF4-FFF2-40B4-BE49-F238E27FC236}">
                  <a16:creationId xmlns:a16="http://schemas.microsoft.com/office/drawing/2014/main" id="{00000000-0008-0000-2300-000006000000}"/>
                </a:ext>
              </a:extLst>
            </xdr:cNvPr>
            <xdr:cNvPicPr>
              <a:picLocks noChangeAspect="1"/>
              <a:extLst>
                <a:ext uri="{84589F7E-364E-4C9E-8A38-B11213B215E9}">
                  <a14:cameraTool cellRange="IMGG" spid="_x0000_s84116"/>
                </a:ext>
              </a:extLst>
            </xdr:cNvPicPr>
          </xdr:nvPicPr>
          <xdr:blipFill>
            <a:blip xmlns:r="http://schemas.openxmlformats.org/officeDocument/2006/relationships" r:embed="rId3"/>
            <a:stretch>
              <a:fillRect/>
            </a:stretch>
          </xdr:blipFill>
          <xdr:spPr>
            <a:xfrm>
              <a:off x="4178113" y="1300793"/>
              <a:ext cx="381000" cy="182394"/>
            </a:xfrm>
            <a:prstGeom prst="rect">
              <a:avLst/>
            </a:prstGeom>
          </xdr:spPr>
        </xdr:pic>
        <xdr:clientData/>
      </xdr:one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3</xdr:col>
      <xdr:colOff>45327</xdr:colOff>
      <xdr:row>3</xdr:row>
      <xdr:rowOff>45984</xdr:rowOff>
    </xdr:from>
    <xdr:ext cx="276553" cy="175272"/>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74127" y="588909"/>
          <a:ext cx="276553" cy="175272"/>
        </a:xfrm>
        <a:prstGeom prst="rect">
          <a:avLst/>
        </a:prstGeom>
      </xdr:spPr>
    </xdr:pic>
    <xdr:clientData/>
  </xdr:oneCellAnchor>
  <xdr:oneCellAnchor>
    <xdr:from>
      <xdr:col>3</xdr:col>
      <xdr:colOff>16095</xdr:colOff>
      <xdr:row>10</xdr:row>
      <xdr:rowOff>15436</xdr:rowOff>
    </xdr:from>
    <xdr:ext cx="358337" cy="227105"/>
    <xdr:pic>
      <xdr:nvPicPr>
        <xdr:cNvPr id="3" name="Picture 2">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44895" y="1825186"/>
          <a:ext cx="358337" cy="227105"/>
        </a:xfrm>
        <a:prstGeom prst="rect">
          <a:avLst/>
        </a:prstGeom>
      </xdr:spPr>
    </xdr:pic>
    <xdr:clientData/>
  </xdr:oneCellAnchor>
  <xdr:oneCellAnchor>
    <xdr:from>
      <xdr:col>3</xdr:col>
      <xdr:colOff>86</xdr:colOff>
      <xdr:row>8</xdr:row>
      <xdr:rowOff>13266</xdr:rowOff>
    </xdr:from>
    <xdr:ext cx="364701" cy="226930"/>
    <xdr:pic>
      <xdr:nvPicPr>
        <xdr:cNvPr id="4" name="Picture 3">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8886" y="1461066"/>
          <a:ext cx="364701" cy="226930"/>
        </a:xfrm>
        <a:prstGeom prst="rect">
          <a:avLst/>
        </a:prstGeom>
      </xdr:spPr>
    </xdr:pic>
    <xdr:clientData/>
  </xdr:oneCellAnchor>
  <xdr:oneCellAnchor>
    <xdr:from>
      <xdr:col>2</xdr:col>
      <xdr:colOff>609399</xdr:colOff>
      <xdr:row>4</xdr:row>
      <xdr:rowOff>3082</xdr:rowOff>
    </xdr:from>
    <xdr:ext cx="386149" cy="244215"/>
    <xdr:pic>
      <xdr:nvPicPr>
        <xdr:cNvPr id="5" name="Picture 4">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28599" y="726982"/>
          <a:ext cx="386149" cy="244215"/>
        </a:xfrm>
        <a:prstGeom prst="rect">
          <a:avLst/>
        </a:prstGeom>
      </xdr:spPr>
    </xdr:pic>
    <xdr:clientData/>
  </xdr:oneCellAnchor>
  <xdr:oneCellAnchor>
    <xdr:from>
      <xdr:col>3</xdr:col>
      <xdr:colOff>50781</xdr:colOff>
      <xdr:row>6</xdr:row>
      <xdr:rowOff>6054</xdr:rowOff>
    </xdr:from>
    <xdr:ext cx="241336" cy="241192"/>
    <xdr:pic>
      <xdr:nvPicPr>
        <xdr:cNvPr id="6" name="Picture 5">
          <a:extLst>
            <a:ext uri="{FF2B5EF4-FFF2-40B4-BE49-F238E27FC236}">
              <a16:creationId xmlns:a16="http://schemas.microsoft.com/office/drawing/2014/main" id="{00000000-0008-0000-2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79581" y="1091904"/>
          <a:ext cx="241336" cy="241192"/>
        </a:xfrm>
        <a:prstGeom prst="rect">
          <a:avLst/>
        </a:prstGeom>
      </xdr:spPr>
    </xdr:pic>
    <xdr:clientData/>
  </xdr:oneCellAnchor>
  <xdr:oneCellAnchor>
    <xdr:from>
      <xdr:col>2</xdr:col>
      <xdr:colOff>611181</xdr:colOff>
      <xdr:row>9</xdr:row>
      <xdr:rowOff>10278</xdr:rowOff>
    </xdr:from>
    <xdr:ext cx="377798" cy="238140"/>
    <xdr:pic>
      <xdr:nvPicPr>
        <xdr:cNvPr id="7" name="Picture 6">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30381" y="1639053"/>
          <a:ext cx="377798" cy="238140"/>
        </a:xfrm>
        <a:prstGeom prst="rect">
          <a:avLst/>
        </a:prstGeom>
      </xdr:spPr>
    </xdr:pic>
    <xdr:clientData/>
  </xdr:oneCellAnchor>
  <xdr:oneCellAnchor>
    <xdr:from>
      <xdr:col>3</xdr:col>
      <xdr:colOff>3438</xdr:colOff>
      <xdr:row>5</xdr:row>
      <xdr:rowOff>15590</xdr:rowOff>
    </xdr:from>
    <xdr:ext cx="370994" cy="232670"/>
    <xdr:pic>
      <xdr:nvPicPr>
        <xdr:cNvPr id="8" name="Picture 7">
          <a:extLst>
            <a:ext uri="{FF2B5EF4-FFF2-40B4-BE49-F238E27FC236}">
              <a16:creationId xmlns:a16="http://schemas.microsoft.com/office/drawing/2014/main" id="{00000000-0008-0000-25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832238" y="920465"/>
          <a:ext cx="370994" cy="232670"/>
        </a:xfrm>
        <a:prstGeom prst="rect">
          <a:avLst/>
        </a:prstGeom>
      </xdr:spPr>
    </xdr:pic>
    <xdr:clientData/>
  </xdr:oneCellAnchor>
  <xdr:oneCellAnchor>
    <xdr:from>
      <xdr:col>3</xdr:col>
      <xdr:colOff>21714</xdr:colOff>
      <xdr:row>7</xdr:row>
      <xdr:rowOff>13139</xdr:rowOff>
    </xdr:from>
    <xdr:ext cx="334967" cy="224777"/>
    <xdr:pic>
      <xdr:nvPicPr>
        <xdr:cNvPr id="9" name="Picture 8">
          <a:extLst>
            <a:ext uri="{FF2B5EF4-FFF2-40B4-BE49-F238E27FC236}">
              <a16:creationId xmlns:a16="http://schemas.microsoft.com/office/drawing/2014/main" id="{00000000-0008-0000-25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50514" y="1279964"/>
          <a:ext cx="334967" cy="224777"/>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mwan\AppData\Roaming\Microsoft\Excel\SDD%2520Assignment%2520Team%2520C%2520with%2520VBA%20(version%201).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mwan\Downloads\SDD%20Assignment%20draft2.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Budget%20(4)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tf04022385_win32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nnectnpedu-my.sharepoint.com/personal/s10205696_connect_np_edu_sg/Documents/Desktop/SDD/Assignment%202/Sprint%20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inza\Desktop\NP\SDD\Assignment%202\Expense%20Income%20Budget%20Templates\Sprint%20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mmwan\Downloads\mortgage%20loan.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mmwan\Downloads\Loan%20Calculator%20(Final).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School\FI01%20Y2S2\Sol%5en%20Design%20&amp;%20Dev%20--%20(SD&amp;D)\SDD%20ASG-1\testing_input%20(version%201).xlsm"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Summary1"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mmwan\Downloads\Telegram%20Desktop\testing_input%20(version%201).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mmwan\Downloads\personal-financial-statement.xlsx"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Expense%20Budget2"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shiny\Downloads\3-Forex-Currency-Char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Tab"/>
      <sheetName val="Registration Form"/>
      <sheetName val="Cryptocurrency Holdings"/>
      <sheetName val="Cryptocurrency GoinGecko API"/>
      <sheetName val="Savings Tracker "/>
      <sheetName val="Savings Estimator"/>
      <sheetName val="CPF Contribution &amp; Forecast"/>
      <sheetName val="CPF Tracker"/>
      <sheetName val="New CPF Tracker"/>
      <sheetName val="Stock Ledger"/>
      <sheetName val="Stock Investment Tracker"/>
      <sheetName val="Watch List"/>
      <sheetName val="Watch List - BLD"/>
      <sheetName val="Watch List - ASB"/>
      <sheetName val="Fixed Assets Tracker"/>
      <sheetName val="Credit Card pay off calculator"/>
      <sheetName val="Credit card summary"/>
      <sheetName val="Income"/>
      <sheetName val="Budget"/>
      <sheetName val="Summary"/>
      <sheetName val="Loan Chart Data"/>
      <sheetName val="Loan Calculator"/>
      <sheetName val="Mortgage Calculator"/>
      <sheetName val="Amortization Table"/>
      <sheetName val="Currency forcasting"/>
      <sheetName val="SGDUSD Forcast Data"/>
      <sheetName val="USDEUR Forcast Data"/>
      <sheetName val="SGDJPY Forcast Data"/>
      <sheetName val="SGDGBP Forcast Data"/>
      <sheetName val="SGDAUD Forcasting Data"/>
      <sheetName val="SGDCAD Forcast Data"/>
      <sheetName val="data for forcasting currency"/>
      <sheetName val="US_7"/>
      <sheetName val="SDD%20Assignment%20Team%20C%20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Page"/>
      <sheetName val="Cryptocurrency Holdings"/>
      <sheetName val="Cryptocurrency GoinGecko API"/>
      <sheetName val="Savings Tracker"/>
      <sheetName val="Savings Estimator"/>
      <sheetName val="CPF Contribution &amp; Forecast"/>
      <sheetName val="CPF Tracker"/>
      <sheetName val="Stock Ledger"/>
      <sheetName val="Stock Investment Tracker"/>
      <sheetName val="Watch List"/>
      <sheetName val="Watch List - BLD"/>
      <sheetName val="Watch List - ASB"/>
      <sheetName val="Fixed Assets Tracker"/>
      <sheetName val="Credit Card pay off calculator"/>
      <sheetName val="Credit card summary"/>
      <sheetName val="Income"/>
      <sheetName val="Budget"/>
      <sheetName val="Summary"/>
      <sheetName val="Loan Calculator"/>
      <sheetName val="Mortgage Calculator"/>
      <sheetName val="Amortization Table"/>
      <sheetName val="SDD Assignment draft2"/>
    </sheetNames>
    <sheetDataSet>
      <sheetData sheetId="0" refreshError="1"/>
      <sheetData sheetId="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dget Overview"/>
      <sheetName val="Budget Summary"/>
      <sheetName val="Additional Data"/>
      <sheetName val="Budget (4)1"/>
    </sheet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s"/>
      <sheetName val="tf04022385_win321"/>
      <sheetName val="Retirement Planner"/>
    </sheetNames>
    <sheetDataSet>
      <sheetData sheetId="0"/>
      <sheetData sheetId="1"/>
      <sheetData sheetId="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heetName val="Budget"/>
      <sheetName val="Summary"/>
      <sheetName val="Sprint 2"/>
    </sheetNames>
    <definedNames>
      <definedName name="InterestRate" refersTo="#REF!"/>
      <definedName name="LoanAmount" refersTo="#REF!"/>
    </definedNames>
    <sheetDataSet>
      <sheetData sheetId="0"/>
      <sheetData sheetId="1"/>
      <sheetData sheetId="2">
        <row r="1">
          <cell r="B1" t="str">
            <v>Personal Expense Summary</v>
          </cell>
        </row>
        <row r="4">
          <cell r="B4">
            <v>10250</v>
          </cell>
        </row>
        <row r="6">
          <cell r="B6">
            <v>7860</v>
          </cell>
        </row>
      </sheetData>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heetName val="Budget"/>
      <sheetName val="Summary"/>
      <sheetName val="Sprint 2"/>
    </sheetNames>
    <sheetDataSet>
      <sheetData sheetId="0"/>
      <sheetData sheetId="1"/>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rtgage Calculator"/>
      <sheetName val="Amortization Table"/>
    </sheetNames>
    <sheetDataSet>
      <sheetData sheetId="0">
        <row r="4">
          <cell r="E4">
            <v>424.94089422536553</v>
          </cell>
        </row>
        <row r="5">
          <cell r="C5">
            <v>0.1</v>
          </cell>
        </row>
        <row r="6">
          <cell r="C6">
            <v>60</v>
          </cell>
        </row>
        <row r="7">
          <cell r="C7">
            <v>20000</v>
          </cell>
        </row>
        <row r="8">
          <cell r="C8">
            <v>44571</v>
          </cell>
          <cell r="E8">
            <v>375</v>
          </cell>
        </row>
      </sheetData>
      <sheetData sheetId="1">
        <row r="3">
          <cell r="B3" t="str">
            <v>#</v>
          </cell>
          <cell r="C3" t="str">
            <v>payment
date</v>
          </cell>
          <cell r="D3" t="str">
            <v>opening
balance</v>
          </cell>
          <cell r="E3" t="str">
            <v>interest</v>
          </cell>
          <cell r="F3" t="str">
            <v>principal</v>
          </cell>
          <cell r="G3" t="str">
            <v>property
tax</v>
          </cell>
          <cell r="H3" t="str">
            <v>total
payments</v>
          </cell>
          <cell r="I3" t="str">
            <v>closing
balance</v>
          </cell>
          <cell r="J3" t="str">
            <v>#
remaining</v>
          </cell>
        </row>
        <row r="4">
          <cell r="C4">
            <v>44571</v>
          </cell>
          <cell r="E4">
            <v>166.66666666666666</v>
          </cell>
          <cell r="F4">
            <v>258.27422755869884</v>
          </cell>
          <cell r="H4">
            <v>799.94089422536547</v>
          </cell>
        </row>
        <row r="5">
          <cell r="C5">
            <v>44602</v>
          </cell>
          <cell r="E5">
            <v>162.34416049710785</v>
          </cell>
          <cell r="F5">
            <v>260.42651278835461</v>
          </cell>
          <cell r="H5">
            <v>797.77067328546241</v>
          </cell>
        </row>
        <row r="6">
          <cell r="C6">
            <v>44630</v>
          </cell>
          <cell r="E6">
            <v>160.15585438270574</v>
          </cell>
          <cell r="F6">
            <v>262.59673372825756</v>
          </cell>
          <cell r="H6">
            <v>797.7525881109633</v>
          </cell>
        </row>
        <row r="7">
          <cell r="C7">
            <v>44661</v>
          </cell>
          <cell r="E7">
            <v>157.94931238401691</v>
          </cell>
          <cell r="F7">
            <v>264.78503984265973</v>
          </cell>
          <cell r="H7">
            <v>797.73435222667661</v>
          </cell>
        </row>
        <row r="8">
          <cell r="C8">
            <v>44691</v>
          </cell>
          <cell r="E8">
            <v>155.72438253533898</v>
          </cell>
          <cell r="F8">
            <v>266.99158184134859</v>
          </cell>
          <cell r="H8">
            <v>797.71596437668757</v>
          </cell>
        </row>
        <row r="9">
          <cell r="C9">
            <v>44722</v>
          </cell>
          <cell r="E9">
            <v>153.48091160458875</v>
          </cell>
          <cell r="F9">
            <v>269.21651169002644</v>
          </cell>
          <cell r="H9">
            <v>797.69742329461519</v>
          </cell>
        </row>
        <row r="10">
          <cell r="C10">
            <v>44752</v>
          </cell>
          <cell r="E10">
            <v>151.21874508274897</v>
          </cell>
          <cell r="F10">
            <v>271.45998262077671</v>
          </cell>
          <cell r="H10">
            <v>797.67872770352574</v>
          </cell>
        </row>
        <row r="11">
          <cell r="C11">
            <v>44783</v>
          </cell>
          <cell r="E11">
            <v>148.93772717322713</v>
          </cell>
          <cell r="F11">
            <v>273.72214914261644</v>
          </cell>
          <cell r="H11">
            <v>797.65987631584358</v>
          </cell>
        </row>
        <row r="12">
          <cell r="C12">
            <v>44814</v>
          </cell>
          <cell r="E12">
            <v>146.637700781126</v>
          </cell>
          <cell r="F12">
            <v>276.00316705213828</v>
          </cell>
          <cell r="H12">
            <v>797.64086783326434</v>
          </cell>
        </row>
        <row r="13">
          <cell r="C13">
            <v>44844</v>
          </cell>
          <cell r="E13">
            <v>144.31850750242398</v>
          </cell>
          <cell r="F13">
            <v>278.30319344423941</v>
          </cell>
          <cell r="H13">
            <v>797.6217009466634</v>
          </cell>
        </row>
        <row r="14">
          <cell r="C14">
            <v>44875</v>
          </cell>
          <cell r="E14">
            <v>141.97998761306613</v>
          </cell>
          <cell r="F14">
            <v>280.62238672294137</v>
          </cell>
          <cell r="H14">
            <v>797.60237433600753</v>
          </cell>
        </row>
        <row r="15">
          <cell r="C15">
            <v>44905</v>
          </cell>
          <cell r="E15">
            <v>139.62198005796367</v>
          </cell>
          <cell r="F15">
            <v>282.96090661229931</v>
          </cell>
          <cell r="H15">
            <v>797.58288667026295</v>
          </cell>
        </row>
        <row r="16">
          <cell r="C16">
            <v>44936</v>
          </cell>
          <cell r="E16">
            <v>137.24432243990199</v>
          </cell>
          <cell r="F16">
            <v>285.31891416740177</v>
          </cell>
          <cell r="H16">
            <v>797.56323660730379</v>
          </cell>
        </row>
        <row r="17">
          <cell r="C17">
            <v>44967</v>
          </cell>
          <cell r="E17">
            <v>134.84685100835645</v>
          </cell>
          <cell r="F17">
            <v>287.69657178546345</v>
          </cell>
          <cell r="H17">
            <v>797.5434227938199</v>
          </cell>
        </row>
        <row r="18">
          <cell r="C18">
            <v>44995</v>
          </cell>
          <cell r="E18">
            <v>132.42940064821471</v>
          </cell>
          <cell r="F18">
            <v>290.09404321700896</v>
          </cell>
          <cell r="H18">
            <v>797.52344386522373</v>
          </cell>
        </row>
        <row r="19">
          <cell r="C19">
            <v>45026</v>
          </cell>
          <cell r="E19">
            <v>129.99180486840513</v>
          </cell>
          <cell r="F19">
            <v>292.51149357715076</v>
          </cell>
          <cell r="H19">
            <v>797.50329844555586</v>
          </cell>
        </row>
        <row r="20">
          <cell r="C20">
            <v>45056</v>
          </cell>
          <cell r="E20">
            <v>127.53389579043048</v>
          </cell>
          <cell r="F20">
            <v>294.94908935696031</v>
          </cell>
          <cell r="H20">
            <v>797.48298514739076</v>
          </cell>
        </row>
        <row r="21">
          <cell r="C21">
            <v>45087</v>
          </cell>
          <cell r="E21">
            <v>125.05550413680599</v>
          </cell>
          <cell r="F21">
            <v>297.40699843493502</v>
          </cell>
          <cell r="H21">
            <v>797.46250257174097</v>
          </cell>
        </row>
        <row r="22">
          <cell r="C22">
            <v>45117</v>
          </cell>
          <cell r="E22">
            <v>122.55645921940135</v>
          </cell>
          <cell r="F22">
            <v>299.8853900885594</v>
          </cell>
          <cell r="H22">
            <v>797.44184930796075</v>
          </cell>
        </row>
        <row r="23">
          <cell r="C23">
            <v>45148</v>
          </cell>
          <cell r="E23">
            <v>120.03658892768497</v>
          </cell>
          <cell r="F23">
            <v>302.38443500596412</v>
          </cell>
          <cell r="H23">
            <v>797.42102393364917</v>
          </cell>
        </row>
        <row r="24">
          <cell r="C24">
            <v>45179</v>
          </cell>
          <cell r="E24">
            <v>117.49571971687097</v>
          </cell>
          <cell r="F24">
            <v>304.90430529768042</v>
          </cell>
          <cell r="H24">
            <v>797.40002501455137</v>
          </cell>
        </row>
        <row r="25">
          <cell r="C25">
            <v>45209</v>
          </cell>
          <cell r="E25">
            <v>114.93367659596683</v>
          </cell>
          <cell r="F25">
            <v>307.44517450849452</v>
          </cell>
          <cell r="H25">
            <v>797.37885110446132</v>
          </cell>
        </row>
        <row r="26">
          <cell r="C26">
            <v>45240</v>
          </cell>
          <cell r="E26">
            <v>112.35028311572185</v>
          </cell>
          <cell r="F26">
            <v>310.00721762939861</v>
          </cell>
          <cell r="H26">
            <v>797.35750074512043</v>
          </cell>
        </row>
        <row r="27">
          <cell r="C27">
            <v>45270</v>
          </cell>
          <cell r="E27">
            <v>109.74536135647483</v>
          </cell>
          <cell r="F27">
            <v>312.59061110964353</v>
          </cell>
          <cell r="H27">
            <v>797.33597246611839</v>
          </cell>
        </row>
        <row r="28">
          <cell r="C28">
            <v>45301</v>
          </cell>
          <cell r="E28">
            <v>107.11873191590074</v>
          </cell>
          <cell r="F28">
            <v>315.19553286889067</v>
          </cell>
          <cell r="H28">
            <v>797.31426478479148</v>
          </cell>
        </row>
        <row r="29">
          <cell r="C29">
            <v>45332</v>
          </cell>
          <cell r="E29">
            <v>104.4702138966552</v>
          </cell>
          <cell r="F29">
            <v>317.82216230946472</v>
          </cell>
          <cell r="H29">
            <v>797.29237620611991</v>
          </cell>
        </row>
        <row r="30">
          <cell r="C30">
            <v>45361</v>
          </cell>
          <cell r="E30">
            <v>101.79962489391595</v>
          </cell>
          <cell r="F30">
            <v>320.47068032871022</v>
          </cell>
          <cell r="H30">
            <v>797.27030522262612</v>
          </cell>
        </row>
        <row r="31">
          <cell r="C31">
            <v>45392</v>
          </cell>
          <cell r="E31">
            <v>99.106780982820538</v>
          </cell>
          <cell r="F31">
            <v>323.14126933144956</v>
          </cell>
          <cell r="H31">
            <v>797.24805031427013</v>
          </cell>
        </row>
        <row r="32">
          <cell r="C32">
            <v>45422</v>
          </cell>
          <cell r="E32">
            <v>96.391496705799327</v>
          </cell>
          <cell r="F32">
            <v>325.8341132425449</v>
          </cell>
          <cell r="H32">
            <v>797.2256099483443</v>
          </cell>
        </row>
        <row r="33">
          <cell r="C33">
            <v>45453</v>
          </cell>
          <cell r="E33">
            <v>93.65358505980295</v>
          </cell>
          <cell r="F33">
            <v>328.54939751956607</v>
          </cell>
          <cell r="H33">
            <v>797.20298257936906</v>
          </cell>
        </row>
        <row r="34">
          <cell r="C34">
            <v>45483</v>
          </cell>
          <cell r="E34">
            <v>90.892857483423271</v>
          </cell>
          <cell r="F34">
            <v>331.28730916556259</v>
          </cell>
          <cell r="H34">
            <v>797.18016664898585</v>
          </cell>
        </row>
        <row r="35">
          <cell r="C35">
            <v>45514</v>
          </cell>
          <cell r="E35">
            <v>88.109123843907085</v>
          </cell>
          <cell r="F35">
            <v>334.04803674194221</v>
          </cell>
          <cell r="H35">
            <v>797.15716058584928</v>
          </cell>
        </row>
        <row r="36">
          <cell r="C36">
            <v>45545</v>
          </cell>
          <cell r="E36">
            <v>85.302192424061587</v>
          </cell>
          <cell r="F36">
            <v>336.8317703814584</v>
          </cell>
          <cell r="H36">
            <v>797.13396280552001</v>
          </cell>
        </row>
        <row r="37">
          <cell r="C37">
            <v>45575</v>
          </cell>
          <cell r="E37">
            <v>82.47186990905071</v>
          </cell>
          <cell r="F37">
            <v>339.63870180130391</v>
          </cell>
          <cell r="H37">
            <v>797.11057171035463</v>
          </cell>
        </row>
        <row r="38">
          <cell r="C38">
            <v>45606</v>
          </cell>
          <cell r="E38">
            <v>79.617961373081428</v>
          </cell>
          <cell r="F38">
            <v>342.46902431631469</v>
          </cell>
          <cell r="H38">
            <v>797.0869856893961</v>
          </cell>
        </row>
        <row r="39">
          <cell r="C39">
            <v>45636</v>
          </cell>
          <cell r="E39">
            <v>76.740270265979049</v>
          </cell>
          <cell r="F39">
            <v>345.32293285228394</v>
          </cell>
          <cell r="H39">
            <v>797.063203118263</v>
          </cell>
        </row>
        <row r="40">
          <cell r="C40">
            <v>45667</v>
          </cell>
          <cell r="E40">
            <v>73.838598399650834</v>
          </cell>
          <cell r="F40">
            <v>348.20062395938635</v>
          </cell>
          <cell r="H40">
            <v>797.03922235903724</v>
          </cell>
        </row>
        <row r="41">
          <cell r="C41">
            <v>45698</v>
          </cell>
          <cell r="E41">
            <v>70.912745934436543</v>
          </cell>
          <cell r="F41">
            <v>351.10229582571452</v>
          </cell>
          <cell r="H41">
            <v>797.01504176015101</v>
          </cell>
        </row>
        <row r="42">
          <cell r="C42">
            <v>45726</v>
          </cell>
          <cell r="E42">
            <v>67.962511365345478</v>
          </cell>
          <cell r="F42">
            <v>354.02814829092881</v>
          </cell>
          <cell r="H42">
            <v>796.99065965627426</v>
          </cell>
        </row>
        <row r="43">
          <cell r="C43">
            <v>45757</v>
          </cell>
          <cell r="E43">
            <v>64.987691508178642</v>
          </cell>
          <cell r="F43">
            <v>356.97838286001996</v>
          </cell>
          <cell r="H43">
            <v>796.96607436819863</v>
          </cell>
        </row>
        <row r="44">
          <cell r="C44">
            <v>45787</v>
          </cell>
          <cell r="E44">
            <v>61.988081485535417</v>
          </cell>
          <cell r="F44">
            <v>359.95320271718668</v>
          </cell>
          <cell r="H44">
            <v>796.94128420272204</v>
          </cell>
        </row>
        <row r="45">
          <cell r="C45">
            <v>45818</v>
          </cell>
          <cell r="E45">
            <v>58.963474712703501</v>
          </cell>
          <cell r="F45">
            <v>362.95281273982999</v>
          </cell>
          <cell r="H45">
            <v>796.91628745253342</v>
          </cell>
        </row>
        <row r="46">
          <cell r="C46">
            <v>45848</v>
          </cell>
          <cell r="E46">
            <v>55.913662883431321</v>
          </cell>
          <cell r="F46">
            <v>365.97741951266187</v>
          </cell>
          <cell r="H46">
            <v>796.89108239609322</v>
          </cell>
        </row>
        <row r="47">
          <cell r="C47">
            <v>45879</v>
          </cell>
          <cell r="E47">
            <v>52.838435955581872</v>
          </cell>
          <cell r="F47">
            <v>369.02723134193405</v>
          </cell>
          <cell r="H47">
            <v>796.86566729751598</v>
          </cell>
        </row>
        <row r="48">
          <cell r="C48">
            <v>45910</v>
          </cell>
          <cell r="E48">
            <v>49.737582136667008</v>
          </cell>
          <cell r="F48">
            <v>372.10245826978354</v>
          </cell>
          <cell r="H48">
            <v>796.8400404064505</v>
          </cell>
        </row>
        <row r="49">
          <cell r="C49">
            <v>45940</v>
          </cell>
          <cell r="E49">
            <v>46.610887869261191</v>
          </cell>
          <cell r="F49">
            <v>375.20331208869834</v>
          </cell>
          <cell r="H49">
            <v>796.81419995795954</v>
          </cell>
        </row>
        <row r="50">
          <cell r="C50">
            <v>45971</v>
          </cell>
          <cell r="E50">
            <v>43.45813781629365</v>
          </cell>
          <cell r="F50">
            <v>378.33000635610426</v>
          </cell>
          <cell r="H50">
            <v>796.78814417239789</v>
          </cell>
        </row>
        <row r="51">
          <cell r="C51">
            <v>46001</v>
          </cell>
          <cell r="E51">
            <v>40.27911484621805</v>
          </cell>
          <cell r="F51">
            <v>381.48275640907173</v>
          </cell>
          <cell r="H51">
            <v>796.76187125528975</v>
          </cell>
        </row>
        <row r="52">
          <cell r="C52">
            <v>46032</v>
          </cell>
          <cell r="E52">
            <v>37.073600018058492</v>
          </cell>
          <cell r="F52">
            <v>384.66177937914733</v>
          </cell>
          <cell r="H52">
            <v>796.73537939720586</v>
          </cell>
        </row>
        <row r="53">
          <cell r="C53">
            <v>46063</v>
          </cell>
          <cell r="E53">
            <v>33.841372566330932</v>
          </cell>
          <cell r="F53">
            <v>387.86729420730694</v>
          </cell>
          <cell r="H53">
            <v>796.7086667736379</v>
          </cell>
        </row>
        <row r="54">
          <cell r="C54">
            <v>46091</v>
          </cell>
          <cell r="E54">
            <v>30.582209885838974</v>
          </cell>
          <cell r="F54">
            <v>391.09952165903434</v>
          </cell>
          <cell r="H54">
            <v>796.68173154487329</v>
          </cell>
        </row>
        <row r="55">
          <cell r="C55">
            <v>46122</v>
          </cell>
          <cell r="E55">
            <v>27.295887516342923</v>
          </cell>
          <cell r="F55">
            <v>394.35868433952635</v>
          </cell>
          <cell r="H55">
            <v>796.65457185586934</v>
          </cell>
        </row>
        <row r="56">
          <cell r="C56">
            <v>46152</v>
          </cell>
          <cell r="E56">
            <v>23.98217912710107</v>
          </cell>
          <cell r="F56">
            <v>397.64500670902243</v>
          </cell>
          <cell r="H56">
            <v>796.62718583612354</v>
          </cell>
        </row>
        <row r="57">
          <cell r="C57">
            <v>46183</v>
          </cell>
          <cell r="E57">
            <v>20.640856501282201</v>
          </cell>
          <cell r="F57">
            <v>400.95871509826424</v>
          </cell>
          <cell r="H57">
            <v>796.59957159954638</v>
          </cell>
        </row>
        <row r="58">
          <cell r="C58">
            <v>46213</v>
          </cell>
          <cell r="E58">
            <v>17.271689520248174</v>
          </cell>
          <cell r="F58">
            <v>404.30003772408315</v>
          </cell>
          <cell r="H58">
            <v>796.57172724433133</v>
          </cell>
        </row>
        <row r="59">
          <cell r="C59">
            <v>46244</v>
          </cell>
          <cell r="E59">
            <v>13.87444614770553</v>
          </cell>
          <cell r="F59">
            <v>407.66920470511712</v>
          </cell>
          <cell r="H59">
            <v>796.54365085282268</v>
          </cell>
        </row>
        <row r="60">
          <cell r="C60">
            <v>46275</v>
          </cell>
          <cell r="E60">
            <v>10.448892413725032</v>
          </cell>
          <cell r="F60">
            <v>411.06644807765969</v>
          </cell>
          <cell r="H60">
            <v>796.51534049138468</v>
          </cell>
        </row>
        <row r="61">
          <cell r="C61">
            <v>46305</v>
          </cell>
          <cell r="E61">
            <v>6.9947923986280314</v>
          </cell>
          <cell r="F61">
            <v>414.49200181164014</v>
          </cell>
          <cell r="H61">
            <v>796.48679421026816</v>
          </cell>
        </row>
        <row r="62">
          <cell r="C62">
            <v>46336</v>
          </cell>
          <cell r="E62">
            <v>3.5119082167385547</v>
          </cell>
          <cell r="F62">
            <v>417.94610182673722</v>
          </cell>
          <cell r="H62">
            <v>796.45801004347572</v>
          </cell>
        </row>
        <row r="63">
          <cell r="C63">
            <v>46366</v>
          </cell>
          <cell r="E63">
            <v>0</v>
          </cell>
          <cell r="F63">
            <v>421.42898600862651</v>
          </cell>
          <cell r="H63">
            <v>796.42898600862645</v>
          </cell>
        </row>
        <row r="64">
          <cell r="C64" t="str">
            <v/>
          </cell>
          <cell r="E64">
            <v>0</v>
          </cell>
          <cell r="F64" t="str">
            <v/>
          </cell>
          <cell r="H64">
            <v>0</v>
          </cell>
        </row>
        <row r="65">
          <cell r="C65" t="str">
            <v/>
          </cell>
          <cell r="E65">
            <v>0</v>
          </cell>
          <cell r="F65" t="str">
            <v/>
          </cell>
          <cell r="H65">
            <v>0</v>
          </cell>
        </row>
        <row r="66">
          <cell r="C66" t="str">
            <v/>
          </cell>
          <cell r="E66">
            <v>0</v>
          </cell>
          <cell r="F66" t="str">
            <v/>
          </cell>
          <cell r="H66">
            <v>0</v>
          </cell>
        </row>
        <row r="67">
          <cell r="C67" t="str">
            <v/>
          </cell>
          <cell r="E67">
            <v>0</v>
          </cell>
          <cell r="F67" t="str">
            <v/>
          </cell>
          <cell r="H67">
            <v>0</v>
          </cell>
        </row>
        <row r="68">
          <cell r="C68" t="str">
            <v/>
          </cell>
          <cell r="E68">
            <v>0</v>
          </cell>
          <cell r="F68" t="str">
            <v/>
          </cell>
          <cell r="H68">
            <v>0</v>
          </cell>
        </row>
        <row r="69">
          <cell r="C69" t="str">
            <v/>
          </cell>
          <cell r="E69">
            <v>0</v>
          </cell>
          <cell r="F69" t="str">
            <v/>
          </cell>
          <cell r="H69">
            <v>0</v>
          </cell>
        </row>
        <row r="70">
          <cell r="C70" t="str">
            <v/>
          </cell>
          <cell r="E70">
            <v>0</v>
          </cell>
          <cell r="F70" t="str">
            <v/>
          </cell>
          <cell r="H70">
            <v>0</v>
          </cell>
        </row>
        <row r="71">
          <cell r="C71" t="str">
            <v/>
          </cell>
          <cell r="E71">
            <v>0</v>
          </cell>
          <cell r="F71" t="str">
            <v/>
          </cell>
          <cell r="H71">
            <v>0</v>
          </cell>
        </row>
        <row r="72">
          <cell r="C72" t="str">
            <v/>
          </cell>
          <cell r="E72">
            <v>0</v>
          </cell>
          <cell r="F72" t="str">
            <v/>
          </cell>
          <cell r="H72">
            <v>0</v>
          </cell>
        </row>
        <row r="73">
          <cell r="C73" t="str">
            <v/>
          </cell>
          <cell r="E73">
            <v>0</v>
          </cell>
          <cell r="F73" t="str">
            <v/>
          </cell>
          <cell r="H73">
            <v>0</v>
          </cell>
        </row>
        <row r="74">
          <cell r="C74" t="str">
            <v/>
          </cell>
          <cell r="E74">
            <v>0</v>
          </cell>
          <cell r="F74" t="str">
            <v/>
          </cell>
          <cell r="H74">
            <v>0</v>
          </cell>
        </row>
        <row r="75">
          <cell r="C75" t="str">
            <v/>
          </cell>
          <cell r="E75">
            <v>0</v>
          </cell>
          <cell r="F75" t="str">
            <v/>
          </cell>
          <cell r="H75">
            <v>0</v>
          </cell>
        </row>
        <row r="76">
          <cell r="C76" t="str">
            <v/>
          </cell>
          <cell r="E76">
            <v>0</v>
          </cell>
          <cell r="F76" t="str">
            <v/>
          </cell>
          <cell r="H76">
            <v>0</v>
          </cell>
        </row>
        <row r="77">
          <cell r="C77" t="str">
            <v/>
          </cell>
          <cell r="E77">
            <v>0</v>
          </cell>
          <cell r="F77" t="str">
            <v/>
          </cell>
          <cell r="H77">
            <v>0</v>
          </cell>
        </row>
        <row r="78">
          <cell r="C78" t="str">
            <v/>
          </cell>
          <cell r="E78">
            <v>0</v>
          </cell>
          <cell r="F78" t="str">
            <v/>
          </cell>
          <cell r="H78">
            <v>0</v>
          </cell>
        </row>
        <row r="79">
          <cell r="C79" t="str">
            <v/>
          </cell>
          <cell r="E79">
            <v>0</v>
          </cell>
          <cell r="F79" t="str">
            <v/>
          </cell>
          <cell r="H79">
            <v>0</v>
          </cell>
        </row>
        <row r="80">
          <cell r="C80" t="str">
            <v/>
          </cell>
          <cell r="E80">
            <v>0</v>
          </cell>
          <cell r="F80" t="str">
            <v/>
          </cell>
          <cell r="H80">
            <v>0</v>
          </cell>
        </row>
        <row r="81">
          <cell r="C81" t="str">
            <v/>
          </cell>
          <cell r="E81">
            <v>0</v>
          </cell>
          <cell r="F81" t="str">
            <v/>
          </cell>
          <cell r="H81">
            <v>0</v>
          </cell>
        </row>
        <row r="82">
          <cell r="C82" t="str">
            <v/>
          </cell>
          <cell r="E82">
            <v>0</v>
          </cell>
          <cell r="F82" t="str">
            <v/>
          </cell>
          <cell r="H82">
            <v>0</v>
          </cell>
        </row>
        <row r="83">
          <cell r="C83" t="str">
            <v/>
          </cell>
          <cell r="E83">
            <v>0</v>
          </cell>
          <cell r="F83" t="str">
            <v/>
          </cell>
          <cell r="H83">
            <v>0</v>
          </cell>
        </row>
        <row r="84">
          <cell r="C84" t="str">
            <v/>
          </cell>
          <cell r="E84">
            <v>0</v>
          </cell>
          <cell r="F84" t="str">
            <v/>
          </cell>
          <cell r="H84">
            <v>0</v>
          </cell>
        </row>
        <row r="85">
          <cell r="C85" t="str">
            <v/>
          </cell>
          <cell r="E85">
            <v>0</v>
          </cell>
          <cell r="F85" t="str">
            <v/>
          </cell>
          <cell r="H85">
            <v>0</v>
          </cell>
        </row>
        <row r="86">
          <cell r="C86" t="str">
            <v/>
          </cell>
          <cell r="E86">
            <v>0</v>
          </cell>
          <cell r="F86" t="str">
            <v/>
          </cell>
          <cell r="H86">
            <v>0</v>
          </cell>
        </row>
        <row r="87">
          <cell r="C87" t="str">
            <v/>
          </cell>
          <cell r="E87">
            <v>0</v>
          </cell>
          <cell r="F87" t="str">
            <v/>
          </cell>
          <cell r="H87">
            <v>0</v>
          </cell>
        </row>
        <row r="88">
          <cell r="C88" t="str">
            <v/>
          </cell>
          <cell r="E88">
            <v>0</v>
          </cell>
          <cell r="F88" t="str">
            <v/>
          </cell>
          <cell r="H88">
            <v>0</v>
          </cell>
        </row>
        <row r="89">
          <cell r="C89" t="str">
            <v/>
          </cell>
          <cell r="E89">
            <v>0</v>
          </cell>
          <cell r="F89" t="str">
            <v/>
          </cell>
          <cell r="H89">
            <v>0</v>
          </cell>
        </row>
        <row r="90">
          <cell r="C90" t="str">
            <v/>
          </cell>
          <cell r="E90">
            <v>0</v>
          </cell>
          <cell r="F90" t="str">
            <v/>
          </cell>
          <cell r="H90">
            <v>0</v>
          </cell>
        </row>
        <row r="91">
          <cell r="C91" t="str">
            <v/>
          </cell>
          <cell r="E91">
            <v>0</v>
          </cell>
          <cell r="F91" t="str">
            <v/>
          </cell>
          <cell r="H91">
            <v>0</v>
          </cell>
        </row>
        <row r="92">
          <cell r="C92" t="str">
            <v/>
          </cell>
          <cell r="E92">
            <v>0</v>
          </cell>
          <cell r="F92" t="str">
            <v/>
          </cell>
          <cell r="H92">
            <v>0</v>
          </cell>
        </row>
        <row r="93">
          <cell r="C93" t="str">
            <v/>
          </cell>
          <cell r="E93">
            <v>0</v>
          </cell>
          <cell r="F93" t="str">
            <v/>
          </cell>
          <cell r="H93">
            <v>0</v>
          </cell>
        </row>
        <row r="94">
          <cell r="C94" t="str">
            <v/>
          </cell>
          <cell r="E94">
            <v>0</v>
          </cell>
          <cell r="F94" t="str">
            <v/>
          </cell>
          <cell r="H94">
            <v>0</v>
          </cell>
        </row>
        <row r="95">
          <cell r="C95" t="str">
            <v/>
          </cell>
          <cell r="E95">
            <v>0</v>
          </cell>
          <cell r="F95" t="str">
            <v/>
          </cell>
          <cell r="H95">
            <v>0</v>
          </cell>
        </row>
        <row r="96">
          <cell r="C96" t="str">
            <v/>
          </cell>
          <cell r="E96">
            <v>0</v>
          </cell>
          <cell r="F96" t="str">
            <v/>
          </cell>
          <cell r="H96">
            <v>0</v>
          </cell>
        </row>
        <row r="97">
          <cell r="C97" t="str">
            <v/>
          </cell>
          <cell r="E97">
            <v>0</v>
          </cell>
          <cell r="F97" t="str">
            <v/>
          </cell>
          <cell r="H97">
            <v>0</v>
          </cell>
        </row>
        <row r="98">
          <cell r="C98" t="str">
            <v/>
          </cell>
          <cell r="E98">
            <v>0</v>
          </cell>
          <cell r="F98" t="str">
            <v/>
          </cell>
          <cell r="H98">
            <v>0</v>
          </cell>
        </row>
        <row r="99">
          <cell r="C99" t="str">
            <v/>
          </cell>
          <cell r="E99">
            <v>0</v>
          </cell>
          <cell r="F99" t="str">
            <v/>
          </cell>
          <cell r="H99">
            <v>0</v>
          </cell>
        </row>
        <row r="100">
          <cell r="C100" t="str">
            <v/>
          </cell>
          <cell r="E100">
            <v>0</v>
          </cell>
          <cell r="F100" t="str">
            <v/>
          </cell>
          <cell r="H100">
            <v>0</v>
          </cell>
        </row>
        <row r="101">
          <cell r="C101" t="str">
            <v/>
          </cell>
          <cell r="E101">
            <v>0</v>
          </cell>
          <cell r="F101" t="str">
            <v/>
          </cell>
          <cell r="H101">
            <v>0</v>
          </cell>
        </row>
        <row r="102">
          <cell r="C102" t="str">
            <v/>
          </cell>
          <cell r="E102">
            <v>0</v>
          </cell>
          <cell r="F102" t="str">
            <v/>
          </cell>
          <cell r="H102">
            <v>0</v>
          </cell>
        </row>
        <row r="103">
          <cell r="C103" t="str">
            <v/>
          </cell>
          <cell r="E103">
            <v>0</v>
          </cell>
          <cell r="F103" t="str">
            <v/>
          </cell>
          <cell r="H103">
            <v>0</v>
          </cell>
        </row>
        <row r="104">
          <cell r="C104" t="str">
            <v/>
          </cell>
          <cell r="E104">
            <v>0</v>
          </cell>
          <cell r="F104" t="str">
            <v/>
          </cell>
          <cell r="H104">
            <v>0</v>
          </cell>
        </row>
        <row r="105">
          <cell r="C105" t="str">
            <v/>
          </cell>
          <cell r="E105">
            <v>0</v>
          </cell>
          <cell r="F105" t="str">
            <v/>
          </cell>
          <cell r="H105">
            <v>0</v>
          </cell>
        </row>
        <row r="106">
          <cell r="C106" t="str">
            <v/>
          </cell>
          <cell r="E106">
            <v>0</v>
          </cell>
          <cell r="F106" t="str">
            <v/>
          </cell>
          <cell r="H106">
            <v>0</v>
          </cell>
        </row>
        <row r="107">
          <cell r="C107" t="str">
            <v/>
          </cell>
          <cell r="E107">
            <v>0</v>
          </cell>
          <cell r="F107" t="str">
            <v/>
          </cell>
          <cell r="H107">
            <v>0</v>
          </cell>
        </row>
        <row r="108">
          <cell r="C108" t="str">
            <v/>
          </cell>
          <cell r="E108">
            <v>0</v>
          </cell>
          <cell r="F108" t="str">
            <v/>
          </cell>
          <cell r="H108">
            <v>0</v>
          </cell>
        </row>
        <row r="109">
          <cell r="C109" t="str">
            <v/>
          </cell>
          <cell r="E109">
            <v>0</v>
          </cell>
          <cell r="F109" t="str">
            <v/>
          </cell>
          <cell r="H109">
            <v>0</v>
          </cell>
        </row>
        <row r="110">
          <cell r="C110" t="str">
            <v/>
          </cell>
          <cell r="E110">
            <v>0</v>
          </cell>
          <cell r="F110" t="str">
            <v/>
          </cell>
          <cell r="H110">
            <v>0</v>
          </cell>
        </row>
        <row r="111">
          <cell r="C111" t="str">
            <v/>
          </cell>
          <cell r="E111">
            <v>0</v>
          </cell>
          <cell r="F111" t="str">
            <v/>
          </cell>
          <cell r="H111">
            <v>0</v>
          </cell>
        </row>
        <row r="112">
          <cell r="C112" t="str">
            <v/>
          </cell>
          <cell r="E112">
            <v>0</v>
          </cell>
          <cell r="F112" t="str">
            <v/>
          </cell>
          <cell r="H112">
            <v>0</v>
          </cell>
        </row>
        <row r="113">
          <cell r="C113" t="str">
            <v/>
          </cell>
          <cell r="E113">
            <v>0</v>
          </cell>
          <cell r="F113" t="str">
            <v/>
          </cell>
          <cell r="H113">
            <v>0</v>
          </cell>
        </row>
        <row r="114">
          <cell r="C114" t="str">
            <v/>
          </cell>
          <cell r="E114">
            <v>0</v>
          </cell>
          <cell r="F114" t="str">
            <v/>
          </cell>
          <cell r="H114">
            <v>0</v>
          </cell>
        </row>
        <row r="115">
          <cell r="C115" t="str">
            <v/>
          </cell>
          <cell r="E115">
            <v>0</v>
          </cell>
          <cell r="F115" t="str">
            <v/>
          </cell>
          <cell r="H115">
            <v>0</v>
          </cell>
        </row>
        <row r="116">
          <cell r="C116" t="str">
            <v/>
          </cell>
          <cell r="E116">
            <v>0</v>
          </cell>
          <cell r="F116" t="str">
            <v/>
          </cell>
          <cell r="H116">
            <v>0</v>
          </cell>
        </row>
        <row r="117">
          <cell r="C117" t="str">
            <v/>
          </cell>
          <cell r="E117">
            <v>0</v>
          </cell>
          <cell r="F117" t="str">
            <v/>
          </cell>
          <cell r="H117">
            <v>0</v>
          </cell>
        </row>
        <row r="118">
          <cell r="C118" t="str">
            <v/>
          </cell>
          <cell r="E118">
            <v>0</v>
          </cell>
          <cell r="F118" t="str">
            <v/>
          </cell>
          <cell r="H118">
            <v>0</v>
          </cell>
        </row>
        <row r="119">
          <cell r="C119" t="str">
            <v/>
          </cell>
          <cell r="E119">
            <v>0</v>
          </cell>
          <cell r="F119" t="str">
            <v/>
          </cell>
          <cell r="H119">
            <v>0</v>
          </cell>
        </row>
        <row r="120">
          <cell r="C120" t="str">
            <v/>
          </cell>
          <cell r="E120">
            <v>0</v>
          </cell>
          <cell r="F120" t="str">
            <v/>
          </cell>
          <cell r="H120">
            <v>0</v>
          </cell>
        </row>
        <row r="121">
          <cell r="C121" t="str">
            <v/>
          </cell>
          <cell r="E121">
            <v>0</v>
          </cell>
          <cell r="F121" t="str">
            <v/>
          </cell>
          <cell r="H121">
            <v>0</v>
          </cell>
        </row>
        <row r="122">
          <cell r="C122" t="str">
            <v/>
          </cell>
          <cell r="E122">
            <v>0</v>
          </cell>
          <cell r="F122" t="str">
            <v/>
          </cell>
          <cell r="H122">
            <v>0</v>
          </cell>
        </row>
        <row r="123">
          <cell r="C123" t="str">
            <v/>
          </cell>
          <cell r="E123">
            <v>0</v>
          </cell>
          <cell r="F123" t="str">
            <v/>
          </cell>
          <cell r="H123">
            <v>0</v>
          </cell>
        </row>
        <row r="124">
          <cell r="C124" t="str">
            <v/>
          </cell>
          <cell r="E124">
            <v>0</v>
          </cell>
          <cell r="F124" t="str">
            <v/>
          </cell>
          <cell r="H124">
            <v>0</v>
          </cell>
        </row>
        <row r="125">
          <cell r="C125" t="str">
            <v/>
          </cell>
          <cell r="E125">
            <v>0</v>
          </cell>
          <cell r="F125" t="str">
            <v/>
          </cell>
          <cell r="H125">
            <v>0</v>
          </cell>
        </row>
        <row r="126">
          <cell r="C126" t="str">
            <v/>
          </cell>
          <cell r="E126">
            <v>0</v>
          </cell>
          <cell r="F126" t="str">
            <v/>
          </cell>
          <cell r="H126">
            <v>0</v>
          </cell>
        </row>
        <row r="127">
          <cell r="C127" t="str">
            <v/>
          </cell>
          <cell r="E127">
            <v>0</v>
          </cell>
          <cell r="F127" t="str">
            <v/>
          </cell>
          <cell r="H127">
            <v>0</v>
          </cell>
        </row>
        <row r="128">
          <cell r="C128" t="str">
            <v/>
          </cell>
          <cell r="E128">
            <v>0</v>
          </cell>
          <cell r="F128" t="str">
            <v/>
          </cell>
          <cell r="H128">
            <v>0</v>
          </cell>
        </row>
        <row r="129">
          <cell r="C129" t="str">
            <v/>
          </cell>
          <cell r="E129">
            <v>0</v>
          </cell>
          <cell r="F129" t="str">
            <v/>
          </cell>
          <cell r="H129">
            <v>0</v>
          </cell>
        </row>
        <row r="130">
          <cell r="C130" t="str">
            <v/>
          </cell>
          <cell r="E130">
            <v>0</v>
          </cell>
          <cell r="F130" t="str">
            <v/>
          </cell>
          <cell r="H130">
            <v>0</v>
          </cell>
        </row>
        <row r="131">
          <cell r="C131" t="str">
            <v/>
          </cell>
          <cell r="E131">
            <v>0</v>
          </cell>
          <cell r="F131" t="str">
            <v/>
          </cell>
          <cell r="H131">
            <v>0</v>
          </cell>
        </row>
        <row r="132">
          <cell r="C132" t="str">
            <v/>
          </cell>
          <cell r="E132">
            <v>0</v>
          </cell>
          <cell r="F132" t="str">
            <v/>
          </cell>
          <cell r="H132">
            <v>0</v>
          </cell>
        </row>
        <row r="133">
          <cell r="C133" t="str">
            <v/>
          </cell>
          <cell r="E133">
            <v>0</v>
          </cell>
          <cell r="F133" t="str">
            <v/>
          </cell>
          <cell r="H133">
            <v>0</v>
          </cell>
        </row>
        <row r="134">
          <cell r="C134" t="str">
            <v/>
          </cell>
          <cell r="E134">
            <v>0</v>
          </cell>
          <cell r="F134" t="str">
            <v/>
          </cell>
          <cell r="H134">
            <v>0</v>
          </cell>
        </row>
        <row r="135">
          <cell r="C135" t="str">
            <v/>
          </cell>
          <cell r="E135">
            <v>0</v>
          </cell>
          <cell r="F135" t="str">
            <v/>
          </cell>
          <cell r="H135">
            <v>0</v>
          </cell>
        </row>
        <row r="136">
          <cell r="C136" t="str">
            <v/>
          </cell>
          <cell r="E136">
            <v>0</v>
          </cell>
          <cell r="F136" t="str">
            <v/>
          </cell>
          <cell r="H136">
            <v>0</v>
          </cell>
        </row>
        <row r="137">
          <cell r="C137" t="str">
            <v/>
          </cell>
          <cell r="E137">
            <v>0</v>
          </cell>
          <cell r="F137" t="str">
            <v/>
          </cell>
          <cell r="H137">
            <v>0</v>
          </cell>
        </row>
        <row r="138">
          <cell r="C138" t="str">
            <v/>
          </cell>
          <cell r="E138">
            <v>0</v>
          </cell>
          <cell r="F138" t="str">
            <v/>
          </cell>
          <cell r="H138">
            <v>0</v>
          </cell>
        </row>
        <row r="139">
          <cell r="C139" t="str">
            <v/>
          </cell>
          <cell r="E139">
            <v>0</v>
          </cell>
          <cell r="F139" t="str">
            <v/>
          </cell>
          <cell r="H139">
            <v>0</v>
          </cell>
        </row>
        <row r="140">
          <cell r="C140" t="str">
            <v/>
          </cell>
          <cell r="E140">
            <v>0</v>
          </cell>
          <cell r="F140" t="str">
            <v/>
          </cell>
          <cell r="H140">
            <v>0</v>
          </cell>
        </row>
        <row r="141">
          <cell r="C141" t="str">
            <v/>
          </cell>
          <cell r="E141">
            <v>0</v>
          </cell>
          <cell r="F141" t="str">
            <v/>
          </cell>
          <cell r="H141">
            <v>0</v>
          </cell>
        </row>
        <row r="142">
          <cell r="C142" t="str">
            <v/>
          </cell>
          <cell r="E142">
            <v>0</v>
          </cell>
          <cell r="F142" t="str">
            <v/>
          </cell>
          <cell r="H142">
            <v>0</v>
          </cell>
        </row>
        <row r="143">
          <cell r="C143" t="str">
            <v/>
          </cell>
          <cell r="E143">
            <v>0</v>
          </cell>
          <cell r="F143" t="str">
            <v/>
          </cell>
          <cell r="H143">
            <v>0</v>
          </cell>
        </row>
        <row r="144">
          <cell r="C144" t="str">
            <v/>
          </cell>
          <cell r="E144">
            <v>0</v>
          </cell>
          <cell r="F144" t="str">
            <v/>
          </cell>
          <cell r="H144">
            <v>0</v>
          </cell>
        </row>
        <row r="145">
          <cell r="C145" t="str">
            <v/>
          </cell>
          <cell r="E145">
            <v>0</v>
          </cell>
          <cell r="F145" t="str">
            <v/>
          </cell>
          <cell r="H145">
            <v>0</v>
          </cell>
        </row>
        <row r="146">
          <cell r="C146" t="str">
            <v/>
          </cell>
          <cell r="E146">
            <v>0</v>
          </cell>
          <cell r="F146" t="str">
            <v/>
          </cell>
          <cell r="H146">
            <v>0</v>
          </cell>
        </row>
        <row r="147">
          <cell r="C147" t="str">
            <v/>
          </cell>
          <cell r="E147">
            <v>0</v>
          </cell>
          <cell r="F147" t="str">
            <v/>
          </cell>
          <cell r="H147">
            <v>0</v>
          </cell>
        </row>
        <row r="148">
          <cell r="C148" t="str">
            <v/>
          </cell>
          <cell r="E148">
            <v>0</v>
          </cell>
          <cell r="F148" t="str">
            <v/>
          </cell>
          <cell r="H148">
            <v>0</v>
          </cell>
        </row>
        <row r="149">
          <cell r="C149" t="str">
            <v/>
          </cell>
          <cell r="E149">
            <v>0</v>
          </cell>
          <cell r="F149" t="str">
            <v/>
          </cell>
          <cell r="H149">
            <v>0</v>
          </cell>
        </row>
        <row r="150">
          <cell r="C150" t="str">
            <v/>
          </cell>
          <cell r="E150">
            <v>0</v>
          </cell>
          <cell r="F150" t="str">
            <v/>
          </cell>
          <cell r="H150">
            <v>0</v>
          </cell>
        </row>
        <row r="151">
          <cell r="C151" t="str">
            <v/>
          </cell>
          <cell r="E151">
            <v>0</v>
          </cell>
          <cell r="F151" t="str">
            <v/>
          </cell>
          <cell r="H151">
            <v>0</v>
          </cell>
        </row>
        <row r="152">
          <cell r="C152" t="str">
            <v/>
          </cell>
          <cell r="E152">
            <v>0</v>
          </cell>
          <cell r="F152" t="str">
            <v/>
          </cell>
          <cell r="H152">
            <v>0</v>
          </cell>
        </row>
        <row r="153">
          <cell r="C153" t="str">
            <v/>
          </cell>
          <cell r="E153">
            <v>0</v>
          </cell>
          <cell r="F153" t="str">
            <v/>
          </cell>
          <cell r="H153">
            <v>0</v>
          </cell>
        </row>
        <row r="154">
          <cell r="C154" t="str">
            <v/>
          </cell>
          <cell r="E154">
            <v>0</v>
          </cell>
          <cell r="F154" t="str">
            <v/>
          </cell>
          <cell r="H154">
            <v>0</v>
          </cell>
        </row>
        <row r="155">
          <cell r="C155" t="str">
            <v/>
          </cell>
          <cell r="E155">
            <v>0</v>
          </cell>
          <cell r="F155" t="str">
            <v/>
          </cell>
          <cell r="H155">
            <v>0</v>
          </cell>
        </row>
        <row r="156">
          <cell r="C156" t="str">
            <v/>
          </cell>
          <cell r="E156">
            <v>0</v>
          </cell>
          <cell r="F156" t="str">
            <v/>
          </cell>
          <cell r="H156">
            <v>0</v>
          </cell>
        </row>
        <row r="157">
          <cell r="C157" t="str">
            <v/>
          </cell>
          <cell r="E157">
            <v>0</v>
          </cell>
          <cell r="F157" t="str">
            <v/>
          </cell>
          <cell r="H157">
            <v>0</v>
          </cell>
        </row>
        <row r="158">
          <cell r="C158" t="str">
            <v/>
          </cell>
          <cell r="E158">
            <v>0</v>
          </cell>
          <cell r="F158" t="str">
            <v/>
          </cell>
          <cell r="H158">
            <v>0</v>
          </cell>
        </row>
        <row r="159">
          <cell r="C159" t="str">
            <v/>
          </cell>
          <cell r="E159">
            <v>0</v>
          </cell>
          <cell r="F159" t="str">
            <v/>
          </cell>
          <cell r="H159">
            <v>0</v>
          </cell>
        </row>
        <row r="160">
          <cell r="C160" t="str">
            <v/>
          </cell>
          <cell r="E160">
            <v>0</v>
          </cell>
          <cell r="F160" t="str">
            <v/>
          </cell>
          <cell r="H160">
            <v>0</v>
          </cell>
        </row>
        <row r="161">
          <cell r="C161" t="str">
            <v/>
          </cell>
          <cell r="E161">
            <v>0</v>
          </cell>
          <cell r="F161" t="str">
            <v/>
          </cell>
          <cell r="H161">
            <v>0</v>
          </cell>
        </row>
        <row r="162">
          <cell r="C162" t="str">
            <v/>
          </cell>
          <cell r="E162">
            <v>0</v>
          </cell>
          <cell r="F162" t="str">
            <v/>
          </cell>
          <cell r="H162">
            <v>0</v>
          </cell>
        </row>
        <row r="163">
          <cell r="C163" t="str">
            <v/>
          </cell>
          <cell r="E163">
            <v>0</v>
          </cell>
          <cell r="F163" t="str">
            <v/>
          </cell>
          <cell r="H163">
            <v>0</v>
          </cell>
        </row>
        <row r="164">
          <cell r="C164" t="str">
            <v/>
          </cell>
          <cell r="E164">
            <v>0</v>
          </cell>
          <cell r="F164" t="str">
            <v/>
          </cell>
          <cell r="H164">
            <v>0</v>
          </cell>
        </row>
        <row r="165">
          <cell r="C165" t="str">
            <v/>
          </cell>
          <cell r="E165">
            <v>0</v>
          </cell>
          <cell r="F165" t="str">
            <v/>
          </cell>
          <cell r="H165">
            <v>0</v>
          </cell>
        </row>
        <row r="166">
          <cell r="C166" t="str">
            <v/>
          </cell>
          <cell r="E166">
            <v>0</v>
          </cell>
          <cell r="F166" t="str">
            <v/>
          </cell>
          <cell r="H166">
            <v>0</v>
          </cell>
        </row>
        <row r="167">
          <cell r="C167" t="str">
            <v/>
          </cell>
          <cell r="E167">
            <v>0</v>
          </cell>
          <cell r="F167" t="str">
            <v/>
          </cell>
          <cell r="H167">
            <v>0</v>
          </cell>
        </row>
        <row r="168">
          <cell r="C168" t="str">
            <v/>
          </cell>
          <cell r="E168">
            <v>0</v>
          </cell>
          <cell r="F168" t="str">
            <v/>
          </cell>
          <cell r="H168">
            <v>0</v>
          </cell>
        </row>
        <row r="169">
          <cell r="C169" t="str">
            <v/>
          </cell>
          <cell r="E169">
            <v>0</v>
          </cell>
          <cell r="F169" t="str">
            <v/>
          </cell>
          <cell r="H169">
            <v>0</v>
          </cell>
        </row>
        <row r="170">
          <cell r="C170" t="str">
            <v/>
          </cell>
          <cell r="E170">
            <v>0</v>
          </cell>
          <cell r="F170" t="str">
            <v/>
          </cell>
          <cell r="H170">
            <v>0</v>
          </cell>
        </row>
        <row r="171">
          <cell r="C171" t="str">
            <v/>
          </cell>
          <cell r="E171">
            <v>0</v>
          </cell>
          <cell r="F171" t="str">
            <v/>
          </cell>
          <cell r="H171">
            <v>0</v>
          </cell>
        </row>
        <row r="172">
          <cell r="C172" t="str">
            <v/>
          </cell>
          <cell r="E172">
            <v>0</v>
          </cell>
          <cell r="F172" t="str">
            <v/>
          </cell>
          <cell r="H172">
            <v>0</v>
          </cell>
        </row>
        <row r="173">
          <cell r="C173" t="str">
            <v/>
          </cell>
          <cell r="E173">
            <v>0</v>
          </cell>
          <cell r="F173" t="str">
            <v/>
          </cell>
          <cell r="H173">
            <v>0</v>
          </cell>
        </row>
        <row r="174">
          <cell r="C174" t="str">
            <v/>
          </cell>
          <cell r="E174">
            <v>0</v>
          </cell>
          <cell r="F174" t="str">
            <v/>
          </cell>
          <cell r="H174">
            <v>0</v>
          </cell>
        </row>
        <row r="175">
          <cell r="C175" t="str">
            <v/>
          </cell>
          <cell r="E175">
            <v>0</v>
          </cell>
          <cell r="F175" t="str">
            <v/>
          </cell>
          <cell r="H175">
            <v>0</v>
          </cell>
        </row>
        <row r="176">
          <cell r="C176" t="str">
            <v/>
          </cell>
          <cell r="E176">
            <v>0</v>
          </cell>
          <cell r="F176" t="str">
            <v/>
          </cell>
          <cell r="H176">
            <v>0</v>
          </cell>
        </row>
        <row r="177">
          <cell r="C177" t="str">
            <v/>
          </cell>
          <cell r="E177">
            <v>0</v>
          </cell>
          <cell r="F177" t="str">
            <v/>
          </cell>
          <cell r="H177">
            <v>0</v>
          </cell>
        </row>
        <row r="178">
          <cell r="C178" t="str">
            <v/>
          </cell>
          <cell r="E178">
            <v>0</v>
          </cell>
          <cell r="F178" t="str">
            <v/>
          </cell>
          <cell r="H178">
            <v>0</v>
          </cell>
        </row>
        <row r="179">
          <cell r="C179" t="str">
            <v/>
          </cell>
          <cell r="E179">
            <v>0</v>
          </cell>
          <cell r="F179" t="str">
            <v/>
          </cell>
          <cell r="H179">
            <v>0</v>
          </cell>
        </row>
        <row r="180">
          <cell r="C180" t="str">
            <v/>
          </cell>
          <cell r="E180">
            <v>0</v>
          </cell>
          <cell r="F180" t="str">
            <v/>
          </cell>
          <cell r="H180">
            <v>0</v>
          </cell>
        </row>
        <row r="181">
          <cell r="C181" t="str">
            <v/>
          </cell>
          <cell r="E181">
            <v>0</v>
          </cell>
          <cell r="F181" t="str">
            <v/>
          </cell>
          <cell r="H181">
            <v>0</v>
          </cell>
        </row>
        <row r="182">
          <cell r="C182" t="str">
            <v/>
          </cell>
          <cell r="E182">
            <v>0</v>
          </cell>
          <cell r="F182" t="str">
            <v/>
          </cell>
          <cell r="H182">
            <v>0</v>
          </cell>
        </row>
        <row r="183">
          <cell r="C183" t="str">
            <v/>
          </cell>
          <cell r="E183">
            <v>0</v>
          </cell>
          <cell r="F183" t="str">
            <v/>
          </cell>
          <cell r="H183">
            <v>0</v>
          </cell>
        </row>
        <row r="184">
          <cell r="C184" t="str">
            <v/>
          </cell>
          <cell r="E184">
            <v>0</v>
          </cell>
          <cell r="F184" t="str">
            <v/>
          </cell>
          <cell r="H184">
            <v>0</v>
          </cell>
        </row>
        <row r="185">
          <cell r="C185" t="str">
            <v/>
          </cell>
          <cell r="E185">
            <v>0</v>
          </cell>
          <cell r="F185" t="str">
            <v/>
          </cell>
          <cell r="H185">
            <v>0</v>
          </cell>
        </row>
        <row r="186">
          <cell r="C186" t="str">
            <v/>
          </cell>
          <cell r="E186">
            <v>0</v>
          </cell>
          <cell r="F186" t="str">
            <v/>
          </cell>
          <cell r="H186">
            <v>0</v>
          </cell>
        </row>
        <row r="187">
          <cell r="C187" t="str">
            <v/>
          </cell>
          <cell r="E187">
            <v>0</v>
          </cell>
          <cell r="F187" t="str">
            <v/>
          </cell>
          <cell r="H187">
            <v>0</v>
          </cell>
        </row>
        <row r="188">
          <cell r="C188" t="str">
            <v/>
          </cell>
          <cell r="E188">
            <v>0</v>
          </cell>
          <cell r="F188" t="str">
            <v/>
          </cell>
          <cell r="H188">
            <v>0</v>
          </cell>
        </row>
        <row r="189">
          <cell r="C189" t="str">
            <v/>
          </cell>
          <cell r="E189">
            <v>0</v>
          </cell>
          <cell r="F189" t="str">
            <v/>
          </cell>
          <cell r="H189">
            <v>0</v>
          </cell>
        </row>
        <row r="190">
          <cell r="C190" t="str">
            <v/>
          </cell>
          <cell r="E190">
            <v>0</v>
          </cell>
          <cell r="F190" t="str">
            <v/>
          </cell>
          <cell r="H190">
            <v>0</v>
          </cell>
        </row>
        <row r="191">
          <cell r="C191" t="str">
            <v/>
          </cell>
          <cell r="E191">
            <v>0</v>
          </cell>
          <cell r="F191" t="str">
            <v/>
          </cell>
          <cell r="H191">
            <v>0</v>
          </cell>
        </row>
        <row r="192">
          <cell r="C192" t="str">
            <v/>
          </cell>
          <cell r="E192">
            <v>0</v>
          </cell>
          <cell r="F192" t="str">
            <v/>
          </cell>
          <cell r="H192">
            <v>0</v>
          </cell>
        </row>
        <row r="193">
          <cell r="C193" t="str">
            <v/>
          </cell>
          <cell r="E193">
            <v>0</v>
          </cell>
          <cell r="F193" t="str">
            <v/>
          </cell>
          <cell r="H193">
            <v>0</v>
          </cell>
        </row>
        <row r="194">
          <cell r="C194" t="str">
            <v/>
          </cell>
          <cell r="E194">
            <v>0</v>
          </cell>
          <cell r="F194" t="str">
            <v/>
          </cell>
          <cell r="H194">
            <v>0</v>
          </cell>
        </row>
        <row r="195">
          <cell r="C195" t="str">
            <v/>
          </cell>
          <cell r="E195">
            <v>0</v>
          </cell>
          <cell r="F195" t="str">
            <v/>
          </cell>
          <cell r="H195">
            <v>0</v>
          </cell>
        </row>
        <row r="196">
          <cell r="C196" t="str">
            <v/>
          </cell>
          <cell r="E196">
            <v>0</v>
          </cell>
          <cell r="F196" t="str">
            <v/>
          </cell>
          <cell r="H196">
            <v>0</v>
          </cell>
        </row>
        <row r="197">
          <cell r="C197" t="str">
            <v/>
          </cell>
          <cell r="E197">
            <v>0</v>
          </cell>
          <cell r="F197" t="str">
            <v/>
          </cell>
          <cell r="H197">
            <v>0</v>
          </cell>
        </row>
        <row r="198">
          <cell r="C198" t="str">
            <v/>
          </cell>
          <cell r="E198">
            <v>0</v>
          </cell>
          <cell r="F198" t="str">
            <v/>
          </cell>
          <cell r="H198">
            <v>0</v>
          </cell>
        </row>
        <row r="199">
          <cell r="C199" t="str">
            <v/>
          </cell>
          <cell r="E199">
            <v>0</v>
          </cell>
          <cell r="F199" t="str">
            <v/>
          </cell>
          <cell r="H199">
            <v>0</v>
          </cell>
        </row>
        <row r="200">
          <cell r="C200" t="str">
            <v/>
          </cell>
          <cell r="E200">
            <v>0</v>
          </cell>
          <cell r="F200" t="str">
            <v/>
          </cell>
          <cell r="H200">
            <v>0</v>
          </cell>
        </row>
        <row r="201">
          <cell r="C201" t="str">
            <v/>
          </cell>
          <cell r="E201">
            <v>0</v>
          </cell>
          <cell r="F201" t="str">
            <v/>
          </cell>
          <cell r="H201">
            <v>0</v>
          </cell>
        </row>
        <row r="202">
          <cell r="C202" t="str">
            <v/>
          </cell>
          <cell r="E202">
            <v>0</v>
          </cell>
          <cell r="F202" t="str">
            <v/>
          </cell>
          <cell r="H202">
            <v>0</v>
          </cell>
        </row>
        <row r="203">
          <cell r="C203" t="str">
            <v/>
          </cell>
          <cell r="E203">
            <v>0</v>
          </cell>
          <cell r="F203" t="str">
            <v/>
          </cell>
          <cell r="H203">
            <v>0</v>
          </cell>
        </row>
        <row r="204">
          <cell r="C204" t="str">
            <v/>
          </cell>
          <cell r="E204">
            <v>0</v>
          </cell>
          <cell r="F204" t="str">
            <v/>
          </cell>
          <cell r="H204">
            <v>0</v>
          </cell>
        </row>
        <row r="205">
          <cell r="C205" t="str">
            <v/>
          </cell>
          <cell r="E205">
            <v>0</v>
          </cell>
          <cell r="F205" t="str">
            <v/>
          </cell>
          <cell r="H205">
            <v>0</v>
          </cell>
        </row>
        <row r="206">
          <cell r="C206" t="str">
            <v/>
          </cell>
          <cell r="E206">
            <v>0</v>
          </cell>
          <cell r="F206" t="str">
            <v/>
          </cell>
          <cell r="H206">
            <v>0</v>
          </cell>
        </row>
        <row r="207">
          <cell r="C207" t="str">
            <v/>
          </cell>
          <cell r="E207">
            <v>0</v>
          </cell>
          <cell r="F207" t="str">
            <v/>
          </cell>
          <cell r="H207">
            <v>0</v>
          </cell>
        </row>
        <row r="208">
          <cell r="C208" t="str">
            <v/>
          </cell>
          <cell r="E208">
            <v>0</v>
          </cell>
          <cell r="F208" t="str">
            <v/>
          </cell>
          <cell r="H208">
            <v>0</v>
          </cell>
        </row>
        <row r="209">
          <cell r="C209" t="str">
            <v/>
          </cell>
          <cell r="E209">
            <v>0</v>
          </cell>
          <cell r="F209" t="str">
            <v/>
          </cell>
          <cell r="H209">
            <v>0</v>
          </cell>
        </row>
        <row r="210">
          <cell r="C210" t="str">
            <v/>
          </cell>
          <cell r="E210">
            <v>0</v>
          </cell>
          <cell r="F210" t="str">
            <v/>
          </cell>
          <cell r="H210">
            <v>0</v>
          </cell>
        </row>
        <row r="211">
          <cell r="C211" t="str">
            <v/>
          </cell>
          <cell r="E211">
            <v>0</v>
          </cell>
          <cell r="F211" t="str">
            <v/>
          </cell>
          <cell r="H211">
            <v>0</v>
          </cell>
        </row>
        <row r="212">
          <cell r="C212" t="str">
            <v/>
          </cell>
          <cell r="E212">
            <v>0</v>
          </cell>
          <cell r="F212" t="str">
            <v/>
          </cell>
          <cell r="H212">
            <v>0</v>
          </cell>
        </row>
        <row r="213">
          <cell r="C213" t="str">
            <v/>
          </cell>
          <cell r="E213">
            <v>0</v>
          </cell>
          <cell r="F213" t="str">
            <v/>
          </cell>
          <cell r="H213">
            <v>0</v>
          </cell>
        </row>
        <row r="214">
          <cell r="C214" t="str">
            <v/>
          </cell>
          <cell r="E214">
            <v>0</v>
          </cell>
          <cell r="F214" t="str">
            <v/>
          </cell>
          <cell r="H214">
            <v>0</v>
          </cell>
        </row>
        <row r="215">
          <cell r="C215" t="str">
            <v/>
          </cell>
          <cell r="E215">
            <v>0</v>
          </cell>
          <cell r="F215" t="str">
            <v/>
          </cell>
          <cell r="H215">
            <v>0</v>
          </cell>
        </row>
        <row r="216">
          <cell r="C216" t="str">
            <v/>
          </cell>
          <cell r="E216">
            <v>0</v>
          </cell>
          <cell r="F216" t="str">
            <v/>
          </cell>
          <cell r="H216">
            <v>0</v>
          </cell>
        </row>
        <row r="217">
          <cell r="C217" t="str">
            <v/>
          </cell>
          <cell r="E217">
            <v>0</v>
          </cell>
          <cell r="F217" t="str">
            <v/>
          </cell>
          <cell r="H217">
            <v>0</v>
          </cell>
        </row>
        <row r="218">
          <cell r="C218" t="str">
            <v/>
          </cell>
          <cell r="E218">
            <v>0</v>
          </cell>
          <cell r="F218" t="str">
            <v/>
          </cell>
          <cell r="H218">
            <v>0</v>
          </cell>
        </row>
        <row r="219">
          <cell r="C219" t="str">
            <v/>
          </cell>
          <cell r="E219">
            <v>0</v>
          </cell>
          <cell r="F219" t="str">
            <v/>
          </cell>
          <cell r="H219">
            <v>0</v>
          </cell>
        </row>
        <row r="220">
          <cell r="C220" t="str">
            <v/>
          </cell>
          <cell r="E220">
            <v>0</v>
          </cell>
          <cell r="F220" t="str">
            <v/>
          </cell>
          <cell r="H220">
            <v>0</v>
          </cell>
        </row>
        <row r="221">
          <cell r="C221" t="str">
            <v/>
          </cell>
          <cell r="E221">
            <v>0</v>
          </cell>
          <cell r="F221" t="str">
            <v/>
          </cell>
          <cell r="H221">
            <v>0</v>
          </cell>
        </row>
        <row r="222">
          <cell r="C222" t="str">
            <v/>
          </cell>
          <cell r="E222">
            <v>0</v>
          </cell>
          <cell r="F222" t="str">
            <v/>
          </cell>
          <cell r="H222">
            <v>0</v>
          </cell>
        </row>
        <row r="223">
          <cell r="C223" t="str">
            <v/>
          </cell>
          <cell r="E223">
            <v>0</v>
          </cell>
          <cell r="F223" t="str">
            <v/>
          </cell>
          <cell r="H223">
            <v>0</v>
          </cell>
        </row>
        <row r="224">
          <cell r="C224" t="str">
            <v/>
          </cell>
          <cell r="E224">
            <v>0</v>
          </cell>
          <cell r="F224" t="str">
            <v/>
          </cell>
          <cell r="H224">
            <v>0</v>
          </cell>
        </row>
        <row r="225">
          <cell r="C225" t="str">
            <v/>
          </cell>
          <cell r="E225">
            <v>0</v>
          </cell>
          <cell r="F225" t="str">
            <v/>
          </cell>
          <cell r="H225">
            <v>0</v>
          </cell>
        </row>
        <row r="226">
          <cell r="C226" t="str">
            <v/>
          </cell>
          <cell r="E226">
            <v>0</v>
          </cell>
          <cell r="F226" t="str">
            <v/>
          </cell>
          <cell r="H226">
            <v>0</v>
          </cell>
        </row>
        <row r="227">
          <cell r="C227" t="str">
            <v/>
          </cell>
          <cell r="E227">
            <v>0</v>
          </cell>
          <cell r="F227" t="str">
            <v/>
          </cell>
          <cell r="H227">
            <v>0</v>
          </cell>
        </row>
        <row r="228">
          <cell r="C228" t="str">
            <v/>
          </cell>
          <cell r="E228">
            <v>0</v>
          </cell>
          <cell r="F228" t="str">
            <v/>
          </cell>
          <cell r="H228">
            <v>0</v>
          </cell>
        </row>
        <row r="229">
          <cell r="C229" t="str">
            <v/>
          </cell>
          <cell r="E229">
            <v>0</v>
          </cell>
          <cell r="F229" t="str">
            <v/>
          </cell>
          <cell r="H229">
            <v>0</v>
          </cell>
        </row>
        <row r="230">
          <cell r="C230" t="str">
            <v/>
          </cell>
          <cell r="E230">
            <v>0</v>
          </cell>
          <cell r="F230" t="str">
            <v/>
          </cell>
          <cell r="H230">
            <v>0</v>
          </cell>
        </row>
        <row r="231">
          <cell r="C231" t="str">
            <v/>
          </cell>
          <cell r="E231">
            <v>0</v>
          </cell>
          <cell r="F231" t="str">
            <v/>
          </cell>
          <cell r="H231">
            <v>0</v>
          </cell>
        </row>
        <row r="232">
          <cell r="C232" t="str">
            <v/>
          </cell>
          <cell r="E232">
            <v>0</v>
          </cell>
          <cell r="F232" t="str">
            <v/>
          </cell>
          <cell r="H232">
            <v>0</v>
          </cell>
        </row>
        <row r="233">
          <cell r="C233" t="str">
            <v/>
          </cell>
          <cell r="E233">
            <v>0</v>
          </cell>
          <cell r="F233" t="str">
            <v/>
          </cell>
          <cell r="H233">
            <v>0</v>
          </cell>
        </row>
        <row r="234">
          <cell r="C234" t="str">
            <v/>
          </cell>
          <cell r="E234">
            <v>0</v>
          </cell>
          <cell r="F234" t="str">
            <v/>
          </cell>
          <cell r="H234">
            <v>0</v>
          </cell>
        </row>
        <row r="235">
          <cell r="C235" t="str">
            <v/>
          </cell>
          <cell r="E235">
            <v>0</v>
          </cell>
          <cell r="F235" t="str">
            <v/>
          </cell>
          <cell r="H235">
            <v>0</v>
          </cell>
        </row>
        <row r="236">
          <cell r="C236" t="str">
            <v/>
          </cell>
          <cell r="E236">
            <v>0</v>
          </cell>
          <cell r="F236" t="str">
            <v/>
          </cell>
          <cell r="H236">
            <v>0</v>
          </cell>
        </row>
        <row r="237">
          <cell r="C237" t="str">
            <v/>
          </cell>
          <cell r="E237">
            <v>0</v>
          </cell>
          <cell r="F237" t="str">
            <v/>
          </cell>
          <cell r="H237">
            <v>0</v>
          </cell>
        </row>
        <row r="238">
          <cell r="C238" t="str">
            <v/>
          </cell>
          <cell r="E238">
            <v>0</v>
          </cell>
          <cell r="F238" t="str">
            <v/>
          </cell>
          <cell r="H238">
            <v>0</v>
          </cell>
        </row>
        <row r="239">
          <cell r="C239" t="str">
            <v/>
          </cell>
          <cell r="E239">
            <v>0</v>
          </cell>
          <cell r="F239" t="str">
            <v/>
          </cell>
          <cell r="H239">
            <v>0</v>
          </cell>
        </row>
        <row r="240">
          <cell r="C240" t="str">
            <v/>
          </cell>
          <cell r="E240">
            <v>0</v>
          </cell>
          <cell r="F240" t="str">
            <v/>
          </cell>
          <cell r="H240">
            <v>0</v>
          </cell>
        </row>
        <row r="241">
          <cell r="C241" t="str">
            <v/>
          </cell>
          <cell r="E241">
            <v>0</v>
          </cell>
          <cell r="F241" t="str">
            <v/>
          </cell>
          <cell r="H241">
            <v>0</v>
          </cell>
        </row>
        <row r="242">
          <cell r="C242" t="str">
            <v/>
          </cell>
          <cell r="E242">
            <v>0</v>
          </cell>
          <cell r="F242" t="str">
            <v/>
          </cell>
          <cell r="H242">
            <v>0</v>
          </cell>
        </row>
        <row r="243">
          <cell r="C243" t="str">
            <v/>
          </cell>
          <cell r="E243">
            <v>0</v>
          </cell>
          <cell r="F243" t="str">
            <v/>
          </cell>
          <cell r="H243">
            <v>0</v>
          </cell>
        </row>
        <row r="244">
          <cell r="C244" t="str">
            <v/>
          </cell>
          <cell r="E244">
            <v>0</v>
          </cell>
          <cell r="F244" t="str">
            <v/>
          </cell>
          <cell r="H244">
            <v>0</v>
          </cell>
        </row>
        <row r="245">
          <cell r="C245" t="str">
            <v/>
          </cell>
          <cell r="E245">
            <v>0</v>
          </cell>
          <cell r="F245" t="str">
            <v/>
          </cell>
          <cell r="H245">
            <v>0</v>
          </cell>
        </row>
        <row r="246">
          <cell r="C246" t="str">
            <v/>
          </cell>
          <cell r="E246">
            <v>0</v>
          </cell>
          <cell r="F246" t="str">
            <v/>
          </cell>
          <cell r="H246">
            <v>0</v>
          </cell>
        </row>
        <row r="247">
          <cell r="C247" t="str">
            <v/>
          </cell>
          <cell r="E247">
            <v>0</v>
          </cell>
          <cell r="F247" t="str">
            <v/>
          </cell>
          <cell r="H247">
            <v>0</v>
          </cell>
        </row>
        <row r="248">
          <cell r="C248" t="str">
            <v/>
          </cell>
          <cell r="E248">
            <v>0</v>
          </cell>
          <cell r="F248" t="str">
            <v/>
          </cell>
          <cell r="H248">
            <v>0</v>
          </cell>
        </row>
        <row r="249">
          <cell r="C249" t="str">
            <v/>
          </cell>
          <cell r="E249">
            <v>0</v>
          </cell>
          <cell r="F249" t="str">
            <v/>
          </cell>
          <cell r="H249">
            <v>0</v>
          </cell>
        </row>
        <row r="250">
          <cell r="C250" t="str">
            <v/>
          </cell>
          <cell r="E250">
            <v>0</v>
          </cell>
          <cell r="F250" t="str">
            <v/>
          </cell>
          <cell r="H250">
            <v>0</v>
          </cell>
        </row>
        <row r="251">
          <cell r="C251" t="str">
            <v/>
          </cell>
          <cell r="E251">
            <v>0</v>
          </cell>
          <cell r="F251" t="str">
            <v/>
          </cell>
          <cell r="H251">
            <v>0</v>
          </cell>
        </row>
        <row r="252">
          <cell r="C252" t="str">
            <v/>
          </cell>
          <cell r="E252">
            <v>0</v>
          </cell>
          <cell r="F252" t="str">
            <v/>
          </cell>
          <cell r="H252">
            <v>0</v>
          </cell>
        </row>
        <row r="253">
          <cell r="C253" t="str">
            <v/>
          </cell>
          <cell r="E253">
            <v>0</v>
          </cell>
          <cell r="F253" t="str">
            <v/>
          </cell>
          <cell r="H253">
            <v>0</v>
          </cell>
        </row>
        <row r="254">
          <cell r="C254" t="str">
            <v/>
          </cell>
          <cell r="E254">
            <v>0</v>
          </cell>
          <cell r="F254" t="str">
            <v/>
          </cell>
          <cell r="H254">
            <v>0</v>
          </cell>
        </row>
        <row r="255">
          <cell r="C255" t="str">
            <v/>
          </cell>
          <cell r="E255">
            <v>0</v>
          </cell>
          <cell r="F255" t="str">
            <v/>
          </cell>
          <cell r="H255">
            <v>0</v>
          </cell>
        </row>
        <row r="256">
          <cell r="C256" t="str">
            <v/>
          </cell>
          <cell r="E256">
            <v>0</v>
          </cell>
          <cell r="F256" t="str">
            <v/>
          </cell>
          <cell r="H256">
            <v>0</v>
          </cell>
        </row>
        <row r="257">
          <cell r="C257" t="str">
            <v/>
          </cell>
          <cell r="E257">
            <v>0</v>
          </cell>
          <cell r="F257" t="str">
            <v/>
          </cell>
          <cell r="H257">
            <v>0</v>
          </cell>
        </row>
        <row r="258">
          <cell r="C258" t="str">
            <v/>
          </cell>
          <cell r="E258">
            <v>0</v>
          </cell>
          <cell r="F258" t="str">
            <v/>
          </cell>
          <cell r="H258">
            <v>0</v>
          </cell>
        </row>
        <row r="259">
          <cell r="C259" t="str">
            <v/>
          </cell>
          <cell r="E259">
            <v>0</v>
          </cell>
          <cell r="F259" t="str">
            <v/>
          </cell>
          <cell r="H259">
            <v>0</v>
          </cell>
        </row>
        <row r="260">
          <cell r="C260" t="str">
            <v/>
          </cell>
          <cell r="E260">
            <v>0</v>
          </cell>
          <cell r="F260" t="str">
            <v/>
          </cell>
          <cell r="H260">
            <v>0</v>
          </cell>
        </row>
        <row r="261">
          <cell r="C261" t="str">
            <v/>
          </cell>
          <cell r="E261">
            <v>0</v>
          </cell>
          <cell r="F261" t="str">
            <v/>
          </cell>
          <cell r="H261">
            <v>0</v>
          </cell>
        </row>
        <row r="262">
          <cell r="C262" t="str">
            <v/>
          </cell>
          <cell r="E262">
            <v>0</v>
          </cell>
          <cell r="F262" t="str">
            <v/>
          </cell>
          <cell r="H262">
            <v>0</v>
          </cell>
        </row>
        <row r="263">
          <cell r="C263" t="str">
            <v/>
          </cell>
          <cell r="E263">
            <v>0</v>
          </cell>
          <cell r="F263" t="str">
            <v/>
          </cell>
          <cell r="H263">
            <v>0</v>
          </cell>
        </row>
        <row r="264">
          <cell r="C264" t="str">
            <v/>
          </cell>
          <cell r="E264">
            <v>0</v>
          </cell>
          <cell r="F264" t="str">
            <v/>
          </cell>
          <cell r="H264">
            <v>0</v>
          </cell>
        </row>
        <row r="265">
          <cell r="C265" t="str">
            <v/>
          </cell>
          <cell r="E265">
            <v>0</v>
          </cell>
          <cell r="F265" t="str">
            <v/>
          </cell>
          <cell r="H265">
            <v>0</v>
          </cell>
        </row>
        <row r="266">
          <cell r="C266" t="str">
            <v/>
          </cell>
          <cell r="E266">
            <v>0</v>
          </cell>
          <cell r="F266" t="str">
            <v/>
          </cell>
          <cell r="H266">
            <v>0</v>
          </cell>
        </row>
        <row r="267">
          <cell r="C267" t="str">
            <v/>
          </cell>
          <cell r="E267">
            <v>0</v>
          </cell>
          <cell r="F267" t="str">
            <v/>
          </cell>
          <cell r="H267">
            <v>0</v>
          </cell>
        </row>
        <row r="268">
          <cell r="C268" t="str">
            <v/>
          </cell>
          <cell r="E268">
            <v>0</v>
          </cell>
          <cell r="F268" t="str">
            <v/>
          </cell>
          <cell r="H268">
            <v>0</v>
          </cell>
        </row>
        <row r="269">
          <cell r="C269" t="str">
            <v/>
          </cell>
          <cell r="E269">
            <v>0</v>
          </cell>
          <cell r="F269" t="str">
            <v/>
          </cell>
          <cell r="H269">
            <v>0</v>
          </cell>
        </row>
        <row r="270">
          <cell r="C270" t="str">
            <v/>
          </cell>
          <cell r="E270">
            <v>0</v>
          </cell>
          <cell r="F270" t="str">
            <v/>
          </cell>
          <cell r="H270">
            <v>0</v>
          </cell>
        </row>
        <row r="271">
          <cell r="C271" t="str">
            <v/>
          </cell>
          <cell r="E271">
            <v>0</v>
          </cell>
          <cell r="F271" t="str">
            <v/>
          </cell>
          <cell r="H271">
            <v>0</v>
          </cell>
        </row>
        <row r="272">
          <cell r="C272" t="str">
            <v/>
          </cell>
          <cell r="E272">
            <v>0</v>
          </cell>
          <cell r="F272" t="str">
            <v/>
          </cell>
          <cell r="H272">
            <v>0</v>
          </cell>
        </row>
        <row r="273">
          <cell r="C273" t="str">
            <v/>
          </cell>
          <cell r="E273">
            <v>0</v>
          </cell>
          <cell r="F273" t="str">
            <v/>
          </cell>
          <cell r="H273">
            <v>0</v>
          </cell>
        </row>
        <row r="274">
          <cell r="C274" t="str">
            <v/>
          </cell>
          <cell r="E274">
            <v>0</v>
          </cell>
          <cell r="F274" t="str">
            <v/>
          </cell>
          <cell r="H274">
            <v>0</v>
          </cell>
        </row>
        <row r="275">
          <cell r="C275" t="str">
            <v/>
          </cell>
          <cell r="E275">
            <v>0</v>
          </cell>
          <cell r="F275" t="str">
            <v/>
          </cell>
          <cell r="H275">
            <v>0</v>
          </cell>
        </row>
        <row r="276">
          <cell r="C276" t="str">
            <v/>
          </cell>
          <cell r="E276">
            <v>0</v>
          </cell>
          <cell r="F276" t="str">
            <v/>
          </cell>
          <cell r="H276">
            <v>0</v>
          </cell>
        </row>
        <row r="277">
          <cell r="C277" t="str">
            <v/>
          </cell>
          <cell r="E277">
            <v>0</v>
          </cell>
          <cell r="F277" t="str">
            <v/>
          </cell>
          <cell r="H277">
            <v>0</v>
          </cell>
        </row>
        <row r="278">
          <cell r="C278" t="str">
            <v/>
          </cell>
          <cell r="E278">
            <v>0</v>
          </cell>
          <cell r="F278" t="str">
            <v/>
          </cell>
          <cell r="H278">
            <v>0</v>
          </cell>
        </row>
        <row r="279">
          <cell r="C279" t="str">
            <v/>
          </cell>
          <cell r="E279">
            <v>0</v>
          </cell>
          <cell r="F279" t="str">
            <v/>
          </cell>
          <cell r="H279">
            <v>0</v>
          </cell>
        </row>
        <row r="280">
          <cell r="C280" t="str">
            <v/>
          </cell>
          <cell r="E280">
            <v>0</v>
          </cell>
          <cell r="F280" t="str">
            <v/>
          </cell>
          <cell r="H280">
            <v>0</v>
          </cell>
        </row>
        <row r="281">
          <cell r="C281" t="str">
            <v/>
          </cell>
          <cell r="E281">
            <v>0</v>
          </cell>
          <cell r="F281" t="str">
            <v/>
          </cell>
          <cell r="H281">
            <v>0</v>
          </cell>
        </row>
        <row r="282">
          <cell r="C282" t="str">
            <v/>
          </cell>
          <cell r="E282">
            <v>0</v>
          </cell>
          <cell r="F282" t="str">
            <v/>
          </cell>
          <cell r="H282">
            <v>0</v>
          </cell>
        </row>
        <row r="283">
          <cell r="C283" t="str">
            <v/>
          </cell>
          <cell r="E283">
            <v>0</v>
          </cell>
          <cell r="F283" t="str">
            <v/>
          </cell>
          <cell r="H283">
            <v>0</v>
          </cell>
        </row>
        <row r="284">
          <cell r="C284" t="str">
            <v/>
          </cell>
          <cell r="E284">
            <v>0</v>
          </cell>
          <cell r="F284" t="str">
            <v/>
          </cell>
          <cell r="H284">
            <v>0</v>
          </cell>
        </row>
        <row r="285">
          <cell r="C285" t="str">
            <v/>
          </cell>
          <cell r="E285">
            <v>0</v>
          </cell>
          <cell r="F285" t="str">
            <v/>
          </cell>
          <cell r="H285">
            <v>0</v>
          </cell>
        </row>
        <row r="286">
          <cell r="C286" t="str">
            <v/>
          </cell>
          <cell r="E286">
            <v>0</v>
          </cell>
          <cell r="F286" t="str">
            <v/>
          </cell>
          <cell r="H286">
            <v>0</v>
          </cell>
        </row>
        <row r="287">
          <cell r="C287" t="str">
            <v/>
          </cell>
          <cell r="E287">
            <v>0</v>
          </cell>
          <cell r="F287" t="str">
            <v/>
          </cell>
          <cell r="H287">
            <v>0</v>
          </cell>
        </row>
        <row r="288">
          <cell r="C288" t="str">
            <v/>
          </cell>
          <cell r="E288">
            <v>0</v>
          </cell>
          <cell r="F288" t="str">
            <v/>
          </cell>
          <cell r="H288">
            <v>0</v>
          </cell>
        </row>
        <row r="289">
          <cell r="C289" t="str">
            <v/>
          </cell>
          <cell r="E289">
            <v>0</v>
          </cell>
          <cell r="F289" t="str">
            <v/>
          </cell>
          <cell r="H289">
            <v>0</v>
          </cell>
        </row>
        <row r="290">
          <cell r="C290" t="str">
            <v/>
          </cell>
          <cell r="E290">
            <v>0</v>
          </cell>
          <cell r="F290" t="str">
            <v/>
          </cell>
          <cell r="H290">
            <v>0</v>
          </cell>
        </row>
        <row r="291">
          <cell r="C291" t="str">
            <v/>
          </cell>
          <cell r="E291">
            <v>0</v>
          </cell>
          <cell r="F291" t="str">
            <v/>
          </cell>
          <cell r="H291">
            <v>0</v>
          </cell>
        </row>
        <row r="292">
          <cell r="C292" t="str">
            <v/>
          </cell>
          <cell r="E292">
            <v>0</v>
          </cell>
          <cell r="F292" t="str">
            <v/>
          </cell>
          <cell r="H292">
            <v>0</v>
          </cell>
        </row>
        <row r="293">
          <cell r="C293" t="str">
            <v/>
          </cell>
          <cell r="E293">
            <v>0</v>
          </cell>
          <cell r="F293" t="str">
            <v/>
          </cell>
          <cell r="H293">
            <v>0</v>
          </cell>
        </row>
        <row r="294">
          <cell r="C294" t="str">
            <v/>
          </cell>
          <cell r="E294">
            <v>0</v>
          </cell>
          <cell r="F294" t="str">
            <v/>
          </cell>
          <cell r="H294">
            <v>0</v>
          </cell>
        </row>
        <row r="295">
          <cell r="C295" t="str">
            <v/>
          </cell>
          <cell r="E295">
            <v>0</v>
          </cell>
          <cell r="F295" t="str">
            <v/>
          </cell>
          <cell r="H295">
            <v>0</v>
          </cell>
        </row>
        <row r="296">
          <cell r="C296" t="str">
            <v/>
          </cell>
          <cell r="E296">
            <v>0</v>
          </cell>
          <cell r="F296" t="str">
            <v/>
          </cell>
          <cell r="H296">
            <v>0</v>
          </cell>
        </row>
        <row r="297">
          <cell r="C297" t="str">
            <v/>
          </cell>
          <cell r="E297">
            <v>0</v>
          </cell>
          <cell r="F297" t="str">
            <v/>
          </cell>
          <cell r="H297">
            <v>0</v>
          </cell>
        </row>
        <row r="298">
          <cell r="C298" t="str">
            <v/>
          </cell>
          <cell r="E298">
            <v>0</v>
          </cell>
          <cell r="F298" t="str">
            <v/>
          </cell>
          <cell r="H298">
            <v>0</v>
          </cell>
        </row>
        <row r="299">
          <cell r="C299" t="str">
            <v/>
          </cell>
          <cell r="E299">
            <v>0</v>
          </cell>
          <cell r="F299" t="str">
            <v/>
          </cell>
          <cell r="H299">
            <v>0</v>
          </cell>
        </row>
        <row r="300">
          <cell r="C300" t="str">
            <v/>
          </cell>
          <cell r="E300">
            <v>0</v>
          </cell>
          <cell r="F300" t="str">
            <v/>
          </cell>
          <cell r="H300">
            <v>0</v>
          </cell>
        </row>
        <row r="301">
          <cell r="C301" t="str">
            <v/>
          </cell>
          <cell r="E301">
            <v>0</v>
          </cell>
          <cell r="F301" t="str">
            <v/>
          </cell>
          <cell r="H301">
            <v>0</v>
          </cell>
        </row>
        <row r="302">
          <cell r="C302" t="str">
            <v/>
          </cell>
          <cell r="E302">
            <v>0</v>
          </cell>
          <cell r="F302" t="str">
            <v/>
          </cell>
          <cell r="H302">
            <v>0</v>
          </cell>
        </row>
        <row r="303">
          <cell r="C303" t="str">
            <v/>
          </cell>
          <cell r="E303">
            <v>0</v>
          </cell>
          <cell r="F303" t="str">
            <v/>
          </cell>
          <cell r="H303">
            <v>0</v>
          </cell>
        </row>
        <row r="304">
          <cell r="C304" t="str">
            <v/>
          </cell>
          <cell r="E304">
            <v>0</v>
          </cell>
          <cell r="F304" t="str">
            <v/>
          </cell>
          <cell r="H304">
            <v>0</v>
          </cell>
        </row>
        <row r="305">
          <cell r="C305" t="str">
            <v/>
          </cell>
          <cell r="E305">
            <v>0</v>
          </cell>
          <cell r="F305" t="str">
            <v/>
          </cell>
          <cell r="H305">
            <v>0</v>
          </cell>
        </row>
        <row r="306">
          <cell r="C306" t="str">
            <v/>
          </cell>
          <cell r="E306">
            <v>0</v>
          </cell>
          <cell r="F306" t="str">
            <v/>
          </cell>
          <cell r="H306">
            <v>0</v>
          </cell>
        </row>
        <row r="307">
          <cell r="C307" t="str">
            <v/>
          </cell>
          <cell r="E307">
            <v>0</v>
          </cell>
          <cell r="F307" t="str">
            <v/>
          </cell>
          <cell r="H307">
            <v>0</v>
          </cell>
        </row>
        <row r="308">
          <cell r="C308" t="str">
            <v/>
          </cell>
          <cell r="E308">
            <v>0</v>
          </cell>
          <cell r="F308" t="str">
            <v/>
          </cell>
          <cell r="H308">
            <v>0</v>
          </cell>
        </row>
        <row r="309">
          <cell r="C309" t="str">
            <v/>
          </cell>
          <cell r="E309">
            <v>0</v>
          </cell>
          <cell r="F309" t="str">
            <v/>
          </cell>
          <cell r="H309">
            <v>0</v>
          </cell>
        </row>
        <row r="310">
          <cell r="C310" t="str">
            <v/>
          </cell>
          <cell r="E310">
            <v>0</v>
          </cell>
          <cell r="F310" t="str">
            <v/>
          </cell>
          <cell r="H310">
            <v>0</v>
          </cell>
        </row>
        <row r="311">
          <cell r="C311" t="str">
            <v/>
          </cell>
          <cell r="E311">
            <v>0</v>
          </cell>
          <cell r="F311" t="str">
            <v/>
          </cell>
          <cell r="H311">
            <v>0</v>
          </cell>
        </row>
        <row r="312">
          <cell r="C312" t="str">
            <v/>
          </cell>
          <cell r="E312">
            <v>0</v>
          </cell>
          <cell r="F312" t="str">
            <v/>
          </cell>
          <cell r="H312">
            <v>0</v>
          </cell>
        </row>
        <row r="313">
          <cell r="C313" t="str">
            <v/>
          </cell>
          <cell r="E313">
            <v>0</v>
          </cell>
          <cell r="F313" t="str">
            <v/>
          </cell>
          <cell r="H313">
            <v>0</v>
          </cell>
        </row>
        <row r="314">
          <cell r="C314" t="str">
            <v/>
          </cell>
          <cell r="E314">
            <v>0</v>
          </cell>
          <cell r="F314" t="str">
            <v/>
          </cell>
          <cell r="H314">
            <v>0</v>
          </cell>
        </row>
        <row r="315">
          <cell r="C315" t="str">
            <v/>
          </cell>
          <cell r="E315">
            <v>0</v>
          </cell>
          <cell r="F315" t="str">
            <v/>
          </cell>
          <cell r="H315">
            <v>0</v>
          </cell>
        </row>
        <row r="316">
          <cell r="C316" t="str">
            <v/>
          </cell>
          <cell r="E316">
            <v>0</v>
          </cell>
          <cell r="F316" t="str">
            <v/>
          </cell>
          <cell r="H316">
            <v>0</v>
          </cell>
        </row>
        <row r="317">
          <cell r="C317" t="str">
            <v/>
          </cell>
          <cell r="E317">
            <v>0</v>
          </cell>
          <cell r="F317" t="str">
            <v/>
          </cell>
          <cell r="H317">
            <v>0</v>
          </cell>
        </row>
        <row r="318">
          <cell r="C318" t="str">
            <v/>
          </cell>
          <cell r="E318">
            <v>0</v>
          </cell>
          <cell r="F318" t="str">
            <v/>
          </cell>
          <cell r="H318">
            <v>0</v>
          </cell>
        </row>
        <row r="319">
          <cell r="C319" t="str">
            <v/>
          </cell>
          <cell r="E319">
            <v>0</v>
          </cell>
          <cell r="F319" t="str">
            <v/>
          </cell>
          <cell r="H319">
            <v>0</v>
          </cell>
        </row>
        <row r="320">
          <cell r="C320" t="str">
            <v/>
          </cell>
          <cell r="E320">
            <v>0</v>
          </cell>
          <cell r="F320" t="str">
            <v/>
          </cell>
          <cell r="H320">
            <v>0</v>
          </cell>
        </row>
        <row r="321">
          <cell r="C321" t="str">
            <v/>
          </cell>
          <cell r="E321">
            <v>0</v>
          </cell>
          <cell r="F321" t="str">
            <v/>
          </cell>
          <cell r="H321">
            <v>0</v>
          </cell>
        </row>
        <row r="322">
          <cell r="C322" t="str">
            <v/>
          </cell>
          <cell r="E322">
            <v>0</v>
          </cell>
          <cell r="F322" t="str">
            <v/>
          </cell>
          <cell r="H322">
            <v>0</v>
          </cell>
        </row>
        <row r="323">
          <cell r="C323" t="str">
            <v/>
          </cell>
          <cell r="E323">
            <v>0</v>
          </cell>
          <cell r="F323" t="str">
            <v/>
          </cell>
          <cell r="H323">
            <v>0</v>
          </cell>
        </row>
        <row r="324">
          <cell r="C324" t="str">
            <v/>
          </cell>
          <cell r="E324">
            <v>0</v>
          </cell>
          <cell r="F324" t="str">
            <v/>
          </cell>
          <cell r="H324">
            <v>0</v>
          </cell>
        </row>
        <row r="325">
          <cell r="C325" t="str">
            <v/>
          </cell>
          <cell r="E325">
            <v>0</v>
          </cell>
          <cell r="F325" t="str">
            <v/>
          </cell>
          <cell r="H325">
            <v>0</v>
          </cell>
        </row>
        <row r="326">
          <cell r="C326" t="str">
            <v/>
          </cell>
          <cell r="E326">
            <v>0</v>
          </cell>
          <cell r="F326" t="str">
            <v/>
          </cell>
          <cell r="H326">
            <v>0</v>
          </cell>
        </row>
        <row r="327">
          <cell r="C327" t="str">
            <v/>
          </cell>
          <cell r="E327">
            <v>0</v>
          </cell>
          <cell r="F327" t="str">
            <v/>
          </cell>
          <cell r="H327">
            <v>0</v>
          </cell>
        </row>
        <row r="328">
          <cell r="C328" t="str">
            <v/>
          </cell>
          <cell r="E328">
            <v>0</v>
          </cell>
          <cell r="F328" t="str">
            <v/>
          </cell>
          <cell r="H328">
            <v>0</v>
          </cell>
        </row>
        <row r="329">
          <cell r="C329" t="str">
            <v/>
          </cell>
          <cell r="E329">
            <v>0</v>
          </cell>
          <cell r="F329" t="str">
            <v/>
          </cell>
          <cell r="H329">
            <v>0</v>
          </cell>
        </row>
        <row r="330">
          <cell r="C330" t="str">
            <v/>
          </cell>
          <cell r="E330">
            <v>0</v>
          </cell>
          <cell r="F330" t="str">
            <v/>
          </cell>
          <cell r="H330">
            <v>0</v>
          </cell>
        </row>
        <row r="331">
          <cell r="C331" t="str">
            <v/>
          </cell>
          <cell r="E331">
            <v>0</v>
          </cell>
          <cell r="F331" t="str">
            <v/>
          </cell>
          <cell r="H331">
            <v>0</v>
          </cell>
        </row>
        <row r="332">
          <cell r="C332" t="str">
            <v/>
          </cell>
          <cell r="E332">
            <v>0</v>
          </cell>
          <cell r="F332" t="str">
            <v/>
          </cell>
          <cell r="H332">
            <v>0</v>
          </cell>
        </row>
        <row r="333">
          <cell r="C333" t="str">
            <v/>
          </cell>
          <cell r="E333">
            <v>0</v>
          </cell>
          <cell r="F333" t="str">
            <v/>
          </cell>
          <cell r="H333">
            <v>0</v>
          </cell>
        </row>
        <row r="334">
          <cell r="C334" t="str">
            <v/>
          </cell>
          <cell r="E334">
            <v>0</v>
          </cell>
          <cell r="F334" t="str">
            <v/>
          </cell>
          <cell r="H334">
            <v>0</v>
          </cell>
        </row>
        <row r="335">
          <cell r="C335" t="str">
            <v/>
          </cell>
          <cell r="E335">
            <v>0</v>
          </cell>
          <cell r="F335" t="str">
            <v/>
          </cell>
          <cell r="H335">
            <v>0</v>
          </cell>
        </row>
        <row r="336">
          <cell r="C336" t="str">
            <v/>
          </cell>
          <cell r="E336">
            <v>0</v>
          </cell>
          <cell r="F336" t="str">
            <v/>
          </cell>
          <cell r="H336">
            <v>0</v>
          </cell>
        </row>
        <row r="337">
          <cell r="C337" t="str">
            <v/>
          </cell>
          <cell r="E337">
            <v>0</v>
          </cell>
          <cell r="F337" t="str">
            <v/>
          </cell>
          <cell r="H337">
            <v>0</v>
          </cell>
        </row>
        <row r="338">
          <cell r="C338" t="str">
            <v/>
          </cell>
          <cell r="E338">
            <v>0</v>
          </cell>
          <cell r="F338" t="str">
            <v/>
          </cell>
          <cell r="H338">
            <v>0</v>
          </cell>
        </row>
        <row r="339">
          <cell r="C339" t="str">
            <v/>
          </cell>
          <cell r="E339">
            <v>0</v>
          </cell>
          <cell r="F339" t="str">
            <v/>
          </cell>
          <cell r="H339">
            <v>0</v>
          </cell>
        </row>
        <row r="340">
          <cell r="C340" t="str">
            <v/>
          </cell>
          <cell r="E340">
            <v>0</v>
          </cell>
          <cell r="F340" t="str">
            <v/>
          </cell>
          <cell r="H340">
            <v>0</v>
          </cell>
        </row>
        <row r="341">
          <cell r="C341" t="str">
            <v/>
          </cell>
          <cell r="E341">
            <v>0</v>
          </cell>
          <cell r="F341" t="str">
            <v/>
          </cell>
          <cell r="H341">
            <v>0</v>
          </cell>
        </row>
        <row r="342">
          <cell r="C342" t="str">
            <v/>
          </cell>
          <cell r="E342">
            <v>0</v>
          </cell>
          <cell r="F342" t="str">
            <v/>
          </cell>
          <cell r="H342">
            <v>0</v>
          </cell>
        </row>
        <row r="343">
          <cell r="C343" t="str">
            <v/>
          </cell>
          <cell r="E343">
            <v>0</v>
          </cell>
          <cell r="F343" t="str">
            <v/>
          </cell>
          <cell r="H343">
            <v>0</v>
          </cell>
        </row>
        <row r="344">
          <cell r="C344" t="str">
            <v/>
          </cell>
          <cell r="E344">
            <v>0</v>
          </cell>
          <cell r="F344" t="str">
            <v/>
          </cell>
          <cell r="H344">
            <v>0</v>
          </cell>
        </row>
        <row r="345">
          <cell r="C345" t="str">
            <v/>
          </cell>
          <cell r="E345">
            <v>0</v>
          </cell>
          <cell r="F345" t="str">
            <v/>
          </cell>
          <cell r="H345">
            <v>0</v>
          </cell>
        </row>
        <row r="346">
          <cell r="C346" t="str">
            <v/>
          </cell>
          <cell r="E346">
            <v>0</v>
          </cell>
          <cell r="F346" t="str">
            <v/>
          </cell>
          <cell r="H346">
            <v>0</v>
          </cell>
        </row>
        <row r="347">
          <cell r="C347" t="str">
            <v/>
          </cell>
          <cell r="E347">
            <v>0</v>
          </cell>
          <cell r="F347" t="str">
            <v/>
          </cell>
          <cell r="H347">
            <v>0</v>
          </cell>
        </row>
        <row r="348">
          <cell r="C348" t="str">
            <v/>
          </cell>
          <cell r="E348">
            <v>0</v>
          </cell>
          <cell r="F348" t="str">
            <v/>
          </cell>
          <cell r="H348">
            <v>0</v>
          </cell>
        </row>
        <row r="349">
          <cell r="C349" t="str">
            <v/>
          </cell>
          <cell r="E349">
            <v>0</v>
          </cell>
          <cell r="F349" t="str">
            <v/>
          </cell>
          <cell r="H349">
            <v>0</v>
          </cell>
        </row>
        <row r="350">
          <cell r="C350" t="str">
            <v/>
          </cell>
          <cell r="E350">
            <v>0</v>
          </cell>
          <cell r="F350" t="str">
            <v/>
          </cell>
          <cell r="H350">
            <v>0</v>
          </cell>
        </row>
        <row r="351">
          <cell r="C351" t="str">
            <v/>
          </cell>
          <cell r="E351">
            <v>0</v>
          </cell>
          <cell r="F351" t="str">
            <v/>
          </cell>
          <cell r="H351">
            <v>0</v>
          </cell>
        </row>
        <row r="352">
          <cell r="C352" t="str">
            <v/>
          </cell>
          <cell r="E352">
            <v>0</v>
          </cell>
          <cell r="F352" t="str">
            <v/>
          </cell>
          <cell r="H352">
            <v>0</v>
          </cell>
        </row>
        <row r="353">
          <cell r="C353" t="str">
            <v/>
          </cell>
          <cell r="E353">
            <v>0</v>
          </cell>
          <cell r="F353" t="str">
            <v/>
          </cell>
          <cell r="H353">
            <v>0</v>
          </cell>
        </row>
        <row r="354">
          <cell r="C354" t="str">
            <v/>
          </cell>
          <cell r="E354">
            <v>0</v>
          </cell>
          <cell r="F354" t="str">
            <v/>
          </cell>
          <cell r="H354">
            <v>0</v>
          </cell>
        </row>
        <row r="355">
          <cell r="C355" t="str">
            <v/>
          </cell>
          <cell r="E355">
            <v>0</v>
          </cell>
          <cell r="F355" t="str">
            <v/>
          </cell>
          <cell r="H355">
            <v>0</v>
          </cell>
        </row>
        <row r="356">
          <cell r="C356" t="str">
            <v/>
          </cell>
          <cell r="E356">
            <v>0</v>
          </cell>
          <cell r="F356" t="str">
            <v/>
          </cell>
          <cell r="H356">
            <v>0</v>
          </cell>
        </row>
        <row r="357">
          <cell r="C357" t="str">
            <v/>
          </cell>
          <cell r="E357">
            <v>0</v>
          </cell>
          <cell r="F357" t="str">
            <v/>
          </cell>
          <cell r="H357">
            <v>0</v>
          </cell>
        </row>
        <row r="358">
          <cell r="C358" t="str">
            <v/>
          </cell>
          <cell r="E358">
            <v>0</v>
          </cell>
          <cell r="F358" t="str">
            <v/>
          </cell>
          <cell r="H358">
            <v>0</v>
          </cell>
        </row>
        <row r="359">
          <cell r="C359" t="str">
            <v/>
          </cell>
          <cell r="E359">
            <v>0</v>
          </cell>
          <cell r="F359" t="str">
            <v/>
          </cell>
          <cell r="H359">
            <v>0</v>
          </cell>
        </row>
        <row r="360">
          <cell r="C360" t="str">
            <v/>
          </cell>
          <cell r="E360">
            <v>0</v>
          </cell>
          <cell r="F360" t="str">
            <v/>
          </cell>
          <cell r="H360">
            <v>0</v>
          </cell>
        </row>
        <row r="361">
          <cell r="C361" t="str">
            <v/>
          </cell>
          <cell r="E361">
            <v>0</v>
          </cell>
          <cell r="F361" t="str">
            <v/>
          </cell>
          <cell r="H361">
            <v>0</v>
          </cell>
        </row>
        <row r="362">
          <cell r="C362" t="str">
            <v/>
          </cell>
          <cell r="E362">
            <v>0</v>
          </cell>
          <cell r="F362" t="str">
            <v/>
          </cell>
          <cell r="H362">
            <v>0</v>
          </cell>
        </row>
        <row r="363">
          <cell r="C363" t="str">
            <v/>
          </cell>
          <cell r="E363">
            <v>0</v>
          </cell>
          <cell r="F363" t="str">
            <v/>
          </cell>
          <cell r="H363">
            <v>0</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ChartData"/>
    </sheetNames>
    <sheetDataSet>
      <sheetData sheetId="0"/>
      <sheetData sheetId="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
      <sheetName val="New CPF Tracker (2)"/>
      <sheetName val="New CPF Tracker (3)"/>
      <sheetName val="New CPF Tracker (4)"/>
      <sheetName val="Sheet1"/>
      <sheetName val="CPF Tracker"/>
      <sheetName val="input 3"/>
      <sheetName val="TestBase"/>
      <sheetName val="P&amp;L Statement"/>
      <sheetName val="forex proj"/>
      <sheetName val="forex proj (SB)"/>
      <sheetName val="forex proj (SB) (2)"/>
      <sheetName val="forex proj (VB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thly Expenses"/>
      <sheetName val="Monthly Savings"/>
      <sheetName val="Chart Data"/>
      <sheetName val="Summary1"/>
    </sheetNames>
    <sheetDataSet>
      <sheetData sheetId="0"/>
      <sheetData sheetId="1"/>
      <sheetData sheetId="2"/>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ex proj (SB) (2)"/>
    </sheetNames>
    <sheetDataSet>
      <sheetData sheetId="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BalanceSheet"/>
      <sheetName val="Details"/>
      <sheetName val="CashFlow"/>
      <sheetName val="Help"/>
      <sheetName val="©"/>
    </sheetNames>
    <sheetDataSet>
      <sheetData sheetId="0" refreshError="1"/>
      <sheetData sheetId="1"/>
      <sheetData sheetId="2">
        <row r="5">
          <cell r="C5" t="str">
            <v>Checking</v>
          </cell>
        </row>
        <row r="43">
          <cell r="H43">
            <v>0</v>
          </cell>
        </row>
        <row r="51">
          <cell r="H51">
            <v>0</v>
          </cell>
        </row>
      </sheetData>
      <sheetData sheetId="3">
        <row r="55">
          <cell r="C55">
            <v>0</v>
          </cell>
        </row>
      </sheetData>
      <sheetData sheetId="4" refreshError="1"/>
      <sheetData sheetId="5"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nses"/>
      <sheetName val="Category"/>
      <sheetName val="Expense Budget2"/>
    </sheetNames>
    <sheetDataSet>
      <sheetData sheetId="0"/>
      <sheetData sheetId="1" refreshError="1"/>
      <sheetData sheetId="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
      <sheetName val="HELP"/>
      <sheetName val="Flags"/>
      <sheetName val="pivot"/>
      <sheetName val="3-Forex-Currency-Chart"/>
    </sheetNames>
    <definedNames>
      <definedName name="CH_DATE" refersTo="#REF!"/>
      <definedName name="CH_PRICE" refersTo="#REF!"/>
    </definedNames>
    <sheetDataSet>
      <sheetData sheetId="0"/>
      <sheetData sheetId="1"/>
      <sheetData sheetId="2"/>
      <sheetData sheetId="3"/>
      <sheetData sheetId="4" refreshError="1"/>
    </sheetDataSet>
  </externalBook>
</externalLink>
</file>

<file path=xl/persons/person.xml><?xml version="1.0" encoding="utf-8"?>
<personList xmlns="http://schemas.microsoft.com/office/spreadsheetml/2018/threadedcomments" xmlns:x="http://schemas.openxmlformats.org/spreadsheetml/2006/main">
  <person displayName="INDZARA.COM" id="{FA8965E3-ABBC-4924-A5E6-54279B113A62}" userId="INDZARA.COM"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file:///C:\Users\shiny\Downloads\3-Forex-Currency-Char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file:///C:\Users\shiny\Downloads\3-Forex-Currency-Chart.xlsx"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571.526397569447" createdVersion="7" refreshedVersion="7" minRefreshableVersion="3" recordCount="32" xr:uid="{07F4F466-9FEA-4789-9C47-A1E718DB8767}">
  <cacheSource type="worksheet">
    <worksheetSource name="Table5"/>
  </cacheSource>
  <cacheFields count="16">
    <cacheField name="Age" numFmtId="0">
      <sharedItems containsString="0" containsBlank="1" containsNumber="1" containsInteger="1" minValue="44" maxValue="47"/>
    </cacheField>
    <cacheField name="Year" numFmtId="0">
      <sharedItems containsString="0" containsBlank="1" containsNumber="1" containsInteger="1" minValue="2019" maxValue="2022"/>
    </cacheField>
    <cacheField name="Month" numFmtId="0">
      <sharedItems containsNonDate="0" containsDate="1" containsString="0" containsBlank="1" minDate="2019-09-01T00:00:00" maxDate="2022-03-02T00:00:00" count="32">
        <m/>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sharedItems>
      <fieldGroup par="15" base="2">
        <rangePr groupBy="months" startDate="2019-09-01T00:00:00" endDate="2022-03-02T00:00:00"/>
        <groupItems count="14">
          <s v="(blank)"/>
          <s v="Jan"/>
          <s v="Feb"/>
          <s v="Mar"/>
          <s v="Apr"/>
          <s v="May"/>
          <s v="Jun"/>
          <s v="Jul"/>
          <s v="Aug"/>
          <s v="Sep"/>
          <s v="Oct"/>
          <s v="Nov"/>
          <s v="Dec"/>
          <s v="&gt;2/3/2022"/>
        </groupItems>
      </fieldGroup>
    </cacheField>
    <cacheField name="Monthly Salary" numFmtId="0">
      <sharedItems containsString="0" containsBlank="1" containsNumber="1" containsInteger="1" minValue="0" maxValue="2400"/>
    </cacheField>
    <cacheField name="Employer's Monthly Contribution" numFmtId="0">
      <sharedItems containsSemiMixedTypes="0" containsString="0" containsNumber="1" minValue="0" maxValue="408.00000000000006"/>
    </cacheField>
    <cacheField name="Employee's Monthly Contribution" numFmtId="0">
      <sharedItems containsSemiMixedTypes="0" containsString="0" containsNumber="1" containsInteger="1" minValue="0" maxValue="480"/>
    </cacheField>
    <cacheField name="Accumulated Salary" numFmtId="0">
      <sharedItems containsSemiMixedTypes="0" containsString="0" containsNumber="1" containsInteger="1" minValue="0" maxValue="52900"/>
    </cacheField>
    <cacheField name="Ordinary acc " numFmtId="0">
      <sharedItems containsSemiMixedTypes="0" containsString="0" containsNumber="1" containsInteger="1" minValue="0" maxValue="10051"/>
    </cacheField>
    <cacheField name="Special acc " numFmtId="0">
      <sharedItems containsSemiMixedTypes="0" containsString="0" containsNumber="1" minValue="0" maxValue="4232"/>
    </cacheField>
    <cacheField name="Medisave " numFmtId="0">
      <sharedItems containsSemiMixedTypes="0" containsString="0" containsNumber="1" containsInteger="1" minValue="0" maxValue="5290"/>
    </cacheField>
    <cacheField name="Months" numFmtId="0">
      <sharedItems containsSemiMixedTypes="0" containsString="0" containsNumber="1" containsInteger="1" minValue="0" maxValue="13"/>
    </cacheField>
    <cacheField name="Ordinary acc Int" numFmtId="2">
      <sharedItems containsSemiMixedTypes="0" containsString="0" containsNumber="1" minValue="0" maxValue="29.315416666666351"/>
    </cacheField>
    <cacheField name="Special acc Int" numFmtId="2">
      <sharedItems containsSemiMixedTypes="0" containsString="0" containsNumber="1" minValue="0" maxValue="17.633333333333212"/>
    </cacheField>
    <cacheField name="Medisave acc Int" numFmtId="2">
      <sharedItems containsSemiMixedTypes="0" containsString="0" containsNumber="1" minValue="0" maxValue="22.04166666666697"/>
    </cacheField>
    <cacheField name="Quarters" numFmtId="0" databaseField="0">
      <fieldGroup base="2">
        <rangePr groupBy="quarters" startDate="2019-09-01T00:00:00" endDate="2022-03-02T00:00:00"/>
        <groupItems count="6">
          <s v="&lt;1/9/2019"/>
          <s v="Qtr1"/>
          <s v="Qtr2"/>
          <s v="Qtr3"/>
          <s v="Qtr4"/>
          <s v="&gt;2/3/2022"/>
        </groupItems>
      </fieldGroup>
    </cacheField>
    <cacheField name="Years" numFmtId="0" databaseField="0">
      <fieldGroup base="2">
        <rangePr groupBy="years" startDate="2019-09-01T00:00:00" endDate="2022-03-02T00:00:00"/>
        <groupItems count="6">
          <s v="&lt;1/9/2019"/>
          <s v="2019"/>
          <s v="2020"/>
          <s v="2021"/>
          <s v="2022"/>
          <s v="&gt;2/3/2022"/>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571.800689120369" createdVersion="7" refreshedVersion="7" minRefreshableVersion="3" recordCount="32" xr:uid="{4409BD48-C9BB-4640-AFE4-4D3B34C31A26}">
  <cacheSource type="worksheet">
    <worksheetSource ref="T10:AN42" sheet="New CPF Tracker"/>
  </cacheSource>
  <cacheFields count="21">
    <cacheField name="Age" numFmtId="0">
      <sharedItems containsString="0" containsBlank="1" containsNumber="1" containsInteger="1" minValue="44" maxValue="47"/>
    </cacheField>
    <cacheField name="Year" numFmtId="0">
      <sharedItems containsString="0" containsBlank="1" containsNumber="1" containsInteger="1" minValue="2019" maxValue="2022" count="5">
        <m/>
        <n v="2019"/>
        <n v="2020"/>
        <n v="2021"/>
        <n v="2022"/>
      </sharedItems>
    </cacheField>
    <cacheField name="Date" numFmtId="0">
      <sharedItems containsNonDate="0" containsDate="1" containsString="0" containsBlank="1" minDate="2019-09-01T00:00:00" maxDate="2022-03-02T00:00:00" count="32">
        <m/>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sharedItems>
    </cacheField>
    <cacheField name="Monthly Salary" numFmtId="0">
      <sharedItems containsSemiMixedTypes="0" containsString="0" containsNumber="1" containsInteger="1" minValue="0" maxValue="2400"/>
    </cacheField>
    <cacheField name="Employer's Monthly Contribution" numFmtId="0">
      <sharedItems containsSemiMixedTypes="0" containsString="0" containsNumber="1" minValue="0" maxValue="408.00000000000006"/>
    </cacheField>
    <cacheField name="Employee's Monthly Contribution" numFmtId="0">
      <sharedItems containsSemiMixedTypes="0" containsString="0" containsNumber="1" containsInteger="1" minValue="0" maxValue="480"/>
    </cacheField>
    <cacheField name="Contribution for the month(OA)" numFmtId="182">
      <sharedItems containsString="0" containsBlank="1" containsNumber="1" containsInteger="1" minValue="0" maxValue="456"/>
    </cacheField>
    <cacheField name="Payment (OA)" numFmtId="182">
      <sharedItems containsString="0" containsBlank="1" containsNumber="1" containsInteger="1" minValue="0" maxValue="570"/>
    </cacheField>
    <cacheField name="Ordinary Account Interest" numFmtId="182">
      <sharedItems containsSemiMixedTypes="0" containsString="0" containsNumber="1" minValue="0" maxValue="18.439293005268155"/>
    </cacheField>
    <cacheField name="Accumulated amount (OA)" numFmtId="182">
      <sharedItems containsString="0" containsBlank="1" containsNumber="1" minValue="399" maxValue="6322.0433160919847"/>
    </cacheField>
    <cacheField name="Accumulated Interest OA" numFmtId="182">
      <sharedItems containsString="0" containsBlank="1" containsNumber="1" minValue="0" maxValue="374.90975979583783"/>
    </cacheField>
    <cacheField name="Contribution for the month(SA)" numFmtId="182">
      <sharedItems containsSemiMixedTypes="0" containsString="0" containsNumber="1" containsInteger="1" minValue="0" maxValue="192"/>
    </cacheField>
    <cacheField name="Payment (SA)" numFmtId="182">
      <sharedItems containsString="0" containsBlank="1" containsNumber="1" containsInteger="1" minValue="-5000" maxValue="1000"/>
    </cacheField>
    <cacheField name="Special account Interest" numFmtId="182">
      <sharedItems containsSemiMixedTypes="0" containsString="0" containsNumber="1" minValue="0" maxValue="29.343143728108771"/>
    </cacheField>
    <cacheField name="Accumulated amount (SA)" numFmtId="182">
      <sharedItems containsString="0" containsBlank="1" containsNumber="1" minValue="33" maxValue="7042.3544947461278"/>
    </cacheField>
    <cacheField name="Accumulated Interest SA" numFmtId="182">
      <sharedItems containsString="0" containsBlank="1" containsNumber="1" minValue="0" maxValue="338.62917406581994"/>
    </cacheField>
    <cacheField name="Contribution for the month(MA)" numFmtId="182">
      <sharedItems containsSemiMixedTypes="0" containsString="0" containsNumber="1" containsInteger="1" minValue="0" maxValue="240"/>
    </cacheField>
    <cacheField name="MA payment" numFmtId="182">
      <sharedItems containsSemiMixedTypes="0" containsString="0" containsNumber="1" containsInteger="1" minValue="0" maxValue="2000"/>
    </cacheField>
    <cacheField name="Medisave Account Intest" numFmtId="182">
      <sharedItems containsSemiMixedTypes="0" containsString="0" containsNumber="1" minValue="0" maxValue="6.9484314146998258"/>
    </cacheField>
    <cacheField name="Accumulated amount (MA)" numFmtId="182">
      <sharedItems containsString="0" containsBlank="1" containsNumber="1" minValue="85.239641289469091" maxValue="2382.3193421827423"/>
    </cacheField>
    <cacheField name="Accumulated Interest MA" numFmtId="0">
      <sharedItems containsString="0" containsBlank="1" containsNumber="1" minValue="0" maxValue="95.79146842421653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571.800742129628" createdVersion="7" refreshedVersion="7" minRefreshableVersion="3" recordCount="32" xr:uid="{FC8EC1EC-C572-4AB6-A86E-4478E612C2B2}">
  <cacheSource type="worksheet">
    <worksheetSource ref="T10:AN42" sheet="New CPF Tracker"/>
  </cacheSource>
  <cacheFields count="23">
    <cacheField name="Age" numFmtId="0">
      <sharedItems containsString="0" containsBlank="1" containsNumber="1" containsInteger="1" minValue="44" maxValue="47"/>
    </cacheField>
    <cacheField name="Year" numFmtId="0">
      <sharedItems containsString="0" containsBlank="1" containsNumber="1" containsInteger="1" minValue="2019" maxValue="2022" count="5">
        <m/>
        <n v="2019"/>
        <n v="2020"/>
        <n v="2021"/>
        <n v="2022"/>
      </sharedItems>
    </cacheField>
    <cacheField name="Date" numFmtId="0">
      <sharedItems containsNonDate="0" containsDate="1" containsString="0" containsBlank="1" minDate="2019-09-01T00:00:00" maxDate="2022-03-02T00:00:00" count="32">
        <m/>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sharedItems>
      <fieldGroup par="22" base="2">
        <rangePr groupBy="months" startDate="2019-09-01T00:00:00" endDate="2022-03-02T00:00:00"/>
        <groupItems count="14">
          <s v="(blank)"/>
          <s v="Jan"/>
          <s v="Feb"/>
          <s v="Mar"/>
          <s v="Apr"/>
          <s v="May"/>
          <s v="Jun"/>
          <s v="Jul"/>
          <s v="Aug"/>
          <s v="Sep"/>
          <s v="Oct"/>
          <s v="Nov"/>
          <s v="Dec"/>
          <s v="&gt;2/3/2022"/>
        </groupItems>
      </fieldGroup>
    </cacheField>
    <cacheField name="Monthly Salary" numFmtId="0">
      <sharedItems containsSemiMixedTypes="0" containsString="0" containsNumber="1" containsInteger="1" minValue="0" maxValue="2400"/>
    </cacheField>
    <cacheField name="Employer's Monthly Contribution" numFmtId="0">
      <sharedItems containsSemiMixedTypes="0" containsString="0" containsNumber="1" minValue="0" maxValue="408.00000000000006"/>
    </cacheField>
    <cacheField name="Employee's Monthly Contribution" numFmtId="0">
      <sharedItems containsSemiMixedTypes="0" containsString="0" containsNumber="1" containsInteger="1" minValue="0" maxValue="480"/>
    </cacheField>
    <cacheField name="Contribution for the month(OA)" numFmtId="182">
      <sharedItems containsString="0" containsBlank="1" containsNumber="1" containsInteger="1" minValue="0" maxValue="456"/>
    </cacheField>
    <cacheField name="Payment (OA)" numFmtId="182">
      <sharedItems containsString="0" containsBlank="1" containsNumber="1" containsInteger="1" minValue="0" maxValue="570"/>
    </cacheField>
    <cacheField name="Ordinary Account Interest" numFmtId="182">
      <sharedItems containsSemiMixedTypes="0" containsString="0" containsNumber="1" minValue="0" maxValue="18.439293005268155"/>
    </cacheField>
    <cacheField name="Accumulated amount (OA)" numFmtId="182">
      <sharedItems containsString="0" containsBlank="1" containsNumber="1" minValue="399" maxValue="6322.0433160919847"/>
    </cacheField>
    <cacheField name="Accumulated Interest OA" numFmtId="182">
      <sharedItems containsString="0" containsBlank="1" containsNumber="1" minValue="0" maxValue="374.90975979583783"/>
    </cacheField>
    <cacheField name="Contribution for the month(SA)" numFmtId="182">
      <sharedItems containsSemiMixedTypes="0" containsString="0" containsNumber="1" containsInteger="1" minValue="0" maxValue="192"/>
    </cacheField>
    <cacheField name="Payment (SA)" numFmtId="182">
      <sharedItems containsString="0" containsBlank="1" containsNumber="1" containsInteger="1" minValue="-5000" maxValue="1000"/>
    </cacheField>
    <cacheField name="Special account Interest" numFmtId="182">
      <sharedItems containsSemiMixedTypes="0" containsString="0" containsNumber="1" minValue="0" maxValue="29.343143728108771"/>
    </cacheField>
    <cacheField name="Accumulated amount (SA)" numFmtId="182">
      <sharedItems containsString="0" containsBlank="1" containsNumber="1" minValue="33" maxValue="7042.3544947461278"/>
    </cacheField>
    <cacheField name="Accumulated Interest SA" numFmtId="182">
      <sharedItems containsString="0" containsBlank="1" containsNumber="1" minValue="0" maxValue="338.62917406581994"/>
    </cacheField>
    <cacheField name="Contribution for the month(MA)" numFmtId="182">
      <sharedItems containsSemiMixedTypes="0" containsString="0" containsNumber="1" containsInteger="1" minValue="0" maxValue="240"/>
    </cacheField>
    <cacheField name="MA payment" numFmtId="182">
      <sharedItems containsSemiMixedTypes="0" containsString="0" containsNumber="1" containsInteger="1" minValue="0" maxValue="2000"/>
    </cacheField>
    <cacheField name="Medisave Account Intest" numFmtId="182">
      <sharedItems containsSemiMixedTypes="0" containsString="0" containsNumber="1" minValue="0" maxValue="6.9484314146998258"/>
    </cacheField>
    <cacheField name="Accumulated amount (MA)" numFmtId="182">
      <sharedItems containsString="0" containsBlank="1" containsNumber="1" minValue="85.239641289469091" maxValue="2382.3193421827423"/>
    </cacheField>
    <cacheField name="Accumulated Interest MA" numFmtId="0">
      <sharedItems containsString="0" containsBlank="1" containsNumber="1" minValue="0" maxValue="95.791468424216532"/>
    </cacheField>
    <cacheField name="Quarters" numFmtId="0" databaseField="0">
      <fieldGroup base="2">
        <rangePr groupBy="quarters" startDate="2019-09-01T00:00:00" endDate="2022-03-02T00:00:00"/>
        <groupItems count="6">
          <s v="&lt;1/9/2019"/>
          <s v="Qtr1"/>
          <s v="Qtr2"/>
          <s v="Qtr3"/>
          <s v="Qtr4"/>
          <s v="&gt;2/3/2022"/>
        </groupItems>
      </fieldGroup>
    </cacheField>
    <cacheField name="Years" numFmtId="0" databaseField="0">
      <fieldGroup base="2">
        <rangePr groupBy="years" startDate="2019-09-01T00:00:00" endDate="2022-03-02T00:00:00"/>
        <groupItems count="6">
          <s v="&lt;1/9/2019"/>
          <s v="2019"/>
          <s v="2020"/>
          <s v="2021"/>
          <s v="2022"/>
          <s v="&gt;2/3/2022"/>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d zara" refreshedDate="44277.254905208334" createdVersion="6" refreshedVersion="6" minRefreshableVersion="3" recordCount="8" xr:uid="{097A7D57-154A-46CA-9F27-F314BCC8DBB8}">
  <cacheSource type="worksheet">
    <worksheetSource name="T_PER_OPTIONS" r:id="rId2"/>
  </cacheSource>
  <cacheFields count="1">
    <cacheField name="Options" numFmtId="0">
      <sharedItems count="8">
        <s v="5 D"/>
        <s v="MTD"/>
        <s v="1 M"/>
        <s v="3 M"/>
        <s v="6 M"/>
        <s v="YTD"/>
        <s v="1 Y"/>
        <s v="5 Y"/>
      </sharedItems>
    </cacheField>
  </cacheFields>
  <extLst>
    <ext xmlns:x14="http://schemas.microsoft.com/office/spreadsheetml/2009/9/main" uri="{725AE2AE-9491-48be-B2B4-4EB974FC3084}">
      <x14:pivotCacheDefinition pivotCacheId="1771492515"/>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d zara" refreshedDate="44277.26635046296" createdVersion="6" refreshedVersion="6" minRefreshableVersion="3" recordCount="3" xr:uid="{799A5D93-0B7C-48DE-8BC0-9C6531B9D9C7}">
  <cacheSource type="worksheet">
    <worksheetSource name="T_AGGR" r:id="rId2"/>
  </cacheSource>
  <cacheFields count="1">
    <cacheField name="Options" numFmtId="0">
      <sharedItems count="3">
        <s v="Daily"/>
        <s v="Weekly"/>
        <s v="Monthly"/>
      </sharedItems>
    </cacheField>
  </cacheFields>
  <extLst>
    <ext xmlns:x14="http://schemas.microsoft.com/office/spreadsheetml/2009/9/main" uri="{725AE2AE-9491-48be-B2B4-4EB974FC3084}">
      <x14:pivotCacheDefinition pivotCacheId="186270043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575.352389120373" createdVersion="7" refreshedVersion="7" minRefreshableVersion="3" recordCount="10" xr:uid="{64B530F8-9CF0-4B66-99CA-67188FAD64BB}">
  <cacheSource type="worksheet">
    <worksheetSource name="Table15" sheet="Credit Card pay off calculator"/>
  </cacheSource>
  <cacheFields count="4">
    <cacheField name="Date" numFmtId="199">
      <sharedItems containsSemiMixedTypes="0" containsNonDate="0" containsDate="1" containsString="0" minDate="2021-12-01T00:00:00" maxDate="2022-01-01T00:00:00"/>
    </cacheField>
    <cacheField name="Description" numFmtId="0">
      <sharedItems/>
    </cacheField>
    <cacheField name="Type of Expense" numFmtId="0">
      <sharedItems containsBlank="1" count="8">
        <m/>
        <s v="Meals &amp; Tips"/>
        <s v="Fuel"/>
        <s v="Entertainment"/>
        <s v="Air &amp; Trans."/>
        <s v="Lodging"/>
        <s v="Phone"/>
        <s v="Other"/>
      </sharedItems>
    </cacheField>
    <cacheField name="Amount ($)" numFmtId="184">
      <sharedItems containsString="0" containsBlank="1" containsNumber="1" minValue="8.5" maxValue="666"/>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o Shin Youn" refreshedDate="44585.937450694444" createdVersion="7" refreshedVersion="7" minRefreshableVersion="3" recordCount="3" xr:uid="{AB4C49D8-4016-40FB-8D99-EF713A3379F4}">
  <cacheSource type="worksheet">
    <worksheetSource name="WatchList"/>
  </cacheSource>
  <cacheFields count="8">
    <cacheField name="Stocks" numFmtId="0">
      <sharedItems count="3">
        <s v="BORAL LIMITED (XASX:BLD)"/>
        <s v="AUSTAL LIMITED (XASX:ASB)"/>
        <s v="NIKE, INC. (XNYS:NKE)"/>
      </sharedItems>
    </cacheField>
    <cacheField name="Exchange" numFmtId="0">
      <sharedItems count="2">
        <s v="XASX"/>
        <s v="XNYS"/>
      </sharedItems>
    </cacheField>
    <cacheField name="Ticker symbol" numFmtId="0">
      <sharedItems count="3">
        <s v="BLD"/>
        <s v="ASB"/>
        <s v="NKE"/>
      </sharedItems>
    </cacheField>
    <cacheField name="52 week high" numFmtId="172">
      <sharedItems containsSemiMixedTypes="0" containsString="0" containsNumber="1" minValue="2.66" maxValue="179.1"/>
    </cacheField>
    <cacheField name="52 week low" numFmtId="172">
      <sharedItems containsSemiMixedTypes="0" containsString="0" containsNumber="1" minValue="1.61" maxValue="125.44"/>
    </cacheField>
    <cacheField name="Price" numFmtId="172">
      <sharedItems containsSemiMixedTypes="0" containsString="0" containsNumber="1" minValue="1.98" maxValue="142.88"/>
    </cacheField>
    <cacheField name="P/E" numFmtId="172">
      <sharedItems containsSemiMixedTypes="0" containsString="0" containsNumber="1" minValue="8.89" maxValue="37.453200000000002"/>
    </cacheField>
    <cacheField name="Change" numFmtId="172">
      <sharedItems containsSemiMixedTypes="0" containsString="0" containsNumber="1" minValue="-0.03" maxValue="0.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Excel Services" refreshedDate="44586.942797685188" backgroundQuery="1" createdVersion="7" refreshedVersion="7" minRefreshableVersion="3" recordCount="0" supportSubquery="1" supportAdvancedDrill="1" xr:uid="{CC62D815-0084-44B1-860F-C36B87C9A8B2}">
  <cacheSource type="external" connectionId="3"/>
  <cacheFields count="3">
    <cacheField name="[Table12_1].[Types of Account].[Types of Account]" caption="Types of Account" numFmtId="0" level="1">
      <sharedItems count="3">
        <s v="Current Account"/>
        <s v="Fixed Deposit Account"/>
        <s v="Savings Account"/>
      </sharedItems>
    </cacheField>
    <cacheField name="[Table12_1].[Banks].[Banks]" caption="Banks" numFmtId="0" hierarchy="1" level="1">
      <sharedItems count="1">
        <s v="DBS"/>
      </sharedItems>
    </cacheField>
    <cacheField name="[Measures].[Sum of Account Balance]" caption="Sum of Account Balance" numFmtId="0" hierarchy="5" level="32767"/>
  </cacheFields>
  <cacheHierarchies count="6">
    <cacheHierarchy uniqueName="[Table12_1].[Types of Account]" caption="Types of Account" attribute="1" defaultMemberUniqueName="[Table12_1].[Types of Account].[All]" allUniqueName="[Table12_1].[Types of Account].[All]" dimensionUniqueName="[Table12_1]" displayFolder="" count="2" memberValueDatatype="130" unbalanced="0">
      <fieldsUsage count="2">
        <fieldUsage x="-1"/>
        <fieldUsage x="0"/>
      </fieldsUsage>
    </cacheHierarchy>
    <cacheHierarchy uniqueName="[Table12_1].[Banks]" caption="Banks" attribute="1" defaultMemberUniqueName="[Table12_1].[Banks].[All]" allUniqueName="[Table12_1].[Banks].[All]" dimensionUniqueName="[Table12_1]" displayFolder="" count="2" memberValueDatatype="130" unbalanced="0">
      <fieldsUsage count="2">
        <fieldUsage x="-1"/>
        <fieldUsage x="1"/>
      </fieldsUsage>
    </cacheHierarchy>
    <cacheHierarchy uniqueName="[Table12_1].[Account Balance]" caption="Account Balance" attribute="1" defaultMemberUniqueName="[Table12_1].[Account Balance].[All]" allUniqueName="[Table12_1].[Account Balance].[All]" dimensionUniqueName="[Table12_1]" displayFolder="" count="0" memberValueDatatype="20" unbalanced="0"/>
    <cacheHierarchy uniqueName="[Measures].[__XL_Count Table12_1]" caption="__XL_Count Table12_1" measure="1" displayFolder="" measureGroup="Table12_1" count="0" hidden="1"/>
    <cacheHierarchy uniqueName="[Measures].[__No measures defined]" caption="__No measures defined" measure="1" displayFolder="" count="0" hidden="1"/>
    <cacheHierarchy uniqueName="[Measures].[Sum of Account Balance]" caption="Sum of Account Balance" measure="1" displayFolder="" measureGroup="Table12_1"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2_1" uniqueName="[Table12_1]" caption="Table12_1"/>
  </dimensions>
  <measureGroups count="1">
    <measureGroup name="Table12_1" caption="Table12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Excel Services" refreshedDate="44586.942797685188" backgroundQuery="1" createdVersion="7" refreshedVersion="7" minRefreshableVersion="3" recordCount="0" supportSubquery="1" supportAdvancedDrill="1" xr:uid="{B45EE551-347C-4847-8175-69E2588BB54E}">
  <cacheSource type="external" connectionId="3"/>
  <cacheFields count="3">
    <cacheField name="[Table12_1].[Types of Account].[Types of Account]" caption="Types of Account" numFmtId="0" level="1">
      <sharedItems count="3">
        <s v="Current Account"/>
        <s v="Fixed Deposit Account"/>
        <s v="Savings Account"/>
      </sharedItems>
    </cacheField>
    <cacheField name="[Table12_1].[Banks].[Banks]" caption="Banks" numFmtId="0" hierarchy="1" level="1">
      <sharedItems count="6">
        <s v="DBS"/>
        <s v="HSBC"/>
        <s v="ICBC"/>
        <s v="Maybank"/>
        <s v="OCBC"/>
        <s v="Standard Chartered"/>
      </sharedItems>
    </cacheField>
    <cacheField name="[Measures].[Sum of Account Balance]" caption="Sum of Account Balance" numFmtId="0" hierarchy="5" level="32767"/>
  </cacheFields>
  <cacheHierarchies count="6">
    <cacheHierarchy uniqueName="[Table12_1].[Types of Account]" caption="Types of Account" attribute="1" defaultMemberUniqueName="[Table12_1].[Types of Account].[All]" allUniqueName="[Table12_1].[Types of Account].[All]" dimensionUniqueName="[Table12_1]" displayFolder="" count="2" memberValueDatatype="130" unbalanced="0">
      <fieldsUsage count="2">
        <fieldUsage x="-1"/>
        <fieldUsage x="0"/>
      </fieldsUsage>
    </cacheHierarchy>
    <cacheHierarchy uniqueName="[Table12_1].[Banks]" caption="Banks" attribute="1" defaultMemberUniqueName="[Table12_1].[Banks].[All]" allUniqueName="[Table12_1].[Banks].[All]" dimensionUniqueName="[Table12_1]" displayFolder="" count="2" memberValueDatatype="130" unbalanced="0">
      <fieldsUsage count="2">
        <fieldUsage x="-1"/>
        <fieldUsage x="1"/>
      </fieldsUsage>
    </cacheHierarchy>
    <cacheHierarchy uniqueName="[Table12_1].[Account Balance]" caption="Account Balance" attribute="1" defaultMemberUniqueName="[Table12_1].[Account Balance].[All]" allUniqueName="[Table12_1].[Account Balance].[All]" dimensionUniqueName="[Table12_1]" displayFolder="" count="0" memberValueDatatype="20" unbalanced="0"/>
    <cacheHierarchy uniqueName="[Measures].[__XL_Count Table12_1]" caption="__XL_Count Table12_1" measure="1" displayFolder="" measureGroup="Table12_1" count="0" hidden="1"/>
    <cacheHierarchy uniqueName="[Measures].[__No measures defined]" caption="__No measures defined" measure="1" displayFolder="" count="0" hidden="1"/>
    <cacheHierarchy uniqueName="[Measures].[Sum of Account Balance]" caption="Sum of Account Balance" measure="1" displayFolder="" measureGroup="Table12_1"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2_1" uniqueName="[Table12_1]" caption="Table12_1"/>
  </dimensions>
  <measureGroups count="1">
    <measureGroup name="Table12_1" caption="Table12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4586.942799189812" createdVersion="7" refreshedVersion="7" minRefreshableVersion="3" recordCount="10" xr:uid="{FE7AEFF1-14B2-4EB3-BB21-12D3498A6360}">
  <cacheSource type="worksheet">
    <worksheetSource name="Table1[[Category]:[Predicted Profit And &amp; Loss]]"/>
  </cacheSource>
  <cacheFields count="10">
    <cacheField name="Category" numFmtId="0">
      <sharedItems count="5">
        <s v="Electronic Equipment"/>
        <s v="Home Appliance"/>
        <s v="Condominium"/>
        <s v="HDB"/>
        <s v="Vehicles"/>
      </sharedItems>
    </cacheField>
    <cacheField name="Purchased value" numFmtId="170">
      <sharedItems containsSemiMixedTypes="0" containsString="0" containsNumber="1" containsInteger="1" minValue="789" maxValue="2040000"/>
    </cacheField>
    <cacheField name="Years owned" numFmtId="183">
      <sharedItems containsSemiMixedTypes="0" containsString="0" containsNumber="1" minValue="0.39726027397260272" maxValue="3.9808219178082194"/>
    </cacheField>
    <cacheField name="Trend" numFmtId="0">
      <sharedItems/>
    </cacheField>
    <cacheField name="Current Value (Estimated)" numFmtId="184">
      <sharedItems containsSemiMixedTypes="0" containsString="0" containsNumber="1" minValue="0" maxValue="2306986.2575342469"/>
    </cacheField>
    <cacheField name="Profit &amp; Loss" numFmtId="187">
      <sharedItems containsSemiMixedTypes="0" containsString="0" containsNumber="1" minValue="-17973.589041095896" maxValue="266986.25753424689"/>
    </cacheField>
    <cacheField name="Date To Seek" numFmtId="14">
      <sharedItems containsSemiMixedTypes="0" containsNonDate="0" containsDate="1" containsString="0" minDate="2025-01-01T00:00:00" maxDate="2025-01-02T00:00:00"/>
    </cacheField>
    <cacheField name="Forecasted Years Owned" numFmtId="187">
      <sharedItems containsSemiMixedTypes="0" containsString="0" containsNumber="1" containsInteger="1" minValue="3" maxValue="6"/>
    </cacheField>
    <cacheField name="Forecasted Values" numFmtId="184">
      <sharedItems containsSemiMixedTypes="0" containsString="0" containsNumber="1" minValue="0" maxValue="2666688"/>
    </cacheField>
    <cacheField name="Predicted Profit And &amp; Loss" numFmtId="187">
      <sharedItems containsSemiMixedTypes="0" containsString="0" containsNumber="1" minValue="-17973.589041095896" maxValue="266986.2575342468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xcel Services" refreshedDate="44586.942796990741" backgroundQuery="1" createdVersion="3" refreshedVersion="7" minRefreshableVersion="3" recordCount="0" supportSubquery="1" supportAdvancedDrill="1" xr:uid="{A69E2E83-DE62-49B9-A60A-FA26B6E2213A}">
  <cacheSource type="external" connectionId="3">
    <extLst>
      <ext xmlns:x14="http://schemas.microsoft.com/office/spreadsheetml/2009/9/main" uri="{F057638F-6D5F-4e77-A914-E7F072B9BCA8}">
        <x14:sourceConnection name="ThisWorkbookDataModel"/>
      </ext>
    </extLst>
  </cacheSource>
  <cacheFields count="0"/>
  <cacheHierarchies count="6">
    <cacheHierarchy uniqueName="[Table12_1].[Types of Account]" caption="Types of Account" attribute="1" defaultMemberUniqueName="[Table12_1].[Types of Account].[All]" allUniqueName="[Table12_1].[Types of Account].[All]" dimensionUniqueName="[Table12_1]" displayFolder="" count="0" memberValueDatatype="130" unbalanced="0"/>
    <cacheHierarchy uniqueName="[Table12_1].[Banks]" caption="Banks" attribute="1" defaultMemberUniqueName="[Table12_1].[Banks].[All]" allUniqueName="[Table12_1].[Banks].[All]" dimensionUniqueName="[Table12_1]" displayFolder="" count="2" memberValueDatatype="130" unbalanced="0"/>
    <cacheHierarchy uniqueName="[Table12_1].[Account Balance]" caption="Account Balance" attribute="1" defaultMemberUniqueName="[Table12_1].[Account Balance].[All]" allUniqueName="[Table12_1].[Account Balance].[All]" dimensionUniqueName="[Table12_1]" displayFolder="" count="0" memberValueDatatype="20" unbalanced="0"/>
    <cacheHierarchy uniqueName="[Measures].[__XL_Count Table12_1]" caption="__XL_Count Table12_1" measure="1" displayFolder="" measureGroup="Table12_1" count="0" hidden="1"/>
    <cacheHierarchy uniqueName="[Measures].[__No measures defined]" caption="__No measures defined" measure="1" displayFolder="" count="0" hidden="1"/>
    <cacheHierarchy uniqueName="[Measures].[Sum of Account Balance]" caption="Sum of Account Balance" measure="1" displayFolder="" measureGroup="Table12_1"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332070303"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xcel Services" refreshedDate="44586.942796990741" backgroundQuery="1" createdVersion="3" refreshedVersion="7" minRefreshableVersion="3" recordCount="0" supportSubquery="1" supportAdvancedDrill="1" xr:uid="{530436B0-FDD1-4D00-B94D-543586EBC1A6}">
  <cacheSource type="external" connectionId="3">
    <extLst>
      <ext xmlns:x14="http://schemas.microsoft.com/office/spreadsheetml/2009/9/main" uri="{F057638F-6D5F-4e77-A914-E7F072B9BCA8}">
        <x14:sourceConnection name="ThisWorkbookDataModel"/>
      </ext>
    </extLst>
  </cacheSource>
  <cacheFields count="0"/>
  <cacheHierarchies count="6">
    <cacheHierarchy uniqueName="[Table12_1].[Types of Account]" caption="Types of Account" attribute="1" defaultMemberUniqueName="[Table12_1].[Types of Account].[All]" allUniqueName="[Table12_1].[Types of Account].[All]" dimensionUniqueName="[Table12_1]" displayFolder="" count="0" memberValueDatatype="130" unbalanced="0"/>
    <cacheHierarchy uniqueName="[Table12_1].[Banks]" caption="Banks" attribute="1" defaultMemberUniqueName="[Table12_1].[Banks].[All]" allUniqueName="[Table12_1].[Banks].[All]" dimensionUniqueName="[Table12_1]" displayFolder="" count="2" memberValueDatatype="130" unbalanced="0"/>
    <cacheHierarchy uniqueName="[Table12_1].[Account Balance]" caption="Account Balance" attribute="1" defaultMemberUniqueName="[Table12_1].[Account Balance].[All]" allUniqueName="[Table12_1].[Account Balance].[All]" dimensionUniqueName="[Table12_1]" displayFolder="" count="0" memberValueDatatype="20" unbalanced="0"/>
    <cacheHierarchy uniqueName="[Measures].[__XL_Count Table12_1]" caption="__XL_Count Table12_1" measure="1" displayFolder="" measureGroup="Table12_1" count="0" hidden="1"/>
    <cacheHierarchy uniqueName="[Measures].[__No measures defined]" caption="__No measures defined" measure="1" displayFolder="" count="0" hidden="1"/>
    <cacheHierarchy uniqueName="[Measures].[Sum of Account Balance]" caption="Sum of Account Balance" measure="1" displayFolder="" measureGroup="Table12_1"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29926200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m/>
    <m/>
    <x v="0"/>
    <n v="0"/>
    <n v="0"/>
    <n v="0"/>
    <n v="0"/>
    <n v="0"/>
    <n v="0"/>
    <n v="0"/>
    <n v="0"/>
    <n v="0"/>
    <n v="0"/>
    <n v="0"/>
  </r>
  <r>
    <n v="44"/>
    <n v="2019"/>
    <x v="1"/>
    <n v="1900"/>
    <n v="323"/>
    <n v="380"/>
    <n v="1900"/>
    <n v="399"/>
    <n v="133"/>
    <n v="171"/>
    <n v="1"/>
    <n v="1.1637499999999932"/>
    <n v="0.55416666666667425"/>
    <n v="0.71250000000000568"/>
  </r>
  <r>
    <n v="44"/>
    <n v="2019"/>
    <x v="2"/>
    <n v="1900"/>
    <n v="323"/>
    <n v="380"/>
    <n v="3800"/>
    <n v="798"/>
    <n v="266"/>
    <n v="342"/>
    <n v="1"/>
    <n v="2.3274999999999864"/>
    <n v="1.1083333333333485"/>
    <n v="1.4250000000000114"/>
  </r>
  <r>
    <n v="44"/>
    <n v="2019"/>
    <x v="3"/>
    <n v="1900"/>
    <n v="323"/>
    <n v="380"/>
    <n v="5700"/>
    <n v="1197"/>
    <n v="399.00000000000006"/>
    <n v="513"/>
    <n v="1"/>
    <n v="3.4912500000000364"/>
    <n v="1.6625000000000227"/>
    <n v="2.1375000000000455"/>
  </r>
  <r>
    <n v="44"/>
    <n v="2019"/>
    <x v="4"/>
    <n v="1900"/>
    <n v="323"/>
    <n v="380"/>
    <n v="7600"/>
    <n v="1596"/>
    <n v="532"/>
    <n v="684"/>
    <n v="1"/>
    <n v="4.6549999999999727"/>
    <n v="2.216666666666697"/>
    <n v="2.8500000000000227"/>
  </r>
  <r>
    <n v="45"/>
    <n v="2020"/>
    <x v="5"/>
    <n v="1900"/>
    <n v="323"/>
    <n v="380"/>
    <n v="9500"/>
    <n v="1995"/>
    <n v="665.00000000000011"/>
    <n v="855"/>
    <n v="1"/>
    <n v="5.8187500000001364"/>
    <n v="2.7708333333333712"/>
    <n v="3.5625"/>
  </r>
  <r>
    <n v="45"/>
    <n v="2020"/>
    <x v="6"/>
    <n v="1900"/>
    <n v="323"/>
    <n v="380"/>
    <n v="11400"/>
    <n v="2394"/>
    <n v="798.00000000000011"/>
    <n v="1026"/>
    <n v="1"/>
    <n v="6.9825000000000728"/>
    <n v="3.3250000000000455"/>
    <n v="4.2750000000000909"/>
  </r>
  <r>
    <n v="45"/>
    <n v="2020"/>
    <x v="7"/>
    <n v="1900"/>
    <n v="323"/>
    <n v="380"/>
    <n v="13300"/>
    <n v="2793"/>
    <n v="931.00000000000011"/>
    <n v="1197"/>
    <n v="1"/>
    <n v="8.1462500000002365"/>
    <n v="3.879166666666606"/>
    <n v="4.9874999999999545"/>
  </r>
  <r>
    <n v="45"/>
    <n v="2020"/>
    <x v="8"/>
    <n v="1900"/>
    <n v="323"/>
    <n v="380"/>
    <n v="15200"/>
    <n v="3192"/>
    <n v="1064"/>
    <n v="1368"/>
    <n v="1"/>
    <n v="9.3099999999999454"/>
    <n v="4.433333333333394"/>
    <n v="5.7000000000000455"/>
  </r>
  <r>
    <n v="45"/>
    <n v="2020"/>
    <x v="9"/>
    <n v="1900"/>
    <n v="323"/>
    <n v="380"/>
    <n v="17100"/>
    <n v="3591"/>
    <n v="1197.0000000000002"/>
    <n v="1539"/>
    <n v="1"/>
    <n v="10.473750000000109"/>
    <n v="4.9874999999999545"/>
    <n v="6.4124999999999091"/>
  </r>
  <r>
    <n v="45"/>
    <n v="2020"/>
    <x v="10"/>
    <n v="1900"/>
    <n v="323"/>
    <n v="380"/>
    <n v="19000"/>
    <n v="3990"/>
    <n v="1330.0000000000002"/>
    <n v="1710"/>
    <n v="1"/>
    <n v="11.637500000000273"/>
    <n v="5.5416666666667425"/>
    <n v="7.125"/>
  </r>
  <r>
    <n v="45"/>
    <n v="2020"/>
    <x v="11"/>
    <n v="1900"/>
    <n v="323"/>
    <n v="380"/>
    <n v="20900"/>
    <n v="4389"/>
    <n v="1463.0000000000002"/>
    <n v="1881"/>
    <n v="1"/>
    <n v="12.801250000000437"/>
    <n v="6.095833333333303"/>
    <n v="7.8374999999998636"/>
  </r>
  <r>
    <n v="45"/>
    <n v="2020"/>
    <x v="12"/>
    <n v="1900"/>
    <n v="323"/>
    <n v="380"/>
    <n v="22800"/>
    <n v="4788"/>
    <n v="1596.0000000000002"/>
    <n v="2052"/>
    <n v="1"/>
    <n v="13.965000000000146"/>
    <n v="6.6500000000000909"/>
    <n v="8.5500000000001819"/>
  </r>
  <r>
    <n v="45"/>
    <n v="2020"/>
    <x v="13"/>
    <n v="1900"/>
    <n v="323"/>
    <n v="380"/>
    <n v="24700"/>
    <n v="5187"/>
    <n v="1729.0000000000002"/>
    <n v="2223"/>
    <n v="1"/>
    <n v="15.128749999999854"/>
    <n v="7.2041666666666515"/>
    <n v="9.2624999999998181"/>
  </r>
  <r>
    <n v="45"/>
    <n v="2020"/>
    <x v="14"/>
    <n v="1900"/>
    <n v="323"/>
    <n v="380"/>
    <n v="26600"/>
    <n v="5586"/>
    <n v="1862.0000000000002"/>
    <n v="2394"/>
    <n v="1"/>
    <n v="16.292500000000473"/>
    <n v="7.7583333333332121"/>
    <n v="9.9749999999999091"/>
  </r>
  <r>
    <n v="45"/>
    <n v="2020"/>
    <x v="15"/>
    <n v="1900"/>
    <n v="323"/>
    <n v="380"/>
    <n v="28500"/>
    <n v="5985"/>
    <n v="1995.0000000000002"/>
    <n v="2565"/>
    <n v="1"/>
    <n v="17.456250000000182"/>
    <n v="8.3125"/>
    <n v="10.6875"/>
  </r>
  <r>
    <n v="45"/>
    <n v="2020"/>
    <x v="16"/>
    <n v="1900"/>
    <n v="323"/>
    <n v="380"/>
    <n v="30400"/>
    <n v="6384"/>
    <n v="2128"/>
    <n v="2736"/>
    <n v="1"/>
    <n v="18.619999999999891"/>
    <n v="8.8666666666667879"/>
    <n v="11.400000000000091"/>
  </r>
  <r>
    <n v="46"/>
    <n v="2021"/>
    <x v="17"/>
    <n v="1900"/>
    <n v="323"/>
    <n v="380"/>
    <n v="32300"/>
    <n v="6137"/>
    <n v="2584"/>
    <n v="3230"/>
    <n v="1"/>
    <n v="17.899583333333794"/>
    <n v="10.766666666666424"/>
    <n v="13.458333333333485"/>
  </r>
  <r>
    <n v="46"/>
    <n v="2021"/>
    <x v="18"/>
    <n v="1900"/>
    <n v="323"/>
    <n v="380"/>
    <n v="34200"/>
    <n v="6498"/>
    <n v="2736"/>
    <n v="3420"/>
    <n v="1"/>
    <n v="18.952500000000327"/>
    <n v="11.400000000000091"/>
    <n v="14.25"/>
  </r>
  <r>
    <n v="46"/>
    <n v="2021"/>
    <x v="19"/>
    <n v="1900"/>
    <n v="323"/>
    <n v="380"/>
    <n v="36100"/>
    <n v="6859"/>
    <n v="2888"/>
    <n v="3610"/>
    <n v="1"/>
    <n v="20.005416666666861"/>
    <n v="12.033333333333303"/>
    <n v="15.041666666666515"/>
  </r>
  <r>
    <n v="46"/>
    <n v="2021"/>
    <x v="20"/>
    <n v="2400"/>
    <n v="408.00000000000006"/>
    <n v="480"/>
    <n v="38500"/>
    <n v="7315"/>
    <n v="3080"/>
    <n v="3850"/>
    <n v="2"/>
    <n v="21.335416666666788"/>
    <n v="12.833333333333485"/>
    <n v="16.041666666666515"/>
  </r>
  <r>
    <n v="46"/>
    <n v="2021"/>
    <x v="21"/>
    <n v="2400"/>
    <n v="408.00000000000006"/>
    <n v="480"/>
    <n v="40900"/>
    <n v="7771"/>
    <n v="3272"/>
    <n v="4090"/>
    <n v="3"/>
    <n v="22.665416666666715"/>
    <n v="13.633333333333212"/>
    <n v="17.04166666666697"/>
  </r>
  <r>
    <n v="46"/>
    <n v="2021"/>
    <x v="22"/>
    <n v="2400"/>
    <n v="408.00000000000006"/>
    <n v="480"/>
    <n v="43300"/>
    <n v="8227"/>
    <n v="3464"/>
    <n v="4330"/>
    <n v="4"/>
    <n v="23.995416666666642"/>
    <n v="14.433333333333394"/>
    <n v="18.04166666666697"/>
  </r>
  <r>
    <n v="46"/>
    <n v="2021"/>
    <x v="23"/>
    <n v="2400"/>
    <n v="408.00000000000006"/>
    <n v="480"/>
    <n v="45700"/>
    <n v="8683"/>
    <n v="3656"/>
    <n v="4570"/>
    <n v="5"/>
    <n v="25.32541666666657"/>
    <n v="15.233333333333121"/>
    <n v="19.04166666666697"/>
  </r>
  <r>
    <n v="46"/>
    <n v="2021"/>
    <x v="24"/>
    <m/>
    <n v="0"/>
    <n v="0"/>
    <n v="45700"/>
    <n v="8683"/>
    <n v="3656"/>
    <n v="4570"/>
    <n v="6"/>
    <n v="25.32541666666657"/>
    <n v="15.233333333333121"/>
    <n v="19.04166666666697"/>
  </r>
  <r>
    <n v="46"/>
    <n v="2021"/>
    <x v="25"/>
    <m/>
    <n v="0"/>
    <n v="0"/>
    <n v="45700"/>
    <n v="8683"/>
    <n v="3656"/>
    <n v="4570"/>
    <n v="7"/>
    <n v="25.32541666666657"/>
    <n v="15.233333333333121"/>
    <n v="19.04166666666697"/>
  </r>
  <r>
    <n v="46"/>
    <n v="2021"/>
    <x v="26"/>
    <m/>
    <n v="0"/>
    <n v="0"/>
    <n v="45700"/>
    <n v="8683"/>
    <n v="3656"/>
    <n v="4570"/>
    <n v="8"/>
    <n v="25.32541666666657"/>
    <n v="15.233333333333121"/>
    <n v="19.04166666666697"/>
  </r>
  <r>
    <n v="46"/>
    <n v="2021"/>
    <x v="27"/>
    <m/>
    <n v="0"/>
    <n v="0"/>
    <n v="45700"/>
    <n v="8683"/>
    <n v="3656"/>
    <n v="4570"/>
    <n v="9"/>
    <n v="25.32541666666657"/>
    <n v="15.233333333333121"/>
    <n v="19.04166666666697"/>
  </r>
  <r>
    <n v="46"/>
    <n v="2021"/>
    <x v="28"/>
    <m/>
    <n v="0"/>
    <n v="0"/>
    <n v="45700"/>
    <n v="8683"/>
    <n v="3656"/>
    <n v="4570"/>
    <n v="10"/>
    <n v="25.32541666666657"/>
    <n v="15.233333333333121"/>
    <n v="19.04166666666697"/>
  </r>
  <r>
    <n v="47"/>
    <n v="2022"/>
    <x v="29"/>
    <n v="2400"/>
    <n v="408.00000000000006"/>
    <n v="480"/>
    <n v="48100"/>
    <n v="9139"/>
    <n v="3848"/>
    <n v="4810"/>
    <n v="11"/>
    <n v="26.655416666666497"/>
    <n v="16.033333333333303"/>
    <n v="20.04166666666697"/>
  </r>
  <r>
    <n v="47"/>
    <n v="2022"/>
    <x v="30"/>
    <n v="2400"/>
    <n v="408.00000000000006"/>
    <n v="480"/>
    <n v="50500"/>
    <n v="9595"/>
    <n v="4040"/>
    <n v="5050"/>
    <n v="12"/>
    <n v="27.985416666666424"/>
    <n v="16.833333333333485"/>
    <n v="21.04166666666697"/>
  </r>
  <r>
    <n v="47"/>
    <n v="2022"/>
    <x v="31"/>
    <n v="2400"/>
    <n v="408.00000000000006"/>
    <n v="480"/>
    <n v="52900"/>
    <n v="10051"/>
    <n v="4232"/>
    <n v="5290"/>
    <n v="13"/>
    <n v="29.315416666666351"/>
    <n v="17.633333333333212"/>
    <n v="22.041666666666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m/>
    <x v="0"/>
    <x v="0"/>
    <n v="0"/>
    <n v="0"/>
    <n v="0"/>
    <m/>
    <n v="0"/>
    <n v="0"/>
    <m/>
    <m/>
    <n v="0"/>
    <m/>
    <n v="0"/>
    <m/>
    <m/>
    <n v="0"/>
    <n v="0"/>
    <n v="0"/>
    <m/>
    <m/>
  </r>
  <r>
    <n v="44"/>
    <x v="1"/>
    <x v="1"/>
    <n v="1900"/>
    <n v="323"/>
    <n v="380"/>
    <n v="399"/>
    <n v="0"/>
    <n v="0"/>
    <n v="399"/>
    <n v="0"/>
    <n v="133"/>
    <n v="100"/>
    <n v="0"/>
    <n v="33"/>
    <n v="0"/>
    <n v="171"/>
    <n v="0"/>
    <n v="0"/>
    <n v="171"/>
    <n v="0"/>
  </r>
  <r>
    <n v="44"/>
    <x v="1"/>
    <x v="2"/>
    <n v="1900"/>
    <n v="323"/>
    <n v="380"/>
    <n v="399"/>
    <n v="0"/>
    <n v="1.1637499999999932"/>
    <n v="799.16374999999994"/>
    <n v="1.1637499999999932"/>
    <n v="133"/>
    <n v="100"/>
    <n v="0.13750000000000284"/>
    <n v="66.137499999999989"/>
    <n v="0.13750000000000284"/>
    <n v="171"/>
    <n v="0"/>
    <n v="0.49875000000000114"/>
    <n v="342.49874999999997"/>
    <n v="0.49875000000000114"/>
  </r>
  <r>
    <n v="44"/>
    <x v="1"/>
    <x v="3"/>
    <n v="1900"/>
    <n v="323"/>
    <n v="380"/>
    <n v="399"/>
    <n v="0"/>
    <n v="2.3308942708333689"/>
    <n v="1200.4946442708333"/>
    <n v="3.494644270833362"/>
    <n v="133"/>
    <n v="100"/>
    <n v="0.27557291666666117"/>
    <n v="99.413072916666636"/>
    <n v="0.41307291666666401"/>
    <n v="171"/>
    <n v="0"/>
    <n v="0.99895468750003147"/>
    <n v="514.4977046875"/>
    <n v="1.4977046875000326"/>
  </r>
  <r>
    <n v="44"/>
    <x v="1"/>
    <x v="4"/>
    <n v="1900"/>
    <n v="323"/>
    <n v="380"/>
    <n v="399"/>
    <m/>
    <n v="3.5014427124565373"/>
    <n v="1602.9960869832898"/>
    <n v="6.9960869832898993"/>
    <n v="133"/>
    <n v="100"/>
    <n v="0.41422113715277931"/>
    <n v="132.8272940538194"/>
    <n v="0.82729405381944332"/>
    <n v="171"/>
    <n v="0"/>
    <n v="1.5006183053385485"/>
    <n v="686.99832299283855"/>
    <n v="2.9983229928385811"/>
  </r>
  <r>
    <n v="45"/>
    <x v="2"/>
    <x v="5"/>
    <n v="1900"/>
    <n v="323"/>
    <n v="380"/>
    <n v="399"/>
    <m/>
    <n v="4.6754052537012285"/>
    <n v="2006.6714922369911"/>
    <n v="11.671492236991128"/>
    <n v="133"/>
    <n v="0"/>
    <n v="0.55344705855756615"/>
    <n v="266.380741112377"/>
    <n v="1.3807411123770095"/>
    <n v="171"/>
    <n v="0"/>
    <n v="2.0037451087291629"/>
    <n v="860.00206810156772"/>
    <n v="5.002068101567744"/>
  </r>
  <r>
    <n v="45"/>
    <x v="2"/>
    <x v="6"/>
    <n v="1900"/>
    <n v="323"/>
    <n v="380"/>
    <n v="399"/>
    <m/>
    <n v="5.8527918523579956"/>
    <n v="2411.5242840893488"/>
    <n v="17.524284089349123"/>
    <n v="133"/>
    <n v="0"/>
    <n v="1.109919754634916"/>
    <n v="400.49066086701191"/>
    <n v="2.4906608670119255"/>
    <n v="171"/>
    <n v="0"/>
    <n v="2.5083393652962513"/>
    <n v="1033.5104074668639"/>
    <n v="7.5104074668639953"/>
  </r>
  <r>
    <n v="45"/>
    <x v="2"/>
    <x v="7"/>
    <n v="1900"/>
    <n v="323"/>
    <n v="380"/>
    <n v="399"/>
    <m/>
    <n v="7.0336124952605132"/>
    <n v="2817.5578965846094"/>
    <n v="24.557896584609637"/>
    <n v="133"/>
    <n v="200"/>
    <n v="1.6687110869459048"/>
    <n v="335.15937195395782"/>
    <n v="4.1593719539578302"/>
    <n v="171"/>
    <n v="0"/>
    <n v="3.0144053551116485"/>
    <n v="1207.5248128219755"/>
    <n v="10.524812821975644"/>
  </r>
  <r>
    <n v="45"/>
    <x v="2"/>
    <x v="8"/>
    <n v="1900"/>
    <n v="323"/>
    <n v="380"/>
    <n v="399"/>
    <m/>
    <n v="8.2178771983717525"/>
    <n v="3224.7757737829811"/>
    <n v="32.775773782981389"/>
    <n v="133"/>
    <n v="0"/>
    <n v="1.3964973831414795"/>
    <n v="469.5558693370993"/>
    <n v="5.5558693370993097"/>
    <n v="171"/>
    <n v="0"/>
    <n v="3.5219473707306861"/>
    <n v="1382.0467601927062"/>
    <n v="14.04676019270633"/>
  </r>
  <r>
    <n v="45"/>
    <x v="2"/>
    <x v="9"/>
    <n v="1900"/>
    <n v="323"/>
    <n v="380"/>
    <n v="399"/>
    <m/>
    <n v="9.4055960068671993"/>
    <n v="3633.1813697898483"/>
    <n v="42.181369789848588"/>
    <n v="133"/>
    <n v="0"/>
    <n v="1.956482788904566"/>
    <n v="604.51235212600386"/>
    <n v="7.5123521260038757"/>
    <n v="171"/>
    <n v="0"/>
    <n v="4.0309697172287997"/>
    <n v="1557.077729909935"/>
    <n v="18.07772990993513"/>
  </r>
  <r>
    <n v="45"/>
    <x v="2"/>
    <x v="10"/>
    <n v="1900"/>
    <n v="323"/>
    <n v="380"/>
    <n v="399"/>
    <n v="200"/>
    <n v="10.596778995220575"/>
    <n v="3842.7781487850689"/>
    <n v="52.778148785069163"/>
    <n v="133"/>
    <n v="0"/>
    <n v="2.518801467191679"/>
    <n v="740.03115359319554"/>
    <n v="10.031153593195555"/>
    <n v="171"/>
    <n v="0"/>
    <n v="4.5414767122372268"/>
    <n v="1732.6192066221722"/>
    <n v="22.619206622172356"/>
  </r>
  <r>
    <n v="45"/>
    <x v="2"/>
    <x v="11"/>
    <n v="1900"/>
    <n v="323"/>
    <n v="380"/>
    <n v="399"/>
    <m/>
    <n v="11.208102933956525"/>
    <n v="4252.9862517190249"/>
    <n v="63.986251719025688"/>
    <n v="133"/>
    <n v="0"/>
    <n v="3.0834631399716272"/>
    <n v="876.11461673316717"/>
    <n v="13.114616733167182"/>
    <n v="171"/>
    <n v="0"/>
    <n v="5.0534726859814327"/>
    <n v="1908.6726793081536"/>
    <n v="27.672679308153789"/>
  </r>
  <r>
    <n v="45"/>
    <x v="2"/>
    <x v="12"/>
    <n v="1900"/>
    <n v="323"/>
    <n v="380"/>
    <n v="399"/>
    <m/>
    <n v="12.404543234180892"/>
    <n v="4664.3907949532058"/>
    <n v="76.39079495320658"/>
    <n v="133"/>
    <n v="100"/>
    <n v="3.6504775697214882"/>
    <n v="912.76509430288866"/>
    <n v="16.76509430288867"/>
    <n v="171"/>
    <n v="2000"/>
    <n v="5.5669619813154441"/>
    <n v="85.239641289469091"/>
    <n v="33.239641289469233"/>
  </r>
  <r>
    <n v="45"/>
    <x v="2"/>
    <x v="13"/>
    <n v="1900"/>
    <n v="323"/>
    <n v="380"/>
    <n v="399"/>
    <m/>
    <n v="13.604473151946877"/>
    <n v="5076.9952681051527"/>
    <n v="89.995268105153457"/>
    <n v="133"/>
    <n v="100"/>
    <n v="3.8031878929286904"/>
    <n v="949.56828219581735"/>
    <n v="20.568282195817361"/>
    <n v="171"/>
    <n v="0"/>
    <n v="0.2486156204276142"/>
    <n v="256.48825690989668"/>
    <n v="33.488256909896847"/>
  </r>
  <r>
    <n v="45"/>
    <x v="2"/>
    <x v="14"/>
    <n v="1900"/>
    <n v="323"/>
    <n v="380"/>
    <n v="399"/>
    <m/>
    <n v="14.80790286530646"/>
    <n v="5490.8031709704592"/>
    <n v="104.80317097045992"/>
    <n v="133"/>
    <n v="100"/>
    <n v="3.9565345091492645"/>
    <n v="986.52481670496672"/>
    <n v="24.524816704966625"/>
    <n v="171"/>
    <n v="0"/>
    <n v="0.74809074932051089"/>
    <n v="428.23634765921719"/>
    <n v="34.236347659217358"/>
  </r>
  <r>
    <n v="45"/>
    <x v="2"/>
    <x v="15"/>
    <n v="1900"/>
    <n v="323"/>
    <n v="380"/>
    <n v="399"/>
    <m/>
    <n v="16.014842581997073"/>
    <n v="5905.8180135524563"/>
    <n v="120.81801355245699"/>
    <n v="133"/>
    <n v="100"/>
    <n v="4.1105200696040356"/>
    <n v="1023.6353367745708"/>
    <n v="28.635336774570661"/>
    <n v="171"/>
    <n v="0"/>
    <n v="1.2490226806727378"/>
    <n v="600.48537033988987"/>
    <n v="35.485370339890096"/>
  </r>
  <r>
    <n v="45"/>
    <x v="2"/>
    <x v="16"/>
    <n v="1900"/>
    <n v="323"/>
    <n v="380"/>
    <n v="399"/>
    <n v="0"/>
    <n v="17.225302539528457"/>
    <n v="6322.0433160919847"/>
    <n v="138.04331609198545"/>
    <n v="133"/>
    <n v="0"/>
    <n v="4.2651472365607788"/>
    <n v="1160.9004840111315"/>
    <n v="32.900484011131439"/>
    <n v="171"/>
    <n v="0"/>
    <n v="1.7514156634913434"/>
    <n v="773.23678600338121"/>
    <n v="37.23678600338144"/>
  </r>
  <r>
    <n v="46"/>
    <x v="3"/>
    <x v="17"/>
    <n v="1900"/>
    <n v="323"/>
    <n v="380"/>
    <n v="361"/>
    <n v="500"/>
    <n v="18.439293005268155"/>
    <n v="6201.4826090972529"/>
    <n v="156.4826090972536"/>
    <n v="152"/>
    <n v="0"/>
    <n v="4.8370853500464364"/>
    <n v="1317.737569361178"/>
    <n v="37.737569361177876"/>
    <n v="190"/>
    <n v="0"/>
    <n v="2.2552739591765203"/>
    <n v="965.49205996255773"/>
    <n v="39.49205996255796"/>
  </r>
  <r>
    <n v="46"/>
    <x v="3"/>
    <x v="18"/>
    <n v="1900"/>
    <n v="323"/>
    <n v="380"/>
    <n v="361"/>
    <n v="500"/>
    <n v="18.087657609867165"/>
    <n v="6080.57026670712"/>
    <n v="174.57026670712077"/>
    <n v="152"/>
    <n v="50"/>
    <n v="5.4905732056715806"/>
    <n v="1425.2281425668496"/>
    <n v="43.228142566849456"/>
    <n v="190"/>
    <n v="0"/>
    <n v="2.8160185082241469"/>
    <n v="1158.3080784707818"/>
    <n v="42.308078470782107"/>
  </r>
  <r>
    <n v="46"/>
    <x v="3"/>
    <x v="19"/>
    <n v="2400"/>
    <n v="408.00000000000006"/>
    <n v="480"/>
    <n v="456"/>
    <n v="500"/>
    <n v="17.73499661122878"/>
    <n v="6054.3052633183488"/>
    <n v="192.30526331834955"/>
    <n v="192"/>
    <n v="0"/>
    <n v="5.938450594028609"/>
    <n v="1623.1665931608782"/>
    <n v="49.166593160878065"/>
    <n v="240"/>
    <n v="0"/>
    <n v="3.3783985622064847"/>
    <n v="1401.6864770329883"/>
    <n v="45.686477032988591"/>
  </r>
  <r>
    <n v="46"/>
    <x v="3"/>
    <x v="20"/>
    <n v="2400"/>
    <n v="408.00000000000006"/>
    <n v="480"/>
    <n v="456"/>
    <n v="500"/>
    <n v="17.658390351345588"/>
    <n v="6027.9636536696944"/>
    <n v="209.96365366969513"/>
    <n v="192"/>
    <n v="-5000"/>
    <n v="6.76319413817032"/>
    <n v="6821.9297872990483"/>
    <n v="55.929787299048385"/>
    <n v="240"/>
    <n v="0"/>
    <n v="4.0882522246795361"/>
    <n v="1645.7747292576678"/>
    <n v="49.774729257668128"/>
  </r>
  <r>
    <n v="46"/>
    <x v="3"/>
    <x v="21"/>
    <n v="2400"/>
    <n v="408.00000000000006"/>
    <n v="480"/>
    <n v="456"/>
    <n v="500"/>
    <n v="17.581560656536567"/>
    <n v="6001.545214326231"/>
    <n v="227.5452143262317"/>
    <n v="192"/>
    <n v="0"/>
    <n v="28.424707447079527"/>
    <n v="7042.3544947461278"/>
    <n v="84.354494746127912"/>
    <n v="240"/>
    <n v="0"/>
    <n v="4.8001762936683008"/>
    <n v="1890.5749055513361"/>
    <n v="54.574905551336428"/>
  </r>
  <r>
    <n v="46"/>
    <x v="3"/>
    <x v="22"/>
    <n v="2400"/>
    <n v="408.00000000000006"/>
    <n v="480"/>
    <n v="456"/>
    <n v="500"/>
    <n v="17.504506875117841"/>
    <n v="5975.0497212013488"/>
    <n v="245.04972120134954"/>
    <n v="192"/>
    <n v="500"/>
    <n v="29.343143728108771"/>
    <n v="6763.6976384742366"/>
    <n v="113.69763847423668"/>
    <n v="240"/>
    <n v="0"/>
    <n v="5.5141768078581208"/>
    <n v="2136.0890823591944"/>
    <n v="60.089082359194549"/>
  </r>
  <r>
    <n v="46"/>
    <x v="3"/>
    <x v="23"/>
    <n v="2400"/>
    <n v="408.00000000000006"/>
    <n v="480"/>
    <n v="456"/>
    <n v="500"/>
    <n v="17.427228353503779"/>
    <n v="5948.4769495548526"/>
    <n v="262.47694955485332"/>
    <n v="192"/>
    <n v="500"/>
    <n v="28.182073493642747"/>
    <n v="6483.8797119678793"/>
    <n v="141.87971196787942"/>
    <n v="240"/>
    <n v="0"/>
    <n v="6.2302598235478399"/>
    <n v="2382.3193421827423"/>
    <n v="66.319342182742389"/>
  </r>
  <r>
    <n v="46"/>
    <x v="3"/>
    <x v="24"/>
    <n v="0"/>
    <n v="0"/>
    <n v="0"/>
    <n v="0"/>
    <n v="500"/>
    <n v="17.349724436201541"/>
    <n v="5465.8266739910541"/>
    <n v="279.82667399105486"/>
    <n v="0"/>
    <n v="500"/>
    <n v="27.016165466532584"/>
    <n v="6010.8958774344119"/>
    <n v="168.895877434412"/>
    <n v="0"/>
    <n v="1500"/>
    <n v="6.9484314146998258"/>
    <n v="889.2677735974421"/>
    <n v="73.267773597442215"/>
  </r>
  <r>
    <n v="46"/>
    <x v="3"/>
    <x v="25"/>
    <n v="0"/>
    <n v="0"/>
    <n v="0"/>
    <n v="0"/>
    <n v="500"/>
    <n v="15.941994465807511"/>
    <n v="4981.7686684568616"/>
    <n v="295.76866845686237"/>
    <n v="0"/>
    <m/>
    <n v="25.045399489309602"/>
    <n v="6035.9412769237215"/>
    <n v="193.9412769237216"/>
    <n v="0"/>
    <n v="0"/>
    <n v="2.5936976729925618"/>
    <n v="891.86147127043466"/>
    <n v="75.861471270434777"/>
  </r>
  <r>
    <n v="46"/>
    <x v="3"/>
    <x v="26"/>
    <n v="0"/>
    <n v="0"/>
    <n v="0"/>
    <n v="0"/>
    <n v="0"/>
    <n v="14.530158616332301"/>
    <n v="4996.2988270731939"/>
    <n v="310.29882707319467"/>
    <n v="0"/>
    <n v="600"/>
    <n v="25.149755320515396"/>
    <n v="5461.0910322442369"/>
    <n v="219.091032244237"/>
    <n v="0"/>
    <n v="0"/>
    <n v="2.6012626245387764"/>
    <n v="894.46273389497344"/>
    <n v="78.462733894973553"/>
  </r>
  <r>
    <n v="46"/>
    <x v="3"/>
    <x v="27"/>
    <n v="0"/>
    <n v="0"/>
    <n v="0"/>
    <n v="0"/>
    <n v="570"/>
    <n v="14.572538245630312"/>
    <n v="4440.8713653188242"/>
    <n v="324.87136531882499"/>
    <n v="0"/>
    <m/>
    <n v="22.754545967683953"/>
    <n v="5483.8455782119208"/>
    <n v="241.84557821192095"/>
    <n v="0"/>
    <n v="0"/>
    <n v="2.6088496405270689"/>
    <n v="897.07158353550051"/>
    <n v="81.071583535500622"/>
  </r>
  <r>
    <n v="46"/>
    <x v="3"/>
    <x v="28"/>
    <n v="2400"/>
    <n v="408.00000000000006"/>
    <n v="480"/>
    <n v="456"/>
    <n v="570"/>
    <n v="12.952541482180095"/>
    <n v="4339.8239068010043"/>
    <n v="337.82390680100508"/>
    <n v="192"/>
    <m/>
    <n v="22.849356575882666"/>
    <n v="5698.6949347878035"/>
    <n v="264.69493478780362"/>
    <n v="240"/>
    <n v="0"/>
    <n v="2.6164587853119201"/>
    <n v="1139.6880423208124"/>
    <n v="83.688042320812542"/>
  </r>
  <r>
    <n v="47"/>
    <x v="4"/>
    <x v="29"/>
    <n v="2400"/>
    <n v="408.00000000000006"/>
    <n v="480"/>
    <n v="456"/>
    <n v="570"/>
    <n v="12.65781972816967"/>
    <n v="4238.481726529174"/>
    <n v="350.48172652917475"/>
    <n v="192"/>
    <m/>
    <n v="23.74456222828212"/>
    <n v="5914.4394970160856"/>
    <n v="288.43949701608574"/>
    <n v="240"/>
    <n v="0"/>
    <n v="3.3240901234357807"/>
    <n v="1383.0121324442482"/>
    <n v="87.012132444248323"/>
  </r>
  <r>
    <n v="47"/>
    <x v="4"/>
    <x v="30"/>
    <n v="2400"/>
    <n v="408.00000000000006"/>
    <n v="480"/>
    <n v="456"/>
    <n v="570"/>
    <n v="12.362238369043553"/>
    <n v="4136.8439648982176"/>
    <n v="362.8439648982183"/>
    <n v="192"/>
    <m/>
    <n v="24.6434979042333"/>
    <n v="6131.0829949203189"/>
    <n v="313.08299492031904"/>
    <n v="240"/>
    <n v="0"/>
    <n v="4.0337853862956763"/>
    <n v="1627.0459178305439"/>
    <n v="91.045917830543999"/>
  </r>
  <r>
    <n v="47"/>
    <x v="4"/>
    <x v="31"/>
    <n v="2400"/>
    <n v="408.00000000000006"/>
    <n v="480"/>
    <n v="456"/>
    <n v="570"/>
    <n v="12.065794897619526"/>
    <n v="4034.9097597958371"/>
    <n v="374.90975979583783"/>
    <n v="192"/>
    <n v="1000"/>
    <n v="25.546179145500901"/>
    <n v="5348.6291740658198"/>
    <n v="338.62917406581994"/>
    <n v="240"/>
    <n v="500"/>
    <n v="4.7455505936725331"/>
    <n v="1371.7914684242164"/>
    <n v="95.7914684242165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m/>
    <x v="0"/>
    <x v="0"/>
    <n v="0"/>
    <n v="0"/>
    <n v="0"/>
    <m/>
    <n v="0"/>
    <n v="0"/>
    <m/>
    <m/>
    <n v="0"/>
    <m/>
    <n v="0"/>
    <m/>
    <m/>
    <n v="0"/>
    <n v="0"/>
    <n v="0"/>
    <m/>
    <m/>
  </r>
  <r>
    <n v="44"/>
    <x v="1"/>
    <x v="1"/>
    <n v="1900"/>
    <n v="323"/>
    <n v="380"/>
    <n v="399"/>
    <n v="0"/>
    <n v="0"/>
    <n v="399"/>
    <n v="0"/>
    <n v="133"/>
    <n v="100"/>
    <n v="0"/>
    <n v="33"/>
    <n v="0"/>
    <n v="171"/>
    <n v="0"/>
    <n v="0"/>
    <n v="171"/>
    <n v="0"/>
  </r>
  <r>
    <n v="44"/>
    <x v="1"/>
    <x v="2"/>
    <n v="1900"/>
    <n v="323"/>
    <n v="380"/>
    <n v="399"/>
    <n v="0"/>
    <n v="1.1637499999999932"/>
    <n v="799.16374999999994"/>
    <n v="1.1637499999999932"/>
    <n v="133"/>
    <n v="100"/>
    <n v="0.13750000000000284"/>
    <n v="66.137499999999989"/>
    <n v="0.13750000000000284"/>
    <n v="171"/>
    <n v="0"/>
    <n v="0.49875000000000114"/>
    <n v="342.49874999999997"/>
    <n v="0.49875000000000114"/>
  </r>
  <r>
    <n v="44"/>
    <x v="1"/>
    <x v="3"/>
    <n v="1900"/>
    <n v="323"/>
    <n v="380"/>
    <n v="399"/>
    <n v="0"/>
    <n v="2.3308942708333689"/>
    <n v="1200.4946442708333"/>
    <n v="3.494644270833362"/>
    <n v="133"/>
    <n v="100"/>
    <n v="0.27557291666666117"/>
    <n v="99.413072916666636"/>
    <n v="0.41307291666666401"/>
    <n v="171"/>
    <n v="0"/>
    <n v="0.99895468750003147"/>
    <n v="514.4977046875"/>
    <n v="1.4977046875000326"/>
  </r>
  <r>
    <n v="44"/>
    <x v="1"/>
    <x v="4"/>
    <n v="1900"/>
    <n v="323"/>
    <n v="380"/>
    <n v="399"/>
    <m/>
    <n v="3.5014427124565373"/>
    <n v="1602.9960869832898"/>
    <n v="6.9960869832898993"/>
    <n v="133"/>
    <n v="100"/>
    <n v="0.41422113715277931"/>
    <n v="132.8272940538194"/>
    <n v="0.82729405381944332"/>
    <n v="171"/>
    <n v="0"/>
    <n v="1.5006183053385485"/>
    <n v="686.99832299283855"/>
    <n v="2.9983229928385811"/>
  </r>
  <r>
    <n v="45"/>
    <x v="2"/>
    <x v="5"/>
    <n v="1900"/>
    <n v="323"/>
    <n v="380"/>
    <n v="399"/>
    <m/>
    <n v="4.6754052537012285"/>
    <n v="2006.6714922369911"/>
    <n v="11.671492236991128"/>
    <n v="133"/>
    <n v="0"/>
    <n v="0.55344705855756615"/>
    <n v="266.380741112377"/>
    <n v="1.3807411123770095"/>
    <n v="171"/>
    <n v="0"/>
    <n v="2.0037451087291629"/>
    <n v="860.00206810156772"/>
    <n v="5.002068101567744"/>
  </r>
  <r>
    <n v="45"/>
    <x v="2"/>
    <x v="6"/>
    <n v="1900"/>
    <n v="323"/>
    <n v="380"/>
    <n v="399"/>
    <m/>
    <n v="5.8527918523579956"/>
    <n v="2411.5242840893488"/>
    <n v="17.524284089349123"/>
    <n v="133"/>
    <n v="0"/>
    <n v="1.109919754634916"/>
    <n v="400.49066086701191"/>
    <n v="2.4906608670119255"/>
    <n v="171"/>
    <n v="0"/>
    <n v="2.5083393652962513"/>
    <n v="1033.5104074668639"/>
    <n v="7.5104074668639953"/>
  </r>
  <r>
    <n v="45"/>
    <x v="2"/>
    <x v="7"/>
    <n v="1900"/>
    <n v="323"/>
    <n v="380"/>
    <n v="399"/>
    <m/>
    <n v="7.0336124952605132"/>
    <n v="2817.5578965846094"/>
    <n v="24.557896584609637"/>
    <n v="133"/>
    <n v="200"/>
    <n v="1.6687110869459048"/>
    <n v="335.15937195395782"/>
    <n v="4.1593719539578302"/>
    <n v="171"/>
    <n v="0"/>
    <n v="3.0144053551116485"/>
    <n v="1207.5248128219755"/>
    <n v="10.524812821975644"/>
  </r>
  <r>
    <n v="45"/>
    <x v="2"/>
    <x v="8"/>
    <n v="1900"/>
    <n v="323"/>
    <n v="380"/>
    <n v="399"/>
    <m/>
    <n v="8.2178771983717525"/>
    <n v="3224.7757737829811"/>
    <n v="32.775773782981389"/>
    <n v="133"/>
    <n v="0"/>
    <n v="1.3964973831414795"/>
    <n v="469.5558693370993"/>
    <n v="5.5558693370993097"/>
    <n v="171"/>
    <n v="0"/>
    <n v="3.5219473707306861"/>
    <n v="1382.0467601927062"/>
    <n v="14.04676019270633"/>
  </r>
  <r>
    <n v="45"/>
    <x v="2"/>
    <x v="9"/>
    <n v="1900"/>
    <n v="323"/>
    <n v="380"/>
    <n v="399"/>
    <m/>
    <n v="9.4055960068671993"/>
    <n v="3633.1813697898483"/>
    <n v="42.181369789848588"/>
    <n v="133"/>
    <n v="0"/>
    <n v="1.956482788904566"/>
    <n v="604.51235212600386"/>
    <n v="7.5123521260038757"/>
    <n v="171"/>
    <n v="0"/>
    <n v="4.0309697172287997"/>
    <n v="1557.077729909935"/>
    <n v="18.07772990993513"/>
  </r>
  <r>
    <n v="45"/>
    <x v="2"/>
    <x v="10"/>
    <n v="1900"/>
    <n v="323"/>
    <n v="380"/>
    <n v="399"/>
    <n v="200"/>
    <n v="10.596778995220575"/>
    <n v="3842.7781487850689"/>
    <n v="52.778148785069163"/>
    <n v="133"/>
    <n v="0"/>
    <n v="2.518801467191679"/>
    <n v="740.03115359319554"/>
    <n v="10.031153593195555"/>
    <n v="171"/>
    <n v="0"/>
    <n v="4.5414767122372268"/>
    <n v="1732.6192066221722"/>
    <n v="22.619206622172356"/>
  </r>
  <r>
    <n v="45"/>
    <x v="2"/>
    <x v="11"/>
    <n v="1900"/>
    <n v="323"/>
    <n v="380"/>
    <n v="399"/>
    <m/>
    <n v="11.208102933956525"/>
    <n v="4252.9862517190249"/>
    <n v="63.986251719025688"/>
    <n v="133"/>
    <n v="0"/>
    <n v="3.0834631399716272"/>
    <n v="876.11461673316717"/>
    <n v="13.114616733167182"/>
    <n v="171"/>
    <n v="0"/>
    <n v="5.0534726859814327"/>
    <n v="1908.6726793081536"/>
    <n v="27.672679308153789"/>
  </r>
  <r>
    <n v="45"/>
    <x v="2"/>
    <x v="12"/>
    <n v="1900"/>
    <n v="323"/>
    <n v="380"/>
    <n v="399"/>
    <m/>
    <n v="12.404543234180892"/>
    <n v="4664.3907949532058"/>
    <n v="76.39079495320658"/>
    <n v="133"/>
    <n v="100"/>
    <n v="3.6504775697214882"/>
    <n v="912.76509430288866"/>
    <n v="16.76509430288867"/>
    <n v="171"/>
    <n v="2000"/>
    <n v="5.5669619813154441"/>
    <n v="85.239641289469091"/>
    <n v="33.239641289469233"/>
  </r>
  <r>
    <n v="45"/>
    <x v="2"/>
    <x v="13"/>
    <n v="1900"/>
    <n v="323"/>
    <n v="380"/>
    <n v="399"/>
    <m/>
    <n v="13.604473151946877"/>
    <n v="5076.9952681051527"/>
    <n v="89.995268105153457"/>
    <n v="133"/>
    <n v="100"/>
    <n v="3.8031878929286904"/>
    <n v="949.56828219581735"/>
    <n v="20.568282195817361"/>
    <n v="171"/>
    <n v="0"/>
    <n v="0.2486156204276142"/>
    <n v="256.48825690989668"/>
    <n v="33.488256909896847"/>
  </r>
  <r>
    <n v="45"/>
    <x v="2"/>
    <x v="14"/>
    <n v="1900"/>
    <n v="323"/>
    <n v="380"/>
    <n v="399"/>
    <m/>
    <n v="14.80790286530646"/>
    <n v="5490.8031709704592"/>
    <n v="104.80317097045992"/>
    <n v="133"/>
    <n v="100"/>
    <n v="3.9565345091492645"/>
    <n v="986.52481670496672"/>
    <n v="24.524816704966625"/>
    <n v="171"/>
    <n v="0"/>
    <n v="0.74809074932051089"/>
    <n v="428.23634765921719"/>
    <n v="34.236347659217358"/>
  </r>
  <r>
    <n v="45"/>
    <x v="2"/>
    <x v="15"/>
    <n v="1900"/>
    <n v="323"/>
    <n v="380"/>
    <n v="399"/>
    <m/>
    <n v="16.014842581997073"/>
    <n v="5905.8180135524563"/>
    <n v="120.81801355245699"/>
    <n v="133"/>
    <n v="100"/>
    <n v="4.1105200696040356"/>
    <n v="1023.6353367745708"/>
    <n v="28.635336774570661"/>
    <n v="171"/>
    <n v="0"/>
    <n v="1.2490226806727378"/>
    <n v="600.48537033988987"/>
    <n v="35.485370339890096"/>
  </r>
  <r>
    <n v="45"/>
    <x v="2"/>
    <x v="16"/>
    <n v="1900"/>
    <n v="323"/>
    <n v="380"/>
    <n v="399"/>
    <n v="0"/>
    <n v="17.225302539528457"/>
    <n v="6322.0433160919847"/>
    <n v="138.04331609198545"/>
    <n v="133"/>
    <n v="0"/>
    <n v="4.2651472365607788"/>
    <n v="1160.9004840111315"/>
    <n v="32.900484011131439"/>
    <n v="171"/>
    <n v="0"/>
    <n v="1.7514156634913434"/>
    <n v="773.23678600338121"/>
    <n v="37.23678600338144"/>
  </r>
  <r>
    <n v="46"/>
    <x v="3"/>
    <x v="17"/>
    <n v="1900"/>
    <n v="323"/>
    <n v="380"/>
    <n v="361"/>
    <n v="500"/>
    <n v="18.439293005268155"/>
    <n v="6201.4826090972529"/>
    <n v="156.4826090972536"/>
    <n v="152"/>
    <n v="0"/>
    <n v="4.8370853500464364"/>
    <n v="1317.737569361178"/>
    <n v="37.737569361177876"/>
    <n v="190"/>
    <n v="0"/>
    <n v="2.2552739591765203"/>
    <n v="965.49205996255773"/>
    <n v="39.49205996255796"/>
  </r>
  <r>
    <n v="46"/>
    <x v="3"/>
    <x v="18"/>
    <n v="1900"/>
    <n v="323"/>
    <n v="380"/>
    <n v="361"/>
    <n v="500"/>
    <n v="18.087657609867165"/>
    <n v="6080.57026670712"/>
    <n v="174.57026670712077"/>
    <n v="152"/>
    <n v="50"/>
    <n v="5.4905732056715806"/>
    <n v="1425.2281425668496"/>
    <n v="43.228142566849456"/>
    <n v="190"/>
    <n v="0"/>
    <n v="2.8160185082241469"/>
    <n v="1158.3080784707818"/>
    <n v="42.308078470782107"/>
  </r>
  <r>
    <n v="46"/>
    <x v="3"/>
    <x v="19"/>
    <n v="2400"/>
    <n v="408.00000000000006"/>
    <n v="480"/>
    <n v="456"/>
    <n v="500"/>
    <n v="17.73499661122878"/>
    <n v="6054.3052633183488"/>
    <n v="192.30526331834955"/>
    <n v="192"/>
    <n v="0"/>
    <n v="5.938450594028609"/>
    <n v="1623.1665931608782"/>
    <n v="49.166593160878065"/>
    <n v="240"/>
    <n v="0"/>
    <n v="3.3783985622064847"/>
    <n v="1401.6864770329883"/>
    <n v="45.686477032988591"/>
  </r>
  <r>
    <n v="46"/>
    <x v="3"/>
    <x v="20"/>
    <n v="2400"/>
    <n v="408.00000000000006"/>
    <n v="480"/>
    <n v="456"/>
    <n v="500"/>
    <n v="17.658390351345588"/>
    <n v="6027.9636536696944"/>
    <n v="209.96365366969513"/>
    <n v="192"/>
    <n v="-5000"/>
    <n v="6.76319413817032"/>
    <n v="6821.9297872990483"/>
    <n v="55.929787299048385"/>
    <n v="240"/>
    <n v="0"/>
    <n v="4.0882522246795361"/>
    <n v="1645.7747292576678"/>
    <n v="49.774729257668128"/>
  </r>
  <r>
    <n v="46"/>
    <x v="3"/>
    <x v="21"/>
    <n v="2400"/>
    <n v="408.00000000000006"/>
    <n v="480"/>
    <n v="456"/>
    <n v="500"/>
    <n v="17.581560656536567"/>
    <n v="6001.545214326231"/>
    <n v="227.5452143262317"/>
    <n v="192"/>
    <n v="0"/>
    <n v="28.424707447079527"/>
    <n v="7042.3544947461278"/>
    <n v="84.354494746127912"/>
    <n v="240"/>
    <n v="0"/>
    <n v="4.8001762936683008"/>
    <n v="1890.5749055513361"/>
    <n v="54.574905551336428"/>
  </r>
  <r>
    <n v="46"/>
    <x v="3"/>
    <x v="22"/>
    <n v="2400"/>
    <n v="408.00000000000006"/>
    <n v="480"/>
    <n v="456"/>
    <n v="500"/>
    <n v="17.504506875117841"/>
    <n v="5975.0497212013488"/>
    <n v="245.04972120134954"/>
    <n v="192"/>
    <n v="500"/>
    <n v="29.343143728108771"/>
    <n v="6763.6976384742366"/>
    <n v="113.69763847423668"/>
    <n v="240"/>
    <n v="0"/>
    <n v="5.5141768078581208"/>
    <n v="2136.0890823591944"/>
    <n v="60.089082359194549"/>
  </r>
  <r>
    <n v="46"/>
    <x v="3"/>
    <x v="23"/>
    <n v="2400"/>
    <n v="408.00000000000006"/>
    <n v="480"/>
    <n v="456"/>
    <n v="500"/>
    <n v="17.427228353503779"/>
    <n v="5948.4769495548526"/>
    <n v="262.47694955485332"/>
    <n v="192"/>
    <n v="500"/>
    <n v="28.182073493642747"/>
    <n v="6483.8797119678793"/>
    <n v="141.87971196787942"/>
    <n v="240"/>
    <n v="0"/>
    <n v="6.2302598235478399"/>
    <n v="2382.3193421827423"/>
    <n v="66.319342182742389"/>
  </r>
  <r>
    <n v="46"/>
    <x v="3"/>
    <x v="24"/>
    <n v="0"/>
    <n v="0"/>
    <n v="0"/>
    <n v="0"/>
    <n v="500"/>
    <n v="17.349724436201541"/>
    <n v="5465.8266739910541"/>
    <n v="279.82667399105486"/>
    <n v="0"/>
    <n v="500"/>
    <n v="27.016165466532584"/>
    <n v="6010.8958774344119"/>
    <n v="168.895877434412"/>
    <n v="0"/>
    <n v="1500"/>
    <n v="6.9484314146998258"/>
    <n v="889.2677735974421"/>
    <n v="73.267773597442215"/>
  </r>
  <r>
    <n v="46"/>
    <x v="3"/>
    <x v="25"/>
    <n v="0"/>
    <n v="0"/>
    <n v="0"/>
    <n v="0"/>
    <n v="500"/>
    <n v="15.941994465807511"/>
    <n v="4981.7686684568616"/>
    <n v="295.76866845686237"/>
    <n v="0"/>
    <m/>
    <n v="25.045399489309602"/>
    <n v="6035.9412769237215"/>
    <n v="193.9412769237216"/>
    <n v="0"/>
    <n v="0"/>
    <n v="2.5936976729925618"/>
    <n v="891.86147127043466"/>
    <n v="75.861471270434777"/>
  </r>
  <r>
    <n v="46"/>
    <x v="3"/>
    <x v="26"/>
    <n v="0"/>
    <n v="0"/>
    <n v="0"/>
    <n v="0"/>
    <n v="0"/>
    <n v="14.530158616332301"/>
    <n v="4996.2988270731939"/>
    <n v="310.29882707319467"/>
    <n v="0"/>
    <n v="600"/>
    <n v="25.149755320515396"/>
    <n v="5461.0910322442369"/>
    <n v="219.091032244237"/>
    <n v="0"/>
    <n v="0"/>
    <n v="2.6012626245387764"/>
    <n v="894.46273389497344"/>
    <n v="78.462733894973553"/>
  </r>
  <r>
    <n v="46"/>
    <x v="3"/>
    <x v="27"/>
    <n v="0"/>
    <n v="0"/>
    <n v="0"/>
    <n v="0"/>
    <n v="570"/>
    <n v="14.572538245630312"/>
    <n v="4440.8713653188242"/>
    <n v="324.87136531882499"/>
    <n v="0"/>
    <m/>
    <n v="22.754545967683953"/>
    <n v="5483.8455782119208"/>
    <n v="241.84557821192095"/>
    <n v="0"/>
    <n v="0"/>
    <n v="2.6088496405270689"/>
    <n v="897.07158353550051"/>
    <n v="81.071583535500622"/>
  </r>
  <r>
    <n v="46"/>
    <x v="3"/>
    <x v="28"/>
    <n v="2400"/>
    <n v="408.00000000000006"/>
    <n v="480"/>
    <n v="456"/>
    <n v="570"/>
    <n v="12.952541482180095"/>
    <n v="4339.8239068010043"/>
    <n v="337.82390680100508"/>
    <n v="192"/>
    <m/>
    <n v="22.849356575882666"/>
    <n v="5698.6949347878035"/>
    <n v="264.69493478780362"/>
    <n v="240"/>
    <n v="0"/>
    <n v="2.6164587853119201"/>
    <n v="1139.6880423208124"/>
    <n v="83.688042320812542"/>
  </r>
  <r>
    <n v="47"/>
    <x v="4"/>
    <x v="29"/>
    <n v="2400"/>
    <n v="408.00000000000006"/>
    <n v="480"/>
    <n v="456"/>
    <n v="570"/>
    <n v="12.65781972816967"/>
    <n v="4238.481726529174"/>
    <n v="350.48172652917475"/>
    <n v="192"/>
    <m/>
    <n v="23.74456222828212"/>
    <n v="5914.4394970160856"/>
    <n v="288.43949701608574"/>
    <n v="240"/>
    <n v="0"/>
    <n v="3.3240901234357807"/>
    <n v="1383.0121324442482"/>
    <n v="87.012132444248323"/>
  </r>
  <r>
    <n v="47"/>
    <x v="4"/>
    <x v="30"/>
    <n v="2400"/>
    <n v="408.00000000000006"/>
    <n v="480"/>
    <n v="456"/>
    <n v="570"/>
    <n v="12.362238369043553"/>
    <n v="4136.8439648982176"/>
    <n v="362.8439648982183"/>
    <n v="192"/>
    <m/>
    <n v="24.6434979042333"/>
    <n v="6131.0829949203189"/>
    <n v="313.08299492031904"/>
    <n v="240"/>
    <n v="0"/>
    <n v="4.0337853862956763"/>
    <n v="1627.0459178305439"/>
    <n v="91.045917830543999"/>
  </r>
  <r>
    <n v="47"/>
    <x v="4"/>
    <x v="31"/>
    <n v="2400"/>
    <n v="408.00000000000006"/>
    <n v="480"/>
    <n v="456"/>
    <n v="570"/>
    <n v="12.065794897619526"/>
    <n v="4034.9097597958371"/>
    <n v="374.90975979583783"/>
    <n v="192"/>
    <n v="1000"/>
    <n v="25.546179145500901"/>
    <n v="5348.6291740658198"/>
    <n v="338.62917406581994"/>
    <n v="240"/>
    <n v="500"/>
    <n v="4.7455505936725331"/>
    <n v="1371.7914684242164"/>
    <n v="95.79146842421653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r>
  <r>
    <x v="1"/>
  </r>
  <r>
    <x v="2"/>
  </r>
  <r>
    <x v="3"/>
  </r>
  <r>
    <x v="4"/>
  </r>
  <r>
    <x v="5"/>
  </r>
  <r>
    <x v="6"/>
  </r>
  <r>
    <x v="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d v="2021-12-01T00:00:00"/>
    <s v="December"/>
    <x v="0"/>
    <m/>
  </r>
  <r>
    <d v="2021-12-01T00:00:00"/>
    <s v="KFC"/>
    <x v="1"/>
    <n v="8.5"/>
  </r>
  <r>
    <d v="2021-12-03T00:00:00"/>
    <s v="Gas"/>
    <x v="2"/>
    <n v="122"/>
  </r>
  <r>
    <d v="2021-12-05T00:00:00"/>
    <s v="KTV"/>
    <x v="3"/>
    <n v="158"/>
  </r>
  <r>
    <d v="2021-12-06T00:00:00"/>
    <s v="train ticket"/>
    <x v="4"/>
    <n v="36"/>
  </r>
  <r>
    <d v="2021-12-12T00:00:00"/>
    <s v="Dinner"/>
    <x v="1"/>
    <n v="52"/>
  </r>
  <r>
    <d v="2021-12-18T00:00:00"/>
    <s v="Hotel"/>
    <x v="5"/>
    <n v="95"/>
  </r>
  <r>
    <d v="2021-12-25T00:00:00"/>
    <s v="verizon"/>
    <x v="6"/>
    <n v="40"/>
  </r>
  <r>
    <d v="2021-12-25T00:00:00"/>
    <s v="Gift"/>
    <x v="7"/>
    <n v="500"/>
  </r>
  <r>
    <d v="2021-12-31T00:00:00"/>
    <s v="iphone"/>
    <x v="6"/>
    <n v="666"/>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x v="0"/>
    <x v="0"/>
    <n v="7.43"/>
    <n v="4.79"/>
    <n v="5.91"/>
    <n v="11.16"/>
    <n v="0.05"/>
  </r>
  <r>
    <x v="1"/>
    <x v="0"/>
    <x v="1"/>
    <n v="2.66"/>
    <n v="1.61"/>
    <n v="1.98"/>
    <n v="8.89"/>
    <n v="-0.03"/>
  </r>
  <r>
    <x v="2"/>
    <x v="1"/>
    <x v="2"/>
    <n v="179.1"/>
    <n v="125.44"/>
    <n v="142.88"/>
    <n v="37.453200000000002"/>
    <n v="0.1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2000"/>
    <n v="3.9287671232876713"/>
    <s v="Depreciating"/>
    <n v="0"/>
    <n v="-2000"/>
    <d v="2025-01-01T00:00:00"/>
    <n v="6"/>
    <n v="0"/>
    <n v="-2000"/>
  </r>
  <r>
    <x v="1"/>
    <n v="1200"/>
    <n v="3.9287671232876713"/>
    <s v="Depreciating"/>
    <n v="257.09589041095887"/>
    <n v="-942.90410958904113"/>
    <d v="2025-01-01T00:00:00"/>
    <n v="6"/>
    <n v="0"/>
    <n v="-942.90410958904113"/>
  </r>
  <r>
    <x v="2"/>
    <n v="2040000"/>
    <n v="1.704109589041096"/>
    <s v="Appreciating"/>
    <n v="2306986.2575342469"/>
    <n v="266986.25753424689"/>
    <d v="2025-01-01T00:00:00"/>
    <n v="4"/>
    <n v="2666688"/>
    <n v="266986.25753424689"/>
  </r>
  <r>
    <x v="3"/>
    <n v="267500"/>
    <n v="2.3808219178082193"/>
    <s v="Appreciating"/>
    <n v="331186.98630136991"/>
    <n v="63686.986301369907"/>
    <d v="2025-01-01T00:00:00"/>
    <n v="5"/>
    <n v="401250"/>
    <n v="63686.986301369907"/>
  </r>
  <r>
    <x v="4"/>
    <n v="100000"/>
    <n v="2.2410958904109588"/>
    <s v="Depreciating"/>
    <n v="82026.410958904104"/>
    <n v="-17973.589041095896"/>
    <d v="2025-01-01T00:00:00"/>
    <n v="5"/>
    <n v="59900"/>
    <n v="-17973.589041095896"/>
  </r>
  <r>
    <x v="0"/>
    <n v="1889"/>
    <n v="1.9835616438356165"/>
    <s v="Depreciating"/>
    <n v="652.50717808219179"/>
    <n v="-1236.4928219178082"/>
    <d v="2025-01-01T00:00:00"/>
    <n v="4"/>
    <n v="0"/>
    <n v="-1236.4928219178082"/>
  </r>
  <r>
    <x v="1"/>
    <n v="789"/>
    <n v="3.9808219178082194"/>
    <s v="Depreciating"/>
    <n v="160.82630136986299"/>
    <n v="-628.17369863013698"/>
    <d v="2025-01-01T00:00:00"/>
    <n v="6"/>
    <n v="0"/>
    <n v="-628.17369863013698"/>
  </r>
  <r>
    <x v="0"/>
    <n v="1299"/>
    <n v="0.39726027397260272"/>
    <s v="Depreciating"/>
    <n v="1128.7064383561644"/>
    <n v="-170.29356164383557"/>
    <d v="2025-01-01T00:00:00"/>
    <n v="3"/>
    <n v="12.990000000000011"/>
    <n v="-170.29356164383557"/>
  </r>
  <r>
    <x v="4"/>
    <n v="242888"/>
    <n v="0.72876712328767124"/>
    <s v="Depreciating"/>
    <n v="228691.89511890413"/>
    <n v="-14196.104881095875"/>
    <d v="2025-01-01T00:00:00"/>
    <n v="3"/>
    <n v="184449.14720000001"/>
    <n v="-14196.104881095875"/>
  </r>
  <r>
    <x v="1"/>
    <n v="868"/>
    <n v="1.9808219178082191"/>
    <s v="Depreciating"/>
    <n v="524.12931506849316"/>
    <n v="-343.87068493150684"/>
    <d v="2025-01-01T00:00:00"/>
    <n v="4"/>
    <n v="173.59999999999997"/>
    <n v="-343.870684931506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56B551-E972-4790-B9D7-10137599F72D}" name="PivotTable13" cacheId="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 rowHeaderCaption="Types Of Account" colHeaderCaption="Banks">
  <location ref="E27:I35" firstHeaderRow="1" firstDataRow="2" firstDataCol="1"/>
  <pivotFields count="3">
    <pivotField axis="axisCol" allDrilled="1" subtotalTop="0" showAll="0" dataSourceSort="1" defaultSubtotal="0" defaultAttributeDrillState="1">
      <items count="3">
        <item x="0"/>
        <item x="1"/>
        <item x="2"/>
      </items>
    </pivotField>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1"/>
  </rowFields>
  <rowItems count="7">
    <i>
      <x/>
    </i>
    <i>
      <x v="1"/>
    </i>
    <i>
      <x v="2"/>
    </i>
    <i>
      <x v="3"/>
    </i>
    <i>
      <x v="4"/>
    </i>
    <i>
      <x v="5"/>
    </i>
    <i t="grand">
      <x/>
    </i>
  </rowItems>
  <colFields count="1">
    <field x="0"/>
  </colFields>
  <colItems count="4">
    <i>
      <x/>
    </i>
    <i>
      <x v="1"/>
    </i>
    <i>
      <x v="2"/>
    </i>
    <i t="grand">
      <x/>
    </i>
  </colItems>
  <dataFields count="1">
    <dataField name="Sum of Account Balance" fld="2" baseField="0" baseItem="0"/>
  </dataFields>
  <formats count="24">
    <format dxfId="300">
      <pivotArea dataOnly="0" labelOnly="1" grandCol="1" outline="0" fieldPosition="0"/>
    </format>
    <format dxfId="299">
      <pivotArea type="origin" dataOnly="0" labelOnly="1" outline="0" fieldPosition="0"/>
    </format>
    <format dxfId="298">
      <pivotArea dataOnly="0" grandRow="1" fieldPosition="0"/>
    </format>
    <format dxfId="297">
      <pivotArea type="origin" dataOnly="0" labelOnly="1" outline="0" fieldPosition="0"/>
    </format>
    <format dxfId="296">
      <pivotArea type="topRight" dataOnly="0" labelOnly="1" outline="0" fieldPosition="0"/>
    </format>
    <format dxfId="295">
      <pivotArea dataOnly="0" labelOnly="1" grandCol="1" outline="0" fieldPosition="0"/>
    </format>
    <format dxfId="294">
      <pivotArea type="origin" dataOnly="0" labelOnly="1" outline="0" fieldPosition="0"/>
    </format>
    <format dxfId="293">
      <pivotArea type="topRight" dataOnly="0" labelOnly="1" outline="0" fieldPosition="0"/>
    </format>
    <format dxfId="292">
      <pivotArea dataOnly="0" labelOnly="1" grandCol="1" outline="0" fieldPosition="0"/>
    </format>
    <format dxfId="291">
      <pivotArea type="origin" dataOnly="0" labelOnly="1" outline="0" fieldPosition="0"/>
    </format>
    <format dxfId="290">
      <pivotArea type="topRight" dataOnly="0" labelOnly="1" outline="0" fieldPosition="0"/>
    </format>
    <format dxfId="289">
      <pivotArea dataOnly="0" labelOnly="1" grandCol="1" outline="0" fieldPosition="0"/>
    </format>
    <format dxfId="288">
      <pivotArea type="origin" dataOnly="0" labelOnly="1" outline="0" fieldPosition="0"/>
    </format>
    <format dxfId="287">
      <pivotArea type="topRight" dataOnly="0" labelOnly="1" outline="0" fieldPosition="0"/>
    </format>
    <format dxfId="286">
      <pivotArea dataOnly="0" labelOnly="1" grandCol="1" outline="0" fieldPosition="0"/>
    </format>
    <format dxfId="285">
      <pivotArea type="origin" dataOnly="0" labelOnly="1" outline="0" fieldPosition="0"/>
    </format>
    <format dxfId="284">
      <pivotArea type="topRight" dataOnly="0" labelOnly="1" outline="0" fieldPosition="0"/>
    </format>
    <format dxfId="283">
      <pivotArea dataOnly="0" labelOnly="1" grandCol="1" outline="0" fieldPosition="0"/>
    </format>
    <format dxfId="282">
      <pivotArea type="topRight" dataOnly="0" labelOnly="1" outline="0" fieldPosition="0"/>
    </format>
    <format dxfId="281">
      <pivotArea dataOnly="0" labelOnly="1" grandCol="1" outline="0" fieldPosition="0"/>
    </format>
    <format dxfId="280">
      <pivotArea dataOnly="0" grandRow="1" fieldPosition="0"/>
    </format>
    <format dxfId="279">
      <pivotArea field="1" type="button" dataOnly="0" labelOnly="1" outline="0" axis="axisRow" fieldPosition="0"/>
    </format>
    <format dxfId="278">
      <pivotArea dataOnly="0" labelOnly="1" fieldPosition="0">
        <references count="1">
          <reference field="0" count="0"/>
        </references>
      </pivotArea>
    </format>
    <format dxfId="277">
      <pivotArea field="0" type="button" dataOnly="0" labelOnly="1" outline="0" axis="axisCol" fieldPosition="0"/>
    </format>
  </formats>
  <chartFormats count="11">
    <chartFormat chart="1" format="16" series="1">
      <pivotArea type="data" outline="0" fieldPosition="0">
        <references count="1">
          <reference field="4294967294" count="1" selected="0">
            <x v="0"/>
          </reference>
        </references>
      </pivotArea>
    </chartFormat>
    <chartFormat chart="1" format="17" series="1">
      <pivotArea type="data" outline="0" fieldPosition="0">
        <references count="2">
          <reference field="4294967294" count="1" selected="0">
            <x v="0"/>
          </reference>
          <reference field="1" count="1" selected="0">
            <x v="1"/>
          </reference>
        </references>
      </pivotArea>
    </chartFormat>
    <chartFormat chart="1" format="18" series="1">
      <pivotArea type="data" outline="0" fieldPosition="0">
        <references count="2">
          <reference field="4294967294" count="1" selected="0">
            <x v="0"/>
          </reference>
          <reference field="1" count="1" selected="0">
            <x v="2"/>
          </reference>
        </references>
      </pivotArea>
    </chartFormat>
    <chartFormat chart="1" format="19" series="1">
      <pivotArea type="data" outline="0" fieldPosition="0">
        <references count="2">
          <reference field="4294967294" count="1" selected="0">
            <x v="0"/>
          </reference>
          <reference field="1" count="1" selected="0">
            <x v="3"/>
          </reference>
        </references>
      </pivotArea>
    </chartFormat>
    <chartFormat chart="1" format="20" series="1">
      <pivotArea type="data" outline="0" fieldPosition="0">
        <references count="2">
          <reference field="4294967294" count="1" selected="0">
            <x v="0"/>
          </reference>
          <reference field="1" count="1" selected="0">
            <x v="4"/>
          </reference>
        </references>
      </pivotArea>
    </chartFormat>
    <chartFormat chart="1" format="21" series="1">
      <pivotArea type="data" outline="0" fieldPosition="0">
        <references count="2">
          <reference field="4294967294" count="1" selected="0">
            <x v="0"/>
          </reference>
          <reference field="1" count="1" selected="0">
            <x v="5"/>
          </reference>
        </references>
      </pivotArea>
    </chartFormat>
    <chartFormat chart="1" format="23" series="1">
      <pivotArea type="data" outline="0" fieldPosition="0">
        <references count="3">
          <reference field="4294967294" count="1" selected="0">
            <x v="0"/>
          </reference>
          <reference field="0" count="1" selected="0">
            <x v="2"/>
          </reference>
          <reference field="1" count="1" selected="0">
            <x v="1"/>
          </reference>
        </references>
      </pivotArea>
    </chartFormat>
    <chartFormat chart="1" format="24" series="1">
      <pivotArea type="data" outline="0" fieldPosition="0">
        <references count="3">
          <reference field="4294967294" count="1" selected="0">
            <x v="0"/>
          </reference>
          <reference field="0" count="1" selected="0">
            <x v="2"/>
          </reference>
          <reference field="1" count="1" selected="0">
            <x v="2"/>
          </reference>
        </references>
      </pivotArea>
    </chartFormat>
    <chartFormat chart="1" format="25" series="1">
      <pivotArea type="data" outline="0" fieldPosition="0">
        <references count="3">
          <reference field="4294967294" count="1" selected="0">
            <x v="0"/>
          </reference>
          <reference field="0" count="1" selected="0">
            <x v="2"/>
          </reference>
          <reference field="1" count="1" selected="0">
            <x v="5"/>
          </reference>
        </references>
      </pivotArea>
    </chartFormat>
    <chartFormat chart="1" format="26" series="1">
      <pivotArea type="data" outline="0" fieldPosition="0">
        <references count="2">
          <reference field="4294967294" count="1" selected="0">
            <x v="0"/>
          </reference>
          <reference field="0" count="1" selected="0">
            <x v="1"/>
          </reference>
        </references>
      </pivotArea>
    </chartFormat>
    <chartFormat chart="1" format="27" series="1">
      <pivotArea type="data" outline="0" fieldPosition="0">
        <references count="2">
          <reference field="4294967294" count="1" selected="0">
            <x v="0"/>
          </reference>
          <reference field="0" count="1" selected="0">
            <x v="2"/>
          </reference>
        </references>
      </pivotArea>
    </chartFormat>
  </chartFormats>
  <pivotHierarchies count="6">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2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C3335D-1A29-4962-9A26-92AE8B9AACCF}" name="PivotTable12" cacheId="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rowHeaderCaption="Types Of Account" colHeaderCaption="Banks">
  <location ref="E48:G53" firstHeaderRow="1" firstDataRow="2" firstDataCol="1"/>
  <pivotFields count="3">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1">
        <item s="1" x="0"/>
      </items>
    </pivotField>
    <pivotField dataField="1" subtotalTop="0" showAll="0" defaultSubtotal="0"/>
  </pivotFields>
  <rowFields count="1">
    <field x="0"/>
  </rowFields>
  <rowItems count="4">
    <i>
      <x/>
    </i>
    <i>
      <x v="1"/>
    </i>
    <i>
      <x v="2"/>
    </i>
    <i t="grand">
      <x/>
    </i>
  </rowItems>
  <colFields count="1">
    <field x="1"/>
  </colFields>
  <colItems count="2">
    <i>
      <x/>
    </i>
    <i t="grand">
      <x/>
    </i>
  </colItems>
  <dataFields count="1">
    <dataField name="Sum of Account Balance" fld="2" baseField="0" baseItem="0"/>
  </dataFields>
  <formats count="24">
    <format dxfId="324">
      <pivotArea dataOnly="0" labelOnly="1" grandCol="1" outline="0" fieldPosition="0"/>
    </format>
    <format dxfId="323">
      <pivotArea type="origin" dataOnly="0" labelOnly="1" outline="0" fieldPosition="0"/>
    </format>
    <format dxfId="322">
      <pivotArea dataOnly="0" grandRow="1" fieldPosition="0"/>
    </format>
    <format dxfId="321">
      <pivotArea type="origin" dataOnly="0" labelOnly="1" outline="0" fieldPosition="0"/>
    </format>
    <format dxfId="320">
      <pivotArea type="topRight" dataOnly="0" labelOnly="1" outline="0" fieldPosition="0"/>
    </format>
    <format dxfId="319">
      <pivotArea dataOnly="0" labelOnly="1" grandCol="1" outline="0" fieldPosition="0"/>
    </format>
    <format dxfId="318">
      <pivotArea type="origin" dataOnly="0" labelOnly="1" outline="0" fieldPosition="0"/>
    </format>
    <format dxfId="317">
      <pivotArea type="topRight" dataOnly="0" labelOnly="1" outline="0" fieldPosition="0"/>
    </format>
    <format dxfId="316">
      <pivotArea dataOnly="0" labelOnly="1" grandCol="1" outline="0" fieldPosition="0"/>
    </format>
    <format dxfId="315">
      <pivotArea type="origin" dataOnly="0" labelOnly="1" outline="0" fieldPosition="0"/>
    </format>
    <format dxfId="314">
      <pivotArea type="topRight" dataOnly="0" labelOnly="1" outline="0" fieldPosition="0"/>
    </format>
    <format dxfId="313">
      <pivotArea dataOnly="0" labelOnly="1" grandCol="1" outline="0" fieldPosition="0"/>
    </format>
    <format dxfId="312">
      <pivotArea type="origin" dataOnly="0" labelOnly="1" outline="0" fieldPosition="0"/>
    </format>
    <format dxfId="311">
      <pivotArea type="topRight" dataOnly="0" labelOnly="1" outline="0" fieldPosition="0"/>
    </format>
    <format dxfId="310">
      <pivotArea dataOnly="0" labelOnly="1" grandCol="1" outline="0" fieldPosition="0"/>
    </format>
    <format dxfId="309">
      <pivotArea type="origin" dataOnly="0" labelOnly="1" outline="0" fieldPosition="0"/>
    </format>
    <format dxfId="308">
      <pivotArea type="topRight" dataOnly="0" labelOnly="1" outline="0" fieldPosition="0"/>
    </format>
    <format dxfId="307">
      <pivotArea dataOnly="0" labelOnly="1" grandCol="1" outline="0" fieldPosition="0"/>
    </format>
    <format dxfId="306">
      <pivotArea type="topRight" dataOnly="0" labelOnly="1" outline="0" fieldPosition="0"/>
    </format>
    <format dxfId="305">
      <pivotArea dataOnly="0" labelOnly="1" grandCol="1" outline="0" fieldPosition="0"/>
    </format>
    <format dxfId="304">
      <pivotArea dataOnly="0" grandRow="1" fieldPosition="0"/>
    </format>
    <format dxfId="303">
      <pivotArea field="0" type="button" dataOnly="0" labelOnly="1" outline="0" axis="axisRow" fieldPosition="0"/>
    </format>
    <format dxfId="302">
      <pivotArea field="1" type="button" dataOnly="0" labelOnly="1" outline="0" axis="axisCol" fieldPosition="0"/>
    </format>
    <format dxfId="301">
      <pivotArea dataOnly="0" labelOnly="1" fieldPosition="0">
        <references count="1">
          <reference field="1" count="0"/>
        </references>
      </pivotArea>
    </format>
  </formats>
  <chartFormats count="5">
    <chartFormat chart="7" format="11" series="1">
      <pivotArea type="data" outline="0" fieldPosition="0">
        <references count="1">
          <reference field="4294967294" count="1" selected="0">
            <x v="0"/>
          </reference>
        </references>
      </pivotArea>
    </chartFormat>
    <chartFormat chart="7" format="12">
      <pivotArea type="data" outline="0" fieldPosition="0">
        <references count="3">
          <reference field="4294967294" count="1" selected="0">
            <x v="0"/>
          </reference>
          <reference field="0" count="1" selected="0">
            <x v="0"/>
          </reference>
          <reference field="1" count="1" selected="0">
            <x v="0"/>
          </reference>
        </references>
      </pivotArea>
    </chartFormat>
    <chartFormat chart="7" format="13">
      <pivotArea type="data" outline="0" fieldPosition="0">
        <references count="3">
          <reference field="4294967294" count="1" selected="0">
            <x v="0"/>
          </reference>
          <reference field="0" count="1" selected="0">
            <x v="1"/>
          </reference>
          <reference field="1" count="1" selected="0">
            <x v="0"/>
          </reference>
        </references>
      </pivotArea>
    </chartFormat>
    <chartFormat chart="7" format="14">
      <pivotArea type="data" outline="0" fieldPosition="0">
        <references count="3">
          <reference field="4294967294" count="1" selected="0">
            <x v="0"/>
          </reference>
          <reference field="0" count="1" selected="0">
            <x v="2"/>
          </reference>
          <reference field="1" count="1" selected="0">
            <x v="0"/>
          </reference>
        </references>
      </pivotArea>
    </chartFormat>
    <chartFormat chart="7" format="15" series="1">
      <pivotArea type="data" outline="0" fieldPosition="0">
        <references count="2">
          <reference field="4294967294" count="1" selected="0">
            <x v="0"/>
          </reference>
          <reference field="1" count="1" selected="0">
            <x v="0"/>
          </reference>
        </references>
      </pivotArea>
    </chartFormat>
  </chartFormats>
  <pivotHierarchies count="6">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2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2ADCB2-3A59-425A-9B9D-264A8DF0311A}"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O45:R81" firstHeaderRow="0" firstDataRow="1" firstDataCol="1"/>
  <pivotFields count="16">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dataField="1" numFmtId="2" showAll="0"/>
    <pivotField dataField="1" numFmtId="2" showAll="0"/>
    <pivotField dataField="1" numFmtId="2" showAll="0"/>
    <pivotField showAll="0" defaultSubtotal="0">
      <items count="6">
        <item sd="0" x="0"/>
        <item sd="0" x="1"/>
        <item sd="0" x="2"/>
        <item sd="0" x="3"/>
        <item sd="0" x="4"/>
        <item sd="0" x="5"/>
      </items>
    </pivotField>
    <pivotField axis="axisRow" showAll="0" defaultSubtotal="0">
      <items count="6">
        <item h="1" sd="0" x="0"/>
        <item x="1"/>
        <item x="2"/>
        <item x="3"/>
        <item x="4"/>
        <item sd="0" x="5"/>
      </items>
    </pivotField>
  </pivotFields>
  <rowFields count="2">
    <field x="15"/>
    <field x="2"/>
  </rowFields>
  <rowItems count="36">
    <i>
      <x v="1"/>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t="grand">
      <x/>
    </i>
  </rowItems>
  <colFields count="1">
    <field x="-2"/>
  </colFields>
  <colItems count="3">
    <i>
      <x/>
    </i>
    <i i="1">
      <x v="1"/>
    </i>
    <i i="2">
      <x v="2"/>
    </i>
  </colItems>
  <dataFields count="3">
    <dataField name="Sum of Ordinary acc Int" fld="11" baseField="0" baseItem="0"/>
    <dataField name="Sum of Special acc Int" fld="12" baseField="0" baseItem="0"/>
    <dataField name="Sum of Medisave acc Int" fld="13" baseField="0" baseItem="0"/>
  </dataFields>
  <formats count="8">
    <format dxfId="220">
      <pivotArea collapsedLevelsAreSubtotals="1" fieldPosition="0">
        <references count="2">
          <reference field="2" count="4">
            <x v="9"/>
            <x v="10"/>
            <x v="11"/>
            <x v="12"/>
          </reference>
          <reference field="15" count="1" selected="0">
            <x v="1"/>
          </reference>
        </references>
      </pivotArea>
    </format>
    <format dxfId="219">
      <pivotArea collapsedLevelsAreSubtotals="1" fieldPosition="0">
        <references count="1">
          <reference field="15" count="1">
            <x v="2"/>
          </reference>
        </references>
      </pivotArea>
    </format>
    <format dxfId="218">
      <pivotArea collapsedLevelsAreSubtotals="1" fieldPosition="0">
        <references count="2">
          <reference field="2" count="12">
            <x v="1"/>
            <x v="2"/>
            <x v="3"/>
            <x v="4"/>
            <x v="5"/>
            <x v="6"/>
            <x v="7"/>
            <x v="8"/>
            <x v="9"/>
            <x v="10"/>
            <x v="11"/>
            <x v="12"/>
          </reference>
          <reference field="15" count="1" selected="0">
            <x v="2"/>
          </reference>
        </references>
      </pivotArea>
    </format>
    <format dxfId="217">
      <pivotArea collapsedLevelsAreSubtotals="1" fieldPosition="0">
        <references count="1">
          <reference field="15" count="1">
            <x v="3"/>
          </reference>
        </references>
      </pivotArea>
    </format>
    <format dxfId="216">
      <pivotArea collapsedLevelsAreSubtotals="1" fieldPosition="0">
        <references count="2">
          <reference field="2" count="12">
            <x v="1"/>
            <x v="2"/>
            <x v="3"/>
            <x v="4"/>
            <x v="5"/>
            <x v="6"/>
            <x v="7"/>
            <x v="8"/>
            <x v="9"/>
            <x v="10"/>
            <x v="11"/>
            <x v="12"/>
          </reference>
          <reference field="15" count="1" selected="0">
            <x v="3"/>
          </reference>
        </references>
      </pivotArea>
    </format>
    <format dxfId="215">
      <pivotArea collapsedLevelsAreSubtotals="1" fieldPosition="0">
        <references count="1">
          <reference field="15" count="1">
            <x v="4"/>
          </reference>
        </references>
      </pivotArea>
    </format>
    <format dxfId="214">
      <pivotArea collapsedLevelsAreSubtotals="1" fieldPosition="0">
        <references count="2">
          <reference field="2" count="3">
            <x v="1"/>
            <x v="2"/>
            <x v="3"/>
          </reference>
          <reference field="15" count="1" selected="0">
            <x v="4"/>
          </reference>
        </references>
      </pivotArea>
    </format>
    <format dxfId="213">
      <pivotArea grandRow="1"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EEAFC5-2762-48CB-B1D4-65E470A35D0B}" name="PivotTable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Date">
  <location ref="I45:L81" firstHeaderRow="0" firstDataRow="1" firstDataCol="1"/>
  <pivotFields count="16">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pivotField dataField="1" showAll="0"/>
    <pivotField dataField="1" showAll="0"/>
    <pivotField showAll="0"/>
    <pivotField numFmtId="2" showAll="0"/>
    <pivotField numFmtId="2" showAll="0"/>
    <pivotField numFmtId="2" showAll="0"/>
    <pivotField showAll="0" defaultSubtotal="0">
      <items count="6">
        <item sd="0" x="0"/>
        <item sd="0" x="1"/>
        <item sd="0" x="2"/>
        <item sd="0" x="3"/>
        <item sd="0" x="4"/>
        <item sd="0" x="5"/>
      </items>
    </pivotField>
    <pivotField axis="axisRow" showAll="0" defaultSubtotal="0">
      <items count="6">
        <item h="1" sd="0" x="0"/>
        <item x="1"/>
        <item x="2"/>
        <item x="3"/>
        <item x="4"/>
        <item sd="0" x="5"/>
      </items>
    </pivotField>
  </pivotFields>
  <rowFields count="2">
    <field x="15"/>
    <field x="2"/>
  </rowFields>
  <rowItems count="36">
    <i>
      <x v="1"/>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t="grand">
      <x/>
    </i>
  </rowItems>
  <colFields count="1">
    <field x="-2"/>
  </colFields>
  <colItems count="3">
    <i>
      <x/>
    </i>
    <i i="1">
      <x v="1"/>
    </i>
    <i i="2">
      <x v="2"/>
    </i>
  </colItems>
  <dataFields count="3">
    <dataField name="Sum of Ordinary acc " fld="7" baseField="0" baseItem="0"/>
    <dataField name="Sum of Special acc " fld="8" baseField="0" baseItem="0"/>
    <dataField name="Sum of Medisave " fld="9"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5CAD7B-C662-454B-9AB3-9D16D3423D41}" name="PivotTable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rowHeaderCaption="Date">
  <location ref="D45:G50" firstHeaderRow="0" firstDataRow="1" firstDataCol="1"/>
  <pivotFields count="16">
    <pivotField showAll="0"/>
    <pivotField showAll="0"/>
    <pivotField numFmtId="17" showAll="0">
      <items count="15">
        <item x="0"/>
        <item x="1"/>
        <item x="2"/>
        <item x="3"/>
        <item x="4"/>
        <item x="5"/>
        <item x="6"/>
        <item x="7"/>
        <item x="8"/>
        <item x="9"/>
        <item x="10"/>
        <item x="11"/>
        <item x="12"/>
        <item x="13"/>
        <item t="default"/>
      </items>
    </pivotField>
    <pivotField dataField="1" showAll="0"/>
    <pivotField dataField="1" showAll="0"/>
    <pivotField dataField="1" showAll="0"/>
    <pivotField showAll="0"/>
    <pivotField numFmtId="2" showAll="0"/>
    <pivotField numFmtId="2" showAll="0"/>
    <pivotField showAll="0"/>
    <pivotField showAll="0"/>
    <pivotField numFmtId="2" showAll="0"/>
    <pivotField numFmtId="2" showAll="0"/>
    <pivotField numFmtId="2" showAll="0"/>
    <pivotField showAll="0">
      <items count="7">
        <item x="0"/>
        <item x="1"/>
        <item x="2"/>
        <item x="3"/>
        <item x="4"/>
        <item x="5"/>
        <item t="default"/>
      </items>
    </pivotField>
    <pivotField axis="axisRow" showAll="0">
      <items count="7">
        <item h="1" x="0"/>
        <item x="1"/>
        <item x="2"/>
        <item x="3"/>
        <item x="4"/>
        <item x="5"/>
        <item t="default"/>
      </items>
    </pivotField>
  </pivotFields>
  <rowFields count="1">
    <field x="15"/>
  </rowFields>
  <rowItems count="5">
    <i>
      <x v="1"/>
    </i>
    <i>
      <x v="2"/>
    </i>
    <i>
      <x v="3"/>
    </i>
    <i>
      <x v="4"/>
    </i>
    <i t="grand">
      <x/>
    </i>
  </rowItems>
  <colFields count="1">
    <field x="-2"/>
  </colFields>
  <colItems count="3">
    <i>
      <x/>
    </i>
    <i i="1">
      <x v="1"/>
    </i>
    <i i="2">
      <x v="2"/>
    </i>
  </colItems>
  <dataFields count="3">
    <dataField name="Sum of Employer's Monthly Contribution" fld="4" baseField="0" baseItem="0"/>
    <dataField name="Sum of Employee's Monthly Contribution" fld="5" baseField="0" baseItem="0"/>
    <dataField name="Sum of Monthly Salary" fld="3" baseField="0" baseItem="0"/>
  </dataFields>
  <chartFormats count="3">
    <chartFormat chart="1" format="0" series="1">
      <pivotArea type="data" outline="0" fieldPosition="0">
        <references count="1">
          <reference field="4294967294" count="1" selected="0">
            <x v="2"/>
          </reference>
        </references>
      </pivotArea>
    </chartFormat>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A92E3F-3FFF-480D-8112-E9B831A926DF}" name="PivotTable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Time">
  <location ref="C42:F80" firstHeaderRow="0" firstDataRow="1" firstDataCol="1"/>
  <pivotFields count="21">
    <pivotField showAll="0"/>
    <pivotField axis="axisRow" showAll="0">
      <items count="6">
        <item x="1"/>
        <item x="2"/>
        <item x="3"/>
        <item x="4"/>
        <item x="0"/>
        <item t="default"/>
      </items>
    </pivotField>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pivotField showAll="0"/>
    <pivotField showAll="0"/>
    <pivotField showAll="0"/>
    <pivotField showAll="0"/>
    <pivotField numFmtId="182" showAll="0"/>
    <pivotField showAll="0"/>
    <pivotField dataField="1" showAll="0"/>
    <pivotField numFmtId="182" showAll="0"/>
    <pivotField showAll="0"/>
    <pivotField numFmtId="182" showAll="0"/>
    <pivotField showAll="0"/>
    <pivotField dataField="1" showAll="0"/>
    <pivotField numFmtId="182" showAll="0"/>
    <pivotField numFmtId="182" showAll="0"/>
    <pivotField numFmtId="182" showAll="0"/>
    <pivotField showAll="0"/>
    <pivotField dataField="1" showAll="0"/>
  </pivotFields>
  <rowFields count="2">
    <field x="1"/>
    <field x="2"/>
  </rowFields>
  <rowItems count="38">
    <i>
      <x/>
    </i>
    <i r="1">
      <x/>
    </i>
    <i r="1">
      <x v="1"/>
    </i>
    <i r="1">
      <x v="2"/>
    </i>
    <i r="1">
      <x v="3"/>
    </i>
    <i>
      <x v="1"/>
    </i>
    <i r="1">
      <x v="4"/>
    </i>
    <i r="1">
      <x v="5"/>
    </i>
    <i r="1">
      <x v="6"/>
    </i>
    <i r="1">
      <x v="7"/>
    </i>
    <i r="1">
      <x v="8"/>
    </i>
    <i r="1">
      <x v="9"/>
    </i>
    <i r="1">
      <x v="10"/>
    </i>
    <i r="1">
      <x v="11"/>
    </i>
    <i r="1">
      <x v="12"/>
    </i>
    <i r="1">
      <x v="13"/>
    </i>
    <i r="1">
      <x v="14"/>
    </i>
    <i r="1">
      <x v="15"/>
    </i>
    <i>
      <x v="2"/>
    </i>
    <i r="1">
      <x v="16"/>
    </i>
    <i r="1">
      <x v="17"/>
    </i>
    <i r="1">
      <x v="18"/>
    </i>
    <i r="1">
      <x v="19"/>
    </i>
    <i r="1">
      <x v="20"/>
    </i>
    <i r="1">
      <x v="21"/>
    </i>
    <i r="1">
      <x v="22"/>
    </i>
    <i r="1">
      <x v="23"/>
    </i>
    <i r="1">
      <x v="24"/>
    </i>
    <i r="1">
      <x v="25"/>
    </i>
    <i r="1">
      <x v="26"/>
    </i>
    <i r="1">
      <x v="27"/>
    </i>
    <i>
      <x v="3"/>
    </i>
    <i r="1">
      <x v="28"/>
    </i>
    <i r="1">
      <x v="29"/>
    </i>
    <i r="1">
      <x v="30"/>
    </i>
    <i>
      <x v="4"/>
    </i>
    <i r="1">
      <x v="31"/>
    </i>
    <i t="grand">
      <x/>
    </i>
  </rowItems>
  <colFields count="1">
    <field x="-2"/>
  </colFields>
  <colItems count="3">
    <i>
      <x/>
    </i>
    <i i="1">
      <x v="1"/>
    </i>
    <i i="2">
      <x v="2"/>
    </i>
  </colItems>
  <dataFields count="3">
    <dataField name="Sum of Accumulated Interest SA" fld="15" baseField="0" baseItem="0"/>
    <dataField name="Sum of Accumulated Interest MA" fld="20" baseField="0" baseItem="0"/>
    <dataField name="Sum of Accumulated Interest OA" fld="10" baseField="0" baseItem="0"/>
  </dataFields>
  <formats count="1">
    <format dxfId="183">
      <pivotArea dataOnly="0" labelOnly="1" outline="0" fieldPosition="0">
        <references count="1">
          <reference field="4294967294" count="2">
            <x v="0"/>
            <x v="1"/>
          </reference>
        </references>
      </pivotArea>
    </format>
  </formats>
  <chartFormats count="3">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B5EA063-728C-4A2A-9838-694A413592F7}" name="PivotTable7"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Time">
  <location ref="M42:P78" firstHeaderRow="0" firstDataRow="1" firstDataCol="1"/>
  <pivotFields count="23">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numFmtId="182" showAll="0"/>
    <pivotField dataField="1" showAll="0"/>
    <pivotField showAll="0"/>
    <pivotField numFmtId="182" showAll="0"/>
    <pivotField showAll="0"/>
    <pivotField numFmtId="182" showAll="0"/>
    <pivotField dataField="1" showAll="0"/>
    <pivotField showAll="0"/>
    <pivotField numFmtId="182" showAll="0"/>
    <pivotField numFmtId="182" showAll="0"/>
    <pivotField numFmtId="182" showAll="0"/>
    <pivotField dataField="1" showAll="0"/>
    <pivotField showAll="0"/>
    <pivotField showAll="0">
      <items count="7">
        <item sd="0" x="0"/>
        <item sd="0" x="1"/>
        <item sd="0" x="2"/>
        <item sd="0" x="3"/>
        <item sd="0" x="4"/>
        <item sd="0" x="5"/>
        <item t="default"/>
      </items>
    </pivotField>
    <pivotField axis="axisRow" showAll="0">
      <items count="7">
        <item h="1" sd="0" x="0"/>
        <item x="1"/>
        <item x="2"/>
        <item x="3"/>
        <item x="4"/>
        <item sd="0" x="5"/>
        <item t="default"/>
      </items>
    </pivotField>
  </pivotFields>
  <rowFields count="2">
    <field x="22"/>
    <field x="2"/>
  </rowFields>
  <rowItems count="36">
    <i>
      <x v="1"/>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t="grand">
      <x/>
    </i>
  </rowItems>
  <colFields count="1">
    <field x="-2"/>
  </colFields>
  <colItems count="3">
    <i>
      <x/>
    </i>
    <i i="1">
      <x v="1"/>
    </i>
    <i i="2">
      <x v="2"/>
    </i>
  </colItems>
  <dataFields count="3">
    <dataField name="Sum of Accumulated amount (OA)" fld="9" baseField="0" baseItem="0"/>
    <dataField name="Sum of Accumulated amount (SA)" fld="14" baseField="0" baseItem="0"/>
    <dataField name="Sum of Accumulated amount (MA)" fld="19" baseField="0" baseItem="0"/>
  </dataFields>
  <chartFormats count="3">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6021C3-37B1-40FE-8487-3634D2074F6F}" name="PivotTable6"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Time">
  <location ref="H42:K48" firstHeaderRow="0" firstDataRow="1" firstDataCol="1"/>
  <pivotFields count="23">
    <pivotField showAll="0"/>
    <pivotField axis="axisRow" showAll="0">
      <items count="6">
        <item x="1"/>
        <item x="2"/>
        <item x="3"/>
        <item x="4"/>
        <item x="0"/>
        <item t="default"/>
      </items>
    </pivotField>
    <pivotField showAll="0">
      <items count="15">
        <item x="0"/>
        <item x="1"/>
        <item x="2"/>
        <item x="3"/>
        <item x="4"/>
        <item x="5"/>
        <item x="6"/>
        <item x="7"/>
        <item x="8"/>
        <item x="9"/>
        <item x="10"/>
        <item x="11"/>
        <item x="12"/>
        <item x="13"/>
        <item t="default"/>
      </items>
    </pivotField>
    <pivotField dataField="1" showAll="0"/>
    <pivotField dataField="1" showAll="0"/>
    <pivotField dataField="1" showAll="0"/>
    <pivotField showAll="0"/>
    <pivotField showAll="0"/>
    <pivotField numFmtId="182" showAll="0"/>
    <pivotField showAll="0"/>
    <pivotField showAll="0"/>
    <pivotField numFmtId="182" showAll="0"/>
    <pivotField showAll="0"/>
    <pivotField numFmtId="182" showAll="0"/>
    <pivotField showAll="0"/>
    <pivotField showAll="0"/>
    <pivotField numFmtId="182" showAll="0"/>
    <pivotField numFmtId="182" showAll="0"/>
    <pivotField numFmtId="182" showAll="0"/>
    <pivotField showAll="0"/>
    <pivotField showAll="0"/>
    <pivotField showAll="0">
      <items count="7">
        <item x="0"/>
        <item x="1"/>
        <item x="2"/>
        <item x="3"/>
        <item x="4"/>
        <item x="5"/>
        <item t="default"/>
      </items>
    </pivotField>
    <pivotField showAll="0">
      <items count="7">
        <item x="0"/>
        <item x="1"/>
        <item x="2"/>
        <item x="3"/>
        <item x="4"/>
        <item x="5"/>
        <item t="default"/>
      </items>
    </pivotField>
  </pivotFields>
  <rowFields count="1">
    <field x="1"/>
  </rowFields>
  <rowItems count="6">
    <i>
      <x/>
    </i>
    <i>
      <x v="1"/>
    </i>
    <i>
      <x v="2"/>
    </i>
    <i>
      <x v="3"/>
    </i>
    <i>
      <x v="4"/>
    </i>
    <i t="grand">
      <x/>
    </i>
  </rowItems>
  <colFields count="1">
    <field x="-2"/>
  </colFields>
  <colItems count="3">
    <i>
      <x/>
    </i>
    <i i="1">
      <x v="1"/>
    </i>
    <i i="2">
      <x v="2"/>
    </i>
  </colItems>
  <dataFields count="3">
    <dataField name="Sum of Monthly Salary" fld="3" baseField="0" baseItem="0"/>
    <dataField name="Sum of Employer's Monthly Contribution" fld="4" baseField="0" baseItem="0"/>
    <dataField name="Sum of Employee's Monthly Contribution" fld="5" baseField="0" baseItem="0"/>
  </dataFields>
  <formats count="2">
    <format dxfId="185">
      <pivotArea field="1" type="button" dataOnly="0" labelOnly="1" outline="0" axis="axisRow" fieldPosition="0"/>
    </format>
    <format dxfId="184">
      <pivotArea dataOnly="0" labelOnly="1" outline="0" fieldPosition="0">
        <references count="1">
          <reference field="4294967294" count="3">
            <x v="0"/>
            <x v="1"/>
            <x v="2"/>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9C8D126-A4D5-434C-958B-254BFC8AE50A}" name="PivotTable2" cacheId="7"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location ref="J6:K9" firstHeaderRow="1" firstDataRow="1" firstDataCol="2" rowPageCount="1" colPageCount="1"/>
  <pivotFields count="8">
    <pivotField axis="axisPage"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s>
  <rowFields count="2">
    <field x="1"/>
    <field x="2"/>
  </rowFields>
  <rowItems count="3">
    <i>
      <x/>
      <x/>
    </i>
    <i r="1">
      <x v="1"/>
    </i>
    <i>
      <x v="1"/>
      <x v="2"/>
    </i>
  </rowItems>
  <colItems count="1">
    <i/>
  </colItem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9C8D126-A4D5-434C-958B-254BFC8AE50A}" name="PivotTable3" cacheId="7"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location ref="A3:B4" firstHeaderRow="1" firstDataRow="1" firstDataCol="2" rowPageCount="1" colPageCount="1"/>
  <pivotFields count="8">
    <pivotField axis="axisPage"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s>
  <rowFields count="2">
    <field x="1"/>
    <field x="2"/>
  </rowFields>
  <rowItems count="1">
    <i>
      <x/>
      <x v="1"/>
    </i>
  </rowItems>
  <colItems count="1">
    <i/>
  </colItems>
  <pageFields count="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C8D126-A4D5-434C-958B-254BFC8AE50A}" name="PivotTable4" cacheId="7"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chartFormat="1">
  <location ref="A3:B4" firstHeaderRow="1" firstDataRow="1" firstDataCol="2" rowPageCount="1" colPageCount="1"/>
  <pivotFields count="8">
    <pivotField axis="axisPage"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 compact="0" numFmtId="172" outline="0" showAll="0" defaultSubtotal="0">
      <extLst>
        <ext xmlns:x14="http://schemas.microsoft.com/office/spreadsheetml/2009/9/main" uri="{2946ED86-A175-432a-8AC1-64E0C546D7DE}">
          <x14:pivotField fillDownLabels="1"/>
        </ext>
      </extLst>
    </pivotField>
  </pivotFields>
  <rowFields count="2">
    <field x="1"/>
    <field x="2"/>
  </rowFields>
  <rowItems count="1">
    <i>
      <x/>
      <x/>
    </i>
  </rowItems>
  <colItems count="1">
    <i/>
  </colItems>
  <pageFields count="1">
    <pageField fld="0"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8A55688-4901-4D44-9713-A90F56C7E864}" name="PivotTable20"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I55:L61" firstHeaderRow="0" firstDataRow="1" firstDataCol="1"/>
  <pivotFields count="10">
    <pivotField axis="axisRow" showAll="0">
      <items count="6">
        <item x="2"/>
        <item x="0"/>
        <item x="3"/>
        <item x="1"/>
        <item x="4"/>
        <item t="default"/>
      </items>
    </pivotField>
    <pivotField dataField="1" numFmtId="170" showAll="0"/>
    <pivotField numFmtId="183" showAll="0"/>
    <pivotField showAll="0"/>
    <pivotField numFmtId="187" showAll="0"/>
    <pivotField numFmtId="187" showAll="0"/>
    <pivotField showAll="0"/>
    <pivotField showAll="0"/>
    <pivotField dataField="1" showAll="0"/>
    <pivotField dataField="1" numFmtId="187" showAll="0"/>
  </pivotFields>
  <rowFields count="1">
    <field x="0"/>
  </rowFields>
  <rowItems count="6">
    <i>
      <x/>
    </i>
    <i>
      <x v="1"/>
    </i>
    <i>
      <x v="2"/>
    </i>
    <i>
      <x v="3"/>
    </i>
    <i>
      <x v="4"/>
    </i>
    <i t="grand">
      <x/>
    </i>
  </rowItems>
  <colFields count="1">
    <field x="-2"/>
  </colFields>
  <colItems count="3">
    <i>
      <x/>
    </i>
    <i i="1">
      <x v="1"/>
    </i>
    <i i="2">
      <x v="2"/>
    </i>
  </colItems>
  <dataFields count="3">
    <dataField name="Sum of Purchased value" fld="1" baseField="0" baseItem="0"/>
    <dataField name="Sum of Forecasted Values" fld="8" baseField="0" baseItem="3"/>
    <dataField name="Sum of Predicted Profit &amp; Loss" fld="9" baseField="0" baseItem="0"/>
  </dataFields>
  <formats count="6">
    <format dxfId="120">
      <pivotArea type="all" dataOnly="0" outline="0" fieldPosition="0"/>
    </format>
    <format dxfId="119">
      <pivotArea outline="0" collapsedLevelsAreSubtotals="1" fieldPosition="0"/>
    </format>
    <format dxfId="118">
      <pivotArea field="0" type="button" dataOnly="0" labelOnly="1" outline="0" axis="axisRow" fieldPosition="0"/>
    </format>
    <format dxfId="117">
      <pivotArea dataOnly="0" labelOnly="1" fieldPosition="0">
        <references count="1">
          <reference field="0" count="0"/>
        </references>
      </pivotArea>
    </format>
    <format dxfId="116">
      <pivotArea dataOnly="0" labelOnly="1" grandRow="1" outline="0" fieldPosition="0"/>
    </format>
    <format dxfId="115">
      <pivotArea dataOnly="0" labelOnly="1" outline="0" fieldPosition="0">
        <references count="1">
          <reference field="4294967294" count="3">
            <x v="0"/>
            <x v="1"/>
            <x v="2"/>
          </reference>
        </references>
      </pivotArea>
    </format>
  </formats>
  <chartFormats count="27">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6" format="6" series="1">
      <pivotArea type="data" outline="0" fieldPosition="0">
        <references count="1">
          <reference field="4294967294" count="1" selected="0">
            <x v="2"/>
          </reference>
        </references>
      </pivotArea>
    </chartFormat>
    <chartFormat chart="7" format="7"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1"/>
          </reference>
        </references>
      </pivotArea>
    </chartFormat>
    <chartFormat chart="7" format="9" series="1">
      <pivotArea type="data" outline="0" fieldPosition="0">
        <references count="1">
          <reference field="4294967294" count="1" selected="0">
            <x v="2"/>
          </reference>
        </references>
      </pivotArea>
    </chartFormat>
    <chartFormat chart="8" format="10"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1"/>
          </reference>
        </references>
      </pivotArea>
    </chartFormat>
    <chartFormat chart="8" format="12" series="1">
      <pivotArea type="data" outline="0" fieldPosition="0">
        <references count="1">
          <reference field="4294967294" count="1" selected="0">
            <x v="2"/>
          </reference>
        </references>
      </pivotArea>
    </chartFormat>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 chart="9" format="15" series="1">
      <pivotArea type="data" outline="0" fieldPosition="0">
        <references count="1">
          <reference field="4294967294" count="1" selected="0">
            <x v="2"/>
          </reference>
        </references>
      </pivotArea>
    </chartFormat>
    <chartFormat chart="10" format="16" series="1">
      <pivotArea type="data" outline="0" fieldPosition="0">
        <references count="1">
          <reference field="4294967294" count="1" selected="0">
            <x v="0"/>
          </reference>
        </references>
      </pivotArea>
    </chartFormat>
    <chartFormat chart="10" format="17" series="1">
      <pivotArea type="data" outline="0" fieldPosition="0">
        <references count="1">
          <reference field="4294967294" count="1" selected="0">
            <x v="1"/>
          </reference>
        </references>
      </pivotArea>
    </chartFormat>
    <chartFormat chart="10" format="18" series="1">
      <pivotArea type="data" outline="0" fieldPosition="0">
        <references count="1">
          <reference field="4294967294" count="1" selected="0">
            <x v="2"/>
          </reference>
        </references>
      </pivotArea>
    </chartFormat>
    <chartFormat chart="11" format="19" series="1">
      <pivotArea type="data" outline="0" fieldPosition="0">
        <references count="1">
          <reference field="4294967294" count="1" selected="0">
            <x v="0"/>
          </reference>
        </references>
      </pivotArea>
    </chartFormat>
    <chartFormat chart="11" format="20" series="1">
      <pivotArea type="data" outline="0" fieldPosition="0">
        <references count="1">
          <reference field="4294967294" count="1" selected="0">
            <x v="1"/>
          </reference>
        </references>
      </pivotArea>
    </chartFormat>
    <chartFormat chart="11" format="21" series="1">
      <pivotArea type="data" outline="0" fieldPosition="0">
        <references count="1">
          <reference field="4294967294" count="1" selected="0">
            <x v="2"/>
          </reference>
        </references>
      </pivotArea>
    </chartFormat>
    <chartFormat chart="12" format="22" series="1">
      <pivotArea type="data" outline="0" fieldPosition="0">
        <references count="1">
          <reference field="4294967294" count="1" selected="0">
            <x v="0"/>
          </reference>
        </references>
      </pivotArea>
    </chartFormat>
    <chartFormat chart="12" format="23" series="1">
      <pivotArea type="data" outline="0" fieldPosition="0">
        <references count="1">
          <reference field="4294967294" count="1" selected="0">
            <x v="1"/>
          </reference>
        </references>
      </pivotArea>
    </chartFormat>
    <chartFormat chart="12" format="24" series="1">
      <pivotArea type="data" outline="0" fieldPosition="0">
        <references count="1">
          <reference field="4294967294" count="1" selected="0">
            <x v="2"/>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F9019C7-3724-48D5-A3CC-48BFB8FBE2C6}" name="PivotTable19"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J23:M29" firstHeaderRow="0" firstDataRow="1" firstDataCol="1"/>
  <pivotFields count="10">
    <pivotField axis="axisRow" showAll="0">
      <items count="6">
        <item x="2"/>
        <item x="0"/>
        <item x="3"/>
        <item x="1"/>
        <item x="4"/>
        <item t="default"/>
      </items>
    </pivotField>
    <pivotField dataField="1" numFmtId="170" showAll="0"/>
    <pivotField numFmtId="183" showAll="0"/>
    <pivotField showAll="0"/>
    <pivotField dataField="1" numFmtId="187" showAll="0"/>
    <pivotField dataField="1" numFmtId="187" showAll="0"/>
    <pivotField showAll="0"/>
    <pivotField showAll="0"/>
    <pivotField showAll="0"/>
    <pivotField numFmtId="187" showAll="0"/>
  </pivotFields>
  <rowFields count="1">
    <field x="0"/>
  </rowFields>
  <rowItems count="6">
    <i>
      <x/>
    </i>
    <i>
      <x v="1"/>
    </i>
    <i>
      <x v="2"/>
    </i>
    <i>
      <x v="3"/>
    </i>
    <i>
      <x v="4"/>
    </i>
    <i t="grand">
      <x/>
    </i>
  </rowItems>
  <colFields count="1">
    <field x="-2"/>
  </colFields>
  <colItems count="3">
    <i>
      <x/>
    </i>
    <i i="1">
      <x v="1"/>
    </i>
    <i i="2">
      <x v="2"/>
    </i>
  </colItems>
  <dataFields count="3">
    <dataField name="Sum of Purchased value" fld="1" baseField="0" baseItem="0"/>
    <dataField name="Sum of Current Value (Estimated)" fld="4" baseField="0" baseItem="0"/>
    <dataField name="Sum of Profit &amp; Loss" fld="5" baseField="0" baseItem="0"/>
  </dataFields>
  <formats count="6">
    <format dxfId="126">
      <pivotArea type="all" dataOnly="0" outline="0" fieldPosition="0"/>
    </format>
    <format dxfId="125">
      <pivotArea outline="0" collapsedLevelsAreSubtotals="1" fieldPosition="0"/>
    </format>
    <format dxfId="124">
      <pivotArea field="0" type="button" dataOnly="0" labelOnly="1" outline="0" axis="axisRow" fieldPosition="0"/>
    </format>
    <format dxfId="123">
      <pivotArea dataOnly="0" labelOnly="1" fieldPosition="0">
        <references count="1">
          <reference field="0" count="0"/>
        </references>
      </pivotArea>
    </format>
    <format dxfId="122">
      <pivotArea dataOnly="0" labelOnly="1" grandRow="1" outline="0" fieldPosition="0"/>
    </format>
    <format dxfId="121">
      <pivotArea dataOnly="0" labelOnly="1" outline="0" fieldPosition="0">
        <references count="1">
          <reference field="4294967294" count="3">
            <x v="0"/>
            <x v="1"/>
            <x v="2"/>
          </reference>
        </references>
      </pivotArea>
    </format>
  </formats>
  <chartFormats count="15">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2"/>
          </reference>
        </references>
      </pivotArea>
    </chartFormat>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2"/>
          </reference>
        </references>
      </pivotArea>
    </chartFormat>
    <chartFormat chart="8" format="9" series="1">
      <pivotArea type="data" outline="0" fieldPosition="0">
        <references count="1">
          <reference field="4294967294" count="1" selected="0">
            <x v="0"/>
          </reference>
        </references>
      </pivotArea>
    </chartFormat>
    <chartFormat chart="8" format="10" series="1">
      <pivotArea type="data" outline="0" fieldPosition="0">
        <references count="1">
          <reference field="4294967294" count="1" selected="0">
            <x v="1"/>
          </reference>
        </references>
      </pivotArea>
    </chartFormat>
    <chartFormat chart="8" format="11" series="1">
      <pivotArea type="data" outline="0" fieldPosition="0">
        <references count="1">
          <reference field="4294967294" count="1" selected="0">
            <x v="2"/>
          </reference>
        </references>
      </pivotArea>
    </chartFormat>
    <chartFormat chart="9" format="12" series="1">
      <pivotArea type="data" outline="0" fieldPosition="0">
        <references count="1">
          <reference field="4294967294" count="1" selected="0">
            <x v="0"/>
          </reference>
        </references>
      </pivotArea>
    </chartFormat>
    <chartFormat chart="9" format="13" series="1">
      <pivotArea type="data" outline="0" fieldPosition="0">
        <references count="1">
          <reference field="4294967294" count="1" selected="0">
            <x v="1"/>
          </reference>
        </references>
      </pivotArea>
    </chartFormat>
    <chartFormat chart="9"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C65516C-3CEC-4C97-A072-6B537465C281}" name="PivotTable18"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G23:H29" firstHeaderRow="1" firstDataRow="1" firstDataCol="1"/>
  <pivotFields count="10">
    <pivotField axis="axisRow" showAll="0">
      <items count="6">
        <item x="2"/>
        <item x="0"/>
        <item x="3"/>
        <item x="1"/>
        <item x="4"/>
        <item t="default"/>
      </items>
    </pivotField>
    <pivotField numFmtId="170" showAll="0"/>
    <pivotField numFmtId="183" showAll="0"/>
    <pivotField showAll="0"/>
    <pivotField numFmtId="187" showAll="0"/>
    <pivotField numFmtId="187" showAll="0"/>
    <pivotField showAll="0"/>
    <pivotField showAll="0"/>
    <pivotField dataField="1" showAll="0"/>
    <pivotField numFmtId="187" showAll="0"/>
  </pivotFields>
  <rowFields count="1">
    <field x="0"/>
  </rowFields>
  <rowItems count="6">
    <i>
      <x/>
    </i>
    <i>
      <x v="1"/>
    </i>
    <i>
      <x v="2"/>
    </i>
    <i>
      <x v="3"/>
    </i>
    <i>
      <x v="4"/>
    </i>
    <i t="grand">
      <x/>
    </i>
  </rowItems>
  <colItems count="1">
    <i/>
  </colItems>
  <dataFields count="1">
    <dataField name="Count of Forecasted Values" fld="8" subtotal="count" baseField="0" baseItem="0"/>
  </dataFields>
  <formats count="6">
    <format dxfId="132">
      <pivotArea type="all" dataOnly="0" outline="0" fieldPosition="0"/>
    </format>
    <format dxfId="131">
      <pivotArea outline="0" collapsedLevelsAreSubtotals="1" fieldPosition="0"/>
    </format>
    <format dxfId="130">
      <pivotArea field="0" type="button" dataOnly="0" labelOnly="1" outline="0" axis="axisRow" fieldPosition="0"/>
    </format>
    <format dxfId="129">
      <pivotArea dataOnly="0" labelOnly="1" fieldPosition="0">
        <references count="1">
          <reference field="0" count="0"/>
        </references>
      </pivotArea>
    </format>
    <format dxfId="128">
      <pivotArea dataOnly="0" labelOnly="1" grandRow="1" outline="0" fieldPosition="0"/>
    </format>
    <format dxfId="127">
      <pivotArea dataOnly="0" labelOnly="1" outline="0" axis="axisValues" fieldPosition="0"/>
    </format>
  </formats>
  <chartFormats count="3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 chart="2" format="11">
      <pivotArea type="data" outline="0" fieldPosition="0">
        <references count="2">
          <reference field="4294967294" count="1" selected="0">
            <x v="0"/>
          </reference>
          <reference field="0" count="1" selected="0">
            <x v="4"/>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0" count="1" selected="0">
            <x v="0"/>
          </reference>
        </references>
      </pivotArea>
    </chartFormat>
    <chartFormat chart="3" format="14">
      <pivotArea type="data" outline="0" fieldPosition="0">
        <references count="2">
          <reference field="4294967294" count="1" selected="0">
            <x v="0"/>
          </reference>
          <reference field="0" count="1" selected="0">
            <x v="1"/>
          </reference>
        </references>
      </pivotArea>
    </chartFormat>
    <chartFormat chart="3" format="15">
      <pivotArea type="data" outline="0" fieldPosition="0">
        <references count="2">
          <reference field="4294967294" count="1" selected="0">
            <x v="0"/>
          </reference>
          <reference field="0" count="1" selected="0">
            <x v="2"/>
          </reference>
        </references>
      </pivotArea>
    </chartFormat>
    <chartFormat chart="3" format="16">
      <pivotArea type="data" outline="0" fieldPosition="0">
        <references count="2">
          <reference field="4294967294" count="1" selected="0">
            <x v="0"/>
          </reference>
          <reference field="0" count="1" selected="0">
            <x v="3"/>
          </reference>
        </references>
      </pivotArea>
    </chartFormat>
    <chartFormat chart="3" format="17">
      <pivotArea type="data" outline="0" fieldPosition="0">
        <references count="2">
          <reference field="4294967294" count="1" selected="0">
            <x v="0"/>
          </reference>
          <reference field="0" count="1" selected="0">
            <x v="4"/>
          </reference>
        </references>
      </pivotArea>
    </chartFormat>
    <chartFormat chart="4" format="18" series="1">
      <pivotArea type="data" outline="0" fieldPosition="0">
        <references count="1">
          <reference field="4294967294" count="1" selected="0">
            <x v="0"/>
          </reference>
        </references>
      </pivotArea>
    </chartFormat>
    <chartFormat chart="4" format="19">
      <pivotArea type="data" outline="0" fieldPosition="0">
        <references count="2">
          <reference field="4294967294" count="1" selected="0">
            <x v="0"/>
          </reference>
          <reference field="0" count="1" selected="0">
            <x v="0"/>
          </reference>
        </references>
      </pivotArea>
    </chartFormat>
    <chartFormat chart="4" format="20">
      <pivotArea type="data" outline="0" fieldPosition="0">
        <references count="2">
          <reference field="4294967294" count="1" selected="0">
            <x v="0"/>
          </reference>
          <reference field="0" count="1" selected="0">
            <x v="1"/>
          </reference>
        </references>
      </pivotArea>
    </chartFormat>
    <chartFormat chart="4" format="21">
      <pivotArea type="data" outline="0" fieldPosition="0">
        <references count="2">
          <reference field="4294967294" count="1" selected="0">
            <x v="0"/>
          </reference>
          <reference field="0" count="1" selected="0">
            <x v="2"/>
          </reference>
        </references>
      </pivotArea>
    </chartFormat>
    <chartFormat chart="4" format="22">
      <pivotArea type="data" outline="0" fieldPosition="0">
        <references count="2">
          <reference field="4294967294" count="1" selected="0">
            <x v="0"/>
          </reference>
          <reference field="0" count="1" selected="0">
            <x v="3"/>
          </reference>
        </references>
      </pivotArea>
    </chartFormat>
    <chartFormat chart="4" format="23">
      <pivotArea type="data" outline="0" fieldPosition="0">
        <references count="2">
          <reference field="4294967294" count="1" selected="0">
            <x v="0"/>
          </reference>
          <reference field="0" count="1" selected="0">
            <x v="4"/>
          </reference>
        </references>
      </pivotArea>
    </chartFormat>
    <chartFormat chart="5" format="24" series="1">
      <pivotArea type="data" outline="0" fieldPosition="0">
        <references count="1">
          <reference field="4294967294" count="1" selected="0">
            <x v="0"/>
          </reference>
        </references>
      </pivotArea>
    </chartFormat>
    <chartFormat chart="5" format="25">
      <pivotArea type="data" outline="0" fieldPosition="0">
        <references count="2">
          <reference field="4294967294" count="1" selected="0">
            <x v="0"/>
          </reference>
          <reference field="0" count="1" selected="0">
            <x v="0"/>
          </reference>
        </references>
      </pivotArea>
    </chartFormat>
    <chartFormat chart="5" format="26">
      <pivotArea type="data" outline="0" fieldPosition="0">
        <references count="2">
          <reference field="4294967294" count="1" selected="0">
            <x v="0"/>
          </reference>
          <reference field="0" count="1" selected="0">
            <x v="1"/>
          </reference>
        </references>
      </pivotArea>
    </chartFormat>
    <chartFormat chart="5" format="27">
      <pivotArea type="data" outline="0" fieldPosition="0">
        <references count="2">
          <reference field="4294967294" count="1" selected="0">
            <x v="0"/>
          </reference>
          <reference field="0" count="1" selected="0">
            <x v="2"/>
          </reference>
        </references>
      </pivotArea>
    </chartFormat>
    <chartFormat chart="5" format="28">
      <pivotArea type="data" outline="0" fieldPosition="0">
        <references count="2">
          <reference field="4294967294" count="1" selected="0">
            <x v="0"/>
          </reference>
          <reference field="0" count="1" selected="0">
            <x v="3"/>
          </reference>
        </references>
      </pivotArea>
    </chartFormat>
    <chartFormat chart="5" format="29">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895DD51-CF44-4FAB-9C34-14146113DF79}" name="PivotTable1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D23:E29" firstHeaderRow="1" firstDataRow="1" firstDataCol="1"/>
  <pivotFields count="10">
    <pivotField axis="axisRow" showAll="0">
      <items count="6">
        <item x="2"/>
        <item x="0"/>
        <item x="3"/>
        <item x="1"/>
        <item x="4"/>
        <item t="default"/>
      </items>
    </pivotField>
    <pivotField dataField="1" numFmtId="170" showAll="0"/>
    <pivotField numFmtId="183" showAll="0"/>
    <pivotField showAll="0"/>
    <pivotField numFmtId="187" showAll="0"/>
    <pivotField numFmtId="187" showAll="0"/>
    <pivotField showAll="0"/>
    <pivotField showAll="0"/>
    <pivotField showAll="0"/>
    <pivotField numFmtId="187" showAll="0"/>
  </pivotFields>
  <rowFields count="1">
    <field x="0"/>
  </rowFields>
  <rowItems count="6">
    <i>
      <x/>
    </i>
    <i>
      <x v="1"/>
    </i>
    <i>
      <x v="2"/>
    </i>
    <i>
      <x v="3"/>
    </i>
    <i>
      <x v="4"/>
    </i>
    <i t="grand">
      <x/>
    </i>
  </rowItems>
  <colItems count="1">
    <i/>
  </colItems>
  <dataFields count="1">
    <dataField name="Sum of Purchased value" fld="1" baseField="0" baseItem="0"/>
  </dataFields>
  <formats count="6">
    <format dxfId="138">
      <pivotArea type="all" dataOnly="0" outline="0" fieldPosition="0"/>
    </format>
    <format dxfId="137">
      <pivotArea outline="0" collapsedLevelsAreSubtotals="1" fieldPosition="0"/>
    </format>
    <format dxfId="136">
      <pivotArea field="0" type="button" dataOnly="0" labelOnly="1" outline="0" axis="axisRow" fieldPosition="0"/>
    </format>
    <format dxfId="135">
      <pivotArea dataOnly="0" labelOnly="1" fieldPosition="0">
        <references count="1">
          <reference field="0" count="0"/>
        </references>
      </pivotArea>
    </format>
    <format dxfId="134">
      <pivotArea dataOnly="0" labelOnly="1" grandRow="1" outline="0" fieldPosition="0"/>
    </format>
    <format dxfId="133">
      <pivotArea dataOnly="0" labelOnly="1" outline="0" axis="axisValues" fieldPosition="0"/>
    </format>
  </format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0B886AC-58AF-41C1-A402-6A602FA95911}" name="PivotTable2" cacheId="6"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G13:H20" firstHeaderRow="1" firstDataRow="1" firstDataCol="1"/>
  <pivotFields count="4">
    <pivotField compact="0" numFmtId="14" outline="0" showAll="0"/>
    <pivotField compact="0" outline="0" showAll="0"/>
    <pivotField axis="axisRow" compact="0" outline="0" showAll="0" sortType="descending">
      <items count="9">
        <item x="4"/>
        <item x="3"/>
        <item x="2"/>
        <item x="5"/>
        <item x="1"/>
        <item x="6"/>
        <item h="1" x="0"/>
        <item h="1" x="7"/>
        <item t="default"/>
      </items>
      <autoSortScope>
        <pivotArea dataOnly="0" outline="0" fieldPosition="0">
          <references count="1">
            <reference field="4294967294" count="1" selected="0">
              <x v="0"/>
            </reference>
          </references>
        </pivotArea>
      </autoSortScope>
    </pivotField>
    <pivotField dataField="1" compact="0" outline="0" showAll="0"/>
  </pivotFields>
  <rowFields count="1">
    <field x="2"/>
  </rowFields>
  <rowItems count="7">
    <i>
      <x v="5"/>
    </i>
    <i>
      <x v="1"/>
    </i>
    <i>
      <x v="2"/>
    </i>
    <i>
      <x v="3"/>
    </i>
    <i>
      <x v="4"/>
    </i>
    <i>
      <x/>
    </i>
    <i t="grand">
      <x/>
    </i>
  </rowItems>
  <colItems count="1">
    <i/>
  </colItems>
  <dataFields count="1">
    <dataField name="Sum of Amount ($)" fld="3" baseField="0" baseItem="0" numFmtId="184"/>
  </dataFields>
  <chartFormats count="8">
    <chartFormat chart="0" format="0"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0"/>
          </reference>
        </references>
      </pivotArea>
    </chartFormat>
    <chartFormat chart="0" format="8">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E829C35-F461-44F2-B063-7B314F975F38}" name="PivotTable10" cacheId="4"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location ref="E17:E18" firstHeaderRow="1" firstDataRow="1" firstDataCol="1"/>
  <pivotFields count="1">
    <pivotField axis="axisRow" showAll="0" sortType="ascending">
      <items count="9">
        <item x="2"/>
        <item h="1" x="6"/>
        <item h="1" x="3"/>
        <item h="1" x="0"/>
        <item h="1" x="7"/>
        <item h="1" x="4"/>
        <item h="1" x="1"/>
        <item h="1" x="5"/>
        <item t="default"/>
      </items>
    </pivotField>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F33E5C8-A155-4D7C-A308-D01CE7A55728}" name="PivotTable1" cacheId="5"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B17:B18" firstHeaderRow="1" firstDataRow="1" firstDataCol="1"/>
  <pivotFields count="1">
    <pivotField axis="axisRow" showAll="0">
      <items count="4">
        <item x="0"/>
        <item h="1" x="1"/>
        <item h="1" x="2"/>
        <item t="default"/>
      </items>
    </pivotField>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5F0D344E-966B-4775-A540-D831F78D7786}" autoFormatId="16" applyNumberFormats="0" applyBorderFormats="0" applyFontFormats="0" applyPatternFormats="0" applyAlignmentFormats="0" applyWidthHeightFormats="0">
  <queryTableRefresh nextId="19">
    <queryTableFields count="10">
      <queryTableField id="1" name="Column1.id" tableColumnId="1"/>
      <queryTableField id="3" name="Column1.name" tableColumnId="3"/>
      <queryTableField id="4" name="Column1.current_price" tableColumnId="4"/>
      <queryTableField id="5" name="Column1.market_cap" tableColumnId="5"/>
      <queryTableField id="6" name="Column1.market_cap_rank" tableColumnId="6"/>
      <queryTableField id="8" name="Column1.total_volume" tableColumnId="8"/>
      <queryTableField id="9" name="Column1.high_24h" tableColumnId="9"/>
      <queryTableField id="10" name="Column1.low_24h" tableColumnId="10"/>
      <queryTableField id="11" name="Column1.price_change_24h" tableColumnId="11"/>
      <queryTableField id="12" name="Column1.price_change_percentage_24h" tableColumnId="12"/>
    </queryTableFields>
    <queryTableDeletedFields count="7">
      <deletedField name="Column1.max_supply"/>
      <deletedField name="Column1.total_supply"/>
      <deletedField name="Column1.fully_diluted_valuation"/>
      <deletedField name="Column1.fully_diluted_valuation"/>
      <deletedField name="Column1.max_supply"/>
      <deletedField name="Column1.total_supply"/>
      <deletedField name="Column1.symbol"/>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0222F0D-0835-4315-861C-E425502FF008}" autoFormatId="16" applyNumberFormats="0" applyBorderFormats="0" applyFontFormats="0" applyPatternFormats="0" applyAlignmentFormats="0" applyWidthHeightFormats="0">
  <queryTableRefresh nextId="5">
    <queryTableFields count="4">
      <queryTableField id="1" name="Currency" tableColumnId="1"/>
      <queryTableField id="2" name="Name" tableColumnId="2"/>
      <queryTableField id="3" name="Units per SGD" tableColumnId="3"/>
      <queryTableField id="4" name="SGD per unit"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03">
  <a r="1" c="255">
    <v t="i">0</v>
    <v t="i">2</v>
    <v t="i">3</v>
    <v t="i">4</v>
    <v t="i">7</v>
    <v t="i">8</v>
    <v t="i">9</v>
    <v t="i">10</v>
    <v t="i">11</v>
    <v t="i">14</v>
    <v t="i">15</v>
    <v t="i">16</v>
    <v t="i">17</v>
    <v t="i">18</v>
    <v t="i">21</v>
    <v t="i">22</v>
    <v t="i">23</v>
    <v t="i">24</v>
    <v t="i">25</v>
    <v t="i">28</v>
    <v t="i">29</v>
    <v t="i">30</v>
    <v t="i">31</v>
    <v t="i">32</v>
    <v t="i">35</v>
    <v t="i">36</v>
    <v t="i">37</v>
    <v t="i">38</v>
    <v t="i">39</v>
    <v t="i">42</v>
    <v t="i">43</v>
    <v t="i">44</v>
    <v t="i">45</v>
    <v t="i">46</v>
    <v t="i">49</v>
    <v t="i">50</v>
    <v t="i">51</v>
    <v t="i">52</v>
    <v t="i">53</v>
    <v t="i">56</v>
    <v t="i">57</v>
    <v t="i">58</v>
    <v t="i">59</v>
    <v t="i">60</v>
    <v t="i">63</v>
    <v t="i">64</v>
    <v t="i">65</v>
    <v t="i">66</v>
    <v t="i">71</v>
    <v t="i">72</v>
    <v t="i">73</v>
    <v t="i">74</v>
    <v t="i">77</v>
    <v t="i">78</v>
    <v t="i">79</v>
    <v t="i">80</v>
    <v t="i">81</v>
    <v t="i">84</v>
    <v t="i">85</v>
    <v t="i">86</v>
    <v t="i">87</v>
    <v t="i">88</v>
    <v t="i">91</v>
    <v t="i">92</v>
    <v t="i">93</v>
    <v t="i">94</v>
    <v t="i">95</v>
    <v t="i">98</v>
    <v t="i">99</v>
    <v t="i">100</v>
    <v t="i">101</v>
    <v t="i">102</v>
    <v t="i">105</v>
    <v t="i">106</v>
    <v t="i">107</v>
    <v t="i">108</v>
    <v t="i">109</v>
    <v t="i">112</v>
    <v t="i">113</v>
    <v t="i">114</v>
    <v t="i">115</v>
    <v t="i">116</v>
    <v t="i">119</v>
    <v t="i">120</v>
    <v t="i">121</v>
    <v t="i">122</v>
    <v t="i">123</v>
    <v t="i">126</v>
    <v t="i">127</v>
    <v t="i">128</v>
    <v t="i">129</v>
    <v t="i">130</v>
    <v t="i">133</v>
    <v t="i">134</v>
    <v t="i">135</v>
    <v t="i">136</v>
    <v t="i">137</v>
    <v t="i">141</v>
    <v t="i">142</v>
    <v t="i">143</v>
    <v t="i">144</v>
    <v t="i">147</v>
    <v t="i">148</v>
    <v t="i">149</v>
    <v t="i">150</v>
    <v t="i">151</v>
    <v t="i">154</v>
    <v t="i">155</v>
    <v t="i">156</v>
    <v t="i">157</v>
    <v t="i">158</v>
    <v t="i">161</v>
    <v t="i">162</v>
    <v t="i">163</v>
    <v t="i">164</v>
    <v t="i">165</v>
    <v t="i">168</v>
    <v t="i">169</v>
    <v t="i">170</v>
    <v t="i">171</v>
    <v t="i">172</v>
    <v t="i">175</v>
    <v t="i">176</v>
    <v t="i">177</v>
    <v t="i">178</v>
    <v t="i">179</v>
    <v t="i">182</v>
    <v t="i">183</v>
    <v t="i">184</v>
    <v t="i">185</v>
    <v t="i">186</v>
    <v t="i">189</v>
    <v t="i">190</v>
    <v t="i">191</v>
    <v t="i">192</v>
    <v t="i">193</v>
    <v t="i">196</v>
    <v t="i">197</v>
    <v t="i">198</v>
    <v t="i">199</v>
    <v t="i">200</v>
    <v t="i">203</v>
    <v t="i">204</v>
    <v t="i">205</v>
    <v t="i">206</v>
    <v t="i">207</v>
    <v t="i">210</v>
    <v t="i">211</v>
    <v t="i">212</v>
    <v t="i">213</v>
    <v t="i">214</v>
    <v t="i">217</v>
    <v t="i">218</v>
    <v t="i">219</v>
    <v t="i">220</v>
    <v t="i">221</v>
    <v t="i">224</v>
    <v t="i">225</v>
    <v t="i">226</v>
    <v t="i">227</v>
    <v t="i">228</v>
    <v t="i">231</v>
    <v t="i">232</v>
    <v t="i">233</v>
    <v t="i">234</v>
    <v t="i">235</v>
    <v t="i">238</v>
    <v t="i">239</v>
    <v t="i">240</v>
    <v t="i">241</v>
    <v t="i">242</v>
    <v t="i">245</v>
    <v t="i">246</v>
    <v t="i">247</v>
    <v t="i">248</v>
    <v t="i">249</v>
    <v t="i">252</v>
    <v t="i">253</v>
    <v t="i">254</v>
    <v t="i">255</v>
    <v t="i">256</v>
    <v t="i">259</v>
    <v t="i">260</v>
    <v t="i">261</v>
    <v t="i">262</v>
    <v t="i">263</v>
    <v t="i">266</v>
    <v t="i">267</v>
    <v t="i">268</v>
    <v t="i">269</v>
    <v t="i">270</v>
    <v t="i">273</v>
    <v t="i">274</v>
    <v t="i">275</v>
    <v t="i">276</v>
    <v t="i">277</v>
    <v t="i">280</v>
    <v t="i">281</v>
    <v t="i">282</v>
    <v t="i">283</v>
    <v t="i">284</v>
    <v t="i">287</v>
    <v t="i">288</v>
    <v t="i">289</v>
    <v t="i">290</v>
    <v t="i">291</v>
    <v t="i">294</v>
    <v t="i">295</v>
    <v t="i">296</v>
    <v t="i">297</v>
    <v t="i">298</v>
    <v t="i">301</v>
    <v t="i">302</v>
    <v t="i">303</v>
    <v t="i">304</v>
    <v t="i">305</v>
    <v t="i">308</v>
    <v t="i">309</v>
    <v t="i">310</v>
    <v t="i">311</v>
    <v t="i">312</v>
    <v t="i">315</v>
    <v t="i">316</v>
    <v t="i">317</v>
    <v t="i">318</v>
    <v t="i">319</v>
    <v t="i">322</v>
    <v t="i">323</v>
    <v t="i">324</v>
    <v t="i">325</v>
    <v t="i">326</v>
    <v t="i">329</v>
    <v t="i">330</v>
    <v t="i">331</v>
    <v t="i">332</v>
    <v t="i">333</v>
    <v t="i">338</v>
    <v t="i">339</v>
    <v t="i">340</v>
    <v t="i">344</v>
    <v t="i">345</v>
    <v t="i">346</v>
    <v t="i">347</v>
    <v t="i">350</v>
    <v t="i">351</v>
    <v t="i">352</v>
    <v t="i">353</v>
    <v t="i">354</v>
    <v t="i">357</v>
    <v t="i">358</v>
    <v t="i">359</v>
    <v t="i">360</v>
    <v t="i">361</v>
    <v t="i">364</v>
    <v t="i">365</v>
  </a>
  <a r="1" c="255">
    <v>5.03</v>
    <v>5.08</v>
    <v>4.83</v>
    <v>4.84</v>
    <v>4.99</v>
    <v>5.2</v>
    <v>5.36</v>
    <v>5.42</v>
    <v>5.47</v>
    <v>5.41</v>
    <v>5.01</v>
    <v>5.0599999999999996</v>
    <v>5.07</v>
    <v>5.04</v>
    <v>5.09</v>
    <v>5.0599999999999996</v>
    <v>5.12</v>
    <v>5.12</v>
    <v>5.1100000000000003</v>
    <v>5.08</v>
    <v>5.15</v>
    <v>5.1100000000000003</v>
    <v>5.24</v>
    <v>5.18</v>
    <v>5.3</v>
    <v>5.29</v>
    <v>5.37</v>
    <v>5.29</v>
    <v>5.28</v>
    <v>5.36</v>
    <v>5.52</v>
    <v>5.56</v>
    <v>5.53</v>
    <v>5.65</v>
    <v>5.66</v>
    <v>5.67</v>
    <v>5.62</v>
    <v>5.5</v>
    <v>5.48</v>
    <v>5.5</v>
    <v>5.4</v>
    <v>5.4</v>
    <v>5.47</v>
    <v>5.49</v>
    <v>5.44</v>
    <v>5.35</v>
    <v>5.49</v>
    <v>5.86</v>
    <v>5.85</v>
    <v>5.83</v>
    <v>5.94</v>
    <v>5.96</v>
    <v>5.95</v>
    <v>5.95</v>
    <v>5.98</v>
    <v>6.01</v>
    <v>5.95</v>
    <v>6.06</v>
    <v>5.98</v>
    <v>6.05</v>
    <v>6.15</v>
    <v>6.23</v>
    <v>6.26</v>
    <v>6.3</v>
    <v>6.35</v>
    <v>6.28</v>
    <v>6.2</v>
    <v>6.17</v>
    <v>6.28</v>
    <v>6.33</v>
    <v>6.4</v>
    <v>6.44</v>
    <v>6.5</v>
    <v>6.72</v>
    <v>6.8</v>
    <v>6.76</v>
    <v>6.77</v>
    <v>6.78</v>
    <v>6.79</v>
    <v>6.75</v>
    <v>6.78</v>
    <v>6.78</v>
    <v>6.73</v>
    <v>6.74</v>
    <v>6.8</v>
    <v>6.74</v>
    <v>6.86</v>
    <v>6.81</v>
    <v>6.82</v>
    <v>6.91</v>
    <v>6.91</v>
    <v>6.92</v>
    <v>6.92</v>
    <v>6.85</v>
    <v>6.88</v>
    <v>6.83</v>
    <v>6.76</v>
    <v>6.79</v>
    <v>6.76</v>
    <v>6.73</v>
    <v>6.78</v>
    <v>6.87</v>
    <v>6.85</v>
    <v>7.16</v>
    <v>6.9</v>
    <v>7.34</v>
    <v>7.34</v>
    <v>7.34</v>
    <v>7.35</v>
    <v>7.36</v>
    <v>7.36</v>
    <v>7.37</v>
    <v>7.38</v>
    <v>7.4</v>
    <v>7.39</v>
    <v>7.39</v>
    <v>7.39</v>
    <v>7.39</v>
    <v>7.35</v>
    <v>7.38</v>
    <v>7.38</v>
    <v>7.38</v>
    <v>7.38</v>
    <v>7.4</v>
    <v>7.4</v>
    <v>7.41</v>
    <v>7.41</v>
    <v>7.4</v>
    <v>7.4</v>
    <v>7.34</v>
    <v>7.18</v>
    <v>6.88</v>
    <v>7.13</v>
    <v>7.08</v>
    <v>7.11</v>
    <v>7.03</v>
    <v>7.04</v>
    <v>7.01</v>
    <v>7.02</v>
    <v>6.97</v>
    <v>6.95</v>
    <v>6.83</v>
    <v>6.79</v>
    <v>6.71</v>
    <v>6.66</v>
    <v>6.73</v>
    <v>6.85</v>
    <v>6.47</v>
    <v>6.3</v>
    <v>6.14</v>
    <v>6.12</v>
    <v>6.09</v>
    <v>6.1</v>
    <v>6.02</v>
    <v>5.97</v>
    <v>6.03</v>
    <v>5.95</v>
    <v>5.99</v>
    <v>5.86</v>
    <v>5.79</v>
    <v>5.87</v>
    <v>6</v>
    <v>6.11</v>
    <v>6.07</v>
    <v>6.16</v>
    <v>6.07</v>
    <v>6.09</v>
    <v>5.97</v>
    <v>6.01</v>
    <v>6.21</v>
    <v>6.09</v>
    <v>6.06</v>
    <v>6.15</v>
    <v>6.01</v>
    <v>6.14</v>
    <v>5.97</v>
    <v>6.22</v>
    <v>6.24</v>
    <v>6.25</v>
    <v>6.28</v>
    <v>6.19</v>
    <v>6.24</v>
    <v>6.18</v>
    <v>6.23</v>
    <v>6.27</v>
    <v>6.31</v>
    <v>6.27</v>
    <v>6.24</v>
    <v>6.25</v>
    <v>6.31</v>
    <v>6.36</v>
    <v>6.37</v>
    <v>6.4</v>
    <v>6.32</v>
    <v>6.61</v>
    <v>6.38</v>
    <v>6.41</v>
    <v>6.34</v>
    <v>6.5</v>
    <v>6.5</v>
    <v>6.63</v>
    <v>6.76</v>
    <v>6.61</v>
    <v>6.57</v>
    <v>6.5</v>
    <v>6.5</v>
    <v>6.45</v>
    <v>6.29</v>
    <v>6.3</v>
    <v>6.33</v>
    <v>6.36</v>
    <v>6.36</v>
    <v>6.45</v>
    <v>6.4</v>
    <v>6.33</v>
    <v>6.23</v>
    <v>6.12</v>
    <v>6.15</v>
    <v>6.08</v>
    <v>6.04</v>
    <v>6.17</v>
    <v>6.27</v>
    <v>6.11</v>
    <v>6.09</v>
    <v>6.1</v>
    <v>6.02</v>
    <v>6.03</v>
    <v>6.08</v>
    <v>5.96</v>
    <v>5.91</v>
    <v>5.94</v>
    <v>6</v>
    <v>6.02</v>
    <v>6.01</v>
    <v>6.06</v>
    <v>6.06</v>
    <v>6.12</v>
    <v>6.18</v>
    <v>6.1</v>
    <v>6.2</v>
    <v>6.29</v>
    <v>6.07</v>
    <v>6.07</v>
    <v>6.01</v>
    <v>6</v>
    <v>6.01</v>
    <v>5.93</v>
    <v>5.78</v>
    <v>5.78</v>
    <v>5.79</v>
    <v>5.77</v>
    <v>5.74</v>
    <v>5.86</v>
    <v>5.91</v>
    <v>5.81</v>
  </a>
  <a r="1" c="19">
    <v t="i">3</v>
    <v t="i">4</v>
    <v t="i">5</v>
    <v t="i">9</v>
    <v t="i">10</v>
    <v t="i">11</v>
    <v t="i">12</v>
    <v t="i">15</v>
    <v t="i">16</v>
    <v t="i">17</v>
    <v t="i">18</v>
    <v t="i">19</v>
    <v t="i">22</v>
    <v t="i">23</v>
    <v t="i">24</v>
    <v t="i">25</v>
    <v t="i">26</v>
    <v t="i">29</v>
    <v t="i">30</v>
  </a>
  <a r="1" c="19">
    <v>6.12</v>
    <v>6.18</v>
    <v>6.1</v>
    <v>6.2</v>
    <v>6.29</v>
    <v>6.07</v>
    <v>6.07</v>
    <v>6.01</v>
    <v>6</v>
    <v>6.01</v>
    <v>5.93</v>
    <v>5.78</v>
    <v>5.78</v>
    <v>5.79</v>
    <v>5.77</v>
    <v>5.74</v>
    <v>5.86</v>
    <v>5.91</v>
    <v>5.81</v>
  </a>
  <a r="1" c="19">
    <v>6.09</v>
    <v>6.17</v>
    <v>6.18</v>
    <v>6.08</v>
    <v>6.2</v>
    <v>6.15</v>
    <v>6.08</v>
    <v>6.05</v>
    <v>6.01</v>
    <v>6.02</v>
    <v>6.03</v>
    <v>5.94</v>
    <v>5.79</v>
    <v>5.78</v>
    <v>5.79</v>
    <v>5.75</v>
    <v>5.73</v>
    <v>5.89</v>
    <v>5.9</v>
  </a>
  <a r="1" c="19">
    <v>6.18</v>
    <v>6.18</v>
    <v>6.1950000000000003</v>
    <v>6.21</v>
    <v>6.33</v>
    <v>6.27</v>
    <v>6.14</v>
    <v>6.1</v>
    <v>6.08</v>
    <v>6.07</v>
    <v>6.05</v>
    <v>5.99</v>
    <v>5.85</v>
    <v>5.8250000000000002</v>
    <v>5.85</v>
    <v>5.7750000000000004</v>
    <v>5.9</v>
    <v>5.93</v>
    <v>5.91</v>
  </a>
  <a r="1" c="19">
    <v>6.09</v>
    <v>6.12</v>
    <v>6.1</v>
    <v>6.08</v>
    <v>6.19</v>
    <v>6.05</v>
    <v>6.05</v>
    <v>6</v>
    <v>5.99</v>
    <v>5.98</v>
    <v>5.93</v>
    <v>5.78</v>
    <v>5.72</v>
    <v>5.75</v>
    <v>5.75</v>
    <v>5.67</v>
    <v>5.72</v>
    <v>5.81</v>
    <v>5.71</v>
  </a>
  <a r="1" c="19">
    <v>811097</v>
    <v>423886</v>
    <v>314793</v>
    <v>383280</v>
    <v>618348</v>
    <v>696593</v>
    <v>429896</v>
    <v>572147</v>
    <v>957337</v>
    <v>530149</v>
    <v>530331</v>
    <v>1159971</v>
    <v>1636720</v>
    <v>1053948</v>
    <v>712061</v>
    <v>1786992</v>
    <v>1421493</v>
    <v>1250325</v>
    <v>1677629</v>
  </a>
  <a r="1" c="1304">
    <v t="i">2</v>
    <v t="i">3</v>
    <v t="i">4</v>
    <v t="i">5</v>
    <v t="i">6</v>
    <v t="i">9</v>
    <v t="i">10</v>
    <v t="i">11</v>
    <v t="i">12</v>
    <v t="i">13</v>
    <v t="i">16</v>
    <v t="i">17</v>
    <v t="i">18</v>
    <v t="i">19</v>
    <v t="i">20</v>
    <v t="i">23</v>
    <v t="i">24</v>
    <v t="i">25</v>
    <v t="i">26</v>
    <v t="i">27</v>
    <v t="i">30</v>
    <v t="i">31</v>
    <v t="i">32</v>
    <v t="i">33</v>
    <v t="i">34</v>
    <v t="i">37</v>
    <v t="i">38</v>
    <v t="i">39</v>
    <v t="i">40</v>
    <v t="i">41</v>
    <v t="i">44</v>
    <v t="i">45</v>
    <v t="i">46</v>
    <v t="i">47</v>
    <v t="i">48</v>
    <v t="i">51</v>
    <v t="i">52</v>
    <v t="i">53</v>
    <v t="i">54</v>
    <v t="i">55</v>
    <v t="i">58</v>
    <v t="i">59</v>
    <v t="i">60</v>
    <v t="i">61</v>
    <v t="i">62</v>
    <v t="i">65</v>
    <v t="i">66</v>
    <v t="i">67</v>
    <v t="i">68</v>
    <v t="i">69</v>
    <v t="i">72</v>
    <v t="i">73</v>
    <v t="i">74</v>
    <v t="i">75</v>
    <v t="i">76</v>
    <v t="i">79</v>
    <v t="i">80</v>
    <v t="i">81</v>
    <v t="i">82</v>
    <v t="i">83</v>
    <v t="i">86</v>
    <v t="i">87</v>
    <v t="i">88</v>
    <v t="i">89</v>
    <v t="i">90</v>
    <v t="i">93</v>
    <v t="i">94</v>
    <v t="i">95</v>
    <v t="i">96</v>
    <v t="i">97</v>
    <v t="i">100</v>
    <v t="i">101</v>
    <v t="i">102</v>
    <v t="i">103</v>
    <v t="i">104</v>
    <v t="i">107</v>
    <v t="i">108</v>
    <v t="i">109</v>
    <v t="i">110</v>
    <v t="i">111</v>
    <v t="i">114</v>
    <v t="i">115</v>
    <v t="i">116</v>
    <v t="i">117</v>
    <v t="i">118</v>
    <v t="i">121</v>
    <v t="i">122</v>
    <v t="i">123</v>
    <v t="i">124</v>
    <v t="i">125</v>
    <v t="i">128</v>
    <v t="i">129</v>
    <v t="i">130</v>
    <v t="i">131</v>
    <v t="i">132</v>
    <v t="i">135</v>
    <v t="i">136</v>
    <v t="i">137</v>
    <v t="i">138</v>
    <v t="i">139</v>
    <v t="i">142</v>
    <v t="i">143</v>
    <v t="i">144</v>
    <v t="i">145</v>
    <v t="i">146</v>
    <v t="i">149</v>
    <v t="i">150</v>
    <v t="i">151</v>
    <v t="i">152</v>
    <v t="i">153</v>
    <v t="i">156</v>
    <v t="i">157</v>
    <v t="i">158</v>
    <v t="i">159</v>
    <v t="i">160</v>
    <v t="i">163</v>
    <v t="i">164</v>
    <v t="i">165</v>
    <v t="i">166</v>
    <v t="i">167</v>
    <v t="i">170</v>
    <v t="i">171</v>
    <v t="i">172</v>
    <v t="i">173</v>
    <v t="i">174</v>
    <v t="i">177</v>
    <v t="i">178</v>
    <v t="i">179</v>
    <v t="i">180</v>
    <v t="i">181</v>
    <v t="i">184</v>
    <v t="i">185</v>
    <v t="i">186</v>
    <v t="i">187</v>
    <v t="i">188</v>
    <v t="i">191</v>
    <v t="i">192</v>
    <v t="i">193</v>
    <v t="i">194</v>
    <v t="i">195</v>
    <v t="i">198</v>
    <v t="i">199</v>
    <v t="i">200</v>
    <v t="i">201</v>
    <v t="i">202</v>
    <v t="i">205</v>
    <v t="i">206</v>
    <v t="i">207</v>
    <v t="i">208</v>
    <v t="i">209</v>
    <v t="i">212</v>
    <v t="i">213</v>
    <v t="i">214</v>
    <v t="i">215</v>
    <v t="i">216</v>
    <v t="i">219</v>
    <v t="i">220</v>
    <v t="i">221</v>
    <v t="i">222</v>
    <v t="i">223</v>
    <v t="i">226</v>
    <v t="i">227</v>
    <v t="i">228</v>
    <v t="i">229</v>
    <v t="i">230</v>
    <v t="i">233</v>
    <v t="i">234</v>
    <v t="i">235</v>
    <v t="i">236</v>
    <v t="i">237</v>
    <v t="i">240</v>
    <v t="i">241</v>
    <v t="i">242</v>
    <v t="i">243</v>
    <v t="i">244</v>
    <v t="i">247</v>
    <v t="i">248</v>
    <v t="i">249</v>
    <v t="i">250</v>
    <v t="i">251</v>
    <v t="i">254</v>
    <v t="i">255</v>
    <v t="i">256</v>
    <v t="i">257</v>
    <v t="i">258</v>
    <v t="i">261</v>
    <v t="i">262</v>
    <v t="i">263</v>
    <v t="i">264</v>
    <v t="i">265</v>
    <v t="i">268</v>
    <v t="i">269</v>
    <v t="i">270</v>
    <v t="i">271</v>
    <v t="i">272</v>
    <v t="i">275</v>
    <v t="i">276</v>
    <v t="i">277</v>
    <v t="i">278</v>
    <v t="i">279</v>
    <v t="i">282</v>
    <v t="i">283</v>
    <v t="i">284</v>
    <v t="i">285</v>
    <v t="i">286</v>
    <v t="i">289</v>
    <v t="i">290</v>
    <v t="i">291</v>
    <v t="i">292</v>
    <v t="i">293</v>
    <v t="i">296</v>
    <v t="i">297</v>
    <v t="i">298</v>
    <v t="i">299</v>
    <v t="i">300</v>
    <v t="i">303</v>
    <v t="i">304</v>
    <v t="i">305</v>
    <v t="i">306</v>
    <v t="i">307</v>
    <v t="i">310</v>
    <v t="i">311</v>
    <v t="i">312</v>
    <v t="i">313</v>
    <v t="i">314</v>
    <v t="i">317</v>
    <v t="i">318</v>
    <v t="i">319</v>
    <v t="i">320</v>
    <v t="i">321</v>
    <v t="i">324</v>
    <v t="i">325</v>
    <v t="i">326</v>
    <v t="i">327</v>
    <v t="i">328</v>
    <v t="i">331</v>
    <v t="i">332</v>
    <v t="i">333</v>
    <v t="i">334</v>
    <v t="i">335</v>
    <v t="i">338</v>
    <v t="i">339</v>
    <v t="i">340</v>
    <v t="i">341</v>
    <v t="i">342</v>
    <v t="i">345</v>
    <v t="i">346</v>
    <v t="i">347</v>
    <v t="i">348</v>
    <v t="i">349</v>
    <v t="i">352</v>
    <v t="i">353</v>
    <v t="i">354</v>
    <v t="i">355</v>
    <v t="i">356</v>
    <v t="i">359</v>
    <v t="i">360</v>
    <v t="i">361</v>
    <v t="i">362</v>
    <v t="i">363</v>
    <v t="i">366</v>
    <v t="i">367</v>
    <v t="i">368</v>
    <v t="i">369</v>
    <v t="i">370</v>
    <v t="i">373</v>
    <v t="i">374</v>
    <v t="i">375</v>
    <v t="i">376</v>
    <v t="i">377</v>
    <v t="i">380</v>
    <v t="i">381</v>
    <v t="i">382</v>
    <v t="i">383</v>
    <v t="i">384</v>
    <v t="i">387</v>
    <v t="i">388</v>
    <v t="i">389</v>
    <v t="i">390</v>
    <v t="i">391</v>
    <v t="i">394</v>
    <v t="i">395</v>
    <v t="i">396</v>
    <v t="i">397</v>
    <v t="i">398</v>
    <v t="i">401</v>
    <v t="i">402</v>
    <v t="i">403</v>
    <v t="i">404</v>
    <v t="i">405</v>
    <v t="i">408</v>
    <v t="i">409</v>
    <v t="i">410</v>
    <v t="i">411</v>
    <v t="i">412</v>
    <v t="i">415</v>
    <v t="i">416</v>
    <v t="i">417</v>
    <v t="i">418</v>
    <v t="i">419</v>
    <v t="i">422</v>
    <v t="i">423</v>
    <v t="i">424</v>
    <v t="i">425</v>
    <v t="i">426</v>
    <v t="i">429</v>
    <v t="i">430</v>
    <v t="i">431</v>
    <v t="i">432</v>
    <v t="i">433</v>
    <v t="i">436</v>
    <v t="i">437</v>
    <v t="i">438</v>
    <v t="i">439</v>
    <v t="i">440</v>
    <v t="i">443</v>
    <v t="i">444</v>
    <v t="i">445</v>
    <v t="i">446</v>
    <v t="i">447</v>
    <v t="i">450</v>
    <v t="i">451</v>
    <v t="i">452</v>
    <v t="i">453</v>
    <v t="i">454</v>
    <v t="i">457</v>
    <v t="i">458</v>
    <v t="i">459</v>
    <v t="i">460</v>
    <v t="i">461</v>
    <v t="i">464</v>
    <v t="i">465</v>
    <v t="i">466</v>
    <v t="i">467</v>
    <v t="i">468</v>
    <v t="i">471</v>
    <v t="i">472</v>
    <v t="i">473</v>
    <v t="i">474</v>
    <v t="i">475</v>
    <v t="i">478</v>
    <v t="i">479</v>
    <v t="i">480</v>
    <v t="i">481</v>
    <v t="i">482</v>
    <v t="i">485</v>
    <v t="i">486</v>
    <v t="i">487</v>
    <v t="i">488</v>
    <v t="i">489</v>
    <v t="i">492</v>
    <v t="i">493</v>
    <v t="i">494</v>
    <v t="i">495</v>
    <v t="i">496</v>
    <v t="i">499</v>
    <v t="i">500</v>
    <v t="i">501</v>
    <v t="i">502</v>
    <v t="i">503</v>
    <v t="i">506</v>
    <v t="i">507</v>
    <v t="i">508</v>
    <v t="i">509</v>
    <v t="i">510</v>
    <v t="i">513</v>
    <v t="i">514</v>
    <v t="i">515</v>
    <v t="i">516</v>
    <v t="i">517</v>
    <v t="i">520</v>
    <v t="i">521</v>
    <v t="i">522</v>
    <v t="i">523</v>
    <v t="i">524</v>
    <v t="i">527</v>
    <v t="i">528</v>
    <v t="i">529</v>
    <v t="i">530</v>
    <v t="i">531</v>
    <v t="i">534</v>
    <v t="i">535</v>
    <v t="i">536</v>
    <v t="i">537</v>
    <v t="i">538</v>
    <v t="i">541</v>
    <v t="i">542</v>
    <v t="i">543</v>
    <v t="i">544</v>
    <v t="i">545</v>
    <v t="i">548</v>
    <v t="i">549</v>
    <v t="i">550</v>
    <v t="i">551</v>
    <v t="i">552</v>
    <v t="i">555</v>
    <v t="i">556</v>
    <v t="i">557</v>
    <v t="i">558</v>
    <v t="i">559</v>
    <v t="i">562</v>
    <v t="i">563</v>
    <v t="i">564</v>
    <v t="i">565</v>
    <v t="i">566</v>
    <v t="i">569</v>
    <v t="i">570</v>
    <v t="i">571</v>
    <v t="i">572</v>
    <v t="i">573</v>
    <v t="i">576</v>
    <v t="i">577</v>
    <v t="i">578</v>
    <v t="i">579</v>
    <v t="i">580</v>
    <v t="i">583</v>
    <v t="i">584</v>
    <v t="i">585</v>
    <v t="i">586</v>
    <v t="i">587</v>
    <v t="i">590</v>
    <v t="i">591</v>
    <v t="i">592</v>
    <v t="i">593</v>
    <v t="i">594</v>
    <v t="i">597</v>
    <v t="i">598</v>
    <v t="i">599</v>
    <v t="i">600</v>
    <v t="i">601</v>
    <v t="i">604</v>
    <v t="i">605</v>
    <v t="i">606</v>
    <v t="i">607</v>
    <v t="i">608</v>
    <v t="i">611</v>
    <v t="i">612</v>
    <v t="i">613</v>
    <v t="i">614</v>
    <v t="i">615</v>
    <v t="i">618</v>
    <v t="i">619</v>
    <v t="i">620</v>
    <v t="i">621</v>
    <v t="i">622</v>
    <v t="i">625</v>
    <v t="i">626</v>
    <v t="i">627</v>
    <v t="i">628</v>
    <v t="i">629</v>
    <v t="i">632</v>
    <v t="i">633</v>
    <v t="i">634</v>
    <v t="i">635</v>
    <v t="i">636</v>
    <v t="i">639</v>
    <v t="i">640</v>
    <v t="i">641</v>
    <v t="i">642</v>
    <v t="i">643</v>
    <v t="i">646</v>
    <v t="i">647</v>
    <v t="i">648</v>
    <v t="i">649</v>
    <v t="i">650</v>
    <v t="i">653</v>
    <v t="i">654</v>
    <v t="i">655</v>
    <v t="i">656</v>
    <v t="i">657</v>
    <v t="i">660</v>
    <v t="i">661</v>
    <v t="i">662</v>
    <v t="i">663</v>
    <v t="i">664</v>
    <v t="i">667</v>
    <v t="i">668</v>
    <v t="i">669</v>
    <v t="i">670</v>
    <v t="i">671</v>
    <v t="i">674</v>
    <v t="i">675</v>
    <v t="i">676</v>
    <v t="i">677</v>
    <v t="i">678</v>
    <v t="i">681</v>
    <v t="i">682</v>
    <v t="i">683</v>
    <v t="i">684</v>
    <v t="i">685</v>
    <v t="i">688</v>
    <v t="i">689</v>
    <v t="i">690</v>
    <v t="i">691</v>
    <v t="i">692</v>
    <v t="i">695</v>
    <v t="i">696</v>
    <v t="i">697</v>
    <v t="i">698</v>
    <v t="i">699</v>
    <v t="i">702</v>
    <v t="i">703</v>
    <v t="i">704</v>
    <v t="i">705</v>
    <v t="i">706</v>
    <v t="i">709</v>
    <v t="i">710</v>
    <v t="i">711</v>
    <v t="i">712</v>
    <v t="i">713</v>
    <v t="i">716</v>
    <v t="i">717</v>
    <v t="i">718</v>
    <v t="i">719</v>
    <v t="i">720</v>
    <v t="i">723</v>
    <v t="i">724</v>
    <v t="i">725</v>
    <v t="i">726</v>
    <v t="i">727</v>
    <v t="i">730</v>
    <v t="i">732</v>
    <v t="i">733</v>
    <v t="i">734</v>
    <v t="i">737</v>
    <v t="i">738</v>
    <v t="i">739</v>
    <v t="i">740</v>
    <v t="i">741</v>
    <v t="i">744</v>
    <v t="i">745</v>
    <v t="i">746</v>
    <v t="i">747</v>
    <v t="i">748</v>
    <v t="i">751</v>
    <v t="i">752</v>
    <v t="i">753</v>
    <v t="i">754</v>
    <v t="i">755</v>
    <v t="i">758</v>
    <v t="i">759</v>
    <v t="i">760</v>
    <v t="i">761</v>
    <v t="i">762</v>
    <v t="i">765</v>
    <v t="i">766</v>
    <v t="i">767</v>
    <v t="i">768</v>
    <v t="i">769</v>
    <v t="i">772</v>
    <v t="i">773</v>
    <v t="i">774</v>
    <v t="i">775</v>
    <v t="i">776</v>
    <v t="i">779</v>
    <v t="i">780</v>
    <v t="i">781</v>
    <v t="i">782</v>
    <v t="i">783</v>
    <v t="i">786</v>
    <v t="i">787</v>
    <v t="i">788</v>
    <v t="i">789</v>
    <v t="i">790</v>
    <v t="i">793</v>
    <v t="i">794</v>
    <v t="i">795</v>
    <v t="i">796</v>
    <v t="i">797</v>
    <v t="i">800</v>
    <v t="i">801</v>
    <v t="i">802</v>
    <v t="i">803</v>
    <v t="i">804</v>
    <v t="i">807</v>
    <v t="i">808</v>
    <v t="i">809</v>
    <v t="i">810</v>
    <v t="i">811</v>
    <v t="i">814</v>
    <v t="i">815</v>
    <v t="i">816</v>
    <v t="i">817</v>
    <v t="i">818</v>
    <v t="i">821</v>
    <v t="i">822</v>
    <v t="i">823</v>
    <v t="i">824</v>
    <v t="i">825</v>
    <v t="i">828</v>
    <v t="i">829</v>
    <v t="i">830</v>
    <v t="i">831</v>
    <v t="i">832</v>
    <v t="i">835</v>
    <v t="i">836</v>
    <v t="i">837</v>
    <v t="i">838</v>
    <v t="i">839</v>
    <v t="i">842</v>
    <v t="i">843</v>
    <v t="i">845</v>
    <v t="i">846</v>
    <v t="i">849</v>
    <v t="i">850</v>
    <v t="i">851</v>
    <v t="i">852</v>
    <v t="i">853</v>
    <v t="i">856</v>
    <v t="i">857</v>
    <v t="i">858</v>
    <v t="i">859</v>
    <v t="i">860</v>
    <v t="i">863</v>
    <v t="i">864</v>
    <v t="i">865</v>
    <v t="i">866</v>
    <v t="i">867</v>
    <v t="i">870</v>
    <v t="i">871</v>
    <v t="i">872</v>
    <v t="i">873</v>
    <v t="i">874</v>
    <v t="i">877</v>
    <v t="i">878</v>
    <v t="i">879</v>
    <v t="i">880</v>
    <v t="i">881</v>
    <v t="i">884</v>
    <v t="i">885</v>
    <v t="i">886</v>
    <v t="i">887</v>
    <v t="i">888</v>
    <v t="i">891</v>
    <v t="i">892</v>
    <v t="i">893</v>
    <v t="i">894</v>
    <v t="i">895</v>
    <v t="i">898</v>
    <v t="i">899</v>
    <v t="i">900</v>
    <v t="i">901</v>
    <v t="i">902</v>
    <v t="i">905</v>
    <v t="i">906</v>
    <v t="i">907</v>
    <v t="i">908</v>
    <v t="i">909</v>
    <v t="i">912</v>
    <v t="i">913</v>
    <v t="i">914</v>
    <v t="i">915</v>
    <v t="i">916</v>
    <v t="i">919</v>
    <v t="i">920</v>
    <v t="i">921</v>
    <v t="i">922</v>
    <v t="i">923</v>
    <v t="i">926</v>
    <v t="i">927</v>
    <v t="i">928</v>
    <v t="i">929</v>
    <v t="i">930</v>
    <v t="i">933</v>
    <v t="i">934</v>
    <v t="i">935</v>
    <v t="i">936</v>
    <v t="i">937</v>
    <v t="i">940</v>
    <v t="i">941</v>
    <v t="i">942</v>
    <v t="i">943</v>
    <v t="i">944</v>
    <v t="i">947</v>
    <v t="i">948</v>
    <v t="i">949</v>
    <v t="i">950</v>
    <v t="i">951</v>
    <v t="i">954</v>
    <v t="i">955</v>
    <v t="i">956</v>
    <v t="i">957</v>
    <v t="i">958</v>
    <v t="i">961</v>
    <v t="i">962</v>
    <v t="i">963</v>
    <v t="i">964</v>
    <v t="i">965</v>
    <v t="i">968</v>
    <v t="i">969</v>
    <v t="i">970</v>
    <v t="i">971</v>
    <v t="i">972</v>
    <v t="i">975</v>
    <v t="i">976</v>
    <v t="i">977</v>
    <v t="i">978</v>
    <v t="i">979</v>
    <v t="i">982</v>
    <v t="i">983</v>
    <v t="i">984</v>
    <v t="i">985</v>
    <v t="i">986</v>
    <v t="i">989</v>
    <v t="i">990</v>
    <v t="i">991</v>
    <v t="i">992</v>
    <v t="i">993</v>
    <v t="i">996</v>
    <v t="i">997</v>
    <v t="i">998</v>
    <v t="i">999</v>
    <v t="i">1000</v>
    <v t="i">1003</v>
    <v t="i">1004</v>
    <v t="i">1005</v>
    <v t="i">1006</v>
    <v t="i">1007</v>
    <v t="i">1010</v>
    <v t="i">1011</v>
    <v t="i">1012</v>
    <v t="i">1013</v>
    <v t="i">1014</v>
    <v t="i">1017</v>
    <v t="i">1018</v>
    <v t="i">1019</v>
    <v t="i">1020</v>
    <v t="i">1021</v>
    <v t="i">1024</v>
    <v t="i">1025</v>
    <v t="i">1026</v>
    <v t="i">1027</v>
    <v t="i">1028</v>
    <v t="i">1031</v>
    <v t="i">1032</v>
    <v t="i">1033</v>
    <v t="i">1034</v>
    <v t="i">1035</v>
    <v t="i">1038</v>
    <v t="i">1039</v>
    <v t="i">1040</v>
    <v t="i">1041</v>
    <v t="i">1042</v>
    <v t="i">1045</v>
    <v t="i">1046</v>
    <v t="i">1047</v>
    <v t="i">1048</v>
    <v t="i">1049</v>
    <v t="i">1052</v>
    <v t="i">1053</v>
    <v t="i">1054</v>
    <v t="i">1055</v>
    <v t="i">1056</v>
    <v t="i">1059</v>
    <v t="i">1060</v>
    <v t="i">1061</v>
    <v t="i">1062</v>
    <v t="i">1063</v>
    <v t="i">1066</v>
    <v t="i">1067</v>
    <v t="i">1068</v>
    <v t="i">1069</v>
    <v t="i">1070</v>
    <v t="i">1073</v>
    <v t="i">1074</v>
    <v t="i">1075</v>
    <v t="i">1076</v>
    <v t="i">1077</v>
    <v t="i">1080</v>
    <v t="i">1081</v>
    <v t="i">1082</v>
    <v t="i">1083</v>
    <v t="i">1084</v>
    <v t="i">1087</v>
    <v t="i">1088</v>
    <v t="i">1089</v>
    <v t="i">1090</v>
    <v t="i">1091</v>
    <v t="i">1094</v>
    <v t="i">1095</v>
    <v t="i">1096</v>
    <v t="i">1097</v>
    <v t="i">1098</v>
    <v t="i">1101</v>
    <v t="i">1102</v>
    <v t="i">1103</v>
    <v t="i">1104</v>
    <v t="i">1105</v>
    <v t="i">1108</v>
    <v t="i">1109</v>
    <v t="i">1110</v>
    <v t="i">1111</v>
    <v t="i">1112</v>
    <v t="i">1115</v>
    <v t="i">1116</v>
    <v t="i">1117</v>
    <v t="i">1118</v>
    <v t="i">1119</v>
    <v t="i">1122</v>
    <v t="i">1123</v>
    <v t="i">1124</v>
    <v t="i">1125</v>
    <v t="i">1126</v>
    <v t="i">1129</v>
    <v t="i">1130</v>
    <v t="i">1131</v>
    <v t="i">1132</v>
    <v t="i">1133</v>
    <v t="i">1136</v>
    <v t="i">1137</v>
    <v t="i">1138</v>
    <v t="i">1139</v>
    <v t="i">1140</v>
    <v t="i">1143</v>
    <v t="i">1144</v>
    <v t="i">1145</v>
    <v t="i">1146</v>
    <v t="i">1147</v>
    <v t="i">1150</v>
    <v t="i">1151</v>
    <v t="i">1152</v>
    <v t="i">1153</v>
    <v t="i">1154</v>
    <v t="i">1157</v>
    <v t="i">1158</v>
    <v t="i">1159</v>
    <v t="i">1160</v>
    <v t="i">1161</v>
    <v t="i">1164</v>
    <v t="i">1165</v>
    <v t="i">1166</v>
    <v t="i">1167</v>
    <v t="i">1168</v>
    <v t="i">1171</v>
    <v t="i">1172</v>
    <v t="i">1173</v>
    <v t="i">1174</v>
    <v t="i">1175</v>
    <v t="i">1178</v>
    <v t="i">1179</v>
    <v t="i">1180</v>
    <v t="i">1181</v>
    <v t="i">1182</v>
    <v t="i">1185</v>
    <v t="i">1186</v>
    <v t="i">1187</v>
    <v t="i">1188</v>
    <v t="i">1189</v>
    <v t="i">1192</v>
    <v t="i">1193</v>
    <v t="i">1194</v>
    <v t="i">1195</v>
    <v t="i">1196</v>
    <v t="i">1199</v>
    <v t="i">1200</v>
    <v t="i">1201</v>
    <v t="i">1202</v>
    <v t="i">1203</v>
    <v t="i">1206</v>
    <v t="i">1207</v>
    <v t="i">1208</v>
    <v t="i">1209</v>
    <v t="i">1210</v>
    <v t="i">1213</v>
    <v t="i">1214</v>
    <v t="i">1215</v>
    <v t="i">1216</v>
    <v t="i">1217</v>
    <v t="i">1220</v>
    <v t="i">1221</v>
    <v t="i">1222</v>
    <v t="i">1223</v>
    <v t="i">1224</v>
    <v t="i">1227</v>
    <v t="i">1228</v>
    <v t="i">1229</v>
    <v t="i">1230</v>
    <v t="i">1231</v>
    <v t="i">1234</v>
    <v t="i">1235</v>
    <v t="i">1236</v>
    <v t="i">1237</v>
    <v t="i">1238</v>
    <v t="i">1241</v>
    <v t="i">1242</v>
    <v t="i">1243</v>
    <v t="i">1244</v>
    <v t="i">1245</v>
    <v t="i">1248</v>
    <v t="i">1249</v>
    <v t="i">1250</v>
    <v t="i">1251</v>
    <v t="i">1252</v>
    <v t="i">1255</v>
    <v t="i">1256</v>
    <v t="i">1257</v>
    <v t="i">1258</v>
    <v t="i">1259</v>
    <v t="i">1262</v>
    <v t="i">1263</v>
    <v t="i">1264</v>
    <v t="i">1265</v>
    <v t="i">1266</v>
    <v t="i">1269</v>
    <v t="i">1270</v>
    <v t="i">1271</v>
    <v t="i">1272</v>
    <v t="i">1273</v>
    <v t="i">1276</v>
    <v t="i">1277</v>
    <v t="i">1278</v>
    <v t="i">1279</v>
    <v t="i">1280</v>
    <v t="i">1283</v>
    <v t="i">1284</v>
    <v t="i">1285</v>
    <v t="i">1286</v>
    <v t="i">1287</v>
    <v t="i">1290</v>
    <v t="i">1291</v>
    <v t="i">1292</v>
    <v t="i">1293</v>
    <v t="i">1294</v>
    <v t="i">1297</v>
    <v t="i">1298</v>
    <v t="i">1299</v>
    <v t="i">1300</v>
    <v t="i">1301</v>
    <v t="i">1304</v>
    <v t="i">1305</v>
    <v t="i">1306</v>
    <v t="i">1307</v>
    <v t="i">1308</v>
    <v t="i">1311</v>
    <v t="i">1312</v>
    <v t="i">1313</v>
    <v t="i">1314</v>
    <v t="i">1315</v>
    <v t="i">1318</v>
    <v t="i">1319</v>
    <v t="i">1320</v>
    <v t="i">1321</v>
    <v t="i">1322</v>
    <v t="i">1325</v>
    <v t="i">1326</v>
    <v t="i">1327</v>
    <v t="i">1328</v>
    <v t="i">1329</v>
    <v t="i">1332</v>
    <v t="i">1333</v>
    <v t="i">1334</v>
    <v t="i">1335</v>
    <v t="i">1336</v>
    <v t="i">1339</v>
    <v t="i">1340</v>
    <v t="i">1341</v>
    <v t="i">1342</v>
    <v t="i">1343</v>
    <v t="i">1346</v>
    <v t="i">1347</v>
    <v t="i">1348</v>
    <v t="i">1349</v>
    <v t="i">1350</v>
    <v t="i">1353</v>
    <v t="i">1354</v>
    <v t="i">1355</v>
    <v t="i">1356</v>
    <v t="i">1357</v>
    <v t="i">1360</v>
    <v t="i">1361</v>
    <v t="i">1362</v>
    <v t="i">1363</v>
    <v t="i">1364</v>
    <v t="i">1367</v>
    <v t="i">1368</v>
    <v t="i">1369</v>
    <v t="i">1370</v>
    <v t="i">1371</v>
    <v t="i">1374</v>
    <v t="i">1375</v>
    <v t="i">1376</v>
    <v t="i">1377</v>
    <v t="i">1378</v>
    <v t="i">1381</v>
    <v t="i">1382</v>
    <v t="i">1383</v>
    <v t="i">1384</v>
    <v t="i">1385</v>
    <v t="i">1388</v>
    <v t="i">1389</v>
    <v t="i">1390</v>
    <v t="i">1391</v>
    <v t="i">1392</v>
    <v t="i">1395</v>
    <v t="i">1396</v>
    <v t="i">1397</v>
    <v t="i">1398</v>
    <v t="i">1399</v>
    <v t="i">1402</v>
    <v t="i">1403</v>
    <v t="i">1404</v>
    <v t="i">1405</v>
    <v t="i">1406</v>
    <v t="i">1409</v>
    <v t="i">1410</v>
    <v t="i">1411</v>
    <v t="i">1412</v>
    <v t="i">1413</v>
    <v t="i">1416</v>
    <v t="i">1417</v>
    <v t="i">1418</v>
    <v t="i">1419</v>
    <v t="i">1420</v>
    <v t="i">1423</v>
    <v t="i">1424</v>
    <v t="i">1425</v>
    <v t="i">1426</v>
    <v t="i">1427</v>
    <v t="i">1430</v>
    <v t="i">1431</v>
    <v t="i">1432</v>
    <v t="i">1433</v>
    <v t="i">1434</v>
    <v t="i">1437</v>
    <v t="i">1438</v>
    <v t="i">1439</v>
    <v t="i">1440</v>
    <v t="i">1441</v>
    <v t="i">1444</v>
    <v t="i">1445</v>
    <v t="i">1446</v>
    <v t="i">1447</v>
    <v t="i">1448</v>
    <v t="i">1451</v>
    <v t="i">1452</v>
    <v t="i">1453</v>
    <v t="i">1454</v>
    <v t="i">1455</v>
    <v t="i">1458</v>
    <v t="i">1459</v>
    <v t="i">1460</v>
    <v t="i">1461</v>
    <v t="i">1462</v>
    <v t="i">1465</v>
    <v t="i">1466</v>
    <v t="i">1467</v>
    <v t="i">1468</v>
    <v t="i">1469</v>
    <v t="i">1472</v>
    <v t="i">1473</v>
    <v t="i">1474</v>
    <v t="i">1475</v>
    <v t="i">1476</v>
    <v t="i">1479</v>
    <v t="i">1480</v>
    <v t="i">1481</v>
    <v t="i">1482</v>
    <v t="i">1483</v>
    <v t="i">1486</v>
    <v t="i">1487</v>
    <v t="i">1488</v>
    <v t="i">1489</v>
    <v t="i">1490</v>
    <v t="i">1493</v>
    <v t="i">1494</v>
    <v t="i">1495</v>
    <v t="i">1496</v>
    <v t="i">1497</v>
    <v t="i">1500</v>
    <v t="i">1501</v>
    <v t="i">1502</v>
    <v t="i">1503</v>
    <v t="i">1504</v>
    <v t="i">1507</v>
    <v t="i">1508</v>
    <v t="i">1509</v>
    <v t="i">1510</v>
    <v t="i">1511</v>
    <v t="i">1514</v>
    <v t="i">1515</v>
    <v t="i">1516</v>
    <v t="i">1517</v>
    <v t="i">1518</v>
    <v t="i">1521</v>
    <v t="i">1522</v>
    <v t="i">1523</v>
    <v t="i">1524</v>
    <v t="i">1525</v>
    <v t="i">1528</v>
    <v t="i">1529</v>
    <v t="i">1530</v>
    <v t="i">1531</v>
    <v t="i">1532</v>
    <v t="i">1535</v>
    <v t="i">1536</v>
    <v t="i">1537</v>
    <v t="i">1538</v>
    <v t="i">1539</v>
    <v t="i">1542</v>
    <v t="i">1543</v>
    <v t="i">1544</v>
    <v t="i">1545</v>
    <v t="i">1546</v>
    <v t="i">1549</v>
    <v t="i">1550</v>
    <v t="i">1551</v>
    <v t="i">1552</v>
    <v t="i">1553</v>
    <v t="i">1556</v>
    <v t="i">1557</v>
    <v t="i">1558</v>
    <v t="i">1559</v>
    <v t="i">1560</v>
    <v t="i">1563</v>
    <v t="i">1564</v>
    <v t="i">1565</v>
    <v t="i">1566</v>
    <v t="i">1567</v>
    <v t="i">1570</v>
    <v t="i">1571</v>
    <v t="i">1572</v>
    <v t="i">1573</v>
    <v t="i">1574</v>
    <v t="i">1577</v>
    <v t="i">1578</v>
    <v t="i">1579</v>
    <v t="i">1580</v>
    <v t="i">1581</v>
    <v t="i">1584</v>
    <v t="i">1585</v>
    <v t="i">1586</v>
    <v t="i">1587</v>
    <v t="i">1588</v>
    <v t="i">1591</v>
    <v t="i">1592</v>
    <v t="i">1593</v>
    <v t="i">1594</v>
    <v t="i">1595</v>
    <v t="i">1598</v>
    <v t="i">1599</v>
    <v t="i">1600</v>
    <v t="i">1601</v>
    <v t="i">1602</v>
    <v t="i">1605</v>
    <v t="i">1606</v>
    <v t="i">1607</v>
    <v t="i">1608</v>
    <v t="i">1609</v>
    <v t="i">1612</v>
    <v t="i">1613</v>
    <v t="i">1614</v>
    <v t="i">1615</v>
    <v t="i">1616</v>
    <v t="i">1619</v>
    <v t="i">1620</v>
    <v t="i">1621</v>
    <v t="i">1622</v>
    <v t="i">1623</v>
    <v t="i">1626</v>
    <v t="i">1627</v>
    <v t="i">1628</v>
    <v t="i">1629</v>
    <v t="i">1630</v>
    <v t="i">1633</v>
    <v t="i">1634</v>
    <v t="i">1635</v>
    <v t="i">1636</v>
    <v t="i">1637</v>
    <v t="i">1640</v>
    <v t="i">1641</v>
    <v t="i">1642</v>
    <v t="i">1643</v>
    <v t="i">1644</v>
    <v t="i">1647</v>
    <v t="i">1648</v>
    <v t="i">1649</v>
    <v t="i">1650</v>
    <v t="i">1651</v>
    <v t="i">1654</v>
    <v t="i">1655</v>
    <v t="i">1656</v>
    <v t="i">1657</v>
    <v t="i">1658</v>
    <v t="i">1661</v>
    <v t="i">1662</v>
    <v t="i">1663</v>
    <v t="i">1664</v>
    <v t="i">1665</v>
    <v t="i">1668</v>
    <v t="i">1669</v>
    <v t="i">1670</v>
    <v t="i">1671</v>
    <v t="i">1672</v>
    <v t="i">1675</v>
    <v t="i">1676</v>
    <v t="i">1677</v>
    <v t="i">1678</v>
    <v t="i">1679</v>
    <v t="i">1682</v>
    <v t="i">1683</v>
    <v t="i">1684</v>
    <v t="i">1685</v>
    <v t="i">1686</v>
    <v t="i">1689</v>
    <v t="i">1690</v>
    <v t="i">1691</v>
    <v t="i">1692</v>
    <v t="i">1693</v>
    <v t="i">1696</v>
    <v t="i">1697</v>
    <v t="i">1698</v>
    <v t="i">1699</v>
    <v t="i">1700</v>
    <v t="i">1703</v>
    <v t="i">1704</v>
    <v t="i">1705</v>
    <v t="i">1706</v>
    <v t="i">1707</v>
    <v t="i">1710</v>
    <v t="i">1711</v>
    <v t="i">1712</v>
    <v t="i">1713</v>
    <v t="i">1714</v>
    <v t="i">1717</v>
    <v t="i">1718</v>
    <v t="i">1719</v>
    <v t="i">1720</v>
    <v t="i">1721</v>
    <v t="i">1724</v>
    <v t="i">1725</v>
    <v t="i">1726</v>
    <v t="i">1727</v>
    <v t="i">1728</v>
    <v t="i">1731</v>
    <v t="i">1732</v>
    <v t="i">1733</v>
    <v t="i">1734</v>
    <v t="i">1735</v>
    <v t="i">1738</v>
    <v t="i">1739</v>
    <v t="i">1740</v>
    <v t="i">1741</v>
    <v t="i">1742</v>
    <v t="i">1745</v>
    <v t="i">1746</v>
    <v t="i">1747</v>
    <v t="i">1748</v>
    <v t="i">1749</v>
    <v t="i">1752</v>
    <v t="i">1753</v>
    <v t="i">1754</v>
    <v t="i">1755</v>
    <v t="i">1756</v>
    <v t="i">1759</v>
    <v t="i">1760</v>
    <v t="i">1761</v>
    <v t="i">1762</v>
    <v t="i">1763</v>
    <v t="i">1766</v>
    <v t="i">1767</v>
    <v t="i">1768</v>
    <v t="i">1769</v>
    <v t="i">1770</v>
    <v t="i">1773</v>
    <v t="i">1774</v>
    <v t="i">1775</v>
    <v t="i">1776</v>
    <v t="i">1777</v>
    <v t="i">1780</v>
    <v t="i">1781</v>
    <v t="i">1782</v>
    <v t="i">1783</v>
    <v t="i">1784</v>
    <v t="i">1787</v>
    <v t="i">1788</v>
    <v t="i">1789</v>
    <v t="i">1790</v>
    <v t="i">1791</v>
    <v t="i">1794</v>
    <v t="i">1795</v>
    <v t="i">1796</v>
    <v t="i">1797</v>
    <v t="i">1798</v>
    <v t="i">1801</v>
    <v t="i">1802</v>
    <v t="i">1803</v>
    <v t="i">1804</v>
    <v t="i">1805</v>
    <v t="i">1808</v>
    <v t="i">1809</v>
    <v t="i">1810</v>
    <v t="i">1811</v>
    <v t="i">1812</v>
    <v t="i">1815</v>
    <v t="i">1816</v>
    <v t="i">1817</v>
    <v t="i">1818</v>
    <v t="i">1819</v>
    <v t="i">1822</v>
    <v t="i">1823</v>
    <v t="i">1824</v>
    <v t="i">1825</v>
    <v t="i">1826</v>
    <v t="i">1829</v>
  </a>
  <a r="1" c="1304">
    <v>1.4175</v>
    <v>1.421</v>
    <v>1.4129</v>
    <v>1.4263999999999999</v>
    <v>1.4313</v>
    <v>1.4206000000000001</v>
    <v>1.4097</v>
    <v>1.4123000000000001</v>
    <v>1.4108000000000001</v>
    <v>1.407</v>
    <v>1.4079999999999999</v>
    <v>1.4177999999999999</v>
    <v>1.4162999999999999</v>
    <v>1.4204000000000001</v>
    <v>1.4216</v>
    <v>1.4238</v>
    <v>1.4205000000000001</v>
    <v>1.4188000000000001</v>
    <v>1.4161999999999999</v>
    <v>1.4185000000000001</v>
    <v>1.4176</v>
    <v>1.4200999999999999</v>
    <v>1.4119999999999999</v>
    <v>1.4059999999999999</v>
    <v>1.4045000000000001</v>
    <v>1.4039999999999999</v>
    <v>1.4029</v>
    <v>1.4087000000000001</v>
    <v>1.4124000000000001</v>
    <v>1.4097999999999999</v>
    <v>1.4119999999999999</v>
    <v>1.4109</v>
    <v>1.4179999999999999</v>
    <v>1.4202999999999999</v>
    <v>1.4116</v>
    <v>1.4138999999999999</v>
    <v>1.4153</v>
    <v>1.4011</v>
    <v>1.4007000000000001</v>
    <v>1.4017999999999999</v>
    <v>1.3965000000000001</v>
    <v>1.3994</v>
    <v>1.3974</v>
    <v>1.3991</v>
    <v>1.3987000000000001</v>
    <v>1.3932</v>
    <v>1.3976999999999999</v>
    <v>1.3937999999999999</v>
    <v>1.3979999999999999</v>
    <v>1.3967000000000001</v>
    <v>1.3967000000000001</v>
    <v>1.3978999999999999</v>
    <v>1.4006000000000001</v>
    <v>1.4020999999999999</v>
    <v>1.4043000000000001</v>
    <v>1.4049</v>
    <v>1.4033</v>
    <v>1.3948</v>
    <v>1.3977999999999999</v>
    <v>1.3972</v>
    <v>1.3978999999999999</v>
    <v>1.3956</v>
    <v>1.3983000000000001</v>
    <v>1.3975</v>
    <v>1.3966000000000001</v>
    <v>1.3924000000000001</v>
    <v>1.3934</v>
    <v>1.3956</v>
    <v>1.3963000000000001</v>
    <v>1.3965000000000001</v>
    <v>1.3965000000000001</v>
    <v>1.3932</v>
    <v>1.3972</v>
    <v>1.4003000000000001</v>
    <v>1.4044000000000001</v>
    <v>1.4054</v>
    <v>1.4111</v>
    <v>1.4104000000000001</v>
    <v>1.4067000000000001</v>
    <v>1.4036</v>
    <v>1.3975</v>
    <v>1.3949</v>
    <v>1.3897999999999999</v>
    <v>1.3924000000000001</v>
    <v>1.3847</v>
    <v>1.3857999999999999</v>
    <v>1.3902000000000001</v>
    <v>1.3844000000000001</v>
    <v>1.3863000000000001</v>
    <v>1.3815</v>
    <v>1.3861000000000001</v>
    <v>1.3837999999999999</v>
    <v>1.3831</v>
    <v>1.3857999999999999</v>
    <v>1.3804000000000001</v>
    <v>1.3814</v>
    <v>1.3791</v>
    <v>1.3816999999999999</v>
    <v>1.3801000000000001</v>
    <v>1.3842000000000001</v>
    <v>1.3838999999999999</v>
    <v>1.3807</v>
    <v>1.3753</v>
    <v>1.3834</v>
    <v>1.383</v>
    <v>1.3866000000000001</v>
    <v>1.3891</v>
    <v>1.389</v>
    <v>1.3898999999999999</v>
    <v>1.3872</v>
    <v>1.3877999999999999</v>
    <v>1.3869</v>
    <v>1.3819999999999999</v>
    <v>1.3791</v>
    <v>1.3759999999999999</v>
    <v>1.3825000000000001</v>
    <v>1.3825000000000001</v>
    <v>1.3805000000000001</v>
    <v>1.3819999999999999</v>
    <v>1.3815999999999999</v>
    <v>1.3845000000000001</v>
    <v>1.3816999999999999</v>
    <v>1.3773</v>
    <v>1.3735999999999999</v>
    <v>1.3711</v>
    <v>1.369</v>
    <v>1.3662000000000001</v>
    <v>1.3676999999999999</v>
    <v>1.3662000000000001</v>
    <v>1.3621000000000001</v>
    <v>1.3617999999999999</v>
    <v>1.3620000000000001</v>
    <v>1.3571</v>
    <v>1.359</v>
    <v>1.3564000000000001</v>
    <v>1.3545</v>
    <v>1.3574999999999999</v>
    <v>1.3588</v>
    <v>1.3585</v>
    <v>1.3606</v>
    <v>1.3626</v>
    <v>1.3629</v>
    <v>1.3633999999999999</v>
    <v>1.3632</v>
    <v>1.3604000000000001</v>
    <v>1.3624000000000001</v>
    <v>1.3669</v>
    <v>1.3624000000000001</v>
    <v>1.3663000000000001</v>
    <v>1.3628</v>
    <v>1.3603000000000001</v>
    <v>1.3622000000000001</v>
    <v>1.3607</v>
    <v>1.3617999999999999</v>
    <v>1.3553999999999999</v>
    <v>1.3533999999999999</v>
    <v>1.3548</v>
    <v>1.3583000000000001</v>
    <v>1.3555999999999999</v>
    <v>1.3573</v>
    <v>1.3566</v>
    <v>1.3524</v>
    <v>1.35</v>
    <v>1.3399000000000001</v>
    <v>1.3419000000000001</v>
    <v>1.3466</v>
    <v>1.3472999999999999</v>
    <v>1.3502000000000001</v>
    <v>1.3466</v>
    <v>1.345</v>
    <v>1.3475999999999999</v>
    <v>1.3464</v>
    <v>1.3484</v>
    <v>1.3494999999999999</v>
    <v>1.3453999999999999</v>
    <v>1.3506</v>
    <v>1.3542000000000001</v>
    <v>1.3593</v>
    <v>1.3575999999999999</v>
    <v>1.3572</v>
    <v>1.3613</v>
    <v>1.3619000000000001</v>
    <v>1.3609</v>
    <v>1.3640000000000001</v>
    <v>1.3644000000000001</v>
    <v>1.3633999999999999</v>
    <v>1.3559000000000001</v>
    <v>1.3541000000000001</v>
    <v>1.3521000000000001</v>
    <v>1.349</v>
    <v>1.351</v>
    <v>1.3552999999999999</v>
    <v>1.3565</v>
    <v>1.3564000000000001</v>
    <v>1.361</v>
    <v>1.3617999999999999</v>
    <v>1.3626</v>
    <v>1.3602000000000001</v>
    <v>1.3668</v>
    <v>1.3652</v>
    <v>1.3606</v>
    <v>1.3625</v>
    <v>1.3605</v>
    <v>1.3588</v>
    <v>1.3646</v>
    <v>1.3613</v>
    <v>1.3637999999999999</v>
    <v>1.3615999999999999</v>
    <v>1.3588</v>
    <v>1.36</v>
    <v>1.3615999999999999</v>
    <v>1.3588</v>
    <v>1.3565</v>
    <v>1.3562000000000001</v>
    <v>1.3552</v>
    <v>1.3566</v>
    <v>1.3542000000000001</v>
    <v>1.3468</v>
    <v>1.3452</v>
    <v>1.3451</v>
    <v>1.3464</v>
    <v>1.3459000000000001</v>
    <v>1.3469</v>
    <v>1.3484</v>
    <v>1.3465</v>
    <v>1.3472</v>
    <v>1.3471</v>
    <v>1.3489</v>
    <v>1.3513999999999999</v>
    <v>1.3520000000000001</v>
    <v>1.3512999999999999</v>
    <v>1.3519000000000001</v>
    <v>1.3462000000000001</v>
    <v>1.3454999999999999</v>
    <v>1.3482000000000001</v>
    <v>1.3472</v>
    <v>1.3464</v>
    <v>1.3436999999999999</v>
    <v>1.3431999999999999</v>
    <v>1.3434999999999999</v>
    <v>1.3438000000000001</v>
    <v>1.3431999999999999</v>
    <v>1.3395999999999999</v>
    <v>1.3374999999999999</v>
    <v>1.3372999999999999</v>
    <v>1.3368</v>
    <v>1.3289</v>
    <v>1.3291999999999999</v>
    <v>1.3275999999999999</v>
    <v>1.3261000000000001</v>
    <v>1.3321000000000001</v>
    <v>1.3351</v>
    <v>1.3340000000000001</v>
    <v>1.3291999999999999</v>
    <v>1.3250999999999999</v>
    <v>1.3207</v>
    <v>1.3207</v>
    <v>1.3244</v>
    <v>1.3207</v>
    <v>1.3207</v>
    <v>1.3187</v>
    <v>1.3169</v>
    <v>1.3069999999999999</v>
    <v>1.3103</v>
    <v>1.3075000000000001</v>
    <v>1.3099000000000001</v>
    <v>1.3112999999999999</v>
    <v>1.3117000000000001</v>
    <v>1.3080000000000001</v>
    <v>1.3192999999999999</v>
    <v>1.3214999999999999</v>
    <v>1.3187</v>
    <v>1.3250999999999999</v>
    <v>1.331</v>
    <v>1.3293999999999999</v>
    <v>1.3229</v>
    <v>1.3221000000000001</v>
    <v>1.3139000000000001</v>
    <v>1.3089999999999999</v>
    <v>1.3118000000000001</v>
    <v>1.3133999999999999</v>
    <v>1.319</v>
    <v>1.3233999999999999</v>
    <v>1.319</v>
    <v>1.3194999999999999</v>
    <v>1.3157000000000001</v>
    <v>1.3242</v>
    <v>1.3246</v>
    <v>1.3227</v>
    <v>1.3193999999999999</v>
    <v>1.3180000000000001</v>
    <v>1.3159000000000001</v>
    <v>1.3137000000000001</v>
    <v>1.3169999999999999</v>
    <v>1.3164</v>
    <v>1.3125</v>
    <v>1.3118000000000001</v>
    <v>1.3089</v>
    <v>1.3131999999999999</v>
    <v>1.3172999999999999</v>
    <v>1.3168</v>
    <v>1.3187</v>
    <v>1.3122</v>
    <v>1.3167</v>
    <v>1.3151999999999999</v>
    <v>1.3085</v>
    <v>1.3096000000000001</v>
    <v>1.3113999999999999</v>
    <v>1.3107</v>
    <v>1.3107</v>
    <v>1.3124</v>
    <v>1.3113999999999999</v>
    <v>1.3119000000000001</v>
    <v>1.3160000000000001</v>
    <v>1.3153999999999999</v>
    <v>1.3111999999999999</v>
    <v>1.3089999999999999</v>
    <v>1.3089</v>
    <v>1.3123</v>
    <v>1.3117000000000001</v>
    <v>1.3099000000000001</v>
    <v>1.3112999999999999</v>
    <v>1.3095000000000001</v>
    <v>1.3113999999999999</v>
    <v>1.3161</v>
    <v>1.3253999999999999</v>
    <v>1.3220000000000001</v>
    <v>1.3282</v>
    <v>1.3277000000000001</v>
    <v>1.3234999999999999</v>
    <v>1.3258000000000001</v>
    <v>1.3331999999999999</v>
    <v>1.3362000000000001</v>
    <v>1.3305</v>
    <v>1.3332999999999999</v>
    <v>1.3354999999999999</v>
    <v>1.34</v>
    <v>1.3459000000000001</v>
    <v>1.3371999999999999</v>
    <v>1.3360000000000001</v>
    <v>1.3359000000000001</v>
    <v>1.3446</v>
    <v>1.3402000000000001</v>
    <v>1.3420000000000001</v>
    <v>1.3426</v>
    <v>1.3395999999999999</v>
    <v>1.339</v>
    <v>1.3432999999999999</v>
    <v>1.339</v>
    <v>1.3413999999999999</v>
    <v>1.3424</v>
    <v>1.3456999999999999</v>
    <v>1.3389</v>
    <v>1.3373999999999999</v>
    <v>1.3383</v>
    <v>1.3365</v>
    <v>1.3346</v>
    <v>1.3326</v>
    <v>1.3335999999999999</v>
    <v>1.335</v>
    <v>1.3347</v>
    <v>1.3361000000000001</v>
    <v>1.3352999999999999</v>
    <v>1.3448</v>
    <v>1.3506</v>
    <v>1.351</v>
    <v>1.3567</v>
    <v>1.3584000000000001</v>
    <v>1.3580000000000001</v>
    <v>1.3580000000000001</v>
    <v>1.3619000000000001</v>
    <v>1.363</v>
    <v>1.3672</v>
    <v>1.3674999999999999</v>
    <v>1.3626</v>
    <v>1.369</v>
    <v>1.3645</v>
    <v>1.3647</v>
    <v>1.3645</v>
    <v>1.3571</v>
    <v>1.3566</v>
    <v>1.3568</v>
    <v>1.3638999999999999</v>
    <v>1.363</v>
    <v>1.3653999999999999</v>
    <v>1.3619000000000001</v>
    <v>1.3646</v>
    <v>1.3646</v>
    <v>1.3705000000000001</v>
    <v>1.3622000000000001</v>
    <v>1.3651</v>
    <v>1.3636999999999999</v>
    <v>1.3583000000000001</v>
    <v>1.3631</v>
    <v>1.3613999999999999</v>
    <v>1.3605</v>
    <v>1.3609</v>
    <v>1.3614999999999999</v>
    <v>1.3685</v>
    <v>1.3663000000000001</v>
    <v>1.3676999999999999</v>
    <v>1.3642000000000001</v>
    <v>1.3622000000000001</v>
    <v>1.3675999999999999</v>
    <v>1.3733</v>
    <v>1.3755999999999999</v>
    <v>1.3776999999999999</v>
    <v>1.3798999999999999</v>
    <v>1.3756999999999999</v>
    <v>1.3708</v>
    <v>1.3687</v>
    <v>1.3655999999999999</v>
    <v>1.3664000000000001</v>
    <v>1.3738999999999999</v>
    <v>1.3648</v>
    <v>1.3621000000000001</v>
    <v>1.3635999999999999</v>
    <v>1.3643000000000001</v>
    <v>1.3673999999999999</v>
    <v>1.3718999999999999</v>
    <v>1.3714</v>
    <v>1.3758999999999999</v>
    <v>1.3754</v>
    <v>1.3740000000000001</v>
    <v>1.3786</v>
    <v>1.3785000000000001</v>
    <v>1.375</v>
    <v>1.3717999999999999</v>
    <v>1.37</v>
    <v>1.3740000000000001</v>
    <v>1.3716999999999999</v>
    <v>1.3706</v>
    <v>1.3688</v>
    <v>1.3644000000000001</v>
    <v>1.3640000000000001</v>
    <v>1.3655999999999999</v>
    <v>1.3657999999999999</v>
    <v>1.3653999999999999</v>
    <v>1.3676999999999999</v>
    <v>1.3663000000000001</v>
    <v>1.3714999999999999</v>
    <v>1.3729</v>
    <v>1.3794999999999999</v>
    <v>1.3807</v>
    <v>1.3826000000000001</v>
    <v>1.3835999999999999</v>
    <v>1.3818999999999999</v>
    <v>1.3832</v>
    <v>1.3764000000000001</v>
    <v>1.3774</v>
    <v>1.3765000000000001</v>
    <v>1.3748</v>
    <v>1.3779999999999999</v>
    <v>1.3815999999999999</v>
    <v>1.3774</v>
    <v>1.3797999999999999</v>
    <v>1.3778999999999999</v>
    <v>1.3806</v>
    <v>1.3805000000000001</v>
    <v>1.3794999999999999</v>
    <v>1.3835</v>
    <v>1.3847</v>
    <v>1.3854</v>
    <v>1.3762000000000001</v>
    <v>1.3747</v>
    <v>1.3748</v>
    <v>1.3732</v>
    <v>1.3716999999999999</v>
    <v>1.3755999999999999</v>
    <v>1.3789</v>
    <v>1.3842000000000001</v>
    <v>1.3789</v>
    <v>1.3789</v>
    <v>1.3749</v>
    <v>1.3718999999999999</v>
    <v>1.3714999999999999</v>
    <v>1.3746</v>
    <v>1.3722000000000001</v>
    <v>1.3725000000000001</v>
    <v>1.375</v>
    <v>1.3753</v>
    <v>1.3774999999999999</v>
    <v>1.3726</v>
    <v>1.37</v>
    <v>1.3718999999999999</v>
    <v>1.3668</v>
    <v>1.365</v>
    <v>1.3668</v>
    <v>1.3692</v>
    <v>1.3695999999999999</v>
    <v>1.3742000000000001</v>
    <v>1.3734</v>
    <v>1.3718999999999999</v>
    <v>1.3711</v>
    <v>1.3766</v>
    <v>1.3725000000000001</v>
    <v>1.37</v>
    <v>1.3722000000000001</v>
    <v>1.3705000000000001</v>
    <v>1.3745000000000001</v>
    <v>1.3728</v>
    <v>1.3725000000000001</v>
    <v>1.3716999999999999</v>
    <v>1.3705000000000001</v>
    <v>1.3660000000000001</v>
    <v>1.3627</v>
    <v>1.3631</v>
    <v>1.3663000000000001</v>
    <v>1.3635999999999999</v>
    <v>1.359</v>
    <v>1.3560000000000001</v>
    <v>1.3575999999999999</v>
    <v>1.3532999999999999</v>
    <v>1.3520000000000001</v>
    <v>1.3527</v>
    <v>1.3532999999999999</v>
    <v>1.3560000000000001</v>
    <v>1.3549</v>
    <v>1.355</v>
    <v>1.3585</v>
    <v>1.3588</v>
    <v>1.3587</v>
    <v>1.3607</v>
    <v>1.3535999999999999</v>
    <v>1.3524</v>
    <v>1.3519000000000001</v>
    <v>1.3471</v>
    <v>1.3452</v>
    <v>1.3498000000000001</v>
    <v>1.3525</v>
    <v>1.3514999999999999</v>
    <v>1.3556999999999999</v>
    <v>1.3562000000000001</v>
    <v>1.3563000000000001</v>
    <v>1.3608</v>
    <v>1.3560000000000001</v>
    <v>1.3596999999999999</v>
    <v>1.3577999999999999</v>
    <v>1.3565</v>
    <v>1.3564000000000001</v>
    <v>1.3528</v>
    <v>1.3514999999999999</v>
    <v>1.3533999999999999</v>
    <v>1.3509</v>
    <v>1.3494999999999999</v>
    <v>1.3471</v>
    <v>1.3483000000000001</v>
    <v>1.3519000000000001</v>
    <v>1.3549</v>
    <v>1.3544</v>
    <v>1.3553999999999999</v>
    <v>1.3573</v>
    <v>1.3606</v>
    <v>1.3588</v>
    <v>1.3577999999999999</v>
    <v>1.3556999999999999</v>
    <v>1.3521000000000001</v>
    <v>1.3555999999999999</v>
    <v>1.3523000000000001</v>
    <v>1.3509</v>
    <v>1.3509</v>
    <v>1.3468</v>
    <v>1.3489</v>
    <v>1.3523000000000001</v>
    <v>1.3496999999999999</v>
    <v>1.3522000000000001</v>
    <v>1.3551</v>
    <v>1.3562000000000001</v>
    <v>1.3554999999999999</v>
    <v>1.3545</v>
    <v>1.3548</v>
    <v>1.3532999999999999</v>
    <v>1.3549</v>
    <v>1.3546</v>
    <v>1.3542000000000001</v>
    <v>1.3533999999999999</v>
    <v>1.3515999999999999</v>
    <v>1.3559000000000001</v>
    <v>1.3526</v>
    <v>1.3527</v>
    <v>1.3542000000000001</v>
    <v>1.3525</v>
    <v>1.3561000000000001</v>
    <v>1.3549</v>
    <v>1.3559000000000001</v>
    <v>1.3566</v>
    <v>1.3615999999999999</v>
    <v>1.3627</v>
    <v>1.3616999999999999</v>
    <v>1.3613</v>
    <v>1.3597999999999999</v>
    <v>1.3614999999999999</v>
    <v>1.3627</v>
    <v>1.3603000000000001</v>
    <v>1.363</v>
    <v>1.3626</v>
    <v>1.3622000000000001</v>
    <v>1.3643000000000001</v>
    <v>1.3626</v>
    <v>1.3698999999999999</v>
    <v>1.3685</v>
    <v>1.3723000000000001</v>
    <v>1.3772</v>
    <v>1.3763000000000001</v>
    <v>1.3769</v>
    <v>1.379</v>
    <v>1.3792</v>
    <v>1.3749</v>
    <v>1.375</v>
    <v>1.3794</v>
    <v>1.3807</v>
    <v>1.3789</v>
    <v>1.3734</v>
    <v>1.3664000000000001</v>
    <v>1.3658999999999999</v>
    <v>1.3663000000000001</v>
    <v>1.3635999999999999</v>
    <v>1.3622000000000001</v>
    <v>1.3661000000000001</v>
    <v>1.3634999999999999</v>
    <v>1.3666</v>
    <v>1.3666</v>
    <v>1.3712</v>
    <v>1.3706</v>
    <v>1.3662000000000001</v>
    <v>1.363</v>
    <v>1.3559000000000001</v>
    <v>1.3549</v>
    <v>1.3532</v>
    <v>1.3543000000000001</v>
    <v>1.3544</v>
    <v>1.3529</v>
    <v>1.3522000000000001</v>
    <v>1.3552999999999999</v>
    <v>1.3559000000000001</v>
    <v>1.3557999999999999</v>
    <v>1.3557999999999999</v>
    <v>1.3593999999999999</v>
    <v>1.3595999999999999</v>
    <v>1.3617999999999999</v>
    <v>1.3580000000000001</v>
    <v>1.3568</v>
    <v>1.3576999999999999</v>
    <v>1.3559000000000001</v>
    <v>1.3582000000000001</v>
    <v>1.3608</v>
    <v>1.3565</v>
    <v>1.36</v>
    <v>1.3607</v>
    <v>1.365</v>
    <v>1.3643000000000001</v>
    <v>1.3671</v>
    <v>1.3695999999999999</v>
    <v>1.3701000000000001</v>
    <v>1.37</v>
    <v>1.3734999999999999</v>
    <v>1.3767</v>
    <v>1.3765000000000001</v>
    <v>1.3843000000000001</v>
    <v>1.3814</v>
    <v>1.3823000000000001</v>
    <v>1.3816999999999999</v>
    <v>1.3854</v>
    <v>1.3867</v>
    <v>1.3831</v>
    <v>1.3897999999999999</v>
    <v>1.3888</v>
    <v>1.3842000000000001</v>
    <v>1.3864000000000001</v>
    <v>1.3847</v>
    <v>1.3839999999999999</v>
    <v>1.3853</v>
    <v>1.3868</v>
    <v>1.3884000000000001</v>
    <v>1.3891</v>
    <v>1.3885000000000001</v>
    <v>1.3874</v>
    <v>1.387</v>
    <v>1.3911</v>
    <v>1.3902000000000001</v>
    <v>1.3842000000000001</v>
    <v>1.3835999999999999</v>
    <v>1.381</v>
    <v>1.3793</v>
    <v>1.3796999999999999</v>
    <v>1.3791</v>
    <v>1.3749</v>
    <v>1.3731</v>
    <v>1.3748</v>
    <v>1.3738999999999999</v>
    <v>1.3759999999999999</v>
    <v>1.3783000000000001</v>
    <v>1.3769</v>
    <v>1.3774999999999999</v>
    <v>1.3754</v>
    <v>1.3786</v>
    <v>1.3818999999999999</v>
    <v>1.3811</v>
    <v>1.3817999999999999</v>
    <v>1.3849</v>
    <v>1.3838999999999999</v>
    <v>1.3807</v>
    <v>1.3783000000000001</v>
    <v>1.3808</v>
    <v>1.3824000000000001</v>
    <v>1.3805000000000001</v>
    <v>1.3746</v>
    <v>1.3725000000000001</v>
    <v>1.3694</v>
    <v>1.3705000000000001</v>
    <v>1.37</v>
    <v>1.3644000000000001</v>
    <v>1.3641000000000001</v>
    <v>1.3608</v>
    <v>1.3623000000000001</v>
    <v>1.3620000000000001</v>
    <v>1.3633</v>
    <v>1.3628</v>
    <v>1.3619000000000001</v>
    <v>1.3621000000000001</v>
    <v>1.3615999999999999</v>
    <v>1.3602000000000001</v>
    <v>1.3573</v>
    <v>1.3588</v>
    <v>1.3581000000000001</v>
    <v>1.3599000000000001</v>
    <v>1.357</v>
    <v>1.3589</v>
    <v>1.3606</v>
    <v>1.3619000000000001</v>
    <v>1.3626</v>
    <v>1.3616999999999999</v>
    <v>1.3599000000000001</v>
    <v>1.3603000000000001</v>
    <v>1.3607</v>
    <v>1.3620000000000001</v>
    <v>1.3629</v>
    <v>1.3638999999999999</v>
    <v>1.3645</v>
    <v>1.3638999999999999</v>
    <v>1.3649</v>
    <v>1.3655999999999999</v>
    <v>1.3672</v>
    <v>1.3656999999999999</v>
    <v>1.3635999999999999</v>
    <v>1.363</v>
    <v>1.3606</v>
    <v>1.3604000000000001</v>
    <v>1.3591</v>
    <v>1.3581000000000001</v>
    <v>1.3569</v>
    <v>1.3542000000000001</v>
    <v>1.3535999999999999</v>
    <v>1.3544</v>
    <v>1.3547</v>
    <v>1.3551</v>
    <v>1.3551</v>
    <v>1.3548</v>
    <v>1.3553999999999999</v>
    <v>1.3551</v>
    <v>1.3546</v>
    <v>1.3539000000000001</v>
    <v>1.3514999999999999</v>
    <v>1.3485</v>
    <v>1.3444</v>
    <v>1.3445</v>
    <v>1.347</v>
    <v>1.3495999999999999</v>
    <v>1.349</v>
    <v>1.3499000000000001</v>
    <v>1.3506</v>
    <v>1.3512999999999999</v>
    <v>1.3484</v>
    <v>1.3463000000000001</v>
    <v>1.3467</v>
    <v>1.3460000000000001</v>
    <v>1.3469</v>
    <v>1.3472</v>
    <v>1.3466</v>
    <v>1.3499000000000001</v>
    <v>1.3484</v>
    <v>1.3511</v>
    <v>1.351</v>
    <v>1.3573999999999999</v>
    <v>1.3575999999999999</v>
    <v>1.3604000000000001</v>
    <v>1.3614999999999999</v>
    <v>1.3648</v>
    <v>1.3687</v>
    <v>1.3698999999999999</v>
    <v>1.3812</v>
    <v>1.3855</v>
    <v>1.3892</v>
    <v>1.3894</v>
    <v>1.3861000000000001</v>
    <v>1.3861000000000001</v>
    <v>1.3891</v>
    <v>1.3913</v>
    <v>1.3888</v>
    <v>1.3924000000000001</v>
    <v>1.3943000000000001</v>
    <v>1.4006000000000001</v>
    <v>1.3980999999999999</v>
    <v>1.3994</v>
    <v>1.3985000000000001</v>
    <v>1.3973</v>
    <v>1.395</v>
    <v>1.3929</v>
    <v>1.3897999999999999</v>
    <v>1.3875999999999999</v>
    <v>1.3845000000000001</v>
    <v>1.3827</v>
    <v>1.3781000000000001</v>
    <v>1.3838999999999999</v>
    <v>1.3914</v>
    <v>1.395</v>
    <v>1.411</v>
    <v>1.4147000000000001</v>
    <v>1.4204000000000001</v>
    <v>1.4288000000000001</v>
    <v>1.4426000000000001</v>
    <v>1.4520999999999999</v>
    <v>1.4491000000000001</v>
    <v>1.4592000000000001</v>
    <v>1.4461999999999999</v>
    <v>1.4468000000000001</v>
    <v>1.431</v>
    <v>1.4268000000000001</v>
    <v>1.4234</v>
    <v>1.4215</v>
    <v>1.4359999999999999</v>
    <v>1.4303999999999999</v>
    <v>1.4383999999999999</v>
    <v>1.4321999999999999</v>
    <v>1.4231</v>
    <v>1.4252</v>
    <v>1.4165000000000001</v>
    <v>1.4132</v>
    <v>1.4153</v>
    <v>1.4133</v>
    <v>1.4231</v>
    <v>1.4277</v>
    <v>1.4214</v>
    <v>1.4209000000000001</v>
    <v>1.4313</v>
    <v>1.4268000000000001</v>
    <v>1.4241999999999999</v>
    <v>1.4242999999999999</v>
    <v>1.4182999999999999</v>
    <v>1.4169</v>
    <v>1.4115</v>
    <v>1.4107000000000001</v>
    <v>1.4151</v>
    <v>1.4165000000000001</v>
    <v>1.4155</v>
    <v>1.4206000000000001</v>
    <v>1.4137999999999999</v>
    <v>1.4125000000000001</v>
    <v>1.4168000000000001</v>
    <v>1.4175</v>
    <v>1.4198</v>
    <v>1.4232</v>
    <v>1.4271</v>
    <v>1.4179999999999999</v>
    <v>1.4159999999999999</v>
    <v>1.4125000000000001</v>
    <v>1.4172</v>
    <v>1.425</v>
    <v>1.4246000000000001</v>
    <v>1.4161999999999999</v>
    <v>1.42</v>
    <v>1.4173</v>
    <v>1.4115</v>
    <v>1.4073</v>
    <v>1.4001999999999999</v>
    <v>1.3975</v>
    <v>1.3979999999999999</v>
    <v>1.3925000000000001</v>
    <v>1.3873</v>
    <v>1.3886000000000001</v>
    <v>1.383</v>
    <v>1.3929</v>
    <v>1.3919999999999999</v>
    <v>1.3908</v>
    <v>1.3946000000000001</v>
    <v>1.3929</v>
    <v>1.3939999999999999</v>
    <v>1.397</v>
    <v>1.3922000000000001</v>
    <v>1.3909</v>
    <v>1.3929</v>
    <v>1.3911</v>
    <v>1.3929</v>
    <v>1.3935</v>
    <v>1.3931</v>
    <v>1.3935999999999999</v>
    <v>1.3944000000000001</v>
    <v>1.3945000000000001</v>
    <v>1.3919999999999999</v>
    <v>1.3949</v>
    <v>1.391</v>
    <v>1.3924000000000001</v>
    <v>1.3909</v>
    <v>1.3898999999999999</v>
    <v>1.3917999999999999</v>
    <v>1.3888</v>
    <v>1.3920999999999999</v>
    <v>1.3896999999999999</v>
    <v>1.3887</v>
    <v>1.383</v>
    <v>1.3853</v>
    <v>1.3856999999999999</v>
    <v>1.3821000000000001</v>
    <v>1.3785000000000001</v>
    <v>1.3788</v>
    <v>1.3733</v>
    <v>1.3717999999999999</v>
    <v>1.3743000000000001</v>
    <v>1.3759999999999999</v>
    <v>1.373</v>
    <v>1.3694999999999999</v>
    <v>1.3685</v>
    <v>1.3724000000000001</v>
    <v>1.3735999999999999</v>
    <v>1.373</v>
    <v>1.3720000000000001</v>
    <v>1.3723000000000001</v>
    <v>1.3704000000000001</v>
    <v>1.3675999999999999</v>
    <v>1.3643000000000001</v>
    <v>1.3702000000000001</v>
    <v>1.3669</v>
    <v>1.3707</v>
    <v>1.3701000000000001</v>
    <v>1.3677999999999999</v>
    <v>1.3654999999999999</v>
    <v>1.3655999999999999</v>
    <v>1.3577999999999999</v>
    <v>1.3601000000000001</v>
    <v>1.3613</v>
    <v>1.3624000000000001</v>
    <v>1.3646</v>
    <v>1.3643000000000001</v>
    <v>1.3658999999999999</v>
    <v>1.3705000000000001</v>
    <v>1.3663000000000001</v>
    <v>1.3697999999999999</v>
    <v>1.3681000000000001</v>
    <v>1.3642000000000001</v>
    <v>1.361</v>
    <v>1.3585</v>
    <v>1.3567</v>
    <v>1.3593999999999999</v>
    <v>1.3620000000000001</v>
    <v>1.3644000000000001</v>
    <v>1.3729</v>
    <v>1.3752</v>
    <v>1.3771</v>
    <v>1.3721000000000001</v>
    <v>1.3685</v>
    <v>1.3652</v>
    <v>1.3626</v>
    <v>1.3637999999999999</v>
    <v>1.3599000000000001</v>
    <v>1.3627</v>
    <v>1.3592</v>
    <v>1.3580000000000001</v>
    <v>1.3527</v>
    <v>1.357</v>
    <v>1.3597999999999999</v>
    <v>1.357</v>
    <v>1.3595999999999999</v>
    <v>1.3579000000000001</v>
    <v>1.3577999999999999</v>
    <v>1.3572</v>
    <v>1.3539000000000001</v>
    <v>1.3568</v>
    <v>1.3573</v>
    <v>1.3612</v>
    <v>1.3605</v>
    <v>1.365</v>
    <v>1.3668</v>
    <v>1.3660000000000001</v>
    <v>1.3645</v>
    <v>1.3596999999999999</v>
    <v>1.3574999999999999</v>
    <v>1.3495999999999999</v>
    <v>1.3481000000000001</v>
    <v>1.3472</v>
    <v>1.3480000000000001</v>
    <v>1.349</v>
    <v>1.3492</v>
    <v>1.3471</v>
    <v>1.3453999999999999</v>
    <v>1.3427</v>
    <v>1.3419000000000001</v>
    <v>1.3445</v>
    <v>1.3431</v>
    <v>1.3433999999999999</v>
    <v>1.3420000000000001</v>
    <v>1.3396999999999999</v>
    <v>1.3385</v>
    <v>1.3384</v>
    <v>1.3413999999999999</v>
    <v>1.3371</v>
    <v>1.3372999999999999</v>
    <v>1.3338000000000001</v>
    <v>1.3351999999999999</v>
    <v>1.3362000000000001</v>
    <v>1.3374999999999999</v>
    <v>1.337</v>
    <v>1.3351999999999999</v>
    <v>1.3363</v>
    <v>1.3346</v>
    <v>1.3321000000000001</v>
    <v>1.3289</v>
    <v>1.3252999999999999</v>
    <v>1.3269</v>
    <v>1.3323</v>
    <v>1.3359000000000001</v>
    <v>1.3301000000000001</v>
    <v>1.3289</v>
    <v>1.3277000000000001</v>
    <v>1.3299000000000001</v>
    <v>1.3269</v>
    <v>1.3229</v>
    <v>1.3209</v>
    <v>1.3218000000000001</v>
    <v>1.3204</v>
    <v>1.3176000000000001</v>
    <v>1.3176000000000001</v>
    <v>1.3246</v>
    <v>1.3249</v>
    <v>1.3307</v>
    <v>1.323</v>
    <v>1.3265</v>
    <v>1.3246</v>
    <v>1.3297000000000001</v>
    <v>1.3309</v>
    <v>1.3287</v>
    <v>1.3245</v>
    <v>1.3220000000000001</v>
    <v>1.3283</v>
    <v>1.3270999999999999</v>
    <v>1.3246</v>
    <v>1.3286</v>
    <v>1.3289</v>
    <v>1.3288</v>
    <v>1.3326</v>
    <v>1.3324</v>
    <v>1.3326</v>
    <v>1.3368</v>
    <v>1.3343</v>
    <v>1.3328</v>
    <v>1.3258000000000001</v>
    <v>1.3264</v>
    <v>1.3247</v>
    <v>1.3246</v>
    <v>1.3227</v>
    <v>1.3272999999999999</v>
    <v>1.3284</v>
    <v>1.3260000000000001</v>
    <v>1.3242</v>
    <v>1.3212999999999999</v>
    <v>1.32</v>
    <v>1.3192999999999999</v>
    <v>1.3251999999999999</v>
    <v>1.3314999999999999</v>
    <v>1.3275999999999999</v>
    <v>1.3301000000000001</v>
    <v>1.3323</v>
    <v>1.3371999999999999</v>
    <v>1.3420000000000001</v>
    <v>1.3498000000000001</v>
    <v>1.3436999999999999</v>
    <v>1.3433999999999999</v>
    <v>1.3393999999999999</v>
    <v>1.3448</v>
    <v>1.3459000000000001</v>
    <v>1.3448</v>
    <v>1.3399000000000001</v>
    <v>1.3434999999999999</v>
    <v>1.3414999999999999</v>
    <v>1.3403</v>
    <v>1.3440000000000001</v>
    <v>1.3460000000000001</v>
    <v>1.3489</v>
    <v>1.345</v>
    <v>1.3478000000000001</v>
    <v>1.3478000000000001</v>
    <v>1.3446</v>
    <v>1.3444</v>
    <v>1.3456999999999999</v>
    <v>1.3414999999999999</v>
    <v>1.3387</v>
    <v>1.3411999999999999</v>
    <v>1.3405</v>
    <v>1.3412999999999999</v>
    <v>1.3408</v>
    <v>1.3411</v>
    <v>1.3354999999999999</v>
    <v>1.3343</v>
    <v>1.3342000000000001</v>
    <v>1.3308</v>
    <v>1.3288</v>
    <v>1.3288</v>
    <v>1.3290999999999999</v>
    <v>1.3265</v>
    <v>1.3250999999999999</v>
    <v>1.3260000000000001</v>
    <v>1.3249</v>
    <v>1.3263</v>
    <v>1.3301000000000001</v>
    <v>1.3292999999999999</v>
    <v>1.3360000000000001</v>
    <v>1.3351</v>
    <v>1.3331999999999999</v>
    <v>1.3247</v>
    <v>1.3254999999999999</v>
    <v>1.3252999999999999</v>
    <v>1.3334999999999999</v>
    <v>1.3331999999999999</v>
    <v>1.3323</v>
    <v>1.3351</v>
    <v>1.3293999999999999</v>
    <v>1.3341000000000001</v>
    <v>1.3309</v>
    <v>1.3318000000000001</v>
    <v>1.3273999999999999</v>
    <v>1.3257000000000001</v>
    <v>1.3249</v>
    <v>1.3238000000000001</v>
    <v>1.3225</v>
    <v>1.3211999999999999</v>
    <v>1.3224</v>
    <v>1.3222</v>
    <v>1.3274999999999999</v>
    <v>1.3238000000000001</v>
    <v>1.3230999999999999</v>
    <v>1.3233999999999999</v>
    <v>1.3239000000000001</v>
    <v>1.3233999999999999</v>
    <v>1.3255999999999999</v>
    <v>1.3262</v>
    <v>1.3269</v>
    <v>1.3360000000000001</v>
    <v>1.3424</v>
    <v>1.3461000000000001</v>
    <v>1.3419000000000001</v>
    <v>1.3448</v>
    <v>1.3460000000000001</v>
    <v>1.3428</v>
    <v>1.3421000000000001</v>
    <v>1.3428</v>
    <v>1.3451</v>
    <v>1.3451</v>
    <v>1.3486</v>
    <v>1.3469</v>
    <v>1.3451</v>
    <v>1.347</v>
    <v>1.3489</v>
    <v>1.3523000000000001</v>
    <v>1.3505</v>
    <v>1.3515999999999999</v>
    <v>1.355</v>
    <v>1.3533999999999999</v>
    <v>1.3545</v>
    <v>1.357</v>
    <v>1.3631</v>
    <v>1.365</v>
    <v>1.3633999999999999</v>
    <v>1.3595999999999999</v>
    <v>1.36</v>
    <v>1.3582000000000001</v>
    <v>1.3599000000000001</v>
    <v>1.3559000000000001</v>
    <v>1.3524</v>
    <v>1.3539000000000001</v>
    <v>1.3532</v>
    <v>1.3512</v>
    <v>1.3508</v>
    <v>1.351</v>
    <v>1.3542000000000001</v>
    <v>1.3572</v>
    <v>1.3592</v>
    <v>1.3554999999999999</v>
    <v>1.3573999999999999</v>
    <v>1.3541000000000001</v>
    <v>1.3555999999999999</v>
    <v>1.3621000000000001</v>
    <v>1.3604000000000001</v>
    <v>1.3643000000000001</v>
    <v>1.3621000000000001</v>
    <v>1.3561000000000001</v>
    <v>1.3542000000000001</v>
    <v>1.3531</v>
    <v>1.3544</v>
    <v>1.3455999999999999</v>
    <v>1.3452999999999999</v>
    <v>1.3447</v>
    <v>1.3443000000000001</v>
    <v>1.3423</v>
    <v>1.3414999999999999</v>
    <v>1.3422000000000001</v>
    <v>1.3452999999999999</v>
    <v>1.3453999999999999</v>
    <v>1.343</v>
    <v>1.3412999999999999</v>
    <v>1.3416999999999999</v>
    <v>1.3435999999999999</v>
    <v>1.3407</v>
    <v>1.3452999999999999</v>
    <v>1.3488</v>
    <v>1.3523000000000001</v>
    <v>1.3520000000000001</v>
    <v>1.3535999999999999</v>
    <v>1.3489</v>
    <v>1.3532999999999999</v>
    <v>1.3532999999999999</v>
    <v>1.3576999999999999</v>
    <v>1.3607</v>
    <v>1.3572</v>
    <v>1.3563000000000001</v>
    <v>1.3564000000000001</v>
    <v>1.3568</v>
    <v>1.3585</v>
    <v>1.3581000000000001</v>
    <v>1.3551</v>
    <v>1.3549</v>
    <v>1.3569</v>
    <v>1.3515999999999999</v>
    <v>1.3480000000000001</v>
    <v>1.3479000000000001</v>
    <v>1.3491</v>
    <v>1.3445</v>
    <v>1.3433999999999999</v>
    <v>1.3475999999999999</v>
    <v>1.3476999999999999</v>
    <v>1.3469</v>
    <v>1.3481000000000001</v>
    <v>1.3482000000000001</v>
    <v>1.3445</v>
    <v>1.3488</v>
    <v>1.3484</v>
    <v>1.349</v>
    <v>1.3475999999999999</v>
    <v>1.3508</v>
    <v>1.3502000000000001</v>
    <v>1.3472999999999999</v>
    <v>1.3466</v>
    <v>1.3527</v>
    <v>1.3541000000000001</v>
    <v>1.3515999999999999</v>
    <v>1.3532</v>
    <v>1.3568</v>
    <v>1.3554999999999999</v>
    <v>1.3564000000000001</v>
    <v>1.3612</v>
    <v>1.3635999999999999</v>
    <v>1.365</v>
    <v>1.3681000000000001</v>
    <v>1.3675999999999999</v>
    <v>1.3706</v>
    <v>1.3688</v>
    <v>1.3641000000000001</v>
    <v>1.3653</v>
    <v>1.369</v>
    <v>1.3714</v>
    <v>1.3687</v>
    <v>1.3653</v>
    <v>1.3606</v>
    <v>1.3644000000000001</v>
    <v>1.3636999999999999</v>
    <v>1.3673</v>
    <v>1.3698999999999999</v>
    <v>1.3651</v>
    <v>1.363</v>
    <v>1.367</v>
    <v>1.3665</v>
    <v>1.3640000000000001</v>
    <v>1.3612</v>
    <v>1.3582000000000001</v>
    <v>1.3592</v>
    <v>1.3568</v>
    <v>1.3533999999999999</v>
    <v>1.3521000000000001</v>
    <v>1.3520000000000001</v>
    <v>1.349</v>
    <v>1.3533999999999999</v>
    <v>1.3555999999999999</v>
    <v>1.3575999999999999</v>
    <v>1.3605</v>
    <v>1.3554999999999999</v>
    <v>1.3562000000000001</v>
    <v>1.3503000000000001</v>
    <v>1.3455999999999999</v>
    <v>1.3458000000000001</v>
    <v>1.3472</v>
    <v>1.3480000000000001</v>
    <v>1.3506</v>
    <v>1.3474999999999999</v>
    <v>1.3472</v>
    <v>1.3442000000000001</v>
    <v>1.3455999999999999</v>
  </a>
  <a r="1" c="1304">
    <v>1.4247000000000001</v>
    <v>1.4172</v>
    <v>1.4211</v>
    <v>1.4128000000000001</v>
    <v>1.4265000000000001</v>
    <v>1.4314</v>
    <v>1.4209000000000001</v>
    <v>1.4084000000000001</v>
    <v>1.4126000000000001</v>
    <v>1.4111</v>
    <v>1.4071</v>
    <v>1.4077999999999999</v>
    <v>1.4177</v>
    <v>1.4160999999999999</v>
    <v>1.4202999999999999</v>
    <v>1.4205000000000001</v>
    <v>1.4235</v>
    <v>1.4208000000000001</v>
    <v>1.4187000000000001</v>
    <v>1.4161999999999999</v>
    <v>1.4186000000000001</v>
    <v>1.4181999999999999</v>
    <v>1.4198999999999999</v>
    <v>1.4123000000000001</v>
    <v>1.4060999999999999</v>
    <v>1.4048</v>
    <v>1.4039999999999999</v>
    <v>1.403</v>
    <v>1.4084000000000001</v>
    <v>1.4121999999999999</v>
    <v>1.41</v>
    <v>1.4116</v>
    <v>1.4109</v>
    <v>1.4177999999999999</v>
    <v>1.4201999999999999</v>
    <v>1.4117</v>
    <v>1.4137</v>
    <v>1.4153</v>
    <v>1.4012</v>
    <v>1.401</v>
    <v>1.4016999999999999</v>
    <v>1.3967000000000001</v>
    <v>1.3994</v>
    <v>1.3976999999999999</v>
    <v>1.3992</v>
    <v>1.3991</v>
    <v>1.3932</v>
    <v>1.3975</v>
    <v>1.3937999999999999</v>
    <v>1.3977999999999999</v>
    <v>1.3976</v>
    <v>1.3967000000000001</v>
    <v>1.3982000000000001</v>
    <v>1.4009</v>
    <v>1.4024000000000001</v>
    <v>1.4046000000000001</v>
    <v>1.4047000000000001</v>
    <v>1.4036</v>
    <v>1.3949</v>
    <v>1.3978999999999999</v>
    <v>1.397</v>
    <v>1.3978999999999999</v>
    <v>1.3956</v>
    <v>1.3977999999999999</v>
    <v>1.3975</v>
    <v>1.3966000000000001</v>
    <v>1.3926000000000001</v>
    <v>1.3934</v>
    <v>1.3956</v>
    <v>1.3963000000000001</v>
    <v>1.3966000000000001</v>
    <v>1.3965000000000001</v>
    <v>1.3931</v>
    <v>1.3972</v>
    <v>1.4005000000000001</v>
    <v>1.4046000000000001</v>
    <v>1.4055</v>
    <v>1.4108000000000001</v>
    <v>1.4100999999999999</v>
    <v>1.4072</v>
    <v>1.4041999999999999</v>
    <v>1.3980999999999999</v>
    <v>1.3945000000000001</v>
    <v>1.3896999999999999</v>
    <v>1.3924000000000001</v>
    <v>1.3862000000000001</v>
    <v>1.3863000000000001</v>
    <v>1.3902000000000001</v>
    <v>1.3839999999999999</v>
    <v>1.3862000000000001</v>
    <v>1.3813</v>
    <v>1.3862000000000001</v>
    <v>1.3838999999999999</v>
    <v>1.3829</v>
    <v>1.3865000000000001</v>
    <v>1.3801000000000001</v>
    <v>1.3813</v>
    <v>1.3794</v>
    <v>1.3818999999999999</v>
    <v>1.3798999999999999</v>
    <v>1.3844000000000001</v>
    <v>1.3835999999999999</v>
    <v>1.3809</v>
    <v>1.3751</v>
    <v>1.3833</v>
    <v>1.3828</v>
    <v>1.3868</v>
    <v>1.3891</v>
    <v>1.3887</v>
    <v>1.3896999999999999</v>
    <v>1.3865000000000001</v>
    <v>1.3879999999999999</v>
    <v>1.3867</v>
    <v>1.3817999999999999</v>
    <v>1.3785000000000001</v>
    <v>1.3765000000000001</v>
    <v>1.3823000000000001</v>
    <v>1.3827</v>
    <v>1.3806</v>
    <v>1.3818999999999999</v>
    <v>1.3818999999999999</v>
    <v>1.3841000000000001</v>
    <v>1.3816999999999999</v>
    <v>1.3773</v>
    <v>1.3737999999999999</v>
    <v>1.3708</v>
    <v>1.3688</v>
    <v>1.3661000000000001</v>
    <v>1.3681000000000001</v>
    <v>1.3655999999999999</v>
    <v>1.3633999999999999</v>
    <v>1.3617999999999999</v>
    <v>1.3619000000000001</v>
    <v>1.357</v>
    <v>1.359</v>
    <v>1.3569</v>
    <v>1.3542000000000001</v>
    <v>1.3576999999999999</v>
    <v>1.3588</v>
    <v>1.3585</v>
    <v>1.3603000000000001</v>
    <v>1.3624000000000001</v>
    <v>1.3629</v>
    <v>1.3633</v>
    <v>1.3633</v>
    <v>1.3604000000000001</v>
    <v>1.3626</v>
    <v>1.3666</v>
    <v>1.3620000000000001</v>
    <v>1.3663000000000001</v>
    <v>1.363</v>
    <v>1.3609</v>
    <v>1.3622000000000001</v>
    <v>1.3606</v>
    <v>1.3616999999999999</v>
    <v>1.3548</v>
    <v>1.353</v>
    <v>1.3547</v>
    <v>1.3581000000000001</v>
    <v>1.3555999999999999</v>
    <v>1.3573</v>
    <v>1.357</v>
    <v>1.3526</v>
    <v>1.3499000000000001</v>
    <v>1.3392999999999999</v>
    <v>1.341</v>
    <v>1.3465</v>
    <v>1.3468</v>
    <v>1.3507</v>
    <v>1.3462000000000001</v>
    <v>1.3451</v>
    <v>1.3472999999999999</v>
    <v>1.3469</v>
    <v>1.3486</v>
    <v>1.3494999999999999</v>
    <v>1.3453999999999999</v>
    <v>1.3512</v>
    <v>1.3543000000000001</v>
    <v>1.3592</v>
    <v>1.3576999999999999</v>
    <v>1.3572</v>
    <v>1.3613</v>
    <v>1.3617999999999999</v>
    <v>1.3609</v>
    <v>1.3640000000000001</v>
    <v>1.3653</v>
    <v>1.3631</v>
    <v>1.3559000000000001</v>
    <v>1.3541000000000001</v>
    <v>1.3523000000000001</v>
    <v>1.3488</v>
    <v>1.3512</v>
    <v>1.3552</v>
    <v>1.3565</v>
    <v>1.3564000000000001</v>
    <v>1.3613</v>
    <v>1.3616999999999999</v>
    <v>1.3623000000000001</v>
    <v>1.3603000000000001</v>
    <v>1.3672</v>
    <v>1.3653999999999999</v>
    <v>1.3603000000000001</v>
    <v>1.3626</v>
    <v>1.3608</v>
    <v>1.3588</v>
    <v>1.3644000000000001</v>
    <v>1.3612</v>
    <v>1.3640000000000001</v>
    <v>1.3615999999999999</v>
    <v>1.3588</v>
    <v>1.3596999999999999</v>
    <v>1.3616999999999999</v>
    <v>1.3589</v>
    <v>1.3564000000000001</v>
    <v>1.3561000000000001</v>
    <v>1.3551</v>
    <v>1.3567</v>
    <v>1.3539000000000001</v>
    <v>1.3469</v>
    <v>1.3452</v>
    <v>1.3454999999999999</v>
    <v>1.3464</v>
    <v>1.3459000000000001</v>
    <v>1.3468</v>
    <v>1.3483000000000001</v>
    <v>1.3465</v>
    <v>1.3472999999999999</v>
    <v>1.3468</v>
    <v>1.3488</v>
    <v>1.3513999999999999</v>
    <v>1.3524</v>
    <v>1.3512</v>
    <v>1.3519000000000001</v>
    <v>1.3464</v>
    <v>1.3452999999999999</v>
    <v>1.3482000000000001</v>
    <v>1.3471</v>
    <v>1.3462000000000001</v>
    <v>1.3438000000000001</v>
    <v>1.3431</v>
    <v>1.3434999999999999</v>
    <v>1.3438000000000001</v>
    <v>1.3431999999999999</v>
    <v>1.3396999999999999</v>
    <v>1.3374999999999999</v>
    <v>1.3372999999999999</v>
    <v>1.3368</v>
    <v>1.3289</v>
    <v>1.3289</v>
    <v>1.3275999999999999</v>
    <v>1.327</v>
    <v>1.3323</v>
    <v>1.3353999999999999</v>
    <v>1.3342000000000001</v>
    <v>1.3290999999999999</v>
    <v>1.3226</v>
    <v>1.3211999999999999</v>
    <v>1.3204</v>
    <v>1.3243</v>
    <v>1.3207</v>
    <v>1.3199000000000001</v>
    <v>1.3188</v>
    <v>1.3169999999999999</v>
    <v>1.3070999999999999</v>
    <v>1.3097000000000001</v>
    <v>1.3067</v>
    <v>1.3099000000000001</v>
    <v>1.3112999999999999</v>
    <v>1.3118000000000001</v>
    <v>1.3079000000000001</v>
    <v>1.3190999999999999</v>
    <v>1.3214999999999999</v>
    <v>1.3187</v>
    <v>1.3249</v>
    <v>1.3310999999999999</v>
    <v>1.3303</v>
    <v>1.3228</v>
    <v>1.3226</v>
    <v>1.3138000000000001</v>
    <v>1.3086</v>
    <v>1.3118000000000001</v>
    <v>1.3132999999999999</v>
    <v>1.3183</v>
    <v>1.3232999999999999</v>
    <v>1.319</v>
    <v>1.3192999999999999</v>
    <v>1.3156000000000001</v>
    <v>1.3241000000000001</v>
    <v>1.3245</v>
    <v>1.3229</v>
    <v>1.3192999999999999</v>
    <v>1.3181</v>
    <v>1.3160000000000001</v>
    <v>1.3137000000000001</v>
    <v>1.3170999999999999</v>
    <v>1.3158000000000001</v>
    <v>1.3123</v>
    <v>1.3118000000000001</v>
    <v>1.3089</v>
    <v>1.3132999999999999</v>
    <v>1.3172999999999999</v>
    <v>1.3164</v>
    <v>1.3188</v>
    <v>1.3123</v>
    <v>1.3168</v>
    <v>1.3141</v>
    <v>1.3086</v>
    <v>1.3099000000000001</v>
    <v>1.3117000000000001</v>
    <v>1.3112999999999999</v>
    <v>1.3107</v>
    <v>1.3124</v>
    <v>1.3112999999999999</v>
    <v>1.3118000000000001</v>
    <v>1.3158000000000001</v>
    <v>1.3154999999999999</v>
    <v>1.3115000000000001</v>
    <v>1.3089</v>
    <v>1.3083</v>
    <v>1.3124</v>
    <v>1.3118000000000001</v>
    <v>1.31</v>
    <v>1.3111999999999999</v>
    <v>1.3095000000000001</v>
    <v>1.3109999999999999</v>
    <v>1.3161</v>
    <v>1.325</v>
    <v>1.3220000000000001</v>
    <v>1.3283</v>
    <v>1.3278000000000001</v>
    <v>1.3234999999999999</v>
    <v>1.3255999999999999</v>
    <v>1.3331999999999999</v>
    <v>1.3361000000000001</v>
    <v>1.3309</v>
    <v>1.3332999999999999</v>
    <v>1.3351</v>
    <v>1.3395999999999999</v>
    <v>1.3456999999999999</v>
    <v>1.3371999999999999</v>
    <v>1.3354999999999999</v>
    <v>1.3359000000000001</v>
    <v>1.3444</v>
    <v>1.3402000000000001</v>
    <v>1.3419000000000001</v>
    <v>1.3438000000000001</v>
    <v>1.3396999999999999</v>
    <v>1.3389</v>
    <v>1.3431999999999999</v>
    <v>1.3391999999999999</v>
    <v>1.3428</v>
    <v>1.3423</v>
    <v>1.3456999999999999</v>
    <v>1.3388</v>
    <v>1.3374999999999999</v>
    <v>1.3382000000000001</v>
    <v>1.3363</v>
    <v>1.3346</v>
    <v>1.3321000000000001</v>
    <v>1.3335999999999999</v>
    <v>1.335</v>
    <v>1.3345</v>
    <v>1.3368</v>
    <v>1.335</v>
    <v>1.3447</v>
    <v>1.3506</v>
    <v>1.3511</v>
    <v>1.3569</v>
    <v>1.3585</v>
    <v>1.3581000000000001</v>
    <v>1.3580000000000001</v>
    <v>1.3615999999999999</v>
    <v>1.3627</v>
    <v>1.3668</v>
    <v>1.3672</v>
    <v>1.3627</v>
    <v>1.369</v>
    <v>1.3645</v>
    <v>1.3652</v>
    <v>1.3645</v>
    <v>1.3580000000000001</v>
    <v>1.3564000000000001</v>
    <v>1.3567</v>
    <v>1.3640000000000001</v>
    <v>1.363</v>
    <v>1.3651</v>
    <v>1.3613999999999999</v>
    <v>1.3645</v>
    <v>1.365</v>
    <v>1.3704000000000001</v>
    <v>1.3620000000000001</v>
    <v>1.3651</v>
    <v>1.3637999999999999</v>
    <v>1.3582000000000001</v>
    <v>1.3633</v>
    <v>1.3614999999999999</v>
    <v>1.3611</v>
    <v>1.3611</v>
    <v>1.3615999999999999</v>
    <v>1.3685</v>
    <v>1.3664000000000001</v>
    <v>1.3676999999999999</v>
    <v>1.3641000000000001</v>
    <v>1.3624000000000001</v>
    <v>1.3675999999999999</v>
    <v>1.3728</v>
    <v>1.3754</v>
    <v>1.3776999999999999</v>
    <v>1.38</v>
    <v>1.3751</v>
    <v>1.3714</v>
    <v>1.3691</v>
    <v>1.3657999999999999</v>
    <v>1.3662000000000001</v>
    <v>1.3738999999999999</v>
    <v>1.3644000000000001</v>
    <v>1.3622000000000001</v>
    <v>1.3641000000000001</v>
    <v>1.3642000000000001</v>
    <v>1.3673</v>
    <v>1.3716999999999999</v>
    <v>1.3714</v>
    <v>1.3755999999999999</v>
    <v>1.3751</v>
    <v>1.3744000000000001</v>
    <v>1.3783000000000001</v>
    <v>1.3787</v>
    <v>1.3751</v>
    <v>1.3717999999999999</v>
    <v>1.3701000000000001</v>
    <v>1.3738999999999999</v>
    <v>1.3716999999999999</v>
    <v>1.3707</v>
    <v>1.3691</v>
    <v>1.3642000000000001</v>
    <v>1.3644000000000001</v>
    <v>1.3655999999999999</v>
    <v>1.3656999999999999</v>
    <v>1.3652</v>
    <v>1.3680000000000001</v>
    <v>1.3663000000000001</v>
    <v>1.3714999999999999</v>
    <v>1.3727</v>
    <v>1.3792</v>
    <v>1.381</v>
    <v>1.3827</v>
    <v>1.3836999999999999</v>
    <v>1.3826000000000001</v>
    <v>1.3833</v>
    <v>1.3761000000000001</v>
    <v>1.3776999999999999</v>
    <v>1.3764000000000001</v>
    <v>1.3747</v>
    <v>1.3781000000000001</v>
    <v>1.3815999999999999</v>
    <v>1.3771</v>
    <v>1.3797999999999999</v>
    <v>1.3777999999999999</v>
    <v>1.3813</v>
    <v>1.3805000000000001</v>
    <v>1.3795999999999999</v>
    <v>1.3831</v>
    <v>1.3846000000000001</v>
    <v>1.3854</v>
    <v>1.3761000000000001</v>
    <v>1.3747</v>
    <v>1.3745000000000001</v>
    <v>1.3731</v>
    <v>1.3716999999999999</v>
    <v>1.3753</v>
    <v>1.3784000000000001</v>
    <v>1.3836999999999999</v>
    <v>1.3787</v>
    <v>1.3787</v>
    <v>1.3748</v>
    <v>1.3718999999999999</v>
    <v>1.3723000000000001</v>
    <v>1.3745000000000001</v>
    <v>1.3724000000000001</v>
    <v>1.3728</v>
    <v>1.3747</v>
    <v>1.3744000000000001</v>
    <v>1.3774999999999999</v>
    <v>1.3725000000000001</v>
    <v>1.3702000000000001</v>
    <v>1.3703000000000001</v>
    <v>1.3667</v>
    <v>1.3648</v>
    <v>1.3664000000000001</v>
    <v>1.3689</v>
    <v>1.3696999999999999</v>
    <v>1.3742000000000001</v>
    <v>1.3733</v>
    <v>1.3718999999999999</v>
    <v>1.3707</v>
    <v>1.3764000000000001</v>
    <v>1.3726</v>
    <v>1.3701000000000001</v>
    <v>1.3721000000000001</v>
    <v>1.3705000000000001</v>
    <v>1.3734999999999999</v>
    <v>1.3733</v>
    <v>1.3725000000000001</v>
    <v>1.3720000000000001</v>
    <v>1.3705000000000001</v>
    <v>1.3662000000000001</v>
    <v>1.3627</v>
    <v>1.3631</v>
    <v>1.3663000000000001</v>
    <v>1.3638999999999999</v>
    <v>1.3594999999999999</v>
    <v>1.3560000000000001</v>
    <v>1.3577999999999999</v>
    <v>1.3531</v>
    <v>1.3523000000000001</v>
    <v>1.3525</v>
    <v>1.3533999999999999</v>
    <v>1.3564000000000001</v>
    <v>1.3549</v>
    <v>1.3556999999999999</v>
    <v>1.3580000000000001</v>
    <v>1.36</v>
    <v>1.3587</v>
    <v>1.3607</v>
    <v>1.3532</v>
    <v>1.3526</v>
    <v>1.3519000000000001</v>
    <v>1.3469</v>
    <v>1.3455999999999999</v>
    <v>1.3492999999999999</v>
    <v>1.3526</v>
    <v>1.3514999999999999</v>
    <v>1.3555999999999999</v>
    <v>1.3560000000000001</v>
    <v>1.3562000000000001</v>
    <v>1.3607</v>
    <v>1.3560000000000001</v>
    <v>1.3594999999999999</v>
    <v>1.3573999999999999</v>
    <v>1.3565</v>
    <v>1.3565</v>
    <v>1.3526</v>
    <v>1.3515999999999999</v>
    <v>1.3537999999999999</v>
    <v>1.3509</v>
    <v>1.3496999999999999</v>
    <v>1.3471</v>
    <v>1.3484</v>
    <v>1.3519000000000001</v>
    <v>1.3549</v>
    <v>1.3547</v>
    <v>1.3553999999999999</v>
    <v>1.3572</v>
    <v>1.3604000000000001</v>
    <v>1.3585</v>
    <v>1.3576999999999999</v>
    <v>1.3555999999999999</v>
    <v>1.3521000000000001</v>
    <v>1.3555999999999999</v>
    <v>1.3520000000000001</v>
    <v>1.351</v>
    <v>1.3512999999999999</v>
    <v>1.3467</v>
    <v>1.3489</v>
    <v>1.3522000000000001</v>
    <v>1.3499000000000001</v>
    <v>1.3521000000000001</v>
    <v>1.3552</v>
    <v>1.3562000000000001</v>
    <v>1.3551</v>
    <v>1.3541000000000001</v>
    <v>1.3548</v>
    <v>1.3535999999999999</v>
    <v>1.3544</v>
    <v>1.355</v>
    <v>1.3542000000000001</v>
    <v>1.3533999999999999</v>
    <v>1.3517999999999999</v>
    <v>1.3560000000000001</v>
    <v>1.3527</v>
    <v>1.3527</v>
    <v>1.3542000000000001</v>
    <v>1.3526</v>
    <v>1.3556999999999999</v>
    <v>1.3549</v>
    <v>1.3557999999999999</v>
    <v>1.3569</v>
    <v>1.3616999999999999</v>
    <v>1.3627</v>
    <v>1.3617999999999999</v>
    <v>1.3613</v>
    <v>1.3596999999999999</v>
    <v>1.3609</v>
    <v>1.3622000000000001</v>
    <v>1.3605</v>
    <v>1.3626</v>
    <v>1.3626</v>
    <v>1.3622000000000001</v>
    <v>1.3640000000000001</v>
    <v>1.3622000000000001</v>
    <v>1.3703000000000001</v>
    <v>1.3680000000000001</v>
    <v>1.3723000000000001</v>
    <v>1.3773</v>
    <v>1.3763000000000001</v>
    <v>1.3769</v>
    <v>1.3792</v>
    <v>1.3792</v>
    <v>1.3751</v>
    <v>1.3751</v>
    <v>1.3791</v>
    <v>1.3811</v>
    <v>1.3789</v>
    <v>1.3755999999999999</v>
    <v>1.3663000000000001</v>
    <v>1.3658999999999999</v>
    <v>1.3662000000000001</v>
    <v>1.3640000000000001</v>
    <v>1.3617999999999999</v>
    <v>1.3656999999999999</v>
    <v>1.3637999999999999</v>
    <v>1.3663000000000001</v>
    <v>1.3665</v>
    <v>1.3707</v>
    <v>1.3707</v>
    <v>1.3662000000000001</v>
    <v>1.3627</v>
    <v>1.3559000000000001</v>
    <v>1.3546</v>
    <v>1.3532</v>
    <v>1.3548</v>
    <v>1.3547</v>
    <v>1.3532</v>
    <v>1.3523000000000001</v>
    <v>1.3549</v>
    <v>1.3559000000000001</v>
    <v>1.3559000000000001</v>
    <v>1.3557999999999999</v>
    <v>1.3588</v>
    <v>1.3595999999999999</v>
    <v>1.3612</v>
    <v>1.3577999999999999</v>
    <v>1.3565</v>
    <v>1.3572</v>
    <v>1.3561000000000001</v>
    <v>1.3581000000000001</v>
    <v>1.3608</v>
    <v>1.3565</v>
    <v>1.3595999999999999</v>
    <v>1.3605</v>
    <v>1.3653999999999999</v>
    <v>1.3645</v>
    <v>1.3671</v>
    <v>1.3682000000000001</v>
    <v>1.3698999999999999</v>
    <v>1.3702000000000001</v>
    <v>1.3738999999999999</v>
    <v>1.3769</v>
    <v>1.3766</v>
    <v>1.3845000000000001</v>
    <v>1.3813</v>
    <v>1.3822000000000001</v>
    <v>1.3816999999999999</v>
    <v>1.3851</v>
    <v>1.3866000000000001</v>
    <v>1.383</v>
    <v>1.3898999999999999</v>
    <v>1.3887</v>
    <v>1.3844000000000001</v>
    <v>1.3864000000000001</v>
    <v>1.3845000000000001</v>
    <v>1.3837999999999999</v>
    <v>1.3853</v>
    <v>1.3868</v>
    <v>1.3882000000000001</v>
    <v>1.3893</v>
    <v>1.3884000000000001</v>
    <v>1.3875</v>
    <v>1.3889</v>
    <v>1.3911</v>
    <v>1.3900999999999999</v>
    <v>1.3843000000000001</v>
    <v>1.3835</v>
    <v>1.3814</v>
    <v>1.3792</v>
    <v>1.38</v>
    <v>1.3792</v>
    <v>1.375</v>
    <v>1.3731</v>
    <v>1.3747</v>
    <v>1.3738999999999999</v>
    <v>1.3759999999999999</v>
    <v>1.3784000000000001</v>
    <v>1.3767</v>
    <v>1.3774999999999999</v>
    <v>1.3757999999999999</v>
    <v>1.3785000000000001</v>
    <v>1.3821000000000001</v>
    <v>1.3811</v>
    <v>1.3815999999999999</v>
    <v>1.3848</v>
    <v>1.3839999999999999</v>
    <v>1.3808</v>
    <v>1.3783000000000001</v>
    <v>1.3808</v>
    <v>1.3824000000000001</v>
    <v>1.3807</v>
    <v>1.3751</v>
    <v>1.3725000000000001</v>
    <v>1.3695999999999999</v>
    <v>1.3698999999999999</v>
    <v>1.3695999999999999</v>
    <v>1.3644000000000001</v>
    <v>1.3641000000000001</v>
    <v>1.3611</v>
    <v>1.3627</v>
    <v>1.3619000000000001</v>
    <v>1.3635999999999999</v>
    <v>1.3629</v>
    <v>1.3620000000000001</v>
    <v>1.3621000000000001</v>
    <v>1.3613999999999999</v>
    <v>1.36</v>
    <v>1.3576999999999999</v>
    <v>1.3587</v>
    <v>1.3585</v>
    <v>1.3597999999999999</v>
    <v>1.3567</v>
    <v>1.3594999999999999</v>
    <v>1.3604000000000001</v>
    <v>1.3621000000000001</v>
    <v>1.3627</v>
    <v>1.3621000000000001</v>
    <v>1.3603000000000001</v>
    <v>1.3603000000000001</v>
    <v>1.3607</v>
    <v>1.3616999999999999</v>
    <v>1.363</v>
    <v>1.3634999999999999</v>
    <v>1.3646</v>
    <v>1.3638999999999999</v>
    <v>1.365</v>
    <v>1.3655999999999999</v>
    <v>1.3667</v>
    <v>1.3662000000000001</v>
    <v>1.3635999999999999</v>
    <v>1.3631</v>
    <v>1.3605</v>
    <v>1.3602000000000001</v>
    <v>1.3594999999999999</v>
    <v>1.3581000000000001</v>
    <v>1.3568</v>
    <v>1.3542000000000001</v>
    <v>1.3535999999999999</v>
    <v>1.3543000000000001</v>
    <v>1.3546</v>
    <v>1.3551</v>
    <v>1.355</v>
    <v>1.3548</v>
    <v>1.3553999999999999</v>
    <v>1.3552999999999999</v>
    <v>1.3548</v>
    <v>1.3537999999999999</v>
    <v>1.3522000000000001</v>
    <v>1.3484</v>
    <v>1.3460000000000001</v>
    <v>1.3446</v>
    <v>1.3473999999999999</v>
    <v>1.3496999999999999</v>
    <v>1.3491</v>
    <v>1.3496999999999999</v>
    <v>1.3509</v>
    <v>1.3515999999999999</v>
    <v>1.3487</v>
    <v>1.3462000000000001</v>
    <v>1.3465</v>
    <v>1.3459000000000001</v>
    <v>1.3469</v>
    <v>1.3471</v>
    <v>1.3465</v>
    <v>1.3495999999999999</v>
    <v>1.3485</v>
    <v>1.3514999999999999</v>
    <v>1.3511</v>
    <v>1.3572</v>
    <v>1.3575999999999999</v>
    <v>1.3604000000000001</v>
    <v>1.3614999999999999</v>
    <v>1.3649</v>
    <v>1.3684000000000001</v>
    <v>1.3703000000000001</v>
    <v>1.3812</v>
    <v>1.3855</v>
    <v>1.3892</v>
    <v>1.3894</v>
    <v>1.3859999999999999</v>
    <v>1.3858999999999999</v>
    <v>1.389</v>
    <v>1.391</v>
    <v>1.389</v>
    <v>1.3923000000000001</v>
    <v>1.3943000000000001</v>
    <v>1.4007000000000001</v>
    <v>1.3986000000000001</v>
    <v>1.3993</v>
    <v>1.3985000000000001</v>
    <v>1.3973</v>
    <v>1.3947000000000001</v>
    <v>1.3924000000000001</v>
    <v>1.39</v>
    <v>1.3875999999999999</v>
    <v>1.3846000000000001</v>
    <v>1.3827</v>
    <v>1.3779999999999999</v>
    <v>1.3836999999999999</v>
    <v>1.3914</v>
    <v>1.3949</v>
    <v>1.411</v>
    <v>1.4117999999999999</v>
    <v>1.4204000000000001</v>
    <v>1.4283999999999999</v>
    <v>1.4424999999999999</v>
    <v>1.4520999999999999</v>
    <v>1.4491000000000001</v>
    <v>1.4601999999999999</v>
    <v>1.4461999999999999</v>
    <v>1.4470000000000001</v>
    <v>1.4309000000000001</v>
    <v>1.4268000000000001</v>
    <v>1.4234</v>
    <v>1.4216</v>
    <v>1.4358</v>
    <v>1.43</v>
    <v>1.4384999999999999</v>
    <v>1.4319</v>
    <v>1.423</v>
    <v>1.4254</v>
    <v>1.4169</v>
    <v>1.4137</v>
    <v>1.4146000000000001</v>
    <v>1.4137</v>
    <v>1.4231</v>
    <v>1.4275</v>
    <v>1.4219999999999999</v>
    <v>1.4211</v>
    <v>1.4314</v>
    <v>1.4271</v>
    <v>1.4240999999999999</v>
    <v>1.4246000000000001</v>
    <v>1.4184000000000001</v>
    <v>1.4167000000000001</v>
    <v>1.4117</v>
    <v>1.4105000000000001</v>
    <v>1.4157</v>
    <v>1.4165000000000001</v>
    <v>1.4155</v>
    <v>1.4202999999999999</v>
    <v>1.4147000000000001</v>
    <v>1.4131</v>
    <v>1.4166000000000001</v>
    <v>1.4176</v>
    <v>1.4198</v>
    <v>1.423</v>
    <v>1.4263999999999999</v>
    <v>1.4178999999999999</v>
    <v>1.4162999999999999</v>
    <v>1.4126000000000001</v>
    <v>1.4174</v>
    <v>1.4247000000000001</v>
    <v>1.4241999999999999</v>
    <v>1.4158999999999999</v>
    <v>1.4196</v>
    <v>1.4174</v>
    <v>1.4115</v>
    <v>1.4075</v>
    <v>1.4001999999999999</v>
    <v>1.3976</v>
    <v>1.3979999999999999</v>
    <v>1.3933</v>
    <v>1.3876999999999999</v>
    <v>1.3894</v>
    <v>1.3829</v>
    <v>1.3924000000000001</v>
    <v>1.3927</v>
    <v>1.3912</v>
    <v>1.3942000000000001</v>
    <v>1.393</v>
    <v>1.3939999999999999</v>
    <v>1.3964000000000001</v>
    <v>1.3923000000000001</v>
    <v>1.3909</v>
    <v>1.393</v>
    <v>1.3913</v>
    <v>1.3923000000000001</v>
    <v>1.3936999999999999</v>
    <v>1.3933</v>
    <v>1.3935999999999999</v>
    <v>1.3944000000000001</v>
    <v>1.3946000000000001</v>
    <v>1.3919999999999999</v>
    <v>1.3946000000000001</v>
    <v>1.3909</v>
    <v>1.3918999999999999</v>
    <v>1.3908</v>
    <v>1.3903000000000001</v>
    <v>1.3916999999999999</v>
    <v>1.3889</v>
    <v>1.3922000000000001</v>
    <v>1.3898999999999999</v>
    <v>1.3889</v>
    <v>1.383</v>
    <v>1.3855</v>
    <v>1.3855</v>
    <v>1.3823000000000001</v>
    <v>1.3785000000000001</v>
    <v>1.379</v>
    <v>1.3734</v>
    <v>1.3718999999999999</v>
    <v>1.3738999999999999</v>
    <v>1.3758999999999999</v>
    <v>1.3728</v>
    <v>1.3696999999999999</v>
    <v>1.3684000000000001</v>
    <v>1.3722000000000001</v>
    <v>1.3732</v>
    <v>1.373</v>
    <v>1.3721000000000001</v>
    <v>1.3725000000000001</v>
    <v>1.3726</v>
    <v>1.3674999999999999</v>
    <v>1.3641000000000001</v>
    <v>1.3707</v>
    <v>1.3673999999999999</v>
    <v>1.3713</v>
    <v>1.3701000000000001</v>
    <v>1.3676999999999999</v>
    <v>1.3652</v>
    <v>1.3662000000000001</v>
    <v>1.3583000000000001</v>
    <v>1.3604000000000001</v>
    <v>1.3613</v>
    <v>1.3624000000000001</v>
    <v>1.3645</v>
    <v>1.365</v>
    <v>1.3664000000000001</v>
    <v>1.3708</v>
    <v>1.3669</v>
    <v>1.3697999999999999</v>
    <v>1.3674999999999999</v>
    <v>1.3646</v>
    <v>1.3608</v>
    <v>1.3585</v>
    <v>1.3567</v>
    <v>1.3593</v>
    <v>1.3620000000000001</v>
    <v>1.3644000000000001</v>
    <v>1.3728</v>
    <v>1.375</v>
    <v>1.3773</v>
    <v>1.3720000000000001</v>
    <v>1.3687</v>
    <v>1.3651</v>
    <v>1.3625</v>
    <v>1.3637999999999999</v>
    <v>1.3605</v>
    <v>1.3628</v>
    <v>1.3592</v>
    <v>1.3579000000000001</v>
    <v>1.3564000000000001</v>
    <v>1.357</v>
    <v>1.3602000000000001</v>
    <v>1.357</v>
    <v>1.3599000000000001</v>
    <v>1.3576999999999999</v>
    <v>1.3573999999999999</v>
    <v>1.3571</v>
    <v>1.3536999999999999</v>
    <v>1.3565</v>
    <v>1.3575999999999999</v>
    <v>1.3612</v>
    <v>1.3605</v>
    <v>1.3653999999999999</v>
    <v>1.3668</v>
    <v>1.3656999999999999</v>
    <v>1.3646</v>
    <v>1.3605</v>
    <v>1.3576999999999999</v>
    <v>1.3492999999999999</v>
    <v>1.3481000000000001</v>
    <v>1.347</v>
    <v>1.3481000000000001</v>
    <v>1.3491</v>
    <v>1.349</v>
    <v>1.3469</v>
    <v>1.3452</v>
    <v>1.3427</v>
    <v>1.3420000000000001</v>
    <v>1.3445</v>
    <v>1.3435999999999999</v>
    <v>1.3435999999999999</v>
    <v>1.3419000000000001</v>
    <v>1.3393999999999999</v>
    <v>1.3385</v>
    <v>1.3386</v>
    <v>1.3414999999999999</v>
    <v>1.3371999999999999</v>
    <v>1.3371</v>
    <v>1.3338000000000001</v>
    <v>1.3351999999999999</v>
    <v>1.3363</v>
    <v>1.3374999999999999</v>
    <v>1.337</v>
    <v>1.3351999999999999</v>
    <v>1.3361000000000001</v>
    <v>1.3351</v>
    <v>1.3321000000000001</v>
    <v>1.3289</v>
    <v>1.3261000000000001</v>
    <v>1.3269</v>
    <v>1.3322000000000001</v>
    <v>1.3354999999999999</v>
    <v>1.3299000000000001</v>
    <v>1.3288</v>
    <v>1.3293999999999999</v>
    <v>1.3299000000000001</v>
    <v>1.327</v>
    <v>1.3228</v>
    <v>1.3209</v>
    <v>1.3223</v>
    <v>1.3204</v>
    <v>1.3174999999999999</v>
    <v>1.3177000000000001</v>
    <v>1.3248</v>
    <v>1.3249</v>
    <v>1.331</v>
    <v>1.3229</v>
    <v>1.3267</v>
    <v>1.3242</v>
    <v>1.3292999999999999</v>
    <v>1.3307</v>
    <v>1.3292999999999999</v>
    <v>1.3245</v>
    <v>1.3227</v>
    <v>1.3270999999999999</v>
    <v>1.3270999999999999</v>
    <v>1.3245</v>
    <v>1.3287</v>
    <v>1.3288</v>
    <v>1.3285</v>
    <v>1.3325</v>
    <v>1.3325</v>
    <v>1.3327</v>
    <v>1.3365</v>
    <v>1.3348</v>
    <v>1.3325</v>
    <v>1.3262</v>
    <v>1.3263</v>
    <v>1.3245</v>
    <v>1.3242</v>
    <v>1.3226</v>
    <v>1.3272999999999999</v>
    <v>1.3282</v>
    <v>1.3262</v>
    <v>1.3240000000000001</v>
    <v>1.3214999999999999</v>
    <v>1.3203</v>
    <v>1.3192999999999999</v>
    <v>1.3252999999999999</v>
    <v>1.3317000000000001</v>
    <v>1.3279000000000001</v>
    <v>1.3301000000000001</v>
    <v>1.3324</v>
    <v>1.3371</v>
    <v>1.3420000000000001</v>
    <v>1.3498000000000001</v>
    <v>1.3432999999999999</v>
    <v>1.3439000000000001</v>
    <v>1.3391999999999999</v>
    <v>1.3448</v>
    <v>1.3452</v>
    <v>1.3454999999999999</v>
    <v>1.3399000000000001</v>
    <v>1.3434999999999999</v>
    <v>1.3421000000000001</v>
    <v>1.3406</v>
    <v>1.3440000000000001</v>
    <v>1.3458000000000001</v>
    <v>1.3485</v>
    <v>1.3449</v>
    <v>1.3480000000000001</v>
    <v>1.3476999999999999</v>
    <v>1.345</v>
    <v>1.3443000000000001</v>
    <v>1.3451</v>
    <v>1.3414999999999999</v>
    <v>1.3391999999999999</v>
    <v>1.3409</v>
    <v>1.34</v>
    <v>1.3407</v>
    <v>1.3408</v>
    <v>1.341</v>
    <v>1.3357000000000001</v>
    <v>1.3342000000000001</v>
    <v>1.3337000000000001</v>
    <v>1.3306</v>
    <v>1.3283</v>
    <v>1.3288</v>
    <v>1.329</v>
    <v>1.3265</v>
    <v>1.3251999999999999</v>
    <v>1.3259000000000001</v>
    <v>1.3249</v>
    <v>1.3263</v>
    <v>1.3298000000000001</v>
    <v>1.3297000000000001</v>
    <v>1.3360000000000001</v>
    <v>1.3349</v>
    <v>1.3331</v>
    <v>1.3247</v>
    <v>1.3254999999999999</v>
    <v>1.3252999999999999</v>
    <v>1.3334999999999999</v>
    <v>1.3332999999999999</v>
    <v>1.3319000000000001</v>
    <v>1.335</v>
    <v>1.33</v>
    <v>1.3342000000000001</v>
    <v>1.3309</v>
    <v>1.3318000000000001</v>
    <v>1.3280000000000001</v>
    <v>1.3258000000000001</v>
    <v>1.3248</v>
    <v>1.3233999999999999</v>
    <v>1.3219000000000001</v>
    <v>1.3211999999999999</v>
    <v>1.3223</v>
    <v>1.3222</v>
    <v>1.3275999999999999</v>
    <v>1.3244</v>
    <v>1.3230999999999999</v>
    <v>1.3234999999999999</v>
    <v>1.3239000000000001</v>
    <v>1.3234999999999999</v>
    <v>1.3254999999999999</v>
    <v>1.3264</v>
    <v>1.3270999999999999</v>
    <v>1.3360000000000001</v>
    <v>1.3424</v>
    <v>1.3439000000000001</v>
    <v>1.3428</v>
    <v>1.3445</v>
    <v>1.3454999999999999</v>
    <v>1.3427</v>
    <v>1.3414999999999999</v>
    <v>1.3426</v>
    <v>1.3451</v>
    <v>1.3452</v>
    <v>1.3487</v>
    <v>1.3469</v>
    <v>1.3449</v>
    <v>1.3469</v>
    <v>1.3486</v>
    <v>1.3523000000000001</v>
    <v>1.3508</v>
    <v>1.3516999999999999</v>
    <v>1.3553999999999999</v>
    <v>1.3535999999999999</v>
    <v>1.3546</v>
    <v>1.3567</v>
    <v>1.3627</v>
    <v>1.365</v>
    <v>1.3633</v>
    <v>1.3589</v>
    <v>1.3599000000000001</v>
    <v>1.3582000000000001</v>
    <v>1.3596999999999999</v>
    <v>1.3560000000000001</v>
    <v>1.3524</v>
    <v>1.3535999999999999</v>
    <v>1.3531</v>
    <v>1.3512</v>
    <v>1.3509</v>
    <v>1.3511</v>
    <v>1.3543000000000001</v>
    <v>1.3572</v>
    <v>1.3593</v>
    <v>1.3555999999999999</v>
    <v>1.3574999999999999</v>
    <v>1.3546</v>
    <v>1.3552</v>
    <v>1.3620000000000001</v>
    <v>1.3599000000000001</v>
    <v>1.3640000000000001</v>
    <v>1.3621000000000001</v>
    <v>1.3560000000000001</v>
    <v>1.3544</v>
    <v>1.3527</v>
    <v>1.3548</v>
    <v>1.3458000000000001</v>
    <v>1.3452</v>
    <v>1.3446</v>
    <v>1.3442000000000001</v>
    <v>1.3425</v>
    <v>1.3411999999999999</v>
    <v>1.3421000000000001</v>
    <v>1.3455999999999999</v>
    <v>1.3453999999999999</v>
    <v>1.3428</v>
    <v>1.3415999999999999</v>
    <v>1.3418000000000001</v>
    <v>1.3436999999999999</v>
    <v>1.3411999999999999</v>
    <v>1.3448</v>
    <v>1.3487</v>
    <v>1.3508</v>
    <v>1.3517999999999999</v>
    <v>1.3534999999999999</v>
    <v>1.3486</v>
    <v>1.3532999999999999</v>
    <v>1.353</v>
    <v>1.3582000000000001</v>
    <v>1.361</v>
    <v>1.3574999999999999</v>
    <v>1.3554999999999999</v>
    <v>1.3564000000000001</v>
    <v>1.3569</v>
    <v>1.3585</v>
    <v>1.3580000000000001</v>
    <v>1.3551</v>
    <v>1.3548</v>
    <v>1.3566</v>
    <v>1.3515999999999999</v>
    <v>1.3480000000000001</v>
    <v>1.3479000000000001</v>
    <v>1.3491</v>
    <v>1.3444</v>
    <v>1.3434999999999999</v>
    <v>1.3473999999999999</v>
    <v>1.3474999999999999</v>
    <v>1.3466</v>
    <v>1.3476999999999999</v>
    <v>1.3482000000000001</v>
    <v>1.3438000000000001</v>
    <v>1.3488</v>
    <v>1.3484</v>
    <v>1.349</v>
    <v>1.3476999999999999</v>
    <v>1.3511</v>
    <v>1.3502000000000001</v>
    <v>1.3473999999999999</v>
    <v>1.3465</v>
    <v>1.3526</v>
    <v>1.3540000000000001</v>
    <v>1.3517999999999999</v>
    <v>1.3532999999999999</v>
    <v>1.3563000000000001</v>
    <v>1.3554999999999999</v>
    <v>1.3559000000000001</v>
    <v>1.3612</v>
    <v>1.3634999999999999</v>
    <v>1.365</v>
    <v>1.3677999999999999</v>
    <v>1.3674999999999999</v>
    <v>1.3705000000000001</v>
    <v>1.3687</v>
    <v>1.3640000000000001</v>
    <v>1.3651</v>
    <v>1.3692</v>
    <v>1.3707</v>
    <v>1.3686</v>
    <v>1.365</v>
    <v>1.3604000000000001</v>
    <v>1.3643000000000001</v>
    <v>1.3633999999999999</v>
    <v>1.3671</v>
    <v>1.3693</v>
    <v>1.3651</v>
    <v>1.3635999999999999</v>
    <v>1.3663000000000001</v>
    <v>1.3660000000000001</v>
    <v>1.3641000000000001</v>
    <v>1.3619000000000001</v>
    <v>1.3581000000000001</v>
    <v>1.3586</v>
    <v>1.3567</v>
    <v>1.3534999999999999</v>
    <v>1.3521000000000001</v>
    <v>1.3521000000000001</v>
    <v>1.349</v>
    <v>1.3535999999999999</v>
    <v>1.3554999999999999</v>
    <v>1.3573999999999999</v>
    <v>1.3605</v>
    <v>1.3554999999999999</v>
    <v>1.3563000000000001</v>
    <v>1.3506</v>
    <v>1.3461000000000001</v>
    <v>1.3456999999999999</v>
    <v>1.3472999999999999</v>
    <v>1.3476999999999999</v>
    <v>1.3506</v>
    <v>1.3474999999999999</v>
    <v>1.3471</v>
    <v>1.3452</v>
  </a>
  <a r="1" c="1304">
    <v>1.4261999999999999</v>
    <v>1.4216</v>
    <v>1.4215</v>
    <v>1.4280999999999999</v>
    <v>1.4326000000000001</v>
    <v>1.4315</v>
    <v>1.4211</v>
    <v>1.4168000000000001</v>
    <v>1.4133</v>
    <v>1.4152</v>
    <v>1.4127000000000001</v>
    <v>1.4198</v>
    <v>1.4196</v>
    <v>1.4205000000000001</v>
    <v>1.4229000000000001</v>
    <v>1.4256</v>
    <v>1.4242999999999999</v>
    <v>1.4265000000000001</v>
    <v>1.4202999999999999</v>
    <v>1.4198</v>
    <v>1.4191</v>
    <v>1.4231</v>
    <v>1.4212</v>
    <v>1.4160999999999999</v>
    <v>1.4092</v>
    <v>1.4069</v>
    <v>1.4064000000000001</v>
    <v>1.4114</v>
    <v>1.4141999999999999</v>
    <v>1.4168000000000001</v>
    <v>1.4129</v>
    <v>1.4132</v>
    <v>1.4184000000000001</v>
    <v>1.4218999999999999</v>
    <v>1.4218999999999999</v>
    <v>1.4149</v>
    <v>1.4159999999999999</v>
    <v>1.4158999999999999</v>
    <v>1.4063000000000001</v>
    <v>1.4037999999999999</v>
    <v>1.4020999999999999</v>
    <v>1.4003000000000001</v>
    <v>1.4028</v>
    <v>1.401</v>
    <v>1.4018999999999999</v>
    <v>1.3991</v>
    <v>1.3978999999999999</v>
    <v>1.3986000000000001</v>
    <v>1.3980999999999999</v>
    <v>1.3996999999999999</v>
    <v>1.3982000000000001</v>
    <v>1.4009</v>
    <v>1.4021999999999999</v>
    <v>1.403</v>
    <v>1.4060999999999999</v>
    <v>1.4080999999999999</v>
    <v>1.4077</v>
    <v>1.4044000000000001</v>
    <v>1.3991</v>
    <v>1.3988</v>
    <v>1.3980999999999999</v>
    <v>1.4</v>
    <v>1.399</v>
    <v>1.3988</v>
    <v>1.3988</v>
    <v>1.3966000000000001</v>
    <v>1.3948</v>
    <v>1.3989</v>
    <v>1.3987000000000001</v>
    <v>1.3978999999999999</v>
    <v>1.3979999999999999</v>
    <v>1.3968</v>
    <v>1.3974</v>
    <v>1.4018999999999999</v>
    <v>1.4060999999999999</v>
    <v>1.4067000000000001</v>
    <v>1.4124000000000001</v>
    <v>1.4116</v>
    <v>1.4128000000000001</v>
    <v>1.4094</v>
    <v>1.4045000000000001</v>
    <v>1.3988</v>
    <v>1.3957999999999999</v>
    <v>1.3948</v>
    <v>1.3933</v>
    <v>1.3886000000000001</v>
    <v>1.3908</v>
    <v>1.3916999999999999</v>
    <v>1.387</v>
    <v>1.3869</v>
    <v>1.3863000000000001</v>
    <v>1.3884000000000001</v>
    <v>1.3863000000000001</v>
    <v>1.3869</v>
    <v>1.3868</v>
    <v>1.3829</v>
    <v>1.3819999999999999</v>
    <v>1.3827</v>
    <v>1.3837999999999999</v>
    <v>1.3852</v>
    <v>1.385</v>
    <v>1.3845000000000001</v>
    <v>1.3822000000000001</v>
    <v>1.3843000000000001</v>
    <v>1.3869</v>
    <v>1.3872</v>
    <v>1.3907</v>
    <v>1.3914</v>
    <v>1.3911</v>
    <v>1.3909</v>
    <v>1.3888</v>
    <v>1.389</v>
    <v>1.3873</v>
    <v>1.3824000000000001</v>
    <v>1.3793</v>
    <v>1.383</v>
    <v>1.3832</v>
    <v>1.3839999999999999</v>
    <v>1.3838999999999999</v>
    <v>1.3835999999999999</v>
    <v>1.3863000000000001</v>
    <v>1.3855</v>
    <v>1.3819999999999999</v>
    <v>1.3787</v>
    <v>1.3768</v>
    <v>1.3720000000000001</v>
    <v>1.3706</v>
    <v>1.3698999999999999</v>
    <v>1.3709</v>
    <v>1.3674999999999999</v>
    <v>1.3634999999999999</v>
    <v>1.3633</v>
    <v>1.3642000000000001</v>
    <v>1.3607</v>
    <v>1.3613999999999999</v>
    <v>1.3583000000000001</v>
    <v>1.3585</v>
    <v>1.3611</v>
    <v>1.3617999999999999</v>
    <v>1.3619000000000001</v>
    <v>1.3637999999999999</v>
    <v>1.3641000000000001</v>
    <v>1.3647</v>
    <v>1.3653999999999999</v>
    <v>1.3644000000000001</v>
    <v>1.3632</v>
    <v>1.3688</v>
    <v>1.3688</v>
    <v>1.3671</v>
    <v>1.3673</v>
    <v>1.3637999999999999</v>
    <v>1.3629</v>
    <v>1.3634999999999999</v>
    <v>1.3626</v>
    <v>1.3620000000000001</v>
    <v>1.3568</v>
    <v>1.3563000000000001</v>
    <v>1.3587</v>
    <v>1.361</v>
    <v>1.3583000000000001</v>
    <v>1.3584000000000001</v>
    <v>1.3573</v>
    <v>1.3537999999999999</v>
    <v>1.3508</v>
    <v>1.3425</v>
    <v>1.3469</v>
    <v>1.3481000000000001</v>
    <v>1.3512999999999999</v>
    <v>1.3536999999999999</v>
    <v>1.3479000000000001</v>
    <v>1.3495999999999999</v>
    <v>1.3493999999999999</v>
    <v>1.3516999999999999</v>
    <v>1.3532999999999999</v>
    <v>1.3506</v>
    <v>1.3516999999999999</v>
    <v>1.3573999999999999</v>
    <v>1.3606</v>
    <v>1.3646</v>
    <v>1.3593</v>
    <v>1.3629</v>
    <v>1.3662000000000001</v>
    <v>1.3624000000000001</v>
    <v>1.3648</v>
    <v>1.369</v>
    <v>1.3654999999999999</v>
    <v>1.3635999999999999</v>
    <v>1.3580000000000001</v>
    <v>1.355</v>
    <v>1.3563000000000001</v>
    <v>1.353</v>
    <v>1.3577999999999999</v>
    <v>1.3587</v>
    <v>1.3593999999999999</v>
    <v>1.3614999999999999</v>
    <v>1.3634999999999999</v>
    <v>1.3628</v>
    <v>1.3638999999999999</v>
    <v>1.3674999999999999</v>
    <v>1.3713</v>
    <v>1.3666</v>
    <v>1.3635999999999999</v>
    <v>1.3643000000000001</v>
    <v>1.3614999999999999</v>
    <v>1.3651</v>
    <v>1.3658999999999999</v>
    <v>1.3652</v>
    <v>1.3648</v>
    <v>1.3629</v>
    <v>1.3612</v>
    <v>1.3623000000000001</v>
    <v>1.3629</v>
    <v>1.36</v>
    <v>1.3576999999999999</v>
    <v>1.3577999999999999</v>
    <v>1.3577999999999999</v>
    <v>1.3579000000000001</v>
    <v>1.355</v>
    <v>1.3486</v>
    <v>1.3475999999999999</v>
    <v>1.3480000000000001</v>
    <v>1.3474999999999999</v>
    <v>1.3476999999999999</v>
    <v>1.3507</v>
    <v>1.3493999999999999</v>
    <v>1.35</v>
    <v>1.3482000000000001</v>
    <v>1.3496999999999999</v>
    <v>1.3514999999999999</v>
    <v>1.3537999999999999</v>
    <v>1.353</v>
    <v>1.3537999999999999</v>
    <v>1.3532</v>
    <v>1.3484</v>
    <v>1.3489</v>
    <v>1.3495999999999999</v>
    <v>1.3484</v>
    <v>1.3472999999999999</v>
    <v>1.3461000000000001</v>
    <v>1.3452999999999999</v>
    <v>1.3443000000000001</v>
    <v>1.3444</v>
    <v>1.3435999999999999</v>
    <v>1.3407</v>
    <v>1.3382000000000001</v>
    <v>1.3374999999999999</v>
    <v>1.3374999999999999</v>
    <v>1.3309</v>
    <v>1.3313999999999999</v>
    <v>1.3282</v>
    <v>1.333</v>
    <v>1.3367</v>
    <v>1.3369</v>
    <v>1.3352999999999999</v>
    <v>1.3301000000000001</v>
    <v>1.3252999999999999</v>
    <v>1.3248</v>
    <v>1.3253999999999999</v>
    <v>1.3272999999999999</v>
    <v>1.3213999999999999</v>
    <v>1.3223</v>
    <v>1.3208</v>
    <v>1.3176000000000001</v>
    <v>1.3126</v>
    <v>1.3125</v>
    <v>1.3126</v>
    <v>1.3149</v>
    <v>1.3137000000000001</v>
    <v>1.3141</v>
    <v>1.3198000000000001</v>
    <v>1.3219000000000001</v>
    <v>1.3237000000000001</v>
    <v>1.3252999999999999</v>
    <v>1.3321000000000001</v>
    <v>1.3339000000000001</v>
    <v>1.3303</v>
    <v>1.3251999999999999</v>
    <v>1.3251999999999999</v>
    <v>1.3152999999999999</v>
    <v>1.3130999999999999</v>
    <v>1.3148</v>
    <v>1.32</v>
    <v>1.3239000000000001</v>
    <v>1.3255999999999999</v>
    <v>1.3244</v>
    <v>1.3211999999999999</v>
    <v>1.3244</v>
    <v>1.3264</v>
    <v>1.3284</v>
    <v>1.323</v>
    <v>1.3213999999999999</v>
    <v>1.3201000000000001</v>
    <v>1.3187</v>
    <v>1.3186</v>
    <v>1.3194999999999999</v>
    <v>1.3167</v>
    <v>1.3145</v>
    <v>1.3125</v>
    <v>1.3144</v>
    <v>1.3182</v>
    <v>1.3191999999999999</v>
    <v>1.3192999999999999</v>
    <v>1.3192999999999999</v>
    <v>1.3177000000000001</v>
    <v>1.3170999999999999</v>
    <v>1.3150999999999999</v>
    <v>1.3104</v>
    <v>1.3128</v>
    <v>1.3136000000000001</v>
    <v>1.3117000000000001</v>
    <v>1.3129999999999999</v>
    <v>1.3129999999999999</v>
    <v>1.3154999999999999</v>
    <v>1.3169999999999999</v>
    <v>1.3197000000000001</v>
    <v>1.3168</v>
    <v>1.3117000000000001</v>
    <v>1.3098000000000001</v>
    <v>1.3130999999999999</v>
    <v>1.3129999999999999</v>
    <v>1.3132999999999999</v>
    <v>1.3118000000000001</v>
    <v>1.3120000000000001</v>
    <v>1.3120000000000001</v>
    <v>1.3172999999999999</v>
    <v>1.3262</v>
    <v>1.3274999999999999</v>
    <v>1.3295999999999999</v>
    <v>1.3287</v>
    <v>1.3287</v>
    <v>1.3262</v>
    <v>1.3343</v>
    <v>1.337</v>
    <v>1.3367</v>
    <v>1.3359000000000001</v>
    <v>1.3372999999999999</v>
    <v>1.3415999999999999</v>
    <v>1.3461000000000001</v>
    <v>1.3489</v>
    <v>1.3385</v>
    <v>1.3360000000000001</v>
    <v>1.3456999999999999</v>
    <v>1.3455999999999999</v>
    <v>1.3434999999999999</v>
    <v>1.3458000000000001</v>
    <v>1.3471</v>
    <v>1.3413999999999999</v>
    <v>1.3464</v>
    <v>1.3448</v>
    <v>1.3423</v>
    <v>1.343</v>
    <v>1.3484</v>
    <v>1.3469</v>
    <v>1.3406</v>
    <v>1.34</v>
    <v>1.3391999999999999</v>
    <v>1.3368</v>
    <v>1.3347</v>
    <v>1.3342000000000001</v>
    <v>1.3371</v>
    <v>1.3358000000000001</v>
    <v>1.3375999999999999</v>
    <v>1.3393999999999999</v>
    <v>1.3449</v>
    <v>1.3517999999999999</v>
    <v>1.3533999999999999</v>
    <v>1.3599000000000001</v>
    <v>1.3589</v>
    <v>1.3641000000000001</v>
    <v>1.3594999999999999</v>
    <v>1.3653</v>
    <v>1.3637999999999999</v>
    <v>1.3685</v>
    <v>1.3705000000000001</v>
    <v>1.3687</v>
    <v>1.3714999999999999</v>
    <v>1.3745000000000001</v>
    <v>1.3656999999999999</v>
    <v>1.3674999999999999</v>
    <v>1.3662000000000001</v>
    <v>1.3583000000000001</v>
    <v>1.3585</v>
    <v>1.3643000000000001</v>
    <v>1.3651</v>
    <v>1.3689</v>
    <v>1.3662000000000001</v>
    <v>1.3654999999999999</v>
    <v>1.3698999999999999</v>
    <v>1.3745000000000001</v>
    <v>1.3735999999999999</v>
    <v>1.3660000000000001</v>
    <v>1.3676999999999999</v>
    <v>1.3651</v>
    <v>1.3643000000000001</v>
    <v>1.3649</v>
    <v>1.3633</v>
    <v>1.3633999999999999</v>
    <v>1.3628</v>
    <v>1.369</v>
    <v>1.3712</v>
    <v>1.3694</v>
    <v>1.3691</v>
    <v>1.3657999999999999</v>
    <v>1.3676999999999999</v>
    <v>1.3736999999999999</v>
    <v>1.3773</v>
    <v>1.3789</v>
    <v>1.3817999999999999</v>
    <v>1.3806</v>
    <v>1.3763000000000001</v>
    <v>1.3727</v>
    <v>1.3693</v>
    <v>1.3675999999999999</v>
    <v>1.3745000000000001</v>
    <v>1.3743000000000001</v>
    <v>1.367</v>
    <v>1.3646</v>
    <v>1.3678999999999999</v>
    <v>1.3686</v>
    <v>1.3729</v>
    <v>1.3732</v>
    <v>1.3781000000000001</v>
    <v>1.3813</v>
    <v>1.3784000000000001</v>
    <v>1.3794</v>
    <v>1.3814</v>
    <v>1.3807</v>
    <v>1.3776999999999999</v>
    <v>1.3729</v>
    <v>1.3743000000000001</v>
    <v>1.3754</v>
    <v>1.3752</v>
    <v>1.3717999999999999</v>
    <v>1.3694999999999999</v>
    <v>1.3657999999999999</v>
    <v>1.3673999999999999</v>
    <v>1.3667</v>
    <v>1.3663000000000001</v>
    <v>1.3681000000000001</v>
    <v>1.3688</v>
    <v>1.3720000000000001</v>
    <v>1.3767</v>
    <v>1.3797999999999999</v>
    <v>1.3828</v>
    <v>1.3833</v>
    <v>1.3865000000000001</v>
    <v>1.3872</v>
    <v>1.3837999999999999</v>
    <v>1.3838999999999999</v>
    <v>1.3785000000000001</v>
    <v>1.3794</v>
    <v>1.3781000000000001</v>
    <v>1.3781000000000001</v>
    <v>1.3819999999999999</v>
    <v>1.3818999999999999</v>
    <v>1.3808</v>
    <v>1.3815999999999999</v>
    <v>1.3815</v>
    <v>1.3816999999999999</v>
    <v>1.3848</v>
    <v>1.3836999999999999</v>
    <v>1.3852</v>
    <v>1.3871</v>
    <v>1.3861000000000001</v>
    <v>1.3773</v>
    <v>1.3771</v>
    <v>1.3755999999999999</v>
    <v>1.3759999999999999</v>
    <v>1.3755999999999999</v>
    <v>1.3795999999999999</v>
    <v>1.3852</v>
    <v>1.3853</v>
    <v>1.3821000000000001</v>
    <v>1.3793</v>
    <v>1.3769</v>
    <v>1.3743000000000001</v>
    <v>1.3754</v>
    <v>1.3766</v>
    <v>1.3741000000000001</v>
    <v>1.3755999999999999</v>
    <v>1.3756999999999999</v>
    <v>1.3796999999999999</v>
    <v>1.3787</v>
    <v>1.3735999999999999</v>
    <v>1.3731</v>
    <v>1.3704000000000001</v>
    <v>1.3676999999999999</v>
    <v>1.3687</v>
    <v>1.3722000000000001</v>
    <v>1.371</v>
    <v>1.3749</v>
    <v>1.3753</v>
    <v>1.3748</v>
    <v>1.3725000000000001</v>
    <v>1.3774</v>
    <v>1.3772</v>
    <v>1.373</v>
    <v>1.373</v>
    <v>1.3729</v>
    <v>1.3753</v>
    <v>1.3746</v>
    <v>1.3735999999999999</v>
    <v>1.3733</v>
    <v>1.3737999999999999</v>
    <v>1.371</v>
    <v>1.3669</v>
    <v>1.3649</v>
    <v>1.3664000000000001</v>
    <v>1.3676999999999999</v>
    <v>1.3647</v>
    <v>1.3594999999999999</v>
    <v>1.3593999999999999</v>
    <v>1.3577999999999999</v>
    <v>1.3546</v>
    <v>1.3540000000000001</v>
    <v>1.3553999999999999</v>
    <v>1.3575999999999999</v>
    <v>1.3564000000000001</v>
    <v>1.3573999999999999</v>
    <v>1.3587</v>
    <v>1.3608</v>
    <v>1.3605</v>
    <v>1.3614999999999999</v>
    <v>1.3613999999999999</v>
    <v>1.3543000000000001</v>
    <v>1.3545</v>
    <v>1.3526</v>
    <v>1.3472999999999999</v>
    <v>1.3509</v>
    <v>1.3539000000000001</v>
    <v>1.3535999999999999</v>
    <v>1.3559000000000001</v>
    <v>1.3573</v>
    <v>1.3585</v>
    <v>1.3613</v>
    <v>1.3613999999999999</v>
    <v>1.3601000000000001</v>
    <v>1.36</v>
    <v>1.3594999999999999</v>
    <v>1.357</v>
    <v>1.3577999999999999</v>
    <v>1.3532999999999999</v>
    <v>1.3546</v>
    <v>1.3552</v>
    <v>1.3514999999999999</v>
    <v>1.3508</v>
    <v>1.3498000000000001</v>
    <v>1.3523000000000001</v>
    <v>1.3555999999999999</v>
    <v>1.3559000000000001</v>
    <v>1.3569</v>
    <v>1.3585</v>
    <v>1.3611</v>
    <v>1.3613999999999999</v>
    <v>1.36</v>
    <v>1.3579000000000001</v>
    <v>1.357</v>
    <v>1.3571</v>
    <v>1.3561000000000001</v>
    <v>1.3533999999999999</v>
    <v>1.3517999999999999</v>
    <v>1.3528</v>
    <v>1.3511</v>
    <v>1.3531</v>
    <v>1.3531</v>
    <v>1.3524</v>
    <v>1.3566</v>
    <v>1.3573999999999999</v>
    <v>1.3567</v>
    <v>1.3551</v>
    <v>1.3571</v>
    <v>1.3556999999999999</v>
    <v>1.355</v>
    <v>1.3560000000000001</v>
    <v>1.3565</v>
    <v>1.3549</v>
    <v>1.3543000000000001</v>
    <v>1.3562000000000001</v>
    <v>1.3579000000000001</v>
    <v>1.3533999999999999</v>
    <v>1.3549</v>
    <v>1.3552999999999999</v>
    <v>1.3564000000000001</v>
    <v>1.3559000000000001</v>
    <v>1.3569</v>
    <v>1.3584000000000001</v>
    <v>1.3629</v>
    <v>1.3656999999999999</v>
    <v>1.3641000000000001</v>
    <v>1.3628</v>
    <v>1.3633</v>
    <v>1.3621000000000001</v>
    <v>1.3632</v>
    <v>1.3645</v>
    <v>1.3658999999999999</v>
    <v>1.3643000000000001</v>
    <v>1.3632</v>
    <v>1.3655999999999999</v>
    <v>1.3648</v>
    <v>1.3707</v>
    <v>1.3707</v>
    <v>1.3728</v>
    <v>1.3781000000000001</v>
    <v>1.3777999999999999</v>
    <v>1.3794</v>
    <v>1.3812</v>
    <v>1.3829</v>
    <v>1.3804000000000001</v>
    <v>1.3754999999999999</v>
    <v>1.3796999999999999</v>
    <v>1.3835</v>
    <v>1.3815</v>
    <v>1.3808</v>
    <v>1.3757999999999999</v>
    <v>1.3698999999999999</v>
    <v>1.3672</v>
    <v>1.3669</v>
    <v>1.3683000000000001</v>
    <v>1.3676999999999999</v>
    <v>1.3667</v>
    <v>1.3673</v>
    <v>1.3671</v>
    <v>1.3721000000000001</v>
    <v>1.3713</v>
    <v>1.3724000000000001</v>
    <v>1.3682000000000001</v>
    <v>1.3633</v>
    <v>1.3580000000000001</v>
    <v>1.3554999999999999</v>
    <v>1.3555999999999999</v>
    <v>1.3560000000000001</v>
    <v>1.3555999999999999</v>
    <v>1.3539000000000001</v>
    <v>1.3569</v>
    <v>1.3573</v>
    <v>1.3573999999999999</v>
    <v>1.3566</v>
    <v>1.3624000000000001</v>
    <v>1.3615999999999999</v>
    <v>1.3623000000000001</v>
    <v>1.3624000000000001</v>
    <v>1.3585</v>
    <v>1.3609</v>
    <v>1.3587</v>
    <v>1.3586</v>
    <v>1.3626</v>
    <v>1.3616999999999999</v>
    <v>1.3612</v>
    <v>1.3616999999999999</v>
    <v>1.3657999999999999</v>
    <v>1.3664000000000001</v>
    <v>1.3685</v>
    <v>1.3704000000000001</v>
    <v>1.3718999999999999</v>
    <v>1.3713</v>
    <v>1.3746</v>
    <v>1.3778999999999999</v>
    <v>1.3783000000000001</v>
    <v>1.3847</v>
    <v>1.3867</v>
    <v>1.3846000000000001</v>
    <v>1.3844000000000001</v>
    <v>1.3859999999999999</v>
    <v>1.3886000000000001</v>
    <v>1.3895</v>
    <v>1.3905000000000001</v>
    <v>1.3906000000000001</v>
    <v>1.3894</v>
    <v>1.3871</v>
    <v>1.3875999999999999</v>
    <v>1.3856999999999999</v>
    <v>1.3873</v>
    <v>1.3886000000000001</v>
    <v>1.3923000000000001</v>
    <v>1.3900999999999999</v>
    <v>1.3894</v>
    <v>1.3894</v>
    <v>1.3896999999999999</v>
    <v>1.3913</v>
    <v>1.3940999999999999</v>
    <v>1.3904000000000001</v>
    <v>1.3856999999999999</v>
    <v>1.385</v>
    <v>1.3821000000000001</v>
    <v>1.3812</v>
    <v>1.3804000000000001</v>
    <v>1.3793</v>
    <v>1.3756999999999999</v>
    <v>1.3763000000000001</v>
    <v>1.3777999999999999</v>
    <v>1.3766</v>
    <v>1.3794</v>
    <v>1.3791</v>
    <v>1.379</v>
    <v>1.3785000000000001</v>
    <v>1.3794999999999999</v>
    <v>1.3823000000000001</v>
    <v>1.383</v>
    <v>1.3834</v>
    <v>1.3877999999999999</v>
    <v>1.3867</v>
    <v>1.3846000000000001</v>
    <v>1.381</v>
    <v>1.3825000000000001</v>
    <v>1.3828</v>
    <v>1.3827</v>
    <v>1.3825000000000001</v>
    <v>1.3756999999999999</v>
    <v>1.3733</v>
    <v>1.3717999999999999</v>
    <v>1.3732</v>
    <v>1.3707</v>
    <v>1.3660000000000001</v>
    <v>1.3642000000000001</v>
    <v>1.3633</v>
    <v>1.3644000000000001</v>
    <v>1.3641000000000001</v>
    <v>1.3641000000000001</v>
    <v>1.3634999999999999</v>
    <v>1.3637999999999999</v>
    <v>1.3647</v>
    <v>1.3626</v>
    <v>1.3611</v>
    <v>1.3589</v>
    <v>1.3593999999999999</v>
    <v>1.3609</v>
    <v>1.3607</v>
    <v>1.3605</v>
    <v>1.3619000000000001</v>
    <v>1.3625</v>
    <v>1.3633</v>
    <v>1.3635999999999999</v>
    <v>1.3623000000000001</v>
    <v>1.3615999999999999</v>
    <v>1.3614999999999999</v>
    <v>1.3627</v>
    <v>1.3633999999999999</v>
    <v>1.3647</v>
    <v>1.3656999999999999</v>
    <v>1.3667</v>
    <v>1.3665</v>
    <v>1.3665</v>
    <v>1.3677999999999999</v>
    <v>1.3691</v>
    <v>1.3668</v>
    <v>1.3653</v>
    <v>1.3633</v>
    <v>1.3614999999999999</v>
    <v>1.3613999999999999</v>
    <v>1.3603000000000001</v>
    <v>1.3602000000000001</v>
    <v>1.3576999999999999</v>
    <v>1.3559000000000001</v>
    <v>1.3567</v>
    <v>1.3562000000000001</v>
    <v>1.3569</v>
    <v>1.3560000000000001</v>
    <v>1.3563000000000001</v>
    <v>1.3567</v>
    <v>1.3562000000000001</v>
    <v>1.3552999999999999</v>
    <v>1.3552</v>
    <v>1.3543000000000001</v>
    <v>1.3524</v>
    <v>1.3489</v>
    <v>1.3461000000000001</v>
    <v>1.3482000000000001</v>
    <v>1.3508</v>
    <v>1.3511</v>
    <v>1.3514999999999999</v>
    <v>1.3525</v>
    <v>1.3524</v>
    <v>1.3515999999999999</v>
    <v>1.3488</v>
    <v>1.3483000000000001</v>
    <v>1.3482000000000001</v>
    <v>1.3473999999999999</v>
    <v>1.3478000000000001</v>
    <v>1.3482000000000001</v>
    <v>1.3504</v>
    <v>1.351</v>
    <v>1.3527</v>
    <v>1.3523000000000001</v>
    <v>1.3582000000000001</v>
    <v>1.3596999999999999</v>
    <v>1.3620000000000001</v>
    <v>1.3637999999999999</v>
    <v>1.3671</v>
    <v>1.3694</v>
    <v>1.3728</v>
    <v>1.3823000000000001</v>
    <v>1.3867</v>
    <v>1.3915999999999999</v>
    <v>1.3922000000000001</v>
    <v>1.3895999999999999</v>
    <v>1.3875999999999999</v>
    <v>1.3898999999999999</v>
    <v>1.3927</v>
    <v>1.3925000000000001</v>
    <v>1.3933</v>
    <v>1.3949</v>
    <v>1.4079999999999999</v>
    <v>1.4026000000000001</v>
    <v>1.4041999999999999</v>
    <v>1.3998999999999999</v>
    <v>1.4007000000000001</v>
    <v>1.3977999999999999</v>
    <v>1.399</v>
    <v>1.3972</v>
    <v>1.3944000000000001</v>
    <v>1.3895999999999999</v>
    <v>1.3876999999999999</v>
    <v>1.3859999999999999</v>
    <v>1.3861000000000001</v>
    <v>1.3918999999999999</v>
    <v>1.3951</v>
    <v>1.4117</v>
    <v>1.4177999999999999</v>
    <v>1.423</v>
    <v>1.4322999999999999</v>
    <v>1.4466000000000001</v>
    <v>1.4564999999999999</v>
    <v>1.4540999999999999</v>
    <v>1.4645999999999999</v>
    <v>1.4617</v>
    <v>1.4511000000000001</v>
    <v>1.4509000000000001</v>
    <v>1.4361999999999999</v>
    <v>1.4294</v>
    <v>1.4277</v>
    <v>1.4374</v>
    <v>1.4381999999999999</v>
    <v>1.4414</v>
    <v>1.4416</v>
    <v>1.4323999999999999</v>
    <v>1.4295</v>
    <v>1.4269000000000001</v>
    <v>1.4185000000000001</v>
    <v>1.4179999999999999</v>
    <v>1.4171</v>
    <v>1.4277</v>
    <v>1.4306000000000001</v>
    <v>1.4278999999999999</v>
    <v>1.4247000000000001</v>
    <v>1.4328000000000001</v>
    <v>1.4322999999999999</v>
    <v>1.4298</v>
    <v>1.4278</v>
    <v>1.4253</v>
    <v>1.4221999999999999</v>
    <v>1.4172</v>
    <v>1.4131</v>
    <v>1.4168000000000001</v>
    <v>1.4204000000000001</v>
    <v>1.4176</v>
    <v>1.4216</v>
    <v>1.4229000000000001</v>
    <v>1.4147000000000001</v>
    <v>1.4184000000000001</v>
    <v>1.4204000000000001</v>
    <v>1.4205000000000001</v>
    <v>1.4263999999999999</v>
    <v>1.4278999999999999</v>
    <v>1.4277</v>
    <v>1.4198</v>
    <v>1.4180999999999999</v>
    <v>1.4180999999999999</v>
    <v>1.4258999999999999</v>
    <v>1.4268000000000001</v>
    <v>1.4251</v>
    <v>1.4215</v>
    <v>1.4218999999999999</v>
    <v>1.4184000000000001</v>
    <v>1.4139999999999999</v>
    <v>1.4085000000000001</v>
    <v>1.4011</v>
    <v>1.4027000000000001</v>
    <v>1.3980999999999999</v>
    <v>1.3947000000000001</v>
    <v>1.3937999999999999</v>
    <v>1.3907</v>
    <v>1.3940999999999999</v>
    <v>1.3958999999999999</v>
    <v>1.3982000000000001</v>
    <v>1.3960999999999999</v>
    <v>1.3964000000000001</v>
    <v>1.3956999999999999</v>
    <v>1.3979999999999999</v>
    <v>1.3991</v>
    <v>1.3965000000000001</v>
    <v>1.3934</v>
    <v>1.3940999999999999</v>
    <v>1.3949</v>
    <v>1.3951</v>
    <v>1.3975</v>
    <v>1.3962000000000001</v>
    <v>1.3956</v>
    <v>1.3956999999999999</v>
    <v>1.3946000000000001</v>
    <v>1.397</v>
    <v>1.3966000000000001</v>
    <v>1.3934</v>
    <v>1.395</v>
    <v>1.3915</v>
    <v>1.3947000000000001</v>
    <v>1.3924000000000001</v>
    <v>1.3935999999999999</v>
    <v>1.3927</v>
    <v>1.3917999999999999</v>
    <v>1.3914</v>
    <v>1.3873</v>
    <v>1.3873</v>
    <v>1.3869</v>
    <v>1.3836999999999999</v>
    <v>1.3815999999999999</v>
    <v>1.3795999999999999</v>
    <v>1.3774</v>
    <v>1.3758999999999999</v>
    <v>1.3786</v>
    <v>1.3781000000000001</v>
    <v>1.3736999999999999</v>
    <v>1.3714</v>
    <v>1.3736999999999999</v>
    <v>1.3746</v>
    <v>1.3754</v>
    <v>1.3754999999999999</v>
    <v>1.3736999999999999</v>
    <v>1.3741000000000001</v>
    <v>1.3727</v>
    <v>1.3683000000000001</v>
    <v>1.3707</v>
    <v>1.3711</v>
    <v>1.3734999999999999</v>
    <v>1.3727</v>
    <v>1.371</v>
    <v>1.3694</v>
    <v>1.3687</v>
    <v>1.3669</v>
    <v>1.3612</v>
    <v>1.3617999999999999</v>
    <v>1.3643000000000001</v>
    <v>1.3662000000000001</v>
    <v>1.3687</v>
    <v>1.3672</v>
    <v>1.3717999999999999</v>
    <v>1.3718999999999999</v>
    <v>1.3701000000000001</v>
    <v>1.37</v>
    <v>1.3686</v>
    <v>1.365</v>
    <v>1.3621000000000001</v>
    <v>1.3629</v>
    <v>1.36</v>
    <v>1.3643000000000001</v>
    <v>1.3667</v>
    <v>1.3731</v>
    <v>1.3781000000000001</v>
    <v>1.3794</v>
    <v>1.3775999999999999</v>
    <v>1.373</v>
    <v>1.3709</v>
    <v>1.3655999999999999</v>
    <v>1.3675999999999999</v>
    <v>1.3643000000000001</v>
    <v>1.363</v>
    <v>1.3633</v>
    <v>1.3604000000000001</v>
    <v>1.3586</v>
    <v>1.3579000000000001</v>
    <v>1.3609</v>
    <v>1.3604000000000001</v>
    <v>1.3623000000000001</v>
    <v>1.3613999999999999</v>
    <v>1.3584000000000001</v>
    <v>1.3588</v>
    <v>1.3573</v>
    <v>1.3575999999999999</v>
    <v>1.3597999999999999</v>
    <v>1.3622000000000001</v>
    <v>1.3614999999999999</v>
    <v>1.3664000000000001</v>
    <v>1.3683000000000001</v>
    <v>1.3673</v>
    <v>1.3684000000000001</v>
    <v>1.3656999999999999</v>
    <v>1.3712</v>
    <v>1.3603000000000001</v>
    <v>1.3525</v>
    <v>1.3503000000000001</v>
    <v>1.3501000000000001</v>
    <v>1.3511</v>
    <v>1.3511</v>
    <v>1.3502000000000001</v>
    <v>1.3478000000000001</v>
    <v>1.3456999999999999</v>
    <v>1.3434999999999999</v>
    <v>1.3472</v>
    <v>1.3454999999999999</v>
    <v>1.3465</v>
    <v>1.3451</v>
    <v>1.3434999999999999</v>
    <v>1.3402000000000001</v>
    <v>1.3389</v>
    <v>1.3415999999999999</v>
    <v>1.3415999999999999</v>
    <v>1.3418000000000001</v>
    <v>1.339</v>
    <v>1.3361000000000001</v>
    <v>1.3399000000000001</v>
    <v>1.3387</v>
    <v>1.3393999999999999</v>
    <v>1.3387</v>
    <v>1.3379000000000001</v>
    <v>1.3366</v>
    <v>1.3364</v>
    <v>1.3335999999999999</v>
    <v>1.33</v>
    <v>1.3297000000000001</v>
    <v>1.3403</v>
    <v>1.3375999999999999</v>
    <v>1.3366</v>
    <v>1.3320000000000001</v>
    <v>1.3298000000000001</v>
    <v>1.3310999999999999</v>
    <v>1.331</v>
    <v>1.3271999999999999</v>
    <v>1.3232999999999999</v>
    <v>1.3218000000000001</v>
    <v>1.3227</v>
    <v>1.3207</v>
    <v>1.3210999999999999</v>
    <v>1.3270999999999999</v>
    <v>1.3286</v>
    <v>1.3323</v>
    <v>1.3320000000000001</v>
    <v>1.3272999999999999</v>
    <v>1.3282</v>
    <v>1.3310999999999999</v>
    <v>1.3334999999999999</v>
    <v>1.3317000000000001</v>
    <v>1.3292999999999999</v>
    <v>1.3260000000000001</v>
    <v>1.3288</v>
    <v>1.3295999999999999</v>
    <v>1.33</v>
    <v>1.3314999999999999</v>
    <v>1.3340000000000001</v>
    <v>1.3321000000000001</v>
    <v>1.333</v>
    <v>1.3341000000000001</v>
    <v>1.3340000000000001</v>
    <v>1.3382000000000001</v>
    <v>1.3389</v>
    <v>1.3365</v>
    <v>1.333</v>
    <v>1.3270999999999999</v>
    <v>1.3272999999999999</v>
    <v>1.3281000000000001</v>
    <v>1.3262</v>
    <v>1.3278000000000001</v>
    <v>1.331</v>
    <v>1.3295999999999999</v>
    <v>1.3284</v>
    <v>1.3261000000000001</v>
    <v>1.3220000000000001</v>
    <v>1.3230999999999999</v>
    <v>1.3268</v>
    <v>1.3335999999999999</v>
    <v>1.3327</v>
    <v>1.3338000000000001</v>
    <v>1.3328</v>
    <v>1.3378000000000001</v>
    <v>1.3444</v>
    <v>1.3513999999999999</v>
    <v>1.3529</v>
    <v>1.3486</v>
    <v>1.3446</v>
    <v>1.3472999999999999</v>
    <v>1.3483000000000001</v>
    <v>1.3469</v>
    <v>1.3479000000000001</v>
    <v>1.3449</v>
    <v>1.3463000000000001</v>
    <v>1.3448</v>
    <v>1.3458000000000001</v>
    <v>1.3476999999999999</v>
    <v>1.3493999999999999</v>
    <v>1.3489</v>
    <v>1.3493999999999999</v>
    <v>1.3492999999999999</v>
    <v>1.3485</v>
    <v>1.3479000000000001</v>
    <v>1.3464</v>
    <v>1.3466</v>
    <v>1.3421000000000001</v>
    <v>1.3424</v>
    <v>1.3419000000000001</v>
    <v>1.3426</v>
    <v>1.3431999999999999</v>
    <v>1.3436999999999999</v>
    <v>1.3411</v>
    <v>1.3374999999999999</v>
    <v>1.3364</v>
    <v>1.3351</v>
    <v>1.3307</v>
    <v>1.3311999999999999</v>
    <v>1.3306</v>
    <v>1.3298000000000001</v>
    <v>1.3275999999999999</v>
    <v>1.3274999999999999</v>
    <v>1.3279000000000001</v>
    <v>1.3270999999999999</v>
    <v>1.3311999999999999</v>
    <v>1.3339000000000001</v>
    <v>1.3387</v>
    <v>1.3391</v>
    <v>1.3373999999999999</v>
    <v>1.3337000000000001</v>
    <v>1.3268</v>
    <v>1.3281000000000001</v>
    <v>1.3344</v>
    <v>1.3365</v>
    <v>1.3379000000000001</v>
    <v>1.337</v>
    <v>1.3358000000000001</v>
    <v>1.3361000000000001</v>
    <v>1.3351999999999999</v>
    <v>1.3328</v>
    <v>1.3322000000000001</v>
    <v>1.3285</v>
    <v>1.3262</v>
    <v>1.3262</v>
    <v>1.3262</v>
    <v>1.3242</v>
    <v>1.3232999999999999</v>
    <v>1.3247</v>
    <v>1.3285</v>
    <v>1.329</v>
    <v>1.3251999999999999</v>
    <v>1.3244</v>
    <v>1.3250999999999999</v>
    <v>1.3264</v>
    <v>1.3269</v>
    <v>1.3274999999999999</v>
    <v>1.3284</v>
    <v>1.3369</v>
    <v>1.3439000000000001</v>
    <v>1.3461000000000001</v>
    <v>1.3473999999999999</v>
    <v>1.3475999999999999</v>
    <v>1.3471</v>
    <v>1.3465</v>
    <v>1.3433999999999999</v>
    <v>1.3448</v>
    <v>1.3461000000000001</v>
    <v>1.3455999999999999</v>
    <v>1.3492999999999999</v>
    <v>1.3520000000000001</v>
    <v>1.3479000000000001</v>
    <v>1.3487</v>
    <v>1.3498000000000001</v>
    <v>1.3534999999999999</v>
    <v>1.3552999999999999</v>
    <v>1.3529</v>
    <v>1.3562000000000001</v>
    <v>1.3577999999999999</v>
    <v>1.3554999999999999</v>
    <v>1.3573</v>
    <v>1.3649</v>
    <v>1.3692</v>
    <v>1.3687</v>
    <v>1.3647</v>
    <v>1.3611</v>
    <v>1.3620000000000001</v>
    <v>1.3616999999999999</v>
    <v>1.3616999999999999</v>
    <v>1.3571</v>
    <v>1.3554999999999999</v>
    <v>1.3549</v>
    <v>1.3532999999999999</v>
    <v>1.3520000000000001</v>
    <v>1.3520000000000001</v>
    <v>1.3552999999999999</v>
    <v>1.3574999999999999</v>
    <v>1.3597999999999999</v>
    <v>1.3605</v>
    <v>1.3584000000000001</v>
    <v>1.3592</v>
    <v>1.3567</v>
    <v>1.3629</v>
    <v>1.3626</v>
    <v>1.3651</v>
    <v>1.3654999999999999</v>
    <v>1.3627</v>
    <v>1.3575999999999999</v>
    <v>1.3559000000000001</v>
    <v>1.3549</v>
    <v>1.3554999999999999</v>
    <v>1.3475999999999999</v>
    <v>1.3456999999999999</v>
    <v>1.3471</v>
    <v>1.3455999999999999</v>
    <v>1.3434999999999999</v>
    <v>1.3431</v>
    <v>1.3465</v>
    <v>1.347</v>
    <v>1.3471</v>
    <v>1.3433999999999999</v>
    <v>1.3441000000000001</v>
    <v>1.3441000000000001</v>
    <v>1.3441000000000001</v>
    <v>1.3461000000000001</v>
    <v>1.3492999999999999</v>
    <v>1.3532</v>
    <v>1.3531</v>
    <v>1.3547</v>
    <v>1.3551</v>
    <v>1.3553999999999999</v>
    <v>1.3546</v>
    <v>1.3589</v>
    <v>1.3631</v>
    <v>1.3627</v>
    <v>1.3609</v>
    <v>1.3589</v>
    <v>1.359</v>
    <v>1.3626</v>
    <v>1.3595999999999999</v>
    <v>1.359</v>
    <v>1.3556999999999999</v>
    <v>1.3576999999999999</v>
    <v>1.3574999999999999</v>
    <v>1.3516999999999999</v>
    <v>1.349</v>
    <v>1.3526</v>
    <v>1.3493999999999999</v>
    <v>1.3460000000000001</v>
    <v>1.3476999999999999</v>
    <v>1.3496999999999999</v>
    <v>1.3488</v>
    <v>1.3486</v>
    <v>1.3501000000000001</v>
    <v>1.3502000000000001</v>
    <v>1.3499000000000001</v>
    <v>1.3511</v>
    <v>1.3498000000000001</v>
    <v>1.3517999999999999</v>
    <v>1.3527</v>
    <v>1.3545</v>
    <v>1.3519000000000001</v>
    <v>1.3485</v>
    <v>1.3534999999999999</v>
    <v>1.3568</v>
    <v>1.3560000000000001</v>
    <v>1.3543000000000001</v>
    <v>1.3576999999999999</v>
    <v>1.3601000000000001</v>
    <v>1.3601000000000001</v>
    <v>1.3622000000000001</v>
    <v>1.3654999999999999</v>
    <v>1.3675999999999999</v>
    <v>1.3695999999999999</v>
    <v>1.3694</v>
    <v>1.3744000000000001</v>
    <v>1.3732</v>
    <v>1.3729</v>
    <v>1.3664000000000001</v>
    <v>1.3697999999999999</v>
    <v>1.3729</v>
    <v>1.3714999999999999</v>
    <v>1.3701000000000001</v>
    <v>1.3663000000000001</v>
    <v>1.3666</v>
    <v>1.3668</v>
    <v>1.3687</v>
    <v>1.3703000000000001</v>
    <v>1.371</v>
    <v>1.3673</v>
    <v>1.3677999999999999</v>
    <v>1.3689</v>
    <v>1.3676999999999999</v>
    <v>1.3664000000000001</v>
    <v>1.3623000000000001</v>
    <v>1.3601000000000001</v>
    <v>1.3593999999999999</v>
    <v>1.3571</v>
    <v>1.3553999999999999</v>
    <v>1.3546</v>
    <v>1.3523000000000001</v>
    <v>1.3542000000000001</v>
    <v>1.3584000000000001</v>
    <v>1.3579000000000001</v>
    <v>1.3613999999999999</v>
    <v>1.3613</v>
    <v>1.3580000000000001</v>
    <v>1.3566</v>
    <v>1.3515999999999999</v>
    <v>1.3468</v>
    <v>1.3492</v>
    <v>1.3496999999999999</v>
    <v>1.3517999999999999</v>
    <v>1.3513999999999999</v>
    <v>1.3480000000000001</v>
    <v>1.3479000000000001</v>
    <v>1.3479000000000001</v>
  </a>
  <a r="1" c="1304">
    <v>1.4169</v>
    <v>1.4144000000000001</v>
    <v>1.4117</v>
    <v>1.4108000000000001</v>
    <v>1.4238999999999999</v>
    <v>1.4187000000000001</v>
    <v>1.4066000000000001</v>
    <v>1.4081999999999999</v>
    <v>1.4074</v>
    <v>1.405</v>
    <v>1.4049</v>
    <v>1.4077999999999999</v>
    <v>1.4132</v>
    <v>1.4128000000000001</v>
    <v>1.4174</v>
    <v>1.4193</v>
    <v>1.415</v>
    <v>1.4176</v>
    <v>1.4157</v>
    <v>1.4144000000000001</v>
    <v>1.4164000000000001</v>
    <v>1.4174</v>
    <v>1.4103000000000001</v>
    <v>1.4045000000000001</v>
    <v>1.4016999999999999</v>
    <v>1.3995</v>
    <v>1.3968</v>
    <v>1.4023000000000001</v>
    <v>1.4078999999999999</v>
    <v>1.4089</v>
    <v>1.4077999999999999</v>
    <v>1.4081999999999999</v>
    <v>1.4085000000000001</v>
    <v>1.4165000000000001</v>
    <v>1.4104000000000001</v>
    <v>1.4087000000000001</v>
    <v>1.4127000000000001</v>
    <v>1.4004000000000001</v>
    <v>1.4001999999999999</v>
    <v>1.3996</v>
    <v>1.395</v>
    <v>1.3949</v>
    <v>1.3966000000000001</v>
    <v>1.397</v>
    <v>1.3951</v>
    <v>1.3902000000000001</v>
    <v>1.3911</v>
    <v>1.3929</v>
    <v>1.3926000000000001</v>
    <v>1.3952</v>
    <v>1.3945000000000001</v>
    <v>1.3953</v>
    <v>1.3968</v>
    <v>1.3986000000000001</v>
    <v>1.3980999999999999</v>
    <v>1.4036999999999999</v>
    <v>1.4017999999999999</v>
    <v>1.3945000000000001</v>
    <v>1.3925000000000001</v>
    <v>1.3958999999999999</v>
    <v>1.3928</v>
    <v>1.3951</v>
    <v>1.3943000000000001</v>
    <v>1.395</v>
    <v>1.3953</v>
    <v>1.3913</v>
    <v>1.3902000000000001</v>
    <v>1.3914</v>
    <v>1.3938999999999999</v>
    <v>1.3940999999999999</v>
    <v>1.3949</v>
    <v>1.3919999999999999</v>
    <v>1.3913</v>
    <v>1.3957999999999999</v>
    <v>1.3994</v>
    <v>1.4020999999999999</v>
    <v>1.4047000000000001</v>
    <v>1.4088000000000001</v>
    <v>1.4066000000000001</v>
    <v>1.403</v>
    <v>1.3967000000000001</v>
    <v>1.3935</v>
    <v>1.3892</v>
    <v>1.3885000000000001</v>
    <v>1.3833</v>
    <v>1.3845000000000001</v>
    <v>1.385</v>
    <v>1.3836999999999999</v>
    <v>1.3816999999999999</v>
    <v>1.3802000000000001</v>
    <v>1.3813</v>
    <v>1.3832</v>
    <v>1.3815</v>
    <v>1.3822000000000001</v>
    <v>1.3797999999999999</v>
    <v>1.3781000000000001</v>
    <v>1.3777999999999999</v>
    <v>1.3781000000000001</v>
    <v>1.3795999999999999</v>
    <v>1.3798999999999999</v>
    <v>1.3821000000000001</v>
    <v>1.3796999999999999</v>
    <v>1.3704000000000001</v>
    <v>1.3734999999999999</v>
    <v>1.3815</v>
    <v>1.3803000000000001</v>
    <v>1.3844000000000001</v>
    <v>1.3875999999999999</v>
    <v>1.3873</v>
    <v>1.3848</v>
    <v>1.3855999999999999</v>
    <v>1.3842000000000001</v>
    <v>1.3804000000000001</v>
    <v>1.3781000000000001</v>
    <v>1.375</v>
    <v>1.375</v>
    <v>1.3803000000000001</v>
    <v>1.3792</v>
    <v>1.3791</v>
    <v>1.3786</v>
    <v>1.3807</v>
    <v>1.3808</v>
    <v>1.3762000000000001</v>
    <v>1.3733</v>
    <v>1.3688</v>
    <v>1.3663000000000001</v>
    <v>1.3648</v>
    <v>1.3648</v>
    <v>1.3643000000000001</v>
    <v>1.3608</v>
    <v>1.3592</v>
    <v>1.3586</v>
    <v>1.3552</v>
    <v>1.3535999999999999</v>
    <v>1.3554999999999999</v>
    <v>1.3540000000000001</v>
    <v>1.3536999999999999</v>
    <v>1.3565</v>
    <v>1.3573999999999999</v>
    <v>1.3549</v>
    <v>1.3587</v>
    <v>1.359</v>
    <v>1.3613999999999999</v>
    <v>1.3612</v>
    <v>1.3583000000000001</v>
    <v>1.3582000000000001</v>
    <v>1.3614999999999999</v>
    <v>1.3613999999999999</v>
    <v>1.3612</v>
    <v>1.3614999999999999</v>
    <v>1.3594999999999999</v>
    <v>1.3592</v>
    <v>1.3593</v>
    <v>1.3593999999999999</v>
    <v>1.3547</v>
    <v>1.3524</v>
    <v>1.3502000000000001</v>
    <v>1.3532</v>
    <v>1.355</v>
    <v>1.3501000000000001</v>
    <v>1.3552</v>
    <v>1.351</v>
    <v>1.3476999999999999</v>
    <v>1.3391</v>
    <v>1.3342000000000001</v>
    <v>1.3405</v>
    <v>1.3431999999999999</v>
    <v>1.3433999999999999</v>
    <v>1.3458000000000001</v>
    <v>1.3420000000000001</v>
    <v>1.3419000000000001</v>
    <v>1.3451</v>
    <v>1.3399000000000001</v>
    <v>1.3481000000000001</v>
    <v>1.343</v>
    <v>1.3452999999999999</v>
    <v>1.3496999999999999</v>
    <v>1.3536999999999999</v>
    <v>1.3569</v>
    <v>1.3551</v>
    <v>1.3569</v>
    <v>1.3605</v>
    <v>1.3580000000000001</v>
    <v>1.3604000000000001</v>
    <v>1.363</v>
    <v>1.3620000000000001</v>
    <v>1.3545</v>
    <v>1.3528</v>
    <v>1.3504</v>
    <v>1.3484</v>
    <v>1.3488</v>
    <v>1.3505</v>
    <v>1.3533999999999999</v>
    <v>1.3548</v>
    <v>1.3555999999999999</v>
    <v>1.3606</v>
    <v>1.3585</v>
    <v>1.3594999999999999</v>
    <v>1.3584000000000001</v>
    <v>1.3640000000000001</v>
    <v>1.3597999999999999</v>
    <v>1.3593999999999999</v>
    <v>1.3588</v>
    <v>1.3565</v>
    <v>1.3581000000000001</v>
    <v>1.361</v>
    <v>1.3605</v>
    <v>1.3608</v>
    <v>1.3580000000000001</v>
    <v>1.3576999999999999</v>
    <v>1.3593999999999999</v>
    <v>1.3580000000000001</v>
    <v>1.3528</v>
    <v>1.3545</v>
    <v>1.3529</v>
    <v>1.3539000000000001</v>
    <v>1.3528</v>
    <v>1.3462000000000001</v>
    <v>1.3445</v>
    <v>1.3442000000000001</v>
    <v>1.343</v>
    <v>1.3434999999999999</v>
    <v>1.3435999999999999</v>
    <v>1.3456999999999999</v>
    <v>1.3414999999999999</v>
    <v>1.3456999999999999</v>
    <v>1.3448</v>
    <v>1.3459000000000001</v>
    <v>1.3473999999999999</v>
    <v>1.3504</v>
    <v>1.3498000000000001</v>
    <v>1.3501000000000001</v>
    <v>1.3456999999999999</v>
    <v>1.3438000000000001</v>
    <v>1.3447</v>
    <v>1.3459000000000001</v>
    <v>1.3456999999999999</v>
    <v>1.3429</v>
    <v>1.3426</v>
    <v>1.3429</v>
    <v>1.3427</v>
    <v>1.3425</v>
    <v>1.3382000000000001</v>
    <v>1.3366</v>
    <v>1.335</v>
    <v>1.3368</v>
    <v>1.3270999999999999</v>
    <v>1.3275999999999999</v>
    <v>1.3265</v>
    <v>1.325</v>
    <v>1.3252999999999999</v>
    <v>1.3302</v>
    <v>1.3303</v>
    <v>1.3284</v>
    <v>1.3247</v>
    <v>1.3197000000000001</v>
    <v>1.3192999999999999</v>
    <v>1.3179000000000001</v>
    <v>1.3197000000000001</v>
    <v>1.3168</v>
    <v>1.3180000000000001</v>
    <v>1.3165</v>
    <v>1.3065</v>
    <v>1.3004</v>
    <v>1.3039000000000001</v>
    <v>1.3056000000000001</v>
    <v>1.3080000000000001</v>
    <v>1.3066</v>
    <v>1.3071999999999999</v>
    <v>1.3072999999999999</v>
    <v>1.3154999999999999</v>
    <v>1.3182</v>
    <v>1.3163</v>
    <v>1.3229</v>
    <v>1.3274999999999999</v>
    <v>1.3225</v>
    <v>1.3202</v>
    <v>1.3133999999999999</v>
    <v>1.3078000000000001</v>
    <v>1.3051999999999999</v>
    <v>1.3097000000000001</v>
    <v>1.3124</v>
    <v>1.3164</v>
    <v>1.3169</v>
    <v>1.3171999999999999</v>
    <v>1.3141</v>
    <v>1.3140000000000001</v>
    <v>1.3217000000000001</v>
    <v>1.3220000000000001</v>
    <v>1.3179000000000001</v>
    <v>1.3173999999999999</v>
    <v>1.3144</v>
    <v>1.3132999999999999</v>
    <v>1.3130999999999999</v>
    <v>1.3141</v>
    <v>1.3115000000000001</v>
    <v>1.3089999999999999</v>
    <v>1.3077000000000001</v>
    <v>1.3081</v>
    <v>1.3112999999999999</v>
    <v>1.3144</v>
    <v>1.3137000000000001</v>
    <v>1.3113999999999999</v>
    <v>1.3106</v>
    <v>1.3120000000000001</v>
    <v>1.3077000000000001</v>
    <v>1.3048999999999999</v>
    <v>1.3066</v>
    <v>1.3092999999999999</v>
    <v>1.3091999999999999</v>
    <v>1.3087</v>
    <v>1.3084</v>
    <v>1.3090999999999999</v>
    <v>1.3109999999999999</v>
    <v>1.3146</v>
    <v>1.3105</v>
    <v>1.3084</v>
    <v>1.3070999999999999</v>
    <v>1.3070999999999999</v>
    <v>1.3079000000000001</v>
    <v>1.3095000000000001</v>
    <v>1.3077000000000001</v>
    <v>1.3088</v>
    <v>1.3082</v>
    <v>1.3099000000000001</v>
    <v>1.3154999999999999</v>
    <v>1.3211999999999999</v>
    <v>1.3211999999999999</v>
    <v>1.3239000000000001</v>
    <v>1.3228</v>
    <v>1.3221000000000001</v>
    <v>1.325</v>
    <v>1.3310999999999999</v>
    <v>1.3292999999999999</v>
    <v>1.3285</v>
    <v>1.3310999999999999</v>
    <v>1.3331999999999999</v>
    <v>1.3388</v>
    <v>1.3358000000000001</v>
    <v>1.3323</v>
    <v>1.3305</v>
    <v>1.3344</v>
    <v>1.3383</v>
    <v>1.3369</v>
    <v>1.3405</v>
    <v>1.3391</v>
    <v>1.3353999999999999</v>
    <v>1.3379000000000001</v>
    <v>1.3379000000000001</v>
    <v>1.3371999999999999</v>
    <v>1.3373999999999999</v>
    <v>1.3416999999999999</v>
    <v>1.3379000000000001</v>
    <v>1.3354999999999999</v>
    <v>1.3361000000000001</v>
    <v>1.3328</v>
    <v>1.3331999999999999</v>
    <v>1.3309</v>
    <v>1.3301000000000001</v>
    <v>1.3325</v>
    <v>1.3327</v>
    <v>1.3325</v>
    <v>1.3338000000000001</v>
    <v>1.3327</v>
    <v>1.3425</v>
    <v>1.349</v>
    <v>1.3498000000000001</v>
    <v>1.3545</v>
    <v>1.3561000000000001</v>
    <v>1.3531</v>
    <v>1.3573999999999999</v>
    <v>1.3587</v>
    <v>1.3611</v>
    <v>1.3653</v>
    <v>1.3614999999999999</v>
    <v>1.3619000000000001</v>
    <v>1.3638999999999999</v>
    <v>1.3603000000000001</v>
    <v>1.3623000000000001</v>
    <v>1.3564000000000001</v>
    <v>1.3523000000000001</v>
    <v>1.3525</v>
    <v>1.3563000000000001</v>
    <v>1.3601000000000001</v>
    <v>1.3612</v>
    <v>1.3603000000000001</v>
    <v>1.3580000000000001</v>
    <v>1.3634999999999999</v>
    <v>1.3638999999999999</v>
    <v>1.3613</v>
    <v>1.3588</v>
    <v>1.3615999999999999</v>
    <v>1.3576999999999999</v>
    <v>1.3567</v>
    <v>1.3599000000000001</v>
    <v>1.3594999999999999</v>
    <v>1.3595999999999999</v>
    <v>1.3604000000000001</v>
    <v>1.361</v>
    <v>1.3637999999999999</v>
    <v>1.3648</v>
    <v>1.3626</v>
    <v>1.3616999999999999</v>
    <v>1.3611</v>
    <v>1.3655999999999999</v>
    <v>1.3716999999999999</v>
    <v>1.3714</v>
    <v>1.3768</v>
    <v>1.3729</v>
    <v>1.3703000000000001</v>
    <v>1.3685</v>
    <v>1.3638999999999999</v>
    <v>1.3645</v>
    <v>1.3654999999999999</v>
    <v>1.3642000000000001</v>
    <v>1.3613999999999999</v>
    <v>1.3602000000000001</v>
    <v>1.3625</v>
    <v>1.3636999999999999</v>
    <v>1.3658999999999999</v>
    <v>1.3688</v>
    <v>1.3708</v>
    <v>1.3742000000000001</v>
    <v>1.3734999999999999</v>
    <v>1.3734</v>
    <v>1.3773</v>
    <v>1.3742000000000001</v>
    <v>1.3711</v>
    <v>1.3672</v>
    <v>1.367</v>
    <v>1.3698999999999999</v>
    <v>1.3686</v>
    <v>1.3674999999999999</v>
    <v>1.3635999999999999</v>
    <v>1.3607</v>
    <v>1.3634999999999999</v>
    <v>1.3644000000000001</v>
    <v>1.3616999999999999</v>
    <v>1.3636999999999999</v>
    <v>1.3654999999999999</v>
    <v>1.3660000000000001</v>
    <v>1.371</v>
    <v>1.3716999999999999</v>
    <v>1.3775999999999999</v>
    <v>1.3793</v>
    <v>1.3814</v>
    <v>1.3816999999999999</v>
    <v>1.379</v>
    <v>1.3755999999999999</v>
    <v>1.3728</v>
    <v>1.3746</v>
    <v>1.3724000000000001</v>
    <v>1.3723000000000001</v>
    <v>1.3767</v>
    <v>1.3758999999999999</v>
    <v>1.3754999999999999</v>
    <v>1.377</v>
    <v>1.3766</v>
    <v>1.3782000000000001</v>
    <v>1.3789</v>
    <v>1.3792</v>
    <v>1.3817999999999999</v>
    <v>1.3839999999999999</v>
    <v>1.3751</v>
    <v>1.3695999999999999</v>
    <v>1.3723000000000001</v>
    <v>1.3725000000000001</v>
    <v>1.3678999999999999</v>
    <v>1.3691</v>
    <v>1.3742000000000001</v>
    <v>1.3775999999999999</v>
    <v>1.3785000000000001</v>
    <v>1.3758999999999999</v>
    <v>1.3734999999999999</v>
    <v>1.3712</v>
    <v>1.3705000000000001</v>
    <v>1.3697999999999999</v>
    <v>1.3714</v>
    <v>1.3716999999999999</v>
    <v>1.3716999999999999</v>
    <v>1.3720000000000001</v>
    <v>1.3734</v>
    <v>1.371</v>
    <v>1.3687</v>
    <v>1.3687</v>
    <v>1.3653</v>
    <v>1.3621000000000001</v>
    <v>1.3644000000000001</v>
    <v>1.3661000000000001</v>
    <v>1.3675999999999999</v>
    <v>1.3685</v>
    <v>1.3713</v>
    <v>1.3706</v>
    <v>1.3692</v>
    <v>1.3705000000000001</v>
    <v>1.3718999999999999</v>
    <v>1.3692</v>
    <v>1.3673</v>
    <v>1.3663000000000001</v>
    <v>1.3676999999999999</v>
    <v>1.3705000000000001</v>
    <v>1.3714999999999999</v>
    <v>1.3696999999999999</v>
    <v>1.37</v>
    <v>1.3647</v>
    <v>1.3609</v>
    <v>1.3614999999999999</v>
    <v>1.3622000000000001</v>
    <v>1.3627</v>
    <v>1.3580000000000001</v>
    <v>1.3548</v>
    <v>1.3547</v>
    <v>1.3521000000000001</v>
    <v>1.3495999999999999</v>
    <v>1.3492999999999999</v>
    <v>1.351</v>
    <v>1.3508</v>
    <v>1.3532</v>
    <v>1.3534999999999999</v>
    <v>1.3543000000000001</v>
    <v>1.3569</v>
    <v>1.3580000000000001</v>
    <v>1.3564000000000001</v>
    <v>1.3520000000000001</v>
    <v>1.3505</v>
    <v>1.3506</v>
    <v>1.3454999999999999</v>
    <v>1.3438000000000001</v>
    <v>1.3449</v>
    <v>1.349</v>
    <v>1.3502000000000001</v>
    <v>1.3501000000000001</v>
    <v>1.3537999999999999</v>
    <v>1.3543000000000001</v>
    <v>1.3547</v>
    <v>1.3552999999999999</v>
    <v>1.3532</v>
    <v>1.3562000000000001</v>
    <v>1.3553999999999999</v>
    <v>1.3543000000000001</v>
    <v>1.3523000000000001</v>
    <v>1.3491</v>
    <v>1.3495999999999999</v>
    <v>1.3496999999999999</v>
    <v>1.3481000000000001</v>
    <v>1.3466</v>
    <v>1.3466</v>
    <v>1.3472</v>
    <v>1.3502000000000001</v>
    <v>1.3522000000000001</v>
    <v>1.3536999999999999</v>
    <v>1.3551</v>
    <v>1.3560000000000001</v>
    <v>1.3574999999999999</v>
    <v>1.3573</v>
    <v>1.3547</v>
    <v>1.3516999999999999</v>
    <v>1.3516999999999999</v>
    <v>1.3519000000000001</v>
    <v>1.3504</v>
    <v>1.3499000000000001</v>
    <v>1.3452999999999999</v>
    <v>1.3449</v>
    <v>1.3478000000000001</v>
    <v>1.3489</v>
    <v>1.3485</v>
    <v>1.3512</v>
    <v>1.3535999999999999</v>
    <v>1.3532999999999999</v>
    <v>1.3526</v>
    <v>1.3539000000000001</v>
    <v>1.3516999999999999</v>
    <v>1.3519000000000001</v>
    <v>1.3529</v>
    <v>1.3535999999999999</v>
    <v>1.3516999999999999</v>
    <v>1.351</v>
    <v>1.351</v>
    <v>1.3519000000000001</v>
    <v>1.3512999999999999</v>
    <v>1.3517999999999999</v>
    <v>1.3514999999999999</v>
    <v>1.3517999999999999</v>
    <v>1.3543000000000001</v>
    <v>1.3545</v>
    <v>1.3549</v>
    <v>1.3562000000000001</v>
    <v>1.361</v>
    <v>1.3593999999999999</v>
    <v>1.3597999999999999</v>
    <v>1.359</v>
    <v>1.3569</v>
    <v>1.3594999999999999</v>
    <v>1.3594999999999999</v>
    <v>1.3603000000000001</v>
    <v>1.3603000000000001</v>
    <v>1.3597999999999999</v>
    <v>1.3613999999999999</v>
    <v>1.3613999999999999</v>
    <v>1.3621000000000001</v>
    <v>1.3673</v>
    <v>1.3673</v>
    <v>1.3717999999999999</v>
    <v>1.3738999999999999</v>
    <v>1.3745000000000001</v>
    <v>1.3758999999999999</v>
    <v>1.3783000000000001</v>
    <v>1.3742000000000001</v>
    <v>1.3725000000000001</v>
    <v>1.3741000000000001</v>
    <v>1.3783000000000001</v>
    <v>1.3775999999999999</v>
    <v>1.3731</v>
    <v>1.3651</v>
    <v>1.3653</v>
    <v>1.3621000000000001</v>
    <v>1.3621000000000001</v>
    <v>1.3605</v>
    <v>1.3616999999999999</v>
    <v>1.3626</v>
    <v>1.3626</v>
    <v>1.3648</v>
    <v>1.3656999999999999</v>
    <v>1.3692</v>
    <v>1.3661000000000001</v>
    <v>1.3609</v>
    <v>1.3548</v>
    <v>1.3542000000000001</v>
    <v>1.3527</v>
    <v>1.3514999999999999</v>
    <v>1.3522000000000001</v>
    <v>1.3521000000000001</v>
    <v>1.3517999999999999</v>
    <v>1.3506</v>
    <v>1.3547</v>
    <v>1.3542000000000001</v>
    <v>1.3540000000000001</v>
    <v>1.3549</v>
    <v>1.3575999999999999</v>
    <v>1.359</v>
    <v>1.3563000000000001</v>
    <v>1.3541000000000001</v>
    <v>1.3563000000000001</v>
    <v>1.3548</v>
    <v>1.3551</v>
    <v>1.3574999999999999</v>
    <v>1.3561000000000001</v>
    <v>1.3553999999999999</v>
    <v>1.3591</v>
    <v>1.36</v>
    <v>1.3623000000000001</v>
    <v>1.3634999999999999</v>
    <v>1.3665</v>
    <v>1.3678999999999999</v>
    <v>1.3684000000000001</v>
    <v>1.3675999999999999</v>
    <v>1.3702000000000001</v>
    <v>1.3738999999999999</v>
    <v>1.3753</v>
    <v>1.3789</v>
    <v>1.3794</v>
    <v>1.3801000000000001</v>
    <v>1.3806</v>
    <v>1.3833</v>
    <v>1.3803000000000001</v>
    <v>1.3826000000000001</v>
    <v>1.3864000000000001</v>
    <v>1.3835</v>
    <v>1.3834</v>
    <v>1.3841000000000001</v>
    <v>1.3819999999999999</v>
    <v>1.3829</v>
    <v>1.3836999999999999</v>
    <v>1.3862000000000001</v>
    <v>1.3869</v>
    <v>1.3874</v>
    <v>1.3855999999999999</v>
    <v>1.3861000000000001</v>
    <v>1.3882000000000001</v>
    <v>1.3897999999999999</v>
    <v>1.3835999999999999</v>
    <v>1.3816999999999999</v>
    <v>1.3789</v>
    <v>1.3779999999999999</v>
    <v>1.3783000000000001</v>
    <v>1.3774999999999999</v>
    <v>1.3721000000000001</v>
    <v>1.3714999999999999</v>
    <v>1.3723000000000001</v>
    <v>1.3734</v>
    <v>1.3718999999999999</v>
    <v>1.375</v>
    <v>1.3734999999999999</v>
    <v>1.3751</v>
    <v>1.3745000000000001</v>
    <v>1.3747</v>
    <v>1.3774999999999999</v>
    <v>1.3793</v>
    <v>1.3802000000000001</v>
    <v>1.381</v>
    <v>1.3835</v>
    <v>1.3779999999999999</v>
    <v>1.3772</v>
    <v>1.3783000000000001</v>
    <v>1.3781000000000001</v>
    <v>1.3787</v>
    <v>1.3743000000000001</v>
    <v>1.3696999999999999</v>
    <v>1.3673999999999999</v>
    <v>1.3677999999999999</v>
    <v>1.3689</v>
    <v>1.363</v>
    <v>1.3628</v>
    <v>1.3599000000000001</v>
    <v>1.3596999999999999</v>
    <v>1.3613</v>
    <v>1.3605</v>
    <v>1.3620000000000001</v>
    <v>1.361</v>
    <v>1.3611</v>
    <v>1.361</v>
    <v>1.3592</v>
    <v>1.3557999999999999</v>
    <v>1.3553999999999999</v>
    <v>1.3552</v>
    <v>1.3569</v>
    <v>1.3556999999999999</v>
    <v>1.3564000000000001</v>
    <v>1.3589</v>
    <v>1.3593</v>
    <v>1.3611</v>
    <v>1.3612</v>
    <v>1.3595999999999999</v>
    <v>1.3592</v>
    <v>1.3592</v>
    <v>1.3601000000000001</v>
    <v>1.3605</v>
    <v>1.3612</v>
    <v>1.3628</v>
    <v>1.3633999999999999</v>
    <v>1.3636999999999999</v>
    <v>1.3645</v>
    <v>1.365</v>
    <v>1.3649</v>
    <v>1.363</v>
    <v>1.3613</v>
    <v>1.3599000000000001</v>
    <v>1.3588</v>
    <v>1.3586</v>
    <v>1.3575999999999999</v>
    <v>1.3567</v>
    <v>1.3536999999999999</v>
    <v>1.3509</v>
    <v>1.353</v>
    <v>1.3534999999999999</v>
    <v>1.3543000000000001</v>
    <v>1.3539000000000001</v>
    <v>1.3540000000000001</v>
    <v>1.3543000000000001</v>
    <v>1.3544</v>
    <v>1.3542000000000001</v>
    <v>1.3531</v>
    <v>1.3512</v>
    <v>1.3476999999999999</v>
    <v>1.3439000000000001</v>
    <v>1.3441000000000001</v>
    <v>1.3440000000000001</v>
    <v>1.3463000000000001</v>
    <v>1.3478000000000001</v>
    <v>1.3471</v>
    <v>1.3491</v>
    <v>1.3486</v>
    <v>1.3474999999999999</v>
    <v>1.3454999999999999</v>
    <v>1.3451</v>
    <v>1.3454999999999999</v>
    <v>1.3445</v>
    <v>1.345</v>
    <v>1.3458000000000001</v>
    <v>1.3460000000000001</v>
    <v>1.3480000000000001</v>
    <v>1.3474999999999999</v>
    <v>1.3491</v>
    <v>1.351</v>
    <v>1.3563000000000001</v>
    <v>1.3562000000000001</v>
    <v>1.3594999999999999</v>
    <v>1.3604000000000001</v>
    <v>1.3637999999999999</v>
    <v>1.3678999999999999</v>
    <v>1.3694999999999999</v>
    <v>1.3794</v>
    <v>1.3847</v>
    <v>1.3874</v>
    <v>1.3854</v>
    <v>1.3845000000000001</v>
    <v>1.3857999999999999</v>
    <v>1.3882000000000001</v>
    <v>1.3876999999999999</v>
    <v>1.3882000000000001</v>
    <v>1.3898999999999999</v>
    <v>1.3931</v>
    <v>1.3960999999999999</v>
    <v>1.3978999999999999</v>
    <v>1.3954</v>
    <v>1.3962000000000001</v>
    <v>1.3934</v>
    <v>1.3922000000000001</v>
    <v>1.3875</v>
    <v>1.3836999999999999</v>
    <v>1.3825000000000001</v>
    <v>1.3821000000000001</v>
    <v>1.3765000000000001</v>
    <v>1.3754999999999999</v>
    <v>1.3825000000000001</v>
    <v>1.3875</v>
    <v>1.3935</v>
    <v>1.4056</v>
    <v>1.4051</v>
    <v>1.4168000000000001</v>
    <v>1.4259999999999999</v>
    <v>1.4377</v>
    <v>1.4410000000000001</v>
    <v>1.4491000000000001</v>
    <v>1.4450000000000001</v>
    <v>1.4439</v>
    <v>1.4298</v>
    <v>1.4242999999999999</v>
    <v>1.4209000000000001</v>
    <v>1.4201999999999999</v>
    <v>1.4201999999999999</v>
    <v>1.4277</v>
    <v>1.4289000000000001</v>
    <v>1.4308000000000001</v>
    <v>1.4215</v>
    <v>1.4225000000000001</v>
    <v>1.4153</v>
    <v>1.4117</v>
    <v>1.4127000000000001</v>
    <v>1.4126000000000001</v>
    <v>1.4124000000000001</v>
    <v>1.423</v>
    <v>1.4207000000000001</v>
    <v>1.4179999999999999</v>
    <v>1.4198</v>
    <v>1.4248000000000001</v>
    <v>1.4202999999999999</v>
    <v>1.4228000000000001</v>
    <v>1.4173</v>
    <v>1.4142999999999999</v>
    <v>1.4105000000000001</v>
    <v>1.4066000000000001</v>
    <v>1.4094</v>
    <v>1.4151</v>
    <v>1.4125000000000001</v>
    <v>1.415</v>
    <v>1.413</v>
    <v>1.4104000000000001</v>
    <v>1.4112</v>
    <v>1.4137</v>
    <v>1.4133</v>
    <v>1.4176</v>
    <v>1.4217</v>
    <v>1.4175</v>
    <v>1.4137</v>
    <v>1.4117</v>
    <v>1.4121999999999999</v>
    <v>1.4161999999999999</v>
    <v>1.4233</v>
    <v>1.4147000000000001</v>
    <v>1.4139999999999999</v>
    <v>1.4147000000000001</v>
    <v>1.4101999999999999</v>
    <v>1.4043000000000001</v>
    <v>1.399</v>
    <v>1.3949</v>
    <v>1.3951</v>
    <v>1.3905000000000001</v>
    <v>1.3873</v>
    <v>1.3865000000000001</v>
    <v>1.3801000000000001</v>
    <v>1.3814</v>
    <v>1.3880999999999999</v>
    <v>1.3898999999999999</v>
    <v>1.3868</v>
    <v>1.3913</v>
    <v>1.3906000000000001</v>
    <v>1.3922000000000001</v>
    <v>1.3915</v>
    <v>1.3883000000000001</v>
    <v>1.3866000000000001</v>
    <v>1.3905000000000001</v>
    <v>1.39</v>
    <v>1.3916999999999999</v>
    <v>1.3924000000000001</v>
    <v>1.3919999999999999</v>
    <v>1.3915</v>
    <v>1.3935999999999999</v>
    <v>1.3907</v>
    <v>1.3898999999999999</v>
    <v>1.3908</v>
    <v>1.3892</v>
    <v>1.3895999999999999</v>
    <v>1.3871</v>
    <v>1.3892</v>
    <v>1.3872</v>
    <v>1.3883000000000001</v>
    <v>1.3892</v>
    <v>1.3880999999999999</v>
    <v>1.3815999999999999</v>
    <v>1.3815</v>
    <v>1.3819999999999999</v>
    <v>1.3816999999999999</v>
    <v>1.3777999999999999</v>
    <v>1.3754999999999999</v>
    <v>1.3728</v>
    <v>1.3713</v>
    <v>1.3685</v>
    <v>1.3735999999999999</v>
    <v>1.3725000000000001</v>
    <v>1.3665</v>
    <v>1.3675999999999999</v>
    <v>1.3681000000000001</v>
    <v>1.3712</v>
    <v>1.3697999999999999</v>
    <v>1.3709</v>
    <v>1.3702000000000001</v>
    <v>1.3698999999999999</v>
    <v>1.3673</v>
    <v>1.3631</v>
    <v>1.3625</v>
    <v>1.3665</v>
    <v>1.3648</v>
    <v>1.3671</v>
    <v>1.3674999999999999</v>
    <v>1.3649</v>
    <v>1.3622000000000001</v>
    <v>1.3575999999999999</v>
    <v>1.3573</v>
    <v>1.3555999999999999</v>
    <v>1.3588</v>
    <v>1.3614999999999999</v>
    <v>1.3629</v>
    <v>1.3640000000000001</v>
    <v>1.3656999999999999</v>
    <v>1.3657999999999999</v>
    <v>1.3629</v>
    <v>1.3653</v>
    <v>1.3623000000000001</v>
    <v>1.3585</v>
    <v>1.3560000000000001</v>
    <v>1.3566</v>
    <v>1.355</v>
    <v>1.3540000000000001</v>
    <v>1.3606</v>
    <v>1.3642000000000001</v>
    <v>1.3707</v>
    <v>1.3726</v>
    <v>1.3714999999999999</v>
    <v>1.3668</v>
    <v>1.3640000000000001</v>
    <v>1.3612</v>
    <v>1.3622000000000001</v>
    <v>1.3588</v>
    <v>1.3581000000000001</v>
    <v>1.3581000000000001</v>
    <v>1.357</v>
    <v>1.3524</v>
    <v>1.3533999999999999</v>
    <v>1.3565</v>
    <v>1.3552</v>
    <v>1.3566</v>
    <v>1.3571</v>
    <v>1.3561000000000001</v>
    <v>1.3554999999999999</v>
    <v>1.353</v>
    <v>1.3531</v>
    <v>1.355</v>
    <v>1.3569</v>
    <v>1.3577999999999999</v>
    <v>1.3584000000000001</v>
    <v>1.3622000000000001</v>
    <v>1.3626</v>
    <v>1.3640000000000001</v>
    <v>1.3589</v>
    <v>1.3565</v>
    <v>1.3488</v>
    <v>1.3463000000000001</v>
    <v>1.3407</v>
    <v>1.3447</v>
    <v>1.3452999999999999</v>
    <v>1.3474999999999999</v>
    <v>1.3469</v>
    <v>1.3440000000000001</v>
    <v>1.3419000000000001</v>
    <v>1.3398000000000001</v>
    <v>1.3418000000000001</v>
    <v>1.3423</v>
    <v>1.34</v>
    <v>1.3411999999999999</v>
    <v>1.339</v>
    <v>1.3379000000000001</v>
    <v>1.3372999999999999</v>
    <v>1.3367</v>
    <v>1.3369</v>
    <v>1.3359000000000001</v>
    <v>1.3319000000000001</v>
    <v>1.3309</v>
    <v>1.3326</v>
    <v>1.3346</v>
    <v>1.3333999999999999</v>
    <v>1.3341000000000001</v>
    <v>1.3324</v>
    <v>1.3312999999999999</v>
    <v>1.3310999999999999</v>
    <v>1.3281000000000001</v>
    <v>1.3244</v>
    <v>1.3250999999999999</v>
    <v>1.3269</v>
    <v>1.3310999999999999</v>
    <v>1.3289</v>
    <v>1.3274999999999999</v>
    <v>1.3277000000000001</v>
    <v>1.3267</v>
    <v>1.3266</v>
    <v>1.3220000000000001</v>
    <v>1.32</v>
    <v>1.3209</v>
    <v>1.3160000000000001</v>
    <v>1.3169</v>
    <v>1.3154999999999999</v>
    <v>1.3167</v>
    <v>1.3212999999999999</v>
    <v>1.3249</v>
    <v>1.3228</v>
    <v>1.3213999999999999</v>
    <v>1.323</v>
    <v>1.3231999999999999</v>
    <v>1.329</v>
    <v>1.3275999999999999</v>
    <v>1.3243</v>
    <v>1.3217000000000001</v>
    <v>1.3220000000000001</v>
    <v>1.3248</v>
    <v>1.3238000000000001</v>
    <v>1.3236000000000001</v>
    <v>1.3269</v>
    <v>1.3260000000000001</v>
    <v>1.3282</v>
    <v>1.3297000000000001</v>
    <v>1.3303</v>
    <v>1.3314999999999999</v>
    <v>1.3331</v>
    <v>1.3320000000000001</v>
    <v>1.3253999999999999</v>
    <v>1.3231999999999999</v>
    <v>1.3230999999999999</v>
    <v>1.3237000000000001</v>
    <v>1.3219000000000001</v>
    <v>1.3207</v>
    <v>1.3265</v>
    <v>1.3258000000000001</v>
    <v>1.3225</v>
    <v>1.3208</v>
    <v>1.319</v>
    <v>1.3177000000000001</v>
    <v>1.3160000000000001</v>
    <v>1.3241000000000001</v>
    <v>1.3265</v>
    <v>1.3268</v>
    <v>1.3279000000000001</v>
    <v>1.3299000000000001</v>
    <v>1.3361000000000001</v>
    <v>1.3391</v>
    <v>1.3429</v>
    <v>1.3415999999999999</v>
    <v>1.3387</v>
    <v>1.3381000000000001</v>
    <v>1.3425</v>
    <v>1.3433999999999999</v>
    <v>1.3393999999999999</v>
    <v>1.3387</v>
    <v>1.3402000000000001</v>
    <v>1.339</v>
    <v>1.3392999999999999</v>
    <v>1.3438000000000001</v>
    <v>1.3454999999999999</v>
    <v>1.3440000000000001</v>
    <v>1.3449</v>
    <v>1.3460000000000001</v>
    <v>1.3426</v>
    <v>1.3434999999999999</v>
    <v>1.3428</v>
    <v>1.3408</v>
    <v>1.3386</v>
    <v>1.3373999999999999</v>
    <v>1.3392999999999999</v>
    <v>1.3388</v>
    <v>1.3396999999999999</v>
    <v>1.3398000000000001</v>
    <v>1.3347</v>
    <v>1.3333999999999999</v>
    <v>1.3327</v>
    <v>1.3297000000000001</v>
    <v>1.3257000000000001</v>
    <v>1.3277000000000001</v>
    <v>1.3262</v>
    <v>1.3262</v>
    <v>1.3242</v>
    <v>1.3246</v>
    <v>1.3245</v>
    <v>1.3231999999999999</v>
    <v>1.3253999999999999</v>
    <v>1.3286</v>
    <v>1.3288</v>
    <v>1.3337000000000001</v>
    <v>1.3325</v>
    <v>1.3233999999999999</v>
    <v>1.323</v>
    <v>1.3243</v>
    <v>1.325</v>
    <v>1.3319000000000001</v>
    <v>1.331</v>
    <v>1.3313999999999999</v>
    <v>1.3282</v>
    <v>1.3281000000000001</v>
    <v>1.3298000000000001</v>
    <v>1.3289</v>
    <v>1.3273999999999999</v>
    <v>1.3241000000000001</v>
    <v>1.3223</v>
    <v>1.3222</v>
    <v>1.3218000000000001</v>
    <v>1.3205</v>
    <v>1.3187</v>
    <v>1.3211999999999999</v>
    <v>1.3212999999999999</v>
    <v>1.3231999999999999</v>
    <v>1.3218000000000001</v>
    <v>1.3219000000000001</v>
    <v>1.3218000000000001</v>
    <v>1.3229</v>
    <v>1.3211999999999999</v>
    <v>1.3252999999999999</v>
    <v>1.325</v>
    <v>1.3250999999999999</v>
    <v>1.3340000000000001</v>
    <v>1.339</v>
    <v>1.3415999999999999</v>
    <v>1.3415999999999999</v>
    <v>1.3427</v>
    <v>1.3420000000000001</v>
    <v>1.3392999999999999</v>
    <v>1.3414999999999999</v>
    <v>1.3420000000000001</v>
    <v>1.3433999999999999</v>
    <v>1.3440000000000001</v>
    <v>1.3454999999999999</v>
    <v>1.3442000000000001</v>
    <v>1.3422000000000001</v>
    <v>1.3451</v>
    <v>1.3479000000000001</v>
    <v>1.3502000000000001</v>
    <v>1.3498000000000001</v>
    <v>1.3492</v>
    <v>1.3523000000000001</v>
    <v>1.3513999999999999</v>
    <v>1.3529</v>
    <v>1.3561000000000001</v>
    <v>1.3621000000000001</v>
    <v>1.3628</v>
    <v>1.3577999999999999</v>
    <v>1.3562000000000001</v>
    <v>1.3573</v>
    <v>1.3563000000000001</v>
    <v>1.3559000000000001</v>
    <v>1.3516999999999999</v>
    <v>1.3511</v>
    <v>1.3508</v>
    <v>1.3501000000000001</v>
    <v>1.347</v>
    <v>1.349</v>
    <v>1.3496999999999999</v>
    <v>1.3539000000000001</v>
    <v>1.3562000000000001</v>
    <v>1.3548</v>
    <v>1.3555999999999999</v>
    <v>1.3541000000000001</v>
    <v>1.3539000000000001</v>
    <v>1.3552</v>
    <v>1.3584000000000001</v>
    <v>1.3599000000000001</v>
    <v>1.3608</v>
    <v>1.3554999999999999</v>
    <v>1.3533999999999999</v>
    <v>1.3521000000000001</v>
    <v>1.3512</v>
    <v>1.3448</v>
    <v>1.3436999999999999</v>
    <v>1.3414999999999999</v>
    <v>1.3427</v>
    <v>1.3418000000000001</v>
    <v>1.3391999999999999</v>
    <v>1.3402000000000001</v>
    <v>1.3403</v>
    <v>1.3444</v>
    <v>1.3411</v>
    <v>1.3375999999999999</v>
    <v>1.3408</v>
    <v>1.3398000000000001</v>
    <v>1.3404</v>
    <v>1.3402000000000001</v>
    <v>1.3443000000000001</v>
    <v>1.3481000000000001</v>
    <v>1.3493999999999999</v>
    <v>1.3484</v>
    <v>1.3464</v>
    <v>1.3474999999999999</v>
    <v>1.3509</v>
    <v>1.3527</v>
    <v>1.3559000000000001</v>
    <v>1.3559000000000001</v>
    <v>1.3541000000000001</v>
    <v>1.3537999999999999</v>
    <v>1.3559000000000001</v>
    <v>1.3564000000000001</v>
    <v>1.3563000000000001</v>
    <v>1.3527</v>
    <v>1.3517999999999999</v>
    <v>1.3545</v>
    <v>1.3511</v>
    <v>1.3467</v>
    <v>1.3469</v>
    <v>1.3473999999999999</v>
    <v>1.3429</v>
    <v>1.3426</v>
    <v>1.3415999999999999</v>
    <v>1.3442000000000001</v>
    <v>1.3434999999999999</v>
    <v>1.3449</v>
    <v>1.3460000000000001</v>
    <v>1.3431</v>
    <v>1.3431</v>
    <v>1.3472999999999999</v>
    <v>1.3463000000000001</v>
    <v>1.3472</v>
    <v>1.3466</v>
    <v>1.3493999999999999</v>
    <v>1.3466</v>
    <v>1.345</v>
    <v>1.3465</v>
    <v>1.3517999999999999</v>
    <v>1.3512</v>
    <v>1.3499000000000001</v>
    <v>1.3511</v>
    <v>1.355</v>
    <v>1.3549</v>
    <v>1.3553999999999999</v>
    <v>1.3604000000000001</v>
    <v>1.3634999999999999</v>
    <v>1.3642000000000001</v>
    <v>1.3657999999999999</v>
    <v>1.367</v>
    <v>1.3673</v>
    <v>1.3627</v>
    <v>1.3607</v>
    <v>1.3632</v>
    <v>1.3672</v>
    <v>1.3678999999999999</v>
    <v>1.3644000000000001</v>
    <v>1.3602000000000001</v>
    <v>1.3602000000000001</v>
    <v>1.3622000000000001</v>
    <v>1.3626</v>
    <v>1.3665</v>
    <v>1.3647</v>
    <v>1.3624000000000001</v>
    <v>1.3626</v>
    <v>1.3654999999999999</v>
    <v>1.3633999999999999</v>
    <v>1.3608</v>
    <v>1.3575999999999999</v>
    <v>1.3551</v>
    <v>1.3544</v>
    <v>1.3529</v>
    <v>1.3506</v>
    <v>1.35</v>
    <v>1.347</v>
    <v>1.3475999999999999</v>
    <v>1.3524</v>
    <v>1.3532999999999999</v>
    <v>1.3564000000000001</v>
    <v>1.3546</v>
    <v>1.3537999999999999</v>
    <v>1.3501000000000001</v>
    <v>1.3451</v>
    <v>1.3439000000000001</v>
    <v>1.3429</v>
    <v>1.3468</v>
    <v>1.3454999999999999</v>
    <v>1.3464</v>
    <v>1.343</v>
    <v>1.3433999999999999</v>
    <v>1.3428</v>
  </a>
  <a r="1" c="1304">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v>-99999903</v>
  </a>
  <a r="1">
    <v t="i">0</v>
  </a>
  <a r="1">
    <v>0.74160000000000004</v>
  </a>
  <a r="1">
    <v>0.74180000000000001</v>
  </a>
  <a r="1">
    <v>0.7389</v>
  </a>
  <a r="1">
    <v>0.73750000000000004</v>
  </a>
  <a r="1">
    <v>0.73080000000000001</v>
  </a>
  <a r="1">
    <v>0.73219999999999996</v>
  </a>
  <a r="1">
    <v>0.73470000000000002</v>
  </a>
  <a r="1">
    <v>0.73240000000000005</v>
  </a>
  <a r="1">
    <v>0.73409999999999997</v>
  </a>
  <a r="1">
    <v>0.73929999999999996</v>
  </a>
  <a r="1">
    <v>0.73640000000000005</v>
  </a>
  <a r="1">
    <v>0.74299999999999999</v>
  </a>
  <a r="1" c="255">
    <v>71.73</v>
    <v>72.66</v>
    <v>71.38</v>
    <v>71.790000000000006</v>
    <v>70.39</v>
    <v>72.23</v>
    <v>72.900000000000006</v>
    <v>72.53</v>
    <v>71.7</v>
    <v>70.59</v>
    <v>69.72</v>
    <v>71.3</v>
    <v>70.05</v>
    <v>70.42</v>
    <v>70.86</v>
    <v>70.89</v>
    <v>69.78</v>
    <v>69.48</v>
    <v>69.13</v>
    <v>68.12</v>
    <v>68.069999999999993</v>
    <v>68.22</v>
    <v>68.22</v>
    <v>67.599999999999994</v>
    <v>68.58</v>
    <v>68.5</v>
    <v>68.599999999999994</v>
    <v>67.2</v>
    <v>68.8</v>
    <v>69.73</v>
    <v>69.180000000000007</v>
    <v>68.989999999999995</v>
    <v>68.98</v>
    <v>69.12</v>
    <v>69.56</v>
    <v>70.239999999999995</v>
    <v>70.3</v>
    <v>70.16</v>
    <v>70.84</v>
    <v>70.430000000000007</v>
    <v>70.739999999999995</v>
    <v>72.25</v>
    <v>71.56</v>
    <v>71.42</v>
    <v>70.66</v>
    <v>70.52</v>
    <v>71.05</v>
    <v>71.069999999999993</v>
    <v>72.05</v>
    <v>71.64</v>
    <v>72.36</v>
    <v>72.78</v>
    <v>73.069999999999993</v>
    <v>72.290000000000006</v>
    <v>72.680000000000007</v>
    <v>72.319999999999993</v>
    <v>72.099999999999994</v>
    <v>72.13</v>
    <v>71.180000000000007</v>
    <v>71.44</v>
    <v>72.42</v>
    <v>72.959999999999994</v>
    <v>72.42</v>
    <v>72.44</v>
    <v>72.86</v>
    <v>73.25</v>
    <v>72.98</v>
    <v>72.510000000000005</v>
    <v>72.5</v>
    <v>72.84</v>
    <v>71.89</v>
    <v>71.900000000000006</v>
    <v>71.92</v>
    <v>71.78</v>
    <v>71.260000000000005</v>
    <v>72.38</v>
    <v>74.510000000000005</v>
    <v>73.86</v>
    <v>73.72</v>
    <v>72.599999999999994</v>
    <v>73.45</v>
    <v>74.47</v>
    <v>74.33</v>
    <v>75.59</v>
    <v>75.55</v>
    <v>76.180000000000007</v>
    <v>76.430000000000007</v>
    <v>76.260000000000005</v>
    <v>75.790000000000006</v>
    <v>76.650000000000006</v>
    <v>77.05</v>
    <v>76.78</v>
    <v>75.44</v>
    <v>74.510000000000005</v>
    <v>74.11</v>
    <v>74.5</v>
    <v>74.02</v>
    <v>75.459999999999994</v>
    <v>75.930000000000007</v>
    <v>75.959999999999994</v>
    <v>76</v>
    <v>75.2</v>
    <v>77.790000000000006</v>
    <v>78.41</v>
    <v>78.53</v>
    <v>77.87</v>
    <v>77.48</v>
    <v>77.69</v>
    <v>77.709999999999994</v>
    <v>77.239999999999995</v>
    <v>77.349999999999994</v>
    <v>76.430000000000007</v>
    <v>75.5</v>
    <v>76.14</v>
    <v>76.38</v>
    <v>75.540000000000006</v>
    <v>75.180000000000007</v>
    <v>75.44</v>
    <v>76.459999999999994</v>
    <v>75.63</v>
    <v>76.02</v>
    <v>76.73</v>
    <v>76.73</v>
    <v>77.27</v>
    <v>77.33</v>
    <v>77.67</v>
    <v>78.14</v>
    <v>78.25</v>
    <v>77.5</v>
    <v>77.44</v>
    <v>76.89</v>
    <v>77.72</v>
    <v>78.95</v>
    <v>79.7</v>
    <v>80.75</v>
    <v>81.5</v>
    <v>81.58</v>
    <v>80.959999999999994</v>
    <v>80.8</v>
    <v>80.260000000000005</v>
    <v>80.930000000000007</v>
    <v>81.27</v>
    <v>81.39</v>
    <v>81.64</v>
    <v>83.53</v>
    <v>85.91</v>
    <v>88.5</v>
    <v>87.8</v>
    <v>86.75</v>
    <v>87.68</v>
    <v>87.62</v>
    <v>87.72</v>
    <v>87.77</v>
    <v>87.05</v>
    <v>86.64</v>
    <v>86.96</v>
    <v>85.38</v>
    <v>86</v>
    <v>84.18</v>
    <v>82.86</v>
    <v>82.94</v>
    <v>83.25</v>
    <v>83.34</v>
    <v>84.27</v>
    <v>84.18</v>
    <v>84.05</v>
    <v>82.65</v>
    <v>83.28</v>
    <v>82.88</v>
    <v>84.02</v>
    <v>84.09</v>
    <v>83.76</v>
    <v>81.459999999999994</v>
    <v>80.89</v>
    <v>81</v>
    <v>79.540000000000006</v>
    <v>79.98</v>
    <v>79.87</v>
    <v>79.31</v>
    <v>80.48</v>
    <v>80.36</v>
    <v>79.739999999999995</v>
    <v>79.28</v>
    <v>78.790000000000006</v>
    <v>79.099999999999994</v>
    <v>79.540000000000006</v>
    <v>80.05</v>
    <v>80.37</v>
    <v>81.430000000000007</v>
    <v>81.09</v>
    <v>81.58</v>
    <v>81.36</v>
    <v>82.17</v>
    <v>83.81</v>
    <v>84.43</v>
    <v>83.02</v>
    <v>85.03</v>
    <v>85.65</v>
    <v>88.11</v>
    <v>89.53</v>
    <v>91.67</v>
    <v>92.38</v>
    <v>93.69</v>
    <v>93.89</v>
    <v>93.02</v>
    <v>92.17</v>
    <v>92.13</v>
    <v>93.09</v>
    <v>93.22</v>
    <v>93.82</v>
    <v>93.75</v>
    <v>93.72</v>
    <v>94.76</v>
    <v>93.39</v>
    <v>92.82</v>
    <v>91.17</v>
    <v>91.02</v>
    <v>90.43</v>
    <v>90.37</v>
    <v>89.83</v>
    <v>90.13</v>
    <v>90.52</v>
    <v>88.02</v>
    <v>89.25</v>
    <v>89.58</v>
    <v>89.71</v>
    <v>89.94</v>
    <v>91.4</v>
    <v>91.52</v>
    <v>92.38</v>
    <v>91.69</v>
    <v>90.71</v>
    <v>91.38</v>
    <v>91.22</v>
    <v>91.32</v>
    <v>92.05</v>
    <v>92.48</v>
    <v>93.35</v>
    <v>92.9</v>
    <v>92.22</v>
    <v>91.44</v>
    <v>89.66</v>
    <v>90.68</v>
    <v>90.47</v>
    <v>90.36</v>
    <v>92.03</v>
    <v>92.22</v>
    <v>91.2</v>
    <v>91.53</v>
    <v>91.65</v>
    <v>89.77</v>
    <v>87.95</v>
    <v>84.78</v>
    <v>83.77</v>
    <v>81.709999999999994</v>
  </a>
  <a r="1">
    <v>0.98609999999999998</v>
  </a>
  <a r="1">
    <v>0.99609999999999999</v>
  </a>
  <a r="1">
    <v>1.0084</v>
  </a>
  <a r="1">
    <v>1.0146999999999999</v>
  </a>
  <a r="1">
    <v>1.0153000000000001</v>
  </a>
  <a r="1">
    <v>1.0301</v>
  </a>
  <a r="1">
    <v>1.0243</v>
  </a>
  <a r="1">
    <v>1.0216000000000001</v>
  </a>
  <a r="1">
    <v>1.0174000000000001</v>
  </a>
  <a r="1">
    <v>1.0192000000000001</v>
  </a>
  <a r="1">
    <v>1.0198</v>
  </a>
  <a r="1">
    <v>1.0282</v>
  </a>
  <a r="1">
    <v>84.397499999999994</v>
  </a>
  <a r="1">
    <v>84.548599999999993</v>
  </a>
  <a r="1">
    <v>84.164599999999993</v>
  </a>
  <a r="1">
    <v>84.122399999999999</v>
  </a>
  <a r="1">
    <v>84.352800000000002</v>
  </a>
  <a r="1">
    <v>82.552400000000006</v>
  </a>
  <a r="1">
    <v>83.506</v>
  </a>
  <a r="1">
    <v>83.506699999999995</v>
  </a>
  <a r="1">
    <v>83.740700000000004</v>
  </a>
  <a r="1">
    <v>84.977099999999993</v>
  </a>
  <a r="1">
    <v>85.499700000000004</v>
  </a>
  <a r="1">
    <v>85.169799999999995</v>
  </a>
  <a r="1">
    <v>84.775700000000001</v>
  </a>
  <a r="1">
    <v>4.7397</v>
  </a>
  <a r="1">
    <v>4.7519</v>
  </a>
  <a r="1">
    <v>4.7205000000000004</v>
  </a>
  <a r="1">
    <v>4.7031999999999998</v>
  </a>
  <a r="1">
    <v>4.6712999999999996</v>
  </a>
  <a r="1">
    <v>4.6619999999999999</v>
  </a>
  <a r="1">
    <v>4.6605999999999996</v>
  </a>
  <a r="1">
    <v>4.6632999999999996</v>
  </a>
  <a r="1">
    <v>4.6755000000000004</v>
  </a>
  <a r="1">
    <v>4.7080000000000002</v>
  </a>
  <a r="1">
    <v>4.6866000000000003</v>
  </a>
  <a r="1">
    <v>4.7240000000000002</v>
  </a>
  <a r="1">
    <v>4.7050000000000001</v>
  </a>
  <a r="1">
    <v>0.63880000000000003</v>
  </a>
  <a r="1">
    <v>0.63870000000000005</v>
  </a>
  <a r="1">
    <v>0.64359999999999995</v>
  </a>
  <a r="1">
    <v>0.65149999999999997</v>
  </a>
  <a r="1">
    <v>0.65249999999999997</v>
  </a>
  <a r="1">
    <v>0.64670000000000005</v>
  </a>
  <a r="1">
    <v>0.64770000000000005</v>
  </a>
  <a r="1">
    <v>0.64880000000000004</v>
  </a>
  <a r="1">
    <v>0.64800000000000002</v>
  </a>
  <a r="1">
    <v>0.65129999999999999</v>
  </a>
  <a r="1">
    <v>0.65069999999999995</v>
  </a>
  <a r="1">
    <v>0.64910000000000001</v>
  </a>
  <a r="1">
    <v>0.65369999999999995</v>
  </a>
  <a r="1">
    <v>0.5393</v>
  </a>
  <a r="1">
    <v>0.54190000000000005</v>
  </a>
  <a r="1">
    <v>0.55120000000000002</v>
  </a>
  <a r="1">
    <v>0.54690000000000005</v>
  </a>
  <a r="1">
    <v>0.54820000000000002</v>
  </a>
  <a r="1">
    <v>0.55130000000000001</v>
  </a>
  <a r="1">
    <v>0.55600000000000005</v>
  </a>
  <a r="1">
    <v>0.55210000000000004</v>
  </a>
  <a r="1">
    <v>0.54969999999999997</v>
  </a>
  <a r="1">
    <v>0.54800000000000004</v>
  </a>
  <a r="1">
    <v>0.54320000000000002</v>
  </a>
  <a r="1">
    <v>0.54210000000000003</v>
  </a>
  <a r="1">
    <v>0.54490000000000005</v>
  </a>
  <a r="1" c="255">
    <v>1.8149999999999999</v>
    <v>1.73</v>
    <v>1.7</v>
    <v>1.675</v>
    <v>1.75</v>
    <v>1.825</v>
    <v>1.855</v>
    <v>1.88</v>
    <v>1.885</v>
    <v>1.875</v>
    <v>1.9</v>
    <v>1.91</v>
    <v>1.9</v>
    <v>1.81</v>
    <v>1.8</v>
    <v>1.875</v>
    <v>1.85</v>
    <v>1.825</v>
    <v>1.825</v>
    <v>1.8049999999999999</v>
    <v>1.7849999999999999</v>
    <v>1.7050000000000001</v>
    <v>1.73</v>
    <v>1.7050000000000001</v>
    <v>1.67</v>
    <v>1.72</v>
    <v>1.7450000000000001</v>
    <v>1.71</v>
    <v>1.7</v>
    <v>1.7</v>
    <v>1.6950000000000001</v>
    <v>1.79</v>
    <v>1.88</v>
    <v>1.895</v>
    <v>1.835</v>
    <v>1.85</v>
    <v>1.89</v>
    <v>1.9</v>
    <v>1.86</v>
    <v>1.84</v>
    <v>1.86</v>
    <v>1.86</v>
    <v>1.91</v>
    <v>1.9</v>
    <v>1.86</v>
    <v>1.93</v>
    <v>1.89</v>
    <v>1.9750000000000001</v>
    <v>1.98</v>
    <v>2</v>
    <v>2.0699999999999998</v>
    <v>2.1</v>
    <v>2.1</v>
    <v>2.08</v>
    <v>2.1</v>
    <v>2.08</v>
    <v>2.21</v>
    <v>2.1800000000000002</v>
    <v>2.09</v>
    <v>2.06</v>
    <v>2.0699999999999998</v>
    <v>2</v>
    <v>2</v>
    <v>2</v>
    <v>2.02</v>
    <v>2.04</v>
    <v>2.0499999999999998</v>
    <v>2</v>
    <v>2</v>
    <v>2.02</v>
    <v>2.08</v>
    <v>2.02</v>
    <v>2.02</v>
    <v>2.0299999999999998</v>
    <v>1.97</v>
    <v>1.88</v>
    <v>1.88</v>
    <v>1.87</v>
    <v>1.89</v>
    <v>1.86</v>
    <v>1.9550000000000001</v>
    <v>1.93</v>
    <v>1.9350000000000001</v>
    <v>1.89</v>
    <v>2.0099999999999998</v>
    <v>2.27</v>
    <v>2.17</v>
    <v>2.2000000000000002</v>
    <v>2.2000000000000002</v>
    <v>2.1800000000000002</v>
    <v>2.13</v>
    <v>2.1</v>
    <v>2.0699999999999998</v>
    <v>2.15</v>
    <v>2.23</v>
    <v>2.19</v>
    <v>2.2200000000000002</v>
    <v>2.14</v>
    <v>2.06</v>
    <v>2.0499999999999998</v>
    <v>2.0499999999999998</v>
    <v>2.0499999999999998</v>
    <v>2.1800000000000002</v>
    <v>-99999901</v>
    <v>2</v>
    <v>2.04</v>
    <v>2.02</v>
    <v>2.0099999999999998</v>
    <v>2</v>
    <v>1.9850000000000001</v>
    <v>1.99</v>
    <v>1.98</v>
    <v>1.93</v>
    <v>1.92</v>
    <v>1.89</v>
    <v>1.94</v>
    <v>1.91</v>
    <v>1.92</v>
    <v>1.9</v>
    <v>1.9350000000000001</v>
    <v>1.9</v>
    <v>1.895</v>
    <v>1.79</v>
    <v>1.78</v>
    <v>1.7749999999999999</v>
    <v>1.8</v>
    <v>1.77</v>
    <v>1.73</v>
    <v>1.7</v>
    <v>1.7</v>
    <v>1.72</v>
    <v>1.7</v>
    <v>1.76</v>
    <v>1.73</v>
    <v>1.68</v>
    <v>1.67</v>
    <v>1.74</v>
    <v>1.7649999999999999</v>
    <v>1.7749999999999999</v>
    <v>1.8149999999999999</v>
    <v>1.84</v>
    <v>1.83</v>
    <v>1.85</v>
    <v>1.87</v>
    <v>1.865</v>
    <v>1.865</v>
    <v>1.92</v>
    <v>1.9</v>
    <v>1.94</v>
    <v>1.99</v>
    <v>1.95</v>
    <v>1.915</v>
    <v>1.9</v>
    <v>1.88</v>
    <v>1.92</v>
    <v>1.9950000000000001</v>
    <v>1.93</v>
    <v>1.9550000000000001</v>
    <v>1.94</v>
    <v>1.905</v>
    <v>1.89</v>
    <v>1.845</v>
    <v>1.88</v>
    <v>1.99</v>
    <v>1.98</v>
    <v>1.9650000000000001</v>
    <v>1.92</v>
    <v>1.94</v>
    <v>1.915</v>
    <v>1.97</v>
    <v>2.0299999999999998</v>
    <v>2.0299999999999998</v>
    <v>1.99</v>
    <v>1.96</v>
    <v>1.93</v>
    <v>1.905</v>
    <v>1.87</v>
    <v>1.86</v>
    <v>1.78</v>
    <v>1.78</v>
    <v>1.81</v>
    <v>1.8149999999999999</v>
    <v>1.79</v>
    <v>1.8049999999999999</v>
    <v>1.87</v>
    <v>1.87</v>
    <v>1.81</v>
    <v>1.83</v>
    <v>1.88</v>
    <v>1.875</v>
    <v>1.82</v>
    <v>1.78</v>
    <v>1.8</v>
    <v>1.79</v>
    <v>1.78</v>
    <v>1.77</v>
    <v>1.8</v>
    <v>1.77</v>
    <v>1.72</v>
    <v>1.7450000000000001</v>
    <v>1.7050000000000001</v>
    <v>1.7</v>
    <v>1.69</v>
    <v>1.7150000000000001</v>
    <v>1.72</v>
    <v>1.73</v>
    <v>1.7</v>
    <v>1.635</v>
    <v>1.66</v>
    <v>1.56</v>
    <v>1.645</v>
    <v>1.655</v>
    <v>1.595</v>
    <v>1.5649999999999999</v>
    <v>1.585</v>
    <v>1.52</v>
    <v>1.51</v>
    <v>1.5</v>
    <v>1.5549999999999999</v>
    <v>1.5349999999999999</v>
    <v>1.48</v>
    <v>1.4</v>
    <v>1.47</v>
    <v>1.48</v>
    <v>1.4750000000000001</v>
    <v>1.45</v>
    <v>1.47</v>
    <v>1.4950000000000001</v>
    <v>1.4</v>
    <v>1.44</v>
    <v>1.46</v>
    <v>1.43</v>
    <v>1.44</v>
    <v>1.5049999999999999</v>
    <v>1.49</v>
    <v>1.54</v>
    <v>1.54</v>
    <v>1.54</v>
    <v>1.55</v>
    <v>1.54</v>
    <v>1.54</v>
    <v>1.47</v>
    <v>1.4850000000000001</v>
    <v>1.4750000000000001</v>
    <v>1.5249999999999999</v>
    <v>1.49</v>
    <v>1.4350000000000001</v>
    <v>1.45</v>
    <v>1.4650000000000001</v>
    <v>1.5</v>
    <v>1.46</v>
    <v>1.46</v>
    <v>1.43</v>
    <v>1.41</v>
    <v>1.36</v>
  </a>
  <a r="1" c="255">
    <v>85.27</v>
    <v>86.6</v>
    <v>85.14</v>
    <v>83.51</v>
    <v>84.68</v>
    <v>86.59</v>
    <v>87.59</v>
    <v>87.06</v>
    <v>88.64</v>
    <v>88.62</v>
    <v>87.42</v>
    <v>86.12</v>
    <v>87.05</v>
    <v>86.87</v>
    <v>86.31</v>
    <v>85.91</v>
    <v>84.28</v>
    <v>83.62</v>
    <v>82.51</v>
    <v>81.900000000000006</v>
    <v>83.29</v>
    <v>82.78</v>
    <v>83.7</v>
    <v>81.56</v>
    <v>84.11</v>
    <v>84.49</v>
    <v>85.4</v>
    <v>86.38</v>
    <v>86.45</v>
    <v>87.32</v>
    <v>87.89</v>
    <v>86.72</v>
    <v>86.45</v>
    <v>86.49</v>
    <v>86.4</v>
    <v>87.18</v>
    <v>87.11</v>
    <v>85.75</v>
    <v>84.71</v>
    <v>85.08</v>
    <v>84.77</v>
    <v>86.37</v>
    <v>86.54</v>
    <v>86</v>
    <v>85.57</v>
    <v>85.4</v>
    <v>86.1</v>
    <v>86.21</v>
    <v>86.03</v>
    <v>86.53</v>
    <v>87.12</v>
    <v>87.13</v>
    <v>86.72</v>
    <v>87.19</v>
    <v>87.8</v>
    <v>87.91</v>
    <v>87.99</v>
    <v>88.84</v>
    <v>87.74</v>
    <v>88.17</v>
    <v>89.14</v>
    <v>89.39</v>
    <v>89.05</v>
    <v>89.33</v>
    <v>90.21</v>
    <v>90</v>
    <v>89.04</v>
    <v>89.7</v>
    <v>90.45</v>
    <v>92.72</v>
    <v>92.94</v>
    <v>93.92</v>
    <v>95.15</v>
    <v>94.58</v>
    <v>95.57</v>
    <v>95.98</v>
    <v>96.58</v>
    <v>97.79</v>
    <v>97.76</v>
    <v>95.32</v>
    <v>98.4</v>
    <v>98.05</v>
    <v>98.76</v>
    <v>99.63</v>
    <v>99.58</v>
    <v>98.97</v>
    <v>100.56</v>
    <v>99.72</v>
    <v>99.46</v>
    <v>100.33</v>
    <v>101.21</v>
    <v>102.52</v>
    <v>101.93</v>
    <v>101.48</v>
    <v>101.08</v>
    <v>101.85</v>
    <v>101.36</v>
    <v>103.45</v>
    <v>104.82</v>
    <v>105.91</v>
    <v>103.69</v>
    <v>98.06</v>
    <v>100.23</v>
    <v>99.2</v>
    <v>98.65</v>
    <v>99.26</v>
    <v>99.87</v>
    <v>100.48</v>
    <v>99.87</v>
    <v>98.7</v>
    <v>99.49</v>
    <v>99.18</v>
    <v>98.62</v>
    <v>99.71</v>
    <v>99.49</v>
    <v>98.59</v>
    <v>99.17</v>
    <v>98.39</v>
    <v>98.78</v>
    <v>98.31</v>
    <v>98.19</v>
    <v>97.68</v>
    <v>97.61</v>
    <v>98.42</v>
    <v>99.88</v>
    <v>99.12</v>
    <v>99.14</v>
    <v>100.71</v>
    <v>99.3</v>
    <v>99.45</v>
    <v>99.65</v>
    <v>101.66</v>
    <v>101.45</v>
    <v>102.23</v>
    <v>103.41</v>
    <v>103.75</v>
    <v>104.94</v>
    <v>106.56</v>
    <v>108.17</v>
    <v>105.88</v>
    <v>104.03</v>
    <v>102.54</v>
    <v>99</v>
    <v>99.77</v>
    <v>99.22</v>
    <v>99.27</v>
    <v>100.17</v>
    <v>99.91</v>
    <v>100.32</v>
    <v>100.99</v>
    <v>101.54</v>
    <v>100.42</v>
    <v>100.12</v>
    <v>101</v>
    <v>101.37</v>
    <v>101.84</v>
    <v>102.16</v>
    <v>102.14</v>
    <v>102.92</v>
    <v>100.55</v>
    <v>101.09</v>
    <v>101.3</v>
    <v>101.58</v>
    <v>101.41</v>
    <v>102.85</v>
    <v>102.88</v>
    <v>100.81</v>
    <v>100.34</v>
    <v>99.64</v>
    <v>100.8</v>
    <v>101.7</v>
    <v>104.59</v>
    <v>104</v>
    <v>102.62</v>
    <v>104.33</v>
    <v>100.08</v>
    <v>105.16</v>
    <v>105.5</v>
    <v>103.42</v>
    <v>103.41</v>
    <v>104.45</v>
    <v>104.69</v>
    <v>104.89</v>
    <v>103.22</v>
    <v>101.91</v>
    <v>102.28</v>
    <v>103.94</v>
    <v>103.89</v>
    <v>105.03</v>
    <v>104.95</v>
    <v>104.88</v>
    <v>105.46</v>
    <v>105.1</v>
    <v>106.1</v>
    <v>106.86</v>
    <v>104.68</v>
    <v>106.29</v>
    <v>105.76</v>
    <v>107</v>
    <v>108.5</v>
    <v>109.71</v>
    <v>110.13</v>
    <v>108.81</v>
    <v>108.91</v>
    <v>107.17</v>
    <v>108.12</v>
    <v>108.01</v>
    <v>107.68</v>
    <v>98.99</v>
    <v>97.46</v>
    <v>97.81</v>
    <v>95.8</v>
    <v>96.82</v>
    <v>97.18</v>
    <v>95.77</v>
    <v>94.81</v>
    <v>93.78</v>
    <v>93.18</v>
    <v>93.88</v>
    <v>95.9</v>
    <v>96.61</v>
    <v>97.24</v>
    <v>97.63</v>
    <v>97.95</v>
    <v>98.16</v>
    <v>97.9</v>
    <v>98.03</v>
    <v>97.54</v>
    <v>96.93</v>
    <v>96.79</v>
    <v>99.12</v>
    <v>99.2</v>
    <v>99.59</v>
    <v>99.78</v>
    <v>100.11</v>
    <v>100.63</v>
    <v>101.9</v>
    <v>102.27</v>
    <v>101</v>
    <v>102.51</v>
    <v>103.2</v>
    <v>99.97</v>
    <v>102.65</v>
    <v>103.32</v>
    <v>101.76</v>
    <v>101.58</v>
    <v>102.12</v>
    <v>100.85</v>
    <v>101.16</v>
    <v>100.79</v>
    <v>99.33</v>
    <v>98.61</v>
    <v>97.37</v>
    <v>97.44</v>
    <v>95.45</v>
  </a>
  <a r="1" c="255">
    <v>5.31</v>
    <v>5.15</v>
    <v>5.18</v>
    <v>5.21</v>
    <v>5.12</v>
    <v>5.25</v>
    <v>5.45</v>
    <v>5.25</v>
    <v>5.31</v>
    <v>5.18</v>
    <v>5.13</v>
    <v>5.29</v>
    <v>5.17</v>
    <v>5.2</v>
    <v>5.14</v>
    <v>5.13</v>
    <v>5.08</v>
    <v>4.93</v>
    <v>4.97</v>
    <v>5.05</v>
    <v>4.93</v>
    <v>4.79</v>
    <v>4.8600000000000003</v>
    <v>4.46</v>
    <v>5.29</v>
    <v>5.01</v>
    <v>5.24</v>
    <v>5.14</v>
    <v>5.19</v>
    <v>5.05</v>
    <v>5</v>
    <v>5.33</v>
    <v>5.23</v>
    <v>5.42</v>
    <v>5.37</v>
    <v>5.64</v>
    <v>5.52</v>
    <v>5.46</v>
    <v>5.33</v>
    <v>5.3</v>
    <v>5.22</v>
    <v>5.17</v>
    <v>5.22</v>
    <v>5.26</v>
    <v>5.14</v>
    <v>5.0999999999999996</v>
    <v>5.2</v>
    <v>5.13</v>
    <v>5.15</v>
    <v>5.27</v>
    <v>5.38</v>
    <v>5.37</v>
    <v>5.23</v>
    <v>5.35</v>
    <v>5.37</v>
    <v>5.33</v>
    <v>5.41</v>
    <v>5.26</v>
    <v>5.25</v>
    <v>5.23</v>
    <v>5.18</v>
    <v>5.14</v>
    <v>5.1100000000000003</v>
    <v>5.14</v>
    <v>5.1100000000000003</v>
    <v>5.0599999999999996</v>
    <v>4.62</v>
    <v>4.45</v>
    <v>4.29</v>
    <v>4.13</v>
    <v>4.37</v>
    <v>4.24</v>
    <v>4.1500000000000004</v>
    <v>3.99</v>
    <v>4.4000000000000004</v>
    <v>4.04</v>
    <v>3.85</v>
    <v>3.71</v>
    <v>3.76</v>
    <v>3.82</v>
    <v>3.82</v>
    <v>3.95</v>
    <v>3.91</v>
    <v>3.91</v>
    <v>3.93</v>
    <v>4.1900000000000004</v>
    <v>3.85</v>
    <v>4.0999999999999996</v>
    <v>4.01</v>
    <v>4.3099999999999996</v>
    <v>4.25</v>
    <v>4.3899999999999997</v>
    <v>4.38</v>
    <v>4.4000000000000004</v>
    <v>4.3499999999999996</v>
    <v>4.37</v>
    <v>4.5199999999999996</v>
    <v>4.46</v>
    <v>4.54</v>
    <v>4.47</v>
    <v>4.59</v>
    <v>4.62</v>
    <v>4.6500000000000004</v>
    <v>4.59</v>
    <v>4.67</v>
    <v>4.51</v>
    <v>4.41</v>
    <v>4.3499999999999996</v>
    <v>4.3099999999999996</v>
    <v>4.4400000000000004</v>
    <v>4.41</v>
    <v>4.3499999999999996</v>
    <v>4.38</v>
    <v>4.3099999999999996</v>
    <v>4.25</v>
    <v>4.26</v>
    <v>4.22</v>
    <v>4.17</v>
    <v>4.08</v>
    <v>4.05</v>
    <v>4.0999999999999996</v>
    <v>4.08</v>
    <v>4.03</v>
    <v>4.09</v>
    <v>4.16</v>
    <v>4.4800000000000004</v>
    <v>4.38</v>
    <v>4.0599999999999996</v>
    <v>4.05</v>
    <v>4.1500000000000004</v>
    <v>4.12</v>
    <v>4.1500000000000004</v>
    <v>4.3</v>
    <v>4.32</v>
    <v>4.25</v>
    <v>4.18</v>
    <v>4.2</v>
    <v>4.1500000000000004</v>
    <v>4.2</v>
    <v>4.12</v>
    <v>4.1399999999999997</v>
    <v>4.12</v>
    <v>4.03</v>
    <v>4.03</v>
    <v>3.91</v>
    <v>3.91</v>
    <v>3.96</v>
    <v>4.12</v>
    <v>4.1500000000000004</v>
    <v>4.12</v>
    <v>4.08</v>
    <v>3.9</v>
    <v>3.52</v>
    <v>3.65</v>
    <v>3.74</v>
    <v>3.74</v>
    <v>3.8</v>
    <v>3.8</v>
    <v>3.81</v>
    <v>3.6</v>
    <v>3.72</v>
    <v>3.74</v>
    <v>3.75</v>
    <v>3.64</v>
    <v>3.62</v>
    <v>3.54</v>
    <v>3.4</v>
    <v>3.39</v>
    <v>3.45</v>
    <v>3.61</v>
    <v>3.68</v>
    <v>3.73</v>
    <v>3.67</v>
    <v>3.52</v>
    <v>3.43</v>
    <v>3.45</v>
    <v>3.56</v>
    <v>3.45</v>
    <v>3.31</v>
    <v>3.3</v>
    <v>3.46</v>
    <v>3.56</v>
    <v>3.42</v>
    <v>3.63</v>
    <v>3.55</v>
    <v>3.69</v>
    <v>3.61</v>
    <v>3.56</v>
    <v>3.64</v>
    <v>3.63</v>
    <v>3.61</v>
    <v>-99999901</v>
    <v>-99999901</v>
    <v>3.41</v>
    <v>3.34</v>
    <v>3.19</v>
    <v>3.06</v>
    <v>3.08</v>
    <v>3.05</v>
    <v>3.03</v>
    <v>2.92</v>
    <v>2.83</v>
    <v>2.93</v>
    <v>2.86</v>
    <v>2.81</v>
    <v>2.75</v>
    <v>2.82</v>
    <v>2.8</v>
    <v>2.77</v>
    <v>2.86</v>
    <v>2.76</v>
    <v>2.75</v>
    <v>2.78</v>
    <v>2.77</v>
    <v>2.72</v>
    <v>2.5099999999999998</v>
    <v>2.57</v>
    <v>2.4700000000000002</v>
    <v>2.4700000000000002</v>
    <v>2.38</v>
    <v>2.42</v>
    <v>2.31</v>
    <v>2.4700000000000002</v>
    <v>2.5099999999999998</v>
    <v>2.5</v>
    <v>2.72</v>
    <v>2.5499999999999998</v>
    <v>2.4500000000000002</v>
    <v>2.3199999999999998</v>
    <v>2.2599999999999998</v>
    <v>2.2799999999999998</v>
    <v>2.2799999999999998</v>
    <v>2.33</v>
    <v>2.35</v>
    <v>2.3199999999999998</v>
    <v>2.37</v>
    <v>2.37</v>
    <v>2.33</v>
    <v>2.34</v>
    <v>2.38</v>
    <v>2.27</v>
    <v>2.27</v>
    <v>2.2400000000000002</v>
    <v>2.2000000000000002</v>
    <v>2.3199999999999998</v>
    <v>2.33</v>
    <v>2.2200000000000002</v>
    <v>2.1800000000000002</v>
    <v>2.19</v>
    <v>2.2000000000000002</v>
    <v>2.16</v>
    <v>2.16</v>
    <v>2.08</v>
    <v>1.9850000000000001</v>
    <v>1.905</v>
  </a>
  <a r="1" c="255">
    <v>24.13</v>
    <v>24.22</v>
    <v>23.92</v>
    <v>23.54</v>
    <v>23.81</v>
    <v>24.24</v>
    <v>24.71</v>
    <v>24.7</v>
    <v>25.23</v>
    <v>25.46</v>
    <v>25.03</v>
    <v>24.98</v>
    <v>25.05</v>
    <v>24.93</v>
    <v>25.29</v>
    <v>25.56</v>
    <v>25.6</v>
    <v>25.53</v>
    <v>25.11</v>
    <v>24.57</v>
    <v>24.85</v>
    <v>24.9</v>
    <v>25.15</v>
    <v>24.64</v>
    <v>25.14</v>
    <v>25.26</v>
    <v>25.7</v>
    <v>26.31</v>
    <v>26.39</v>
    <v>26.43</v>
    <v>26.65</v>
    <v>26.24</v>
    <v>26.12</v>
    <v>26.1</v>
    <v>26.14</v>
    <v>26.25</v>
    <v>26.24</v>
    <v>26.01</v>
    <v>25.93</v>
    <v>26.12</v>
    <v>25.94</v>
    <v>25.84</v>
    <v>25.97</v>
    <v>26.17</v>
    <v>26.13</v>
    <v>25.91</v>
    <v>26</v>
    <v>26.1</v>
    <v>26.23</v>
    <v>26.34</v>
    <v>26.63</v>
    <v>26.72</v>
    <v>26.83</v>
    <v>26.79</v>
    <v>26.72</v>
    <v>26.84</v>
    <v>26.72</v>
    <v>26.68</v>
    <v>26.5</v>
    <v>26.21</v>
    <v>26.39</v>
    <v>26.46</v>
    <v>26.66</v>
    <v>26.61</v>
    <v>26.91</v>
    <v>26.77</v>
    <v>26.66</v>
    <v>27.23</v>
    <v>27.25</v>
    <v>27.37</v>
    <v>26.56</v>
    <v>26.78</v>
    <v>27.09</v>
    <v>26.81</v>
    <v>26.54</v>
    <v>25.96</v>
    <v>26.22</v>
    <v>26.05</v>
    <v>26.37</v>
    <v>26.02</v>
    <v>26.44</v>
    <v>26.47</v>
    <v>26.65</v>
    <v>26.88</v>
    <v>26.82</v>
    <v>26.71</v>
    <v>27.09</v>
    <v>26.95</v>
    <v>26.73</v>
    <v>26.88</v>
    <v>27.12</v>
    <v>27.51</v>
    <v>26.64</v>
    <v>26.77</v>
    <v>26.56</v>
    <v>26.62</v>
    <v>26.46</v>
    <v>26.67</v>
    <v>26.86</v>
    <v>27.01</v>
    <v>26.87</v>
    <v>26.42</v>
    <v>26.73</v>
    <v>26.37</v>
    <v>26.09</v>
    <v>26.18</v>
    <v>26.12</v>
    <v>26.11</v>
    <v>26.22</v>
    <v>26.04</v>
    <v>26.23</v>
    <v>26.15</v>
    <v>26.1</v>
    <v>26.31</v>
    <v>26.21</v>
    <v>26.08</v>
    <v>26.22</v>
    <v>26.24</v>
    <v>26.26</v>
    <v>26.02</v>
    <v>25.96</v>
    <v>25.65</v>
    <v>25.47</v>
    <v>25.74</v>
    <v>26.04</v>
    <v>26.04</v>
    <v>25.94</v>
    <v>25.98</v>
    <v>25.91</v>
    <v>25.77</v>
    <v>25.93</v>
    <v>26.55</v>
    <v>26.34</v>
    <v>26.32</v>
    <v>26.54</v>
    <v>26.69</v>
    <v>26.92</v>
    <v>26.97</v>
    <v>27.22</v>
    <v>27.27</v>
    <v>27.7</v>
    <v>27.72</v>
    <v>27.45</v>
    <v>27.63</v>
    <v>27.51</v>
    <v>27.41</v>
    <v>27.39</v>
    <v>27.4</v>
    <v>27.68</v>
    <v>27.53</v>
    <v>27.64</v>
    <v>27.54</v>
    <v>27.73</v>
    <v>28.34</v>
    <v>28.49</v>
    <v>28.7</v>
    <v>28.86</v>
    <v>28.67</v>
    <v>28.85</v>
    <v>28.4</v>
    <v>28.45</v>
    <v>28.18</v>
    <v>28.23</v>
    <v>28.14</v>
    <v>28.2</v>
    <v>27.89</v>
    <v>27.34</v>
    <v>27.1</v>
    <v>26.91</v>
    <v>27.07</v>
    <v>27.35</v>
    <v>27.58</v>
    <v>27.49</v>
    <v>27.24</v>
    <v>27.83</v>
    <v>27.27</v>
    <v>27.8</v>
    <v>27.78</v>
    <v>27.55</v>
    <v>27.99</v>
    <v>28.38</v>
    <v>28.4</v>
    <v>28.46</v>
    <v>28.54</v>
    <v>28.58</v>
    <v>28.65</v>
    <v>28.79</v>
    <v>28.65</v>
    <v>28.83</v>
    <v>28.9</v>
    <v>28.86</v>
    <v>28.74</v>
    <v>28.9</v>
    <v>29.3</v>
    <v>29.45</v>
    <v>28.71</v>
    <v>28.45</v>
    <v>28.2</v>
    <v>28.58</v>
    <v>28.7</v>
    <v>28.93</v>
    <v>29.11</v>
    <v>28.89</v>
    <v>30.15</v>
    <v>29.66</v>
    <v>29.87</v>
    <v>29.4</v>
    <v>29.23</v>
    <v>28.91</v>
    <v>28.71</v>
    <v>28.57</v>
    <v>28.23</v>
    <v>28.47</v>
    <v>28.45</v>
    <v>28.32</v>
    <v>27.65</v>
    <v>27.2</v>
    <v>27.3</v>
    <v>27.38</v>
    <v>27.6</v>
    <v>27.96</v>
    <v>28.04</v>
    <v>28.34</v>
    <v>28.63</v>
    <v>28.69</v>
    <v>28.63</v>
    <v>28.49</v>
    <v>28.46</v>
    <v>28.59</v>
    <v>28.75</v>
    <v>28.83</v>
    <v>28.53</v>
    <v>28.72</v>
    <v>28.54</v>
    <v>28.71</v>
    <v>28.89</v>
    <v>29.25</v>
    <v>29.32</v>
    <v>28.84</v>
    <v>29.4</v>
    <v>29.61</v>
    <v>28.97</v>
    <v>29.42</v>
    <v>29.39</v>
    <v>29.24</v>
    <v>29.24</v>
    <v>29.57</v>
    <v>29.38</v>
    <v>29.45</v>
    <v>29.41</v>
    <v>29.07</v>
    <v>28.7</v>
    <v>28.32</v>
    <v>28.17</v>
    <v>27.35</v>
  </a>
  <a r="1" c="255">
    <v>2.27</v>
    <v>2.27</v>
    <v>2.14</v>
    <v>2.14</v>
    <v>2.21</v>
    <v>2.33</v>
    <v>2.38</v>
    <v>2.2799999999999998</v>
    <v>2.44</v>
    <v>2.37</v>
    <v>2.29</v>
    <v>2.33</v>
    <v>2.16</v>
    <v>-99999901</v>
    <v>2.57</v>
    <v>2.59</v>
    <v>2.77</v>
    <v>2.62</v>
    <v>2.62</v>
    <v>2.62</v>
    <v>2.46</v>
    <v>2.38</v>
    <v>2.38</v>
    <v>2.2799999999999998</v>
    <v>2.35</v>
    <v>2.31</v>
    <v>2.2400000000000002</v>
    <v>2.1800000000000002</v>
    <v>2.13</v>
    <v>2.09</v>
    <v>2.15</v>
    <v>2.12</v>
    <v>2.09</v>
    <v>2.19</v>
    <v>2.14</v>
    <v>2.25</v>
    <v>2.19</v>
    <v>2.15</v>
    <v>2.14</v>
    <v>2.17</v>
    <v>2.11</v>
    <v>2.13</v>
    <v>2.1</v>
    <v>2.1</v>
    <v>2.0299999999999998</v>
    <v>2.0099999999999998</v>
    <v>2.02</v>
    <v>2.09</v>
    <v>2.1800000000000002</v>
    <v>2.1800000000000002</v>
    <v>2.1800000000000002</v>
    <v>2.1800000000000002</v>
    <v>2.15</v>
    <v>2.19</v>
    <v>2.2599999999999998</v>
    <v>2.21</v>
    <v>2.21</v>
    <v>2.14</v>
    <v>2.1</v>
    <v>2.08</v>
    <v>2.08</v>
    <v>2.0699999999999998</v>
    <v>2.06</v>
    <v>2.0699999999999998</v>
    <v>2.12</v>
    <v>2.16</v>
    <v>2.13</v>
    <v>2.0699999999999998</v>
    <v>2.06</v>
    <v>2.36</v>
    <v>1.81</v>
    <v>1.72</v>
    <v>1.825</v>
    <v>1.6850000000000001</v>
    <v>1.76</v>
    <v>1.75</v>
    <v>1.7450000000000001</v>
    <v>1.6950000000000001</v>
    <v>1.65</v>
    <v>1.655</v>
    <v>1.74</v>
    <v>1.7649999999999999</v>
    <v>1.79</v>
    <v>1.82</v>
    <v>1.8049999999999999</v>
    <v>1.84</v>
    <v>1.835</v>
    <v>1.7949999999999999</v>
    <v>1.7250000000000001</v>
    <v>1.77</v>
    <v>1.7450000000000001</v>
    <v>1.73</v>
    <v>1.76</v>
    <v>1.84</v>
    <v>1.835</v>
    <v>1.84</v>
    <v>1.87</v>
    <v>1.875</v>
    <v>1.845</v>
    <v>1.845</v>
    <v>1.915</v>
    <v>1.88</v>
    <v>1.915</v>
    <v>1.9</v>
    <v>1.915</v>
    <v>1.9</v>
    <v>1.82</v>
    <v>1.825</v>
    <v>1.86</v>
    <v>1.925</v>
    <v>1.9450000000000001</v>
    <v>1.895</v>
    <v>1.83</v>
    <v>1.905</v>
    <v>2.0299999999999998</v>
    <v>1.96</v>
    <v>1.9850000000000001</v>
    <v>2.27</v>
    <v>2.2200000000000002</v>
    <v>2.16</v>
    <v>2.1800000000000002</v>
    <v>2.16</v>
    <v>2.1</v>
    <v>2.15</v>
    <v>2.2000000000000002</v>
    <v>2.19</v>
    <v>2.14</v>
    <v>2.13</v>
    <v>2.06</v>
    <v>2.09</v>
    <v>2.06</v>
    <v>2.1</v>
    <v>2.17</v>
    <v>2.16</v>
    <v>2.16</v>
    <v>2.16</v>
    <v>2.16</v>
    <v>2.21</v>
    <v>2.16</v>
    <v>2.13</v>
    <v>2.15</v>
    <v>2.1</v>
    <v>2.06</v>
    <v>2.06</v>
    <v>2.04</v>
    <v>1.9650000000000001</v>
    <v>2.1</v>
    <v>2.14</v>
    <v>2.2000000000000002</v>
    <v>2.16</v>
    <v>2.1</v>
    <v>2.0699999999999998</v>
    <v>2.12</v>
    <v>2.1</v>
    <v>2.1</v>
    <v>2.06</v>
    <v>2.1</v>
    <v>2.04</v>
    <v>2</v>
    <v>1.91</v>
    <v>1.925</v>
    <v>1.99</v>
    <v>1.94</v>
    <v>1.92</v>
    <v>1.905</v>
    <v>1.9350000000000001</v>
    <v>1.885</v>
    <v>1.91</v>
    <v>1.95</v>
    <v>2.02</v>
    <v>2.02</v>
    <v>2.02</v>
    <v>1.9850000000000001</v>
    <v>1.88</v>
    <v>1.895</v>
    <v>1.88</v>
    <v>1.895</v>
    <v>1.825</v>
    <v>1.8</v>
    <v>1.84</v>
    <v>1.875</v>
    <v>1.85</v>
    <v>1.845</v>
    <v>1.885</v>
    <v>1.95</v>
    <v>2.0099999999999998</v>
    <v>2.04</v>
    <v>2.1</v>
    <v>2.15</v>
    <v>2.21</v>
    <v>2.2400000000000002</v>
    <v>2.16</v>
    <v>2.1800000000000002</v>
    <v>2.13</v>
    <v>2.2000000000000002</v>
    <v>2.21</v>
    <v>2.2599999999999998</v>
    <v>2.2400000000000002</v>
    <v>2.23</v>
    <v>2.2799999999999998</v>
    <v>2.2599999999999998</v>
    <v>2.2200000000000002</v>
    <v>2.2599999999999998</v>
    <v>2.15</v>
    <v>1.885</v>
    <v>1.83</v>
    <v>1.81</v>
    <v>1.74</v>
    <v>1.7250000000000001</v>
    <v>1.74</v>
    <v>1.7050000000000001</v>
    <v>1.655</v>
    <v>1.615</v>
    <v>1.575</v>
    <v>1.645</v>
    <v>1.58</v>
    <v>1.6</v>
    <v>1.6</v>
    <v>1.55</v>
    <v>1.5249999999999999</v>
    <v>1.49</v>
    <v>1.385</v>
    <v>1.46</v>
    <v>1.4950000000000001</v>
    <v>1.47</v>
    <v>1.4650000000000001</v>
    <v>1.47</v>
    <v>1.54</v>
    <v>1.53</v>
    <v>1.54</v>
    <v>1.54</v>
    <v>1.54</v>
    <v>1.5349999999999999</v>
    <v>1.55</v>
    <v>1.53</v>
    <v>1.5249999999999999</v>
    <v>1.5449999999999999</v>
    <v>1.56</v>
    <v>1.5449999999999999</v>
    <v>1.54</v>
    <v>1.4450000000000001</v>
    <v>1.395</v>
    <v>1.4450000000000001</v>
    <v>1.43</v>
    <v>1.43</v>
    <v>1.4450000000000001</v>
    <v>1.415</v>
    <v>1.375</v>
    <v>1.4</v>
    <v>1.415</v>
    <v>1.42</v>
    <v>1.415</v>
    <v>1.37</v>
    <v>1.345</v>
    <v>1.325</v>
  </a>
  <a r="1" c="255">
    <v>2.5099999999999998</v>
    <v>2.59</v>
    <v>2.5099999999999998</v>
    <v>2.57</v>
    <v>2.52</v>
    <v>2.5299999999999998</v>
    <v>2.5099999999999998</v>
    <v>2.4700000000000002</v>
    <v>2.52</v>
    <v>2.5099999999999998</v>
    <v>2.48</v>
    <v>2.5499999999999998</v>
    <v>2.5099999999999998</v>
    <v>2.5</v>
    <v>2.5099999999999998</v>
    <v>2.58</v>
    <v>2.5</v>
    <v>2.5099999999999998</v>
    <v>2.5</v>
    <v>2.4700000000000002</v>
    <v>2.2000000000000002</v>
    <v>2.21</v>
    <v>2.2999999999999998</v>
    <v>2.37</v>
    <v>2.57</v>
    <v>2.5499999999999998</v>
    <v>2.4700000000000002</v>
    <v>2.46</v>
    <v>2.4500000000000002</v>
    <v>2.41</v>
    <v>2.39</v>
    <v>2.4900000000000002</v>
    <v>2.4700000000000002</v>
    <v>2.4500000000000002</v>
    <v>2.4500000000000002</v>
    <v>2.4500000000000002</v>
    <v>2.41</v>
    <v>2.34</v>
    <v>2.2599999999999998</v>
    <v>2.21</v>
    <v>2.2000000000000002</v>
    <v>2.1800000000000002</v>
    <v>2.16</v>
    <v>2.3199999999999998</v>
    <v>2.21</v>
    <v>2.2000000000000002</v>
    <v>2.2400000000000002</v>
    <v>2.35</v>
    <v>2.41</v>
    <v>2.41</v>
    <v>2.4300000000000002</v>
    <v>2.44</v>
    <v>2.4300000000000002</v>
    <v>2.38</v>
    <v>2.4700000000000002</v>
    <v>2.5499999999999998</v>
    <v>2.56</v>
    <v>2.4900000000000002</v>
    <v>2.5</v>
    <v>2.46</v>
    <v>2.48</v>
    <v>2.5099999999999998</v>
    <v>2.48</v>
    <v>2.4900000000000002</v>
    <v>2.4500000000000002</v>
    <v>2.4700000000000002</v>
    <v>2.41</v>
    <v>2.39</v>
    <v>2.37</v>
    <v>2.33</v>
    <v>2.37</v>
    <v>2.39</v>
    <v>2.44</v>
    <v>2.37</v>
    <v>2.33</v>
    <v>2.2599999999999998</v>
    <v>2.25</v>
    <v>2.27</v>
    <v>2.25</v>
    <v>2.25</v>
    <v>2.2400000000000002</v>
    <v>2.2799999999999998</v>
    <v>2.2999999999999998</v>
    <v>2.34</v>
    <v>2.34</v>
    <v>2.35</v>
    <v>2.38</v>
    <v>2.2599999999999998</v>
    <v>2.2200000000000002</v>
    <v>2.2200000000000002</v>
    <v>2.23</v>
    <v>2.2400000000000002</v>
    <v>2.33</v>
    <v>2.31</v>
    <v>2.3199999999999998</v>
    <v>2.27</v>
    <v>2.33</v>
    <v>2.12</v>
    <v>2</v>
    <v>2.09</v>
    <v>2.14</v>
    <v>2.09</v>
    <v>2.09</v>
    <v>2.04</v>
    <v>2.06</v>
    <v>2.06</v>
    <v>2.06</v>
    <v>2.09</v>
    <v>2.0499999999999998</v>
    <v>2.08</v>
    <v>2.06</v>
    <v>2.08</v>
    <v>2.09</v>
    <v>2.09</v>
    <v>2.11</v>
    <v>2.0499999999999998</v>
    <v>2.04</v>
    <v>2.0499999999999998</v>
    <v>2.11</v>
    <v>2.1</v>
    <v>2.19</v>
    <v>2.17</v>
    <v>2.17</v>
    <v>2.17</v>
    <v>2.16</v>
    <v>2.2000000000000002</v>
    <v>2.17</v>
    <v>2.16</v>
    <v>2.12</v>
    <v>2.16</v>
    <v>2.16</v>
    <v>2.1800000000000002</v>
    <v>2.21</v>
    <v>2.1800000000000002</v>
    <v>2.2000000000000002</v>
    <v>2.25</v>
    <v>2.27</v>
    <v>2.3199999999999998</v>
    <v>2.29</v>
    <v>2.3199999999999998</v>
    <v>2.4</v>
    <v>2.48</v>
    <v>2.46</v>
    <v>2.4</v>
    <v>2.46</v>
    <v>2.42</v>
    <v>2.5099999999999998</v>
    <v>2.1800000000000002</v>
    <v>2.08</v>
    <v>1.95</v>
    <v>1.95</v>
    <v>1.9650000000000001</v>
    <v>1.9550000000000001</v>
    <v>1.9750000000000001</v>
    <v>1.915</v>
    <v>1.915</v>
    <v>1.905</v>
    <v>1.855</v>
    <v>1.81</v>
    <v>1.7450000000000001</v>
    <v>1.76</v>
    <v>1.73</v>
    <v>1.72</v>
    <v>1.6850000000000001</v>
    <v>1.73</v>
    <v>1.7150000000000001</v>
    <v>1.68</v>
    <v>1.675</v>
    <v>1.76</v>
    <v>1.845</v>
    <v>1.85</v>
    <v>1.845</v>
    <v>1.86</v>
    <v>1.86</v>
    <v>1.88</v>
    <v>1.87</v>
    <v>1.89</v>
    <v>1.87</v>
    <v>1.93</v>
    <v>1.9</v>
    <v>1.93</v>
    <v>1.905</v>
    <v>1.895</v>
    <v>1.9</v>
    <v>1.875</v>
    <v>1.88</v>
    <v>1.895</v>
    <v>1.885</v>
    <v>1.9</v>
    <v>1.88</v>
    <v>1.895</v>
    <v>1.895</v>
    <v>1.895</v>
    <v>1.895</v>
    <v>1.875</v>
    <v>1.88</v>
    <v>1.9</v>
    <v>1.9</v>
    <v>1.87</v>
    <v>1.89</v>
    <v>1.895</v>
    <v>1.89</v>
    <v>1.7649999999999999</v>
    <v>1.78</v>
    <v>1.875</v>
    <v>1.92</v>
    <v>1.91</v>
    <v>1.91</v>
    <v>1.88</v>
    <v>1.885</v>
    <v>1.865</v>
    <v>1.855</v>
    <v>1.855</v>
    <v>1.88</v>
    <v>1.875</v>
    <v>1.835</v>
    <v>1.8</v>
    <v>1.825</v>
    <v>1.82</v>
    <v>1.825</v>
    <v>1.845</v>
    <v>1.83</v>
    <v>1.845</v>
    <v>1.85</v>
    <v>1.855</v>
    <v>1.92</v>
    <v>1.89</v>
    <v>1.915</v>
    <v>1.885</v>
    <v>1.875</v>
    <v>1.92</v>
    <v>1.88</v>
    <v>1.88</v>
    <v>1.91</v>
    <v>1.925</v>
    <v>1.925</v>
    <v>1.97</v>
    <v>1.95</v>
    <v>1.95</v>
    <v>1.9750000000000001</v>
    <v>2</v>
    <v>1.96</v>
    <v>1.96</v>
    <v>1.9650000000000001</v>
    <v>1.9750000000000001</v>
    <v>1.9650000000000001</v>
    <v>1.99</v>
    <v>2.0099999999999998</v>
    <v>2.0299999999999998</v>
    <v>2.0299999999999998</v>
    <v>2.02</v>
    <v>2.08</v>
    <v>2.0099999999999998</v>
    <v>1.98</v>
    <v>1.95</v>
  </a>
  <a r="1" c="19">
    <v>1.97</v>
    <v>1.95</v>
    <v>1.95</v>
    <v>1.9750000000000001</v>
    <v>2</v>
    <v>1.96</v>
    <v>1.96</v>
    <v>1.9650000000000001</v>
    <v>1.9750000000000001</v>
    <v>1.9650000000000001</v>
    <v>1.99</v>
    <v>2.0099999999999998</v>
    <v>2.0299999999999998</v>
    <v>2.0299999999999998</v>
    <v>2.02</v>
    <v>2.08</v>
    <v>2.0099999999999998</v>
    <v>1.98</v>
    <v>1.95</v>
  </a>
  <a r="1" c="19">
    <v>1.925</v>
    <v>1.9650000000000001</v>
    <v>1.96</v>
    <v>1.9750000000000001</v>
    <v>2</v>
    <v>1.9850000000000001</v>
    <v>1.9550000000000001</v>
    <v>1.98</v>
    <v>1.9650000000000001</v>
    <v>1.9850000000000001</v>
    <v>1.9550000000000001</v>
    <v>1.99</v>
    <v>1.9850000000000001</v>
    <v>2.0099999999999998</v>
    <v>2.0299999999999998</v>
    <v>2.02</v>
    <v>2.08</v>
    <v>1.99</v>
    <v>1.97</v>
  </a>
  <a r="1" c="19">
    <v>1.9750000000000001</v>
    <v>1.9650000000000001</v>
    <v>1.9750000000000001</v>
    <v>2.0099999999999998</v>
    <v>2.0299999999999998</v>
    <v>1.9950000000000001</v>
    <v>1.9750000000000001</v>
    <v>1.9950000000000001</v>
    <v>1.99</v>
    <v>2</v>
    <v>2.0099999999999998</v>
    <v>2.0150000000000001</v>
    <v>2.04</v>
    <v>2.04</v>
    <v>2.04</v>
    <v>2.09</v>
    <v>2.08</v>
    <v>2.0099999999999998</v>
    <v>1.9750000000000001</v>
  </a>
  <a r="1" c="19">
    <v>1.925</v>
    <v>1.9450000000000001</v>
    <v>1.9450000000000001</v>
    <v>1.9675</v>
    <v>1.9850000000000001</v>
    <v>1.9475</v>
    <v>1.95</v>
    <v>1.9650000000000001</v>
    <v>1.9650000000000001</v>
    <v>1.9524999999999999</v>
    <v>1.9550000000000001</v>
    <v>1.98</v>
    <v>1.9850000000000001</v>
    <v>2</v>
    <v>2.0099999999999998</v>
    <v>2</v>
    <v>1.99</v>
    <v>1.9624999999999999</v>
    <v>1.92</v>
  </a>
  <a r="1" c="19">
    <v>1276178</v>
    <v>292514</v>
    <v>255406</v>
    <v>859419</v>
    <v>688628</v>
    <v>534522</v>
    <v>231647</v>
    <v>235280</v>
    <v>224029</v>
    <v>673543</v>
    <v>910138</v>
    <v>938792</v>
    <v>1467453</v>
    <v>1137519</v>
    <v>1318824</v>
    <v>957400</v>
    <v>1084025</v>
    <v>1279002</v>
    <v>1157165</v>
  </a>
</arrayData>
</file>

<file path=xl/richData/rdrichvalue.xml><?xml version="1.0" encoding="utf-8"?>
<rvData xmlns="http://schemas.microsoft.com/office/spreadsheetml/2017/richdata" count="3841">
  <rv s="0">
    <v>https://www.bing.com/financeapi/forcetrigger?t=aa4pa2&amp;q=XASX%3aASX&amp;form=skydnc</v>
    <v>Learn more on Bing</v>
  </rv>
  <rv s="1">
    <v>en-US</v>
    <v>aa4pa2</v>
    <v>268435456</v>
    <v>1</v>
    <v>Powered by Refinitiv</v>
    <v>0</v>
    <v>ASX LIMITED (XASX:ASX)</v>
    <v>2</v>
    <v>3</v>
    <v>Finance</v>
    <v>4</v>
    <v>95.83</v>
    <v>65.599999999999994</v>
    <v>0.46949999999999997</v>
    <v>-2.06</v>
    <v>-2.4590999999999998E-2</v>
    <v>AUD</v>
    <v>ASX Limited is engaged in providing securities exchange and ancillary services; derivative exchange and ancillary services; central counterparty clearing services, and registry, depository, settlement and delivery versus-payment clearing of financial products. Its investment products include bonds, exchange traded products (ETPs) and managed funds. It provides cash market clearing and settlement services to the Australian market. It provides a multi-asset class product offering, which includes listing and issuer services offered to public companies and other issuers; trading venue or exchange activities for trading; clearing and settlement activities; exchange-traded and over-the-counter (OTC) products, and information and technical services. It operates markets for a range of asset classes, including equities, fixed income, commodities and energy. It also provides data and technology services to intermediaries, banks, information vendors and software developers.</v>
    <v>748</v>
    <v>Australian Securities Exchange</v>
    <v>XASX</v>
    <v>XASX</v>
    <v>20 Bridge Street, SYDNEY, NEW SOUTH WALES, 2000 AU</v>
    <v>83.77</v>
    <v>Investment Banking &amp; Investment Services</v>
    <v>Stock</v>
    <v>44586.333333333336</v>
    <v>0</v>
    <v>80.790000000000006</v>
    <v>16217470000</v>
    <v>ASX LIMITED</v>
    <v>ASX LIMITED</v>
    <v>83.31</v>
    <v>33.72</v>
    <v>83.77</v>
    <v>81.709999999999994</v>
    <v>193595200</v>
    <v>ASX</v>
    <v>ASX LIMITED (XASX:ASX)</v>
    <v>781247</v>
    <v>1987</v>
  </rv>
  <rv s="2">
    <v>1</v>
  </rv>
  <rv s="0">
    <v>https://www.bing.com/financeapi/forcetrigger?t=aa81zr&amp;q=XASX%3aNAB&amp;form=skydnc</v>
    <v>Learn more on Bing</v>
  </rv>
  <rv s="1">
    <v>en-US</v>
    <v>aa81zr</v>
    <v>268435456</v>
    <v>1</v>
    <v>Powered by Refinitiv</v>
    <v>0</v>
    <v>NATIONAL AUSTRALIA BANK LIMITED (XASX:NAB)</v>
    <v>2</v>
    <v>3</v>
    <v>Finance</v>
    <v>4</v>
    <v>30.3</v>
    <v>22.86</v>
    <v>1.2382</v>
    <v>-0.82</v>
    <v>-2.9108999999999999E-2</v>
    <v>AUD</v>
    <v>National Australia Bank Limited is a financial services company. The Company's segments include the Business and Private Banking segment, which provides business franchise, specialized agriculture, health, Government, education, and community services, along with private banking, as well as the micro and small business segments. The Personal Banking segment offers personal banking network to secure home loans or manage personal finances through deposit, credit, or personal loan facilities. The Corporate and Institutional Banking segment offers client coverage, corporate finance, markets, asset servicing, and transactional banking services. The New Zealand Banking segment provides banking and financial services partnership banking corporate and institutional banking, servicing corporate, institutional, and agribusiness, and includes markets sales. The Corporate Functions and Other, including UBank and Group eliminations segment offers treasury, and support units and eliminations.</v>
    <v>33275</v>
    <v>Australian Securities Exchange</v>
    <v>XASX</v>
    <v>XASX</v>
    <v>Level 1 800 Bourke Street, Docklands, MELBOURNE, VICTORIA, 3008 AU</v>
    <v>27.88</v>
    <v>Banking Services</v>
    <v>Stock</v>
    <v>44586.333333333336</v>
    <v>3</v>
    <v>27.03</v>
    <v>91840530000</v>
    <v>NATIONAL AUSTRALIA BANK LIMITED</v>
    <v>NATIONAL AUSTRALIA BANK LIMITED</v>
    <v>27.85</v>
    <v>13.93</v>
    <v>28.17</v>
    <v>27.35</v>
    <v>3260225000</v>
    <v>NAB</v>
    <v>NATIONAL AUSTRALIA BANK LIMITED (XASX:NAB)</v>
    <v>10997133</v>
    <v>1893</v>
  </rv>
  <rv s="2">
    <v>4</v>
  </rv>
  <rv s="0">
    <v>https://www.bing.com/financeapi/forcetrigger?t=aa759c&amp;q=XASX%3aIVC&amp;form=skydnc</v>
    <v>Learn more on Bing</v>
  </rv>
  <rv s="1">
    <v>en-US</v>
    <v>aa759c</v>
    <v>268435456</v>
    <v>1</v>
    <v>Powered by Refinitiv</v>
    <v>0</v>
    <v>INVOCARE LIMITED (XASX:IVC)</v>
    <v>2</v>
    <v>3</v>
    <v>Finance</v>
    <v>4</v>
    <v>12.88</v>
    <v>9.65</v>
    <v>1.0125</v>
    <v>-0.1</v>
    <v>-9.1660000000000005E-3</v>
    <v>AUD</v>
    <v>InvoCare Limited is an Australia-based company that provides funeral, cemetery, and crematoria services. The Company operates through three segments: Australia, Singapore, and New Zealand. The Company operates private memorial parks , crematoria and pet cremation services. Its national funeral brands in Australia includes White Lady Funerals, Simplicity Funerals and Value Cremations. Its brand in New Zealand includes Beth Shan Funerals, Lychgate Funerals and Resthaven Funerals. Its brands in Singapore include Singapore Casket Company and Simplicity Casket. The Company owns and operates pet cremation businesses in New South Wales through Patch &amp; Purr, Queensland through Pets in Peace , Western Australia, Victoria and South Australia through Family Pet Care and the Lawnswood and Edenhills brands. The Company provides related service offerings through its websites www.MyGriefAssist.com, www.MyMemorial.com and www.Funeral Planner.com</v>
    <v>1798</v>
    <v>Australian Securities Exchange</v>
    <v>XASX</v>
    <v>XASX</v>
    <v>L 2 40 Miller St, NORTH SYDNEY, NEW SOUTH WALES, 2060 AU</v>
    <v>10.86</v>
    <v>Personal &amp; Household Products &amp; Services</v>
    <v>Stock</v>
    <v>44586.333344907405</v>
    <v>6</v>
    <v>10.65</v>
    <v>1571703000</v>
    <v>INVOCARE LIMITED</v>
    <v>INVOCARE LIMITED</v>
    <v>10.75</v>
    <v>28.56</v>
    <v>10.91</v>
    <v>10.81</v>
    <v>144060700</v>
    <v>IVC</v>
    <v>INVOCARE LIMITED (XASX:IVC)</v>
    <v>606855</v>
    <v>2001</v>
  </rv>
  <rv s="2">
    <v>7</v>
  </rv>
  <rv s="0">
    <v>https://www.bing.com/financeapi/forcetrigger?t=aa5rc7&amp;q=XASX%3aCWN&amp;form=skydnc</v>
    <v>Learn more on Bing</v>
  </rv>
  <rv s="1">
    <v>en-US</v>
    <v>aa5rc7</v>
    <v>268435456</v>
    <v>1</v>
    <v>Powered by Refinitiv</v>
    <v>0</v>
    <v>CROWN RESORTS LIMITED (XASX:CWN)</v>
    <v>2</v>
    <v>3</v>
    <v>Finance</v>
    <v>4</v>
    <v>13.32</v>
    <v>8.4700000000000006</v>
    <v>1.1577</v>
    <v>-0.04</v>
    <v>-3.3E-3</v>
    <v>AUD</v>
    <v>Crown Resorts Limited is an Australia-based entertainment company with its core businesses and investments in the integrated resort sector. The Company owns and operates various integrated resorts. The Company operates through five segments: Crown Melbourne, Crown Perth, Crown Sydney, Crown Aspinalls and Wagering &amp; Online. Its Crown Melbourne is an integrated resort, which offers dining, conferencing, shopping and entertainment facilities. Its Crown Perth is an integrated resort, which consists of hotels, conventions, restaurants and bars, and shopping and entertainment facilities. Its Crown Sydney is a hotel resort, which offers residences, restaurants, bars, retail outlets, pool and spa facilities, conference rooms and many others. Its Crown Aspinalls provides casinos in London's prime West End entertainment district.</v>
    <v>11500</v>
    <v>Australian Securities Exchange</v>
    <v>XASX</v>
    <v>XASX</v>
    <v>1 Barangaroo Avenue, Barangaroo, SYDNEY, NEW SOUTH WALES, 3006 AU</v>
    <v>12.38</v>
    <v>Hotels &amp; Entertainment Services</v>
    <v>Stock</v>
    <v>44586.333344907405</v>
    <v>9</v>
    <v>11.85</v>
    <v>8207158000</v>
    <v>CROWN RESORTS LIMITED</v>
    <v>CROWN RESORTS LIMITED</v>
    <v>12.2</v>
    <v>82.54</v>
    <v>12.12</v>
    <v>12.08</v>
    <v>677158300</v>
    <v>CWN</v>
    <v>CROWN RESORTS LIMITED (XASX:CWN)</v>
    <v>2006130</v>
    <v>2007</v>
  </rv>
  <rv s="2">
    <v>10</v>
  </rv>
  <rv s="0">
    <v>https://www.bing.com/financeapi/forcetrigger?t=aa8rvh&amp;q=XASX%3aQAN&amp;form=skydnc</v>
    <v>Learn more on Bing</v>
  </rv>
  <rv s="1">
    <v>en-US</v>
    <v>aa8rvh</v>
    <v>268435456</v>
    <v>1</v>
    <v>Powered by Refinitiv</v>
    <v>0</v>
    <v>QANTAS AIRWAYS LIMITED (XASX:QAN)</v>
    <v>2</v>
    <v>3</v>
    <v>Finance</v>
    <v>4</v>
    <v>5.97</v>
    <v>4.2</v>
    <v>1.365</v>
    <v>-0.16</v>
    <v>-3.3195000000000002E-2</v>
    <v>AUD</v>
    <v>Qantas Airways Limited is an Australia-based company, which operates domestic and international airlines. The Company is focused on the operation of international and domestic air transportation services, the provision of freight services, and the operation of a frequent flyer loyalty program. The Company's segments include Qantas Domestic, Qantas International, Jetstar Group and Qantas Loyalty. The Qantas Domestic, Qantas International, and Jetstar Group are engaged in passenger flying business and air cargo and express freight businesses. The Qantas Loyalty segment is engaged in the customer loyalty recognition programs. Its main business is the transportation of customers using two airline brands, which include Qantas and Jetstar. Its airline brands operate in regional, domestic and international services.</v>
    <v>25000</v>
    <v>Australian Securities Exchange</v>
    <v>XASX</v>
    <v>XASX</v>
    <v>10 Bourke Rd, MASCOT, NEW SOUTH WALES, 2020 AU</v>
    <v>4.76</v>
    <v>Passenger Transportation Services</v>
    <v>Stock</v>
    <v>44586.333333333336</v>
    <v>12</v>
    <v>4.6100000000000003</v>
    <v>9090735000</v>
    <v>QANTAS AIRWAYS LIMITED</v>
    <v>QANTAS AIRWAYS LIMITED</v>
    <v>4.76</v>
    <v>7.04</v>
    <v>4.82</v>
    <v>4.66</v>
    <v>1886045000</v>
    <v>QAN</v>
    <v>QANTAS AIRWAYS LIMITED (XASX:QAN)</v>
    <v>13921725</v>
    <v>1934</v>
  </rv>
  <rv s="2">
    <v>13</v>
  </rv>
  <rv s="0">
    <v>https://creativecommons.org/licenses/by-sa/3.0</v>
    <v>CC BY-SA 3.0</v>
  </rv>
  <rv s="0">
    <v>http://es.wikipedia.org/wiki/Commonwealth_Bank</v>
    <v>Wikipedia</v>
  </rv>
  <rv s="3">
    <v>15</v>
    <v>16</v>
  </rv>
  <rv s="4">
    <v>9</v>
    <v>https://www.bing.com/th?id=AMMS_089ff6a47bfca2b56ef8471130a40973&amp;qlt=95</v>
    <v>17</v>
    <v>0</v>
    <v>https://www.bing.com/images/search?form=xlimg&amp;q=commonwealth+bank</v>
    <v>Image of COMMONWEALTH BANK OF AUSTRALIA</v>
  </rv>
  <rv s="0">
    <v>https://www.bing.com/financeapi/forcetrigger?t=aa5cec&amp;q=XASX%3aCBA&amp;form=skydnc</v>
    <v>Learn more on Bing</v>
  </rv>
  <rv s="5">
    <v>en-US</v>
    <v>aa5cec</v>
    <v>268435456</v>
    <v>1</v>
    <v>Powered by Refinitiv</v>
    <v>5</v>
    <v>COMMONWEALTH BANK OF AUSTRALIA (XASX:CBA)</v>
    <v>7</v>
    <v>8</v>
    <v>Finance</v>
    <v>4</v>
    <v>110.19</v>
    <v>81.56</v>
    <v>0.97399999999999998</v>
    <v>-1.99</v>
    <v>-2.0423E-2</v>
    <v>AUD</v>
    <v>Commonwealth Bank of Australia is a banking company. The Company provides financial services, including retail, business and institutional banking, funds management, superannuation, general insurance, broking services and finance company activities. The Company's segments include Retail Banking Services, which provides home loan, consumer finance and retail deposit products; Business Banking segment provides banking services to relationship managed business and agribusiness customers, and offers digital payments and claims solutions; Institutional Banking and Markets serves the commercial and wholesale banking needs of corporate, institutional and government clients; New Zealand segment includes the banking and funds management businesses operating in New Zealand; International Financial Services and Corporate Centre includes the Indonesian retail and business banking operations, and investments in China and Vietnam. Its Corporate Centre includes treasury, legal and corporate affairs.</v>
    <v>46189</v>
    <v>Australian Securities Exchange</v>
    <v>XASX</v>
    <v>XASX</v>
    <v>Ground Floor, Tower 1, 201 Sussex Street, SYDNEY, NEW SOUTH WALES, 2000 AU</v>
    <v>97.15</v>
    <v>18</v>
    <v>Banking Services</v>
    <v>Stock</v>
    <v>44586.333333333336</v>
    <v>19</v>
    <v>93.87</v>
    <v>166270800000</v>
    <v>COMMONWEALTH BANK OF AUSTRALIA</v>
    <v>COMMONWEALTH BANK OF AUSTRALIA</v>
    <v>96.71</v>
    <v>19.52</v>
    <v>97.44</v>
    <v>95.45</v>
    <v>1706392000</v>
    <v>CBA</v>
    <v>COMMONWEALTH BANK OF AUSTRALIA (XASX:CBA)</v>
    <v>5802823</v>
    <v>1991</v>
  </rv>
  <rv s="2">
    <v>20</v>
  </rv>
  <rv s="0">
    <v>https://www.bing.com/financeapi/forcetrigger?t=aa5c2w&amp;q=XASX%3aCAT&amp;form=skydnc</v>
    <v>Learn more on Bing</v>
  </rv>
  <rv s="6">
    <v>en-US</v>
    <v>aa5c2w</v>
    <v>268435456</v>
    <v>1</v>
    <v>Powered by Refinitiv</v>
    <v>10</v>
    <v>CATAPULT GROUP INTERNATIONAL LTD (XASX:CAT)</v>
    <v>2</v>
    <v>11</v>
    <v>Finance</v>
    <v>4</v>
    <v>2.3199999999999998</v>
    <v>1.345</v>
    <v>2.8774000000000002</v>
    <v>-0.05</v>
    <v>-3.5460999999999999E-2</v>
    <v>AUD</v>
    <v>Catapult Group International Ltd is an Australia-based company, which is engaged in creating the platform of solutions for teams and athletes. The Company operates through three segments: Wearables, Video Analytics and New Products. Wearables segment design, development and supply of wearable technology and analytic software to athletes and sports teams. Video Analytics segment develops and provides digital and video analytic software solutions to elite sports teams. New Products segment is engaged in the development of the prosumer product and entry into the prosumer market. The Company offers various solutions, including wearable technology, video analysis, athlete management and content licensing. Its wearable technology and video analysis solutions are provided to elite clients on both a subscription and upfront sales basis, with subscription sales forming sales to elite clients.</v>
    <v>Australian Securities Exchange</v>
    <v>XASX</v>
    <v>XASX</v>
    <v>75 - 83 High Street, PRAHAN, VICTORIA, 3181 AU</v>
    <v>1.4</v>
    <v>Electronic Equipment &amp; Parts</v>
    <v>Stock</v>
    <v>44586.333344907405</v>
    <v>22</v>
    <v>1.345</v>
    <v>327013900</v>
    <v>CATAPULT GROUP INTERNATIONAL LTD</v>
    <v>CATAPULT GROUP INTERNATIONAL LTD</v>
    <v>1.4</v>
    <v>28.45</v>
    <v>1.41</v>
    <v>1.36</v>
    <v>231924800</v>
    <v>CAT</v>
    <v>CATAPULT GROUP INTERNATIONAL LTD (XASX:CAT)</v>
    <v>712524</v>
    <v>2013</v>
  </rv>
  <rv s="2">
    <v>23</v>
  </rv>
  <rv s="0">
    <v>https://www.bing.com/financeapi/forcetrigger?t=aa658m&amp;q=XASX%3aEOS&amp;form=skydnc</v>
    <v>Learn more on Bing</v>
  </rv>
  <rv s="1">
    <v>en-US</v>
    <v>aa658m</v>
    <v>268435456</v>
    <v>1</v>
    <v>Powered by Refinitiv</v>
    <v>0</v>
    <v>ELECTRO OPTIC SYSTEMS HOLDINGS LIMITED (XASX:EOS)</v>
    <v>2</v>
    <v>3</v>
    <v>Finance</v>
    <v>4</v>
    <v>5.69</v>
    <v>1.9</v>
    <v>1.8112999999999999</v>
    <v>-0.08</v>
    <v>-4.0301999999999998E-2</v>
    <v>AUD</v>
    <v>Electro Optic Systems Holdings Limited is an Australia-based technology company. The Company operates in three sectors: Defense, Space and Communications. The Company’s Defense Systems develops, manufactures and markets fire control, surveillance and weapon systems to approved military customers. Its Space Systems specializes in the design, manufacture, delivery and operation of sensors and systems for space domain awareness (SDA) and space control. The Company’s Communications Systems develops and provides global satellite communications products, systems and services. The Communications Systems specializes in optical, microwave and on-the-move radio and satellite systems that deliver telecommunications anywhere in the world. The Company's products incorporate electro-optic applications based on its technologies in software, laser, electronics, optronics, gimbals, telescopes and beam directors and mechanisms.</v>
    <v>218</v>
    <v>Australian Securities Exchange</v>
    <v>XASX</v>
    <v>XASX</v>
    <v>18 Wormald Street, Symonston, AUSTRALIAN CAPITAL TERRITORY, 2609 AU</v>
    <v>2.0299999999999998</v>
    <v>Aerospace &amp; Defense</v>
    <v>Stock</v>
    <v>44586.333333333336</v>
    <v>25</v>
    <v>1.9</v>
    <v>299564700</v>
    <v>ELECTRO OPTIC SYSTEMS HOLDINGS LIMITED</v>
    <v>ELECTRO OPTIC SYSTEMS HOLDINGS LIMITED</v>
    <v>1.98</v>
    <v>28.53</v>
    <v>1.9850000000000001</v>
    <v>1.905</v>
    <v>150914200</v>
    <v>EOS</v>
    <v>ELECTRO OPTIC SYSTEMS HOLDINGS LIMITED (XASX:EOS)</v>
    <v>1837500</v>
    <v>2000</v>
  </rv>
  <rv s="2">
    <v>26</v>
  </rv>
  <rv s="0">
    <v>https://www.bing.com/financeapi/forcetrigger?t=aa86z2&amp;q=XASX%3aNEA&amp;form=skydnc</v>
    <v>Learn more on Bing</v>
  </rv>
  <rv s="1">
    <v>en-US</v>
    <v>aa86z2</v>
    <v>268435456</v>
    <v>1</v>
    <v>Powered by Refinitiv</v>
    <v>0</v>
    <v>NEARMAP LTD (XASX:NEA)</v>
    <v>2</v>
    <v>3</v>
    <v>Finance</v>
    <v>4</v>
    <v>2.79</v>
    <v>1.2849999999999999</v>
    <v>1.7043999999999999</v>
    <v>-0.02</v>
    <v>-1.4870000000000001E-2</v>
    <v>AUD</v>
    <v>Nearmap Ltd is an Australia-based location intelligence company that provides cloud-based geospatial information services. The Company's is engaged in providing online aerial photomaps to business customers via subscription through its subsidiaries, Nearmap Australia Pty Ltd and Nearmap US, Inc. The Company uses its camera systems and processing software to conduct aerial surveys that captures wide-scale urban areas in Australia, New Zealand, the United States of America, and Canada multiple times each year, making fresh content instantly available in the cloud via Web application or application programming interface (API) integration. The Company's products include Vertical Imagery, Oblique Imagery, 3D Imagery and Data, Nearmap AI, and Nearmap on OpenSolar. The Company serves various industries, including Government, construction, telecommunication, transportation, insurance, property, roofing, and solar.</v>
    <v>400</v>
    <v>Australian Securities Exchange</v>
    <v>XASX</v>
    <v>XASX</v>
    <v>Tower 1, International Towers Sydney L 4, 100 Barangaroo Ave, SYDNEY, NEW SOUTH WALES, 2000 AU</v>
    <v>1.35</v>
    <v>Software &amp; IT Services</v>
    <v>Stock</v>
    <v>44586.333344907405</v>
    <v>28</v>
    <v>1.2849999999999999</v>
    <v>671096600</v>
    <v>NEARMAP LTD</v>
    <v>NEARMAP LTD</v>
    <v>1.32</v>
    <v>34.51</v>
    <v>1.345</v>
    <v>1.325</v>
    <v>498956600</v>
    <v>NEA</v>
    <v>NEARMAP LTD (XASX:NEA)</v>
    <v>3421767</v>
    <v>1998</v>
  </rv>
  <rv s="2">
    <v>29</v>
  </rv>
  <rv s="7">
    <fb>44221</fb>
    <v>12</v>
  </rv>
  <rv s="7">
    <fb>44223</fb>
    <v>12</v>
  </rv>
  <rv s="7">
    <fb>44224</fb>
    <v>12</v>
  </rv>
  <rv s="7">
    <fb>44225</fb>
    <v>12</v>
  </rv>
  <rv s="7">
    <fb>44228</fb>
    <v>12</v>
  </rv>
  <rv s="7">
    <fb>44229</fb>
    <v>12</v>
  </rv>
  <rv s="7">
    <fb>44230</fb>
    <v>12</v>
  </rv>
  <rv s="7">
    <fb>44231</fb>
    <v>12</v>
  </rv>
  <rv s="7">
    <fb>44232</fb>
    <v>12</v>
  </rv>
  <rv s="7">
    <fb>44235</fb>
    <v>12</v>
  </rv>
  <rv s="7">
    <fb>44236</fb>
    <v>12</v>
  </rv>
  <rv s="7">
    <fb>44237</fb>
    <v>12</v>
  </rv>
  <rv s="7">
    <fb>44238</fb>
    <v>12</v>
  </rv>
  <rv s="7">
    <fb>44239</fb>
    <v>12</v>
  </rv>
  <rv s="7">
    <fb>44242</fb>
    <v>12</v>
  </rv>
  <rv s="7">
    <fb>44243</fb>
    <v>12</v>
  </rv>
  <rv s="7">
    <fb>44244</fb>
    <v>12</v>
  </rv>
  <rv s="7">
    <fb>44245</fb>
    <v>12</v>
  </rv>
  <rv s="7">
    <fb>44246</fb>
    <v>12</v>
  </rv>
  <rv s="7">
    <fb>44249</fb>
    <v>12</v>
  </rv>
  <rv s="7">
    <fb>44250</fb>
    <v>12</v>
  </rv>
  <rv s="7">
    <fb>44251</fb>
    <v>12</v>
  </rv>
  <rv s="7">
    <fb>44252</fb>
    <v>12</v>
  </rv>
  <rv s="7">
    <fb>44253</fb>
    <v>12</v>
  </rv>
  <rv s="7">
    <fb>44256</fb>
    <v>12</v>
  </rv>
  <rv s="7">
    <fb>44257</fb>
    <v>12</v>
  </rv>
  <rv s="7">
    <fb>44258</fb>
    <v>12</v>
  </rv>
  <rv s="7">
    <fb>44259</fb>
    <v>12</v>
  </rv>
  <rv s="7">
    <fb>44260</fb>
    <v>12</v>
  </rv>
  <rv s="7">
    <fb>44263</fb>
    <v>12</v>
  </rv>
  <rv s="7">
    <fb>44264</fb>
    <v>12</v>
  </rv>
  <rv s="7">
    <fb>44265</fb>
    <v>12</v>
  </rv>
  <rv s="7">
    <fb>44266</fb>
    <v>12</v>
  </rv>
  <rv s="7">
    <fb>44267</fb>
    <v>12</v>
  </rv>
  <rv s="7">
    <fb>44270</fb>
    <v>12</v>
  </rv>
  <rv s="7">
    <fb>44271</fb>
    <v>12</v>
  </rv>
  <rv s="7">
    <fb>44272</fb>
    <v>12</v>
  </rv>
  <rv s="7">
    <fb>44273</fb>
    <v>12</v>
  </rv>
  <rv s="7">
    <fb>44274</fb>
    <v>12</v>
  </rv>
  <rv s="7">
    <fb>44277</fb>
    <v>12</v>
  </rv>
  <rv s="7">
    <fb>44278</fb>
    <v>12</v>
  </rv>
  <rv s="7">
    <fb>44279</fb>
    <v>12</v>
  </rv>
  <rv s="7">
    <fb>44280</fb>
    <v>12</v>
  </rv>
  <rv s="7">
    <fb>44281</fb>
    <v>12</v>
  </rv>
  <rv s="7">
    <fb>44284</fb>
    <v>12</v>
  </rv>
  <rv s="7">
    <fb>44285</fb>
    <v>12</v>
  </rv>
  <rv s="7">
    <fb>44286</fb>
    <v>12</v>
  </rv>
  <rv s="7">
    <fb>44287</fb>
    <v>12</v>
  </rv>
  <rv s="7">
    <fb>44292</fb>
    <v>12</v>
  </rv>
  <rv s="7">
    <fb>44293</fb>
    <v>12</v>
  </rv>
  <rv s="7">
    <fb>44294</fb>
    <v>12</v>
  </rv>
  <rv s="7">
    <fb>44295</fb>
    <v>12</v>
  </rv>
  <rv s="7">
    <fb>44298</fb>
    <v>12</v>
  </rv>
  <rv s="7">
    <fb>44299</fb>
    <v>12</v>
  </rv>
  <rv s="7">
    <fb>44300</fb>
    <v>12</v>
  </rv>
  <rv s="7">
    <fb>44301</fb>
    <v>12</v>
  </rv>
  <rv s="7">
    <fb>44302</fb>
    <v>12</v>
  </rv>
  <rv s="7">
    <fb>44305</fb>
    <v>12</v>
  </rv>
  <rv s="7">
    <fb>44306</fb>
    <v>12</v>
  </rv>
  <rv s="7">
    <fb>44307</fb>
    <v>12</v>
  </rv>
  <rv s="7">
    <fb>44308</fb>
    <v>12</v>
  </rv>
  <rv s="7">
    <fb>44309</fb>
    <v>12</v>
  </rv>
  <rv s="7">
    <fb>44312</fb>
    <v>12</v>
  </rv>
  <rv s="7">
    <fb>44313</fb>
    <v>12</v>
  </rv>
  <rv s="7">
    <fb>44314</fb>
    <v>12</v>
  </rv>
  <rv s="7">
    <fb>44315</fb>
    <v>12</v>
  </rv>
  <rv s="7">
    <fb>44316</fb>
    <v>12</v>
  </rv>
  <rv s="7">
    <fb>44319</fb>
    <v>12</v>
  </rv>
  <rv s="7">
    <fb>44320</fb>
    <v>12</v>
  </rv>
  <rv s="7">
    <fb>44321</fb>
    <v>12</v>
  </rv>
  <rv s="7">
    <fb>44322</fb>
    <v>12</v>
  </rv>
  <rv s="7">
    <fb>44323</fb>
    <v>12</v>
  </rv>
  <rv s="7">
    <fb>44326</fb>
    <v>12</v>
  </rv>
  <rv s="7">
    <fb>44327</fb>
    <v>12</v>
  </rv>
  <rv s="7">
    <fb>44328</fb>
    <v>12</v>
  </rv>
  <rv s="7">
    <fb>44329</fb>
    <v>12</v>
  </rv>
  <rv s="7">
    <fb>44330</fb>
    <v>12</v>
  </rv>
  <rv s="7">
    <fb>44333</fb>
    <v>12</v>
  </rv>
  <rv s="7">
    <fb>44334</fb>
    <v>12</v>
  </rv>
  <rv s="7">
    <fb>44335</fb>
    <v>12</v>
  </rv>
  <rv s="7">
    <fb>44336</fb>
    <v>12</v>
  </rv>
  <rv s="7">
    <fb>44337</fb>
    <v>12</v>
  </rv>
  <rv s="7">
    <fb>44340</fb>
    <v>12</v>
  </rv>
  <rv s="7">
    <fb>44341</fb>
    <v>12</v>
  </rv>
  <rv s="7">
    <fb>44342</fb>
    <v>12</v>
  </rv>
  <rv s="7">
    <fb>44343</fb>
    <v>12</v>
  </rv>
  <rv s="7">
    <fb>44344</fb>
    <v>12</v>
  </rv>
  <rv s="7">
    <fb>44347</fb>
    <v>12</v>
  </rv>
  <rv s="7">
    <fb>44348</fb>
    <v>12</v>
  </rv>
  <rv s="7">
    <fb>44349</fb>
    <v>12</v>
  </rv>
  <rv s="7">
    <fb>44350</fb>
    <v>12</v>
  </rv>
  <rv s="7">
    <fb>44351</fb>
    <v>12</v>
  </rv>
  <rv s="7">
    <fb>44354</fb>
    <v>12</v>
  </rv>
  <rv s="7">
    <fb>44355</fb>
    <v>12</v>
  </rv>
  <rv s="7">
    <fb>44356</fb>
    <v>12</v>
  </rv>
  <rv s="7">
    <fb>44357</fb>
    <v>12</v>
  </rv>
  <rv s="7">
    <fb>44358</fb>
    <v>12</v>
  </rv>
  <rv s="7">
    <fb>44362</fb>
    <v>12</v>
  </rv>
  <rv s="7">
    <fb>44363</fb>
    <v>12</v>
  </rv>
  <rv s="7">
    <fb>44364</fb>
    <v>12</v>
  </rv>
  <rv s="7">
    <fb>44365</fb>
    <v>12</v>
  </rv>
  <rv s="7">
    <fb>44368</fb>
    <v>12</v>
  </rv>
  <rv s="7">
    <fb>44369</fb>
    <v>12</v>
  </rv>
  <rv s="7">
    <fb>44370</fb>
    <v>12</v>
  </rv>
  <rv s="7">
    <fb>44371</fb>
    <v>12</v>
  </rv>
  <rv s="7">
    <fb>44372</fb>
    <v>12</v>
  </rv>
  <rv s="7">
    <fb>44375</fb>
    <v>12</v>
  </rv>
  <rv s="7">
    <fb>44376</fb>
    <v>12</v>
  </rv>
  <rv s="7">
    <fb>44377</fb>
    <v>12</v>
  </rv>
  <rv s="7">
    <fb>44378</fb>
    <v>12</v>
  </rv>
  <rv s="7">
    <fb>44379</fb>
    <v>12</v>
  </rv>
  <rv s="7">
    <fb>44382</fb>
    <v>12</v>
  </rv>
  <rv s="7">
    <fb>44383</fb>
    <v>12</v>
  </rv>
  <rv s="7">
    <fb>44384</fb>
    <v>12</v>
  </rv>
  <rv s="7">
    <fb>44385</fb>
    <v>12</v>
  </rv>
  <rv s="7">
    <fb>44386</fb>
    <v>12</v>
  </rv>
  <rv s="7">
    <fb>44389</fb>
    <v>12</v>
  </rv>
  <rv s="7">
    <fb>44390</fb>
    <v>12</v>
  </rv>
  <rv s="7">
    <fb>44391</fb>
    <v>12</v>
  </rv>
  <rv s="7">
    <fb>44392</fb>
    <v>12</v>
  </rv>
  <rv s="7">
    <fb>44393</fb>
    <v>12</v>
  </rv>
  <rv s="7">
    <fb>44396</fb>
    <v>12</v>
  </rv>
  <rv s="7">
    <fb>44397</fb>
    <v>12</v>
  </rv>
  <rv s="7">
    <fb>44398</fb>
    <v>12</v>
  </rv>
  <rv s="7">
    <fb>44399</fb>
    <v>12</v>
  </rv>
  <rv s="7">
    <fb>44400</fb>
    <v>12</v>
  </rv>
  <rv s="7">
    <fb>44403</fb>
    <v>12</v>
  </rv>
  <rv s="7">
    <fb>44404</fb>
    <v>12</v>
  </rv>
  <rv s="7">
    <fb>44405</fb>
    <v>12</v>
  </rv>
  <rv s="7">
    <fb>44406</fb>
    <v>12</v>
  </rv>
  <rv s="7">
    <fb>44407</fb>
    <v>12</v>
  </rv>
  <rv s="7">
    <fb>44410</fb>
    <v>12</v>
  </rv>
  <rv s="7">
    <fb>44411</fb>
    <v>12</v>
  </rv>
  <rv s="7">
    <fb>44412</fb>
    <v>12</v>
  </rv>
  <rv s="7">
    <fb>44413</fb>
    <v>12</v>
  </rv>
  <rv s="7">
    <fb>44414</fb>
    <v>12</v>
  </rv>
  <rv s="7">
    <fb>44417</fb>
    <v>12</v>
  </rv>
  <rv s="7">
    <fb>44418</fb>
    <v>12</v>
  </rv>
  <rv s="7">
    <fb>44419</fb>
    <v>12</v>
  </rv>
  <rv s="7">
    <fb>44420</fb>
    <v>12</v>
  </rv>
  <rv s="7">
    <fb>44421</fb>
    <v>12</v>
  </rv>
  <rv s="7">
    <fb>44424</fb>
    <v>12</v>
  </rv>
  <rv s="7">
    <fb>44425</fb>
    <v>12</v>
  </rv>
  <rv s="7">
    <fb>44426</fb>
    <v>12</v>
  </rv>
  <rv s="7">
    <fb>44427</fb>
    <v>12</v>
  </rv>
  <rv s="7">
    <fb>44428</fb>
    <v>12</v>
  </rv>
  <rv s="7">
    <fb>44431</fb>
    <v>12</v>
  </rv>
  <rv s="7">
    <fb>44432</fb>
    <v>12</v>
  </rv>
  <rv s="7">
    <fb>44433</fb>
    <v>12</v>
  </rv>
  <rv s="7">
    <fb>44434</fb>
    <v>12</v>
  </rv>
  <rv s="7">
    <fb>44435</fb>
    <v>12</v>
  </rv>
  <rv s="7">
    <fb>44438</fb>
    <v>12</v>
  </rv>
  <rv s="7">
    <fb>44439</fb>
    <v>12</v>
  </rv>
  <rv s="7">
    <fb>44440</fb>
    <v>12</v>
  </rv>
  <rv s="7">
    <fb>44441</fb>
    <v>12</v>
  </rv>
  <rv s="7">
    <fb>44442</fb>
    <v>12</v>
  </rv>
  <rv s="7">
    <fb>44445</fb>
    <v>12</v>
  </rv>
  <rv s="7">
    <fb>44446</fb>
    <v>12</v>
  </rv>
  <rv s="7">
    <fb>44447</fb>
    <v>12</v>
  </rv>
  <rv s="7">
    <fb>44448</fb>
    <v>12</v>
  </rv>
  <rv s="7">
    <fb>44449</fb>
    <v>12</v>
  </rv>
  <rv s="7">
    <fb>44452</fb>
    <v>12</v>
  </rv>
  <rv s="7">
    <fb>44453</fb>
    <v>12</v>
  </rv>
  <rv s="7">
    <fb>44454</fb>
    <v>12</v>
  </rv>
  <rv s="7">
    <fb>44455</fb>
    <v>12</v>
  </rv>
  <rv s="7">
    <fb>44456</fb>
    <v>12</v>
  </rv>
  <rv s="7">
    <fb>44459</fb>
    <v>12</v>
  </rv>
  <rv s="7">
    <fb>44460</fb>
    <v>12</v>
  </rv>
  <rv s="7">
    <fb>44461</fb>
    <v>12</v>
  </rv>
  <rv s="7">
    <fb>44462</fb>
    <v>12</v>
  </rv>
  <rv s="7">
    <fb>44463</fb>
    <v>12</v>
  </rv>
  <rv s="7">
    <fb>44466</fb>
    <v>12</v>
  </rv>
  <rv s="7">
    <fb>44467</fb>
    <v>12</v>
  </rv>
  <rv s="7">
    <fb>44468</fb>
    <v>12</v>
  </rv>
  <rv s="7">
    <fb>44469</fb>
    <v>12</v>
  </rv>
  <rv s="7">
    <fb>44470</fb>
    <v>12</v>
  </rv>
  <rv s="7">
    <fb>44473</fb>
    <v>12</v>
  </rv>
  <rv s="7">
    <fb>44474</fb>
    <v>12</v>
  </rv>
  <rv s="7">
    <fb>44475</fb>
    <v>12</v>
  </rv>
  <rv s="7">
    <fb>44476</fb>
    <v>12</v>
  </rv>
  <rv s="7">
    <fb>44477</fb>
    <v>12</v>
  </rv>
  <rv s="7">
    <fb>44480</fb>
    <v>12</v>
  </rv>
  <rv s="7">
    <fb>44481</fb>
    <v>12</v>
  </rv>
  <rv s="7">
    <fb>44482</fb>
    <v>12</v>
  </rv>
  <rv s="7">
    <fb>44483</fb>
    <v>12</v>
  </rv>
  <rv s="7">
    <fb>44484</fb>
    <v>12</v>
  </rv>
  <rv s="7">
    <fb>44487</fb>
    <v>12</v>
  </rv>
  <rv s="7">
    <fb>44488</fb>
    <v>12</v>
  </rv>
  <rv s="7">
    <fb>44489</fb>
    <v>12</v>
  </rv>
  <rv s="7">
    <fb>44490</fb>
    <v>12</v>
  </rv>
  <rv s="7">
    <fb>44491</fb>
    <v>12</v>
  </rv>
  <rv s="7">
    <fb>44494</fb>
    <v>12</v>
  </rv>
  <rv s="7">
    <fb>44495</fb>
    <v>12</v>
  </rv>
  <rv s="7">
    <fb>44496</fb>
    <v>12</v>
  </rv>
  <rv s="7">
    <fb>44497</fb>
    <v>12</v>
  </rv>
  <rv s="7">
    <fb>44498</fb>
    <v>12</v>
  </rv>
  <rv s="7">
    <fb>44501</fb>
    <v>12</v>
  </rv>
  <rv s="7">
    <fb>44502</fb>
    <v>12</v>
  </rv>
  <rv s="7">
    <fb>44503</fb>
    <v>12</v>
  </rv>
  <rv s="7">
    <fb>44504</fb>
    <v>12</v>
  </rv>
  <rv s="7">
    <fb>44505</fb>
    <v>12</v>
  </rv>
  <rv s="7">
    <fb>44508</fb>
    <v>12</v>
  </rv>
  <rv s="7">
    <fb>44509</fb>
    <v>12</v>
  </rv>
  <rv s="7">
    <fb>44510</fb>
    <v>12</v>
  </rv>
  <rv s="7">
    <fb>44511</fb>
    <v>12</v>
  </rv>
  <rv s="7">
    <fb>44512</fb>
    <v>12</v>
  </rv>
  <rv s="7">
    <fb>44515</fb>
    <v>12</v>
  </rv>
  <rv s="7">
    <fb>44516</fb>
    <v>12</v>
  </rv>
  <rv s="7">
    <fb>44517</fb>
    <v>12</v>
  </rv>
  <rv s="7">
    <fb>44518</fb>
    <v>12</v>
  </rv>
  <rv s="7">
    <fb>44519</fb>
    <v>12</v>
  </rv>
  <rv s="7">
    <fb>44522</fb>
    <v>12</v>
  </rv>
  <rv s="7">
    <fb>44523</fb>
    <v>12</v>
  </rv>
  <rv s="7">
    <fb>44524</fb>
    <v>12</v>
  </rv>
  <rv s="7">
    <fb>44525</fb>
    <v>12</v>
  </rv>
  <rv s="7">
    <fb>44526</fb>
    <v>12</v>
  </rv>
  <rv s="7">
    <fb>44529</fb>
    <v>12</v>
  </rv>
  <rv s="7">
    <fb>44530</fb>
    <v>12</v>
  </rv>
  <rv s="7">
    <fb>44531</fb>
    <v>12</v>
  </rv>
  <rv s="7">
    <fb>44532</fb>
    <v>12</v>
  </rv>
  <rv s="7">
    <fb>44533</fb>
    <v>12</v>
  </rv>
  <rv s="7">
    <fb>44536</fb>
    <v>12</v>
  </rv>
  <rv s="7">
    <fb>44537</fb>
    <v>12</v>
  </rv>
  <rv s="7">
    <fb>44538</fb>
    <v>12</v>
  </rv>
  <rv s="7">
    <fb>44539</fb>
    <v>12</v>
  </rv>
  <rv s="7">
    <fb>44540</fb>
    <v>12</v>
  </rv>
  <rv s="7">
    <fb>44543</fb>
    <v>12</v>
  </rv>
  <rv s="7">
    <fb>44544</fb>
    <v>12</v>
  </rv>
  <rv s="7">
    <fb>44545</fb>
    <v>12</v>
  </rv>
  <rv s="7">
    <fb>44546</fb>
    <v>12</v>
  </rv>
  <rv s="7">
    <fb>44547</fb>
    <v>12</v>
  </rv>
  <rv s="7">
    <fb>44550</fb>
    <v>12</v>
  </rv>
  <rv s="7">
    <fb>44551</fb>
    <v>12</v>
  </rv>
  <rv s="7">
    <fb>44552</fb>
    <v>12</v>
  </rv>
  <rv s="7">
    <fb>44553</fb>
    <v>12</v>
  </rv>
  <rv s="7">
    <fb>44554</fb>
    <v>12</v>
  </rv>
  <rv s="7">
    <fb>44559</fb>
    <v>12</v>
  </rv>
  <rv s="7">
    <fb>44560</fb>
    <v>12</v>
  </rv>
  <rv s="7">
    <fb>44561</fb>
    <v>12</v>
  </rv>
  <rv s="7">
    <fb>44565</fb>
    <v>12</v>
  </rv>
  <rv s="7">
    <fb>44566</fb>
    <v>12</v>
  </rv>
  <rv s="7">
    <fb>44567</fb>
    <v>12</v>
  </rv>
  <rv s="7">
    <fb>44568</fb>
    <v>12</v>
  </rv>
  <rv s="7">
    <fb>44571</fb>
    <v>12</v>
  </rv>
  <rv s="7">
    <fb>44572</fb>
    <v>12</v>
  </rv>
  <rv s="7">
    <fb>44573</fb>
    <v>12</v>
  </rv>
  <rv s="7">
    <fb>44574</fb>
    <v>12</v>
  </rv>
  <rv s="7">
    <fb>44575</fb>
    <v>12</v>
  </rv>
  <rv s="7">
    <fb>44578</fb>
    <v>12</v>
  </rv>
  <rv s="7">
    <fb>44579</fb>
    <v>12</v>
  </rv>
  <rv s="7">
    <fb>44580</fb>
    <v>12</v>
  </rv>
  <rv s="7">
    <fb>44581</fb>
    <v>12</v>
  </rv>
  <rv s="7">
    <fb>44582</fb>
    <v>12</v>
  </rv>
  <rv s="7">
    <fb>44585</fb>
    <v>12</v>
  </rv>
  <rv s="7">
    <fb>44586</fb>
    <v>12</v>
  </rv>
  <rv s="7">
    <fb>71.73</fb>
    <v>13</v>
  </rv>
  <rv s="7">
    <fb>72.66</fb>
    <v>13</v>
  </rv>
  <rv s="7">
    <fb>71.38</fb>
    <v>13</v>
  </rv>
  <rv s="7">
    <fb>71.790000000000006</fb>
    <v>13</v>
  </rv>
  <rv s="7">
    <fb>70.39</fb>
    <v>13</v>
  </rv>
  <rv s="7">
    <fb>72.23</fb>
    <v>13</v>
  </rv>
  <rv s="7">
    <fb>72.900000000000006</fb>
    <v>13</v>
  </rv>
  <rv s="7">
    <fb>72.53</fb>
    <v>13</v>
  </rv>
  <rv s="7">
    <fb>71.7</fb>
    <v>13</v>
  </rv>
  <rv s="7">
    <fb>70.59</fb>
    <v>13</v>
  </rv>
  <rv s="7">
    <fb>69.72</fb>
    <v>13</v>
  </rv>
  <rv s="7">
    <fb>71.3</fb>
    <v>13</v>
  </rv>
  <rv s="7">
    <fb>70.05</fb>
    <v>13</v>
  </rv>
  <rv s="7">
    <fb>70.42</fb>
    <v>13</v>
  </rv>
  <rv s="7">
    <fb>70.86</fb>
    <v>13</v>
  </rv>
  <rv s="7">
    <fb>70.89</fb>
    <v>13</v>
  </rv>
  <rv s="7">
    <fb>69.78</fb>
    <v>13</v>
  </rv>
  <rv s="7">
    <fb>69.48</fb>
    <v>13</v>
  </rv>
  <rv s="7">
    <fb>69.13</fb>
    <v>13</v>
  </rv>
  <rv s="7">
    <fb>68.12</fb>
    <v>13</v>
  </rv>
  <rv s="7">
    <fb>68.069999999999993</fb>
    <v>13</v>
  </rv>
  <rv s="7">
    <fb>68.22</fb>
    <v>13</v>
  </rv>
  <rv s="7">
    <fb>67.599999999999994</fb>
    <v>13</v>
  </rv>
  <rv s="7">
    <fb>68.58</fb>
    <v>13</v>
  </rv>
  <rv s="7">
    <fb>68.5</fb>
    <v>13</v>
  </rv>
  <rv s="7">
    <fb>68.599999999999994</fb>
    <v>13</v>
  </rv>
  <rv s="7">
    <fb>67.2</fb>
    <v>13</v>
  </rv>
  <rv s="7">
    <fb>68.8</fb>
    <v>13</v>
  </rv>
  <rv s="7">
    <fb>69.73</fb>
    <v>13</v>
  </rv>
  <rv s="7">
    <fb>69.180000000000007</fb>
    <v>13</v>
  </rv>
  <rv s="7">
    <fb>68.989999999999995</fb>
    <v>13</v>
  </rv>
  <rv s="7">
    <fb>68.98</fb>
    <v>13</v>
  </rv>
  <rv s="7">
    <fb>69.12</fb>
    <v>13</v>
  </rv>
  <rv s="7">
    <fb>69.56</fb>
    <v>13</v>
  </rv>
  <rv s="7">
    <fb>70.239999999999995</fb>
    <v>13</v>
  </rv>
  <rv s="7">
    <fb>70.3</fb>
    <v>13</v>
  </rv>
  <rv s="7">
    <fb>70.16</fb>
    <v>13</v>
  </rv>
  <rv s="7">
    <fb>70.84</fb>
    <v>13</v>
  </rv>
  <rv s="7">
    <fb>70.430000000000007</fb>
    <v>13</v>
  </rv>
  <rv s="7">
    <fb>70.739999999999995</fb>
    <v>13</v>
  </rv>
  <rv s="7">
    <fb>72.25</fb>
    <v>13</v>
  </rv>
  <rv s="7">
    <fb>71.56</fb>
    <v>13</v>
  </rv>
  <rv s="7">
    <fb>71.42</fb>
    <v>13</v>
  </rv>
  <rv s="7">
    <fb>70.66</fb>
    <v>13</v>
  </rv>
  <rv s="7">
    <fb>70.52</fb>
    <v>13</v>
  </rv>
  <rv s="7">
    <fb>71.05</fb>
    <v>13</v>
  </rv>
  <rv s="7">
    <fb>71.069999999999993</fb>
    <v>13</v>
  </rv>
  <rv s="7">
    <fb>72.05</fb>
    <v>13</v>
  </rv>
  <rv s="7">
    <fb>71.64</fb>
    <v>13</v>
  </rv>
  <rv s="7">
    <fb>72.36</fb>
    <v>13</v>
  </rv>
  <rv s="7">
    <fb>72.78</fb>
    <v>13</v>
  </rv>
  <rv s="7">
    <fb>73.069999999999993</fb>
    <v>13</v>
  </rv>
  <rv s="7">
    <fb>72.290000000000006</fb>
    <v>13</v>
  </rv>
  <rv s="7">
    <fb>72.680000000000007</fb>
    <v>13</v>
  </rv>
  <rv s="7">
    <fb>72.319999999999993</fb>
    <v>13</v>
  </rv>
  <rv s="7">
    <fb>72.099999999999994</fb>
    <v>13</v>
  </rv>
  <rv s="7">
    <fb>72.13</fb>
    <v>13</v>
  </rv>
  <rv s="7">
    <fb>71.180000000000007</fb>
    <v>13</v>
  </rv>
  <rv s="7">
    <fb>71.44</fb>
    <v>13</v>
  </rv>
  <rv s="7">
    <fb>72.42</fb>
    <v>13</v>
  </rv>
  <rv s="7">
    <fb>72.959999999999994</fb>
    <v>13</v>
  </rv>
  <rv s="7">
    <fb>72.44</fb>
    <v>13</v>
  </rv>
  <rv s="7">
    <fb>72.86</fb>
    <v>13</v>
  </rv>
  <rv s="7">
    <fb>73.25</fb>
    <v>13</v>
  </rv>
  <rv s="7">
    <fb>72.98</fb>
    <v>13</v>
  </rv>
  <rv s="7">
    <fb>72.510000000000005</fb>
    <v>13</v>
  </rv>
  <rv s="7">
    <fb>72.5</fb>
    <v>13</v>
  </rv>
  <rv s="7">
    <fb>72.84</fb>
    <v>13</v>
  </rv>
  <rv s="7">
    <fb>71.89</fb>
    <v>13</v>
  </rv>
  <rv s="7">
    <fb>71.900000000000006</fb>
    <v>13</v>
  </rv>
  <rv s="7">
    <fb>71.92</fb>
    <v>13</v>
  </rv>
  <rv s="7">
    <fb>71.78</fb>
    <v>13</v>
  </rv>
  <rv s="7">
    <fb>71.260000000000005</fb>
    <v>13</v>
  </rv>
  <rv s="7">
    <fb>72.38</fb>
    <v>13</v>
  </rv>
  <rv s="7">
    <fb>74.510000000000005</fb>
    <v>13</v>
  </rv>
  <rv s="7">
    <fb>73.86</fb>
    <v>13</v>
  </rv>
  <rv s="7">
    <fb>73.72</fb>
    <v>13</v>
  </rv>
  <rv s="7">
    <fb>72.599999999999994</fb>
    <v>13</v>
  </rv>
  <rv s="7">
    <fb>73.45</fb>
    <v>13</v>
  </rv>
  <rv s="7">
    <fb>74.47</fb>
    <v>13</v>
  </rv>
  <rv s="7">
    <fb>74.33</fb>
    <v>13</v>
  </rv>
  <rv s="7">
    <fb>75.59</fb>
    <v>13</v>
  </rv>
  <rv s="7">
    <fb>75.55</fb>
    <v>13</v>
  </rv>
  <rv s="7">
    <fb>76.180000000000007</fb>
    <v>13</v>
  </rv>
  <rv s="7">
    <fb>76.430000000000007</fb>
    <v>13</v>
  </rv>
  <rv s="7">
    <fb>76.260000000000005</fb>
    <v>13</v>
  </rv>
  <rv s="7">
    <fb>75.790000000000006</fb>
    <v>13</v>
  </rv>
  <rv s="7">
    <fb>76.650000000000006</fb>
    <v>13</v>
  </rv>
  <rv s="7">
    <fb>77.05</fb>
    <v>13</v>
  </rv>
  <rv s="7">
    <fb>76.78</fb>
    <v>13</v>
  </rv>
  <rv s="7">
    <fb>75.44</fb>
    <v>13</v>
  </rv>
  <rv s="7">
    <fb>74.11</fb>
    <v>13</v>
  </rv>
  <rv s="7">
    <fb>74.5</fb>
    <v>13</v>
  </rv>
  <rv s="7">
    <fb>74.02</fb>
    <v>13</v>
  </rv>
  <rv s="7">
    <fb>75.459999999999994</fb>
    <v>13</v>
  </rv>
  <rv s="7">
    <fb>75.930000000000007</fb>
    <v>13</v>
  </rv>
  <rv s="7">
    <fb>75.959999999999994</fb>
    <v>13</v>
  </rv>
  <rv s="7">
    <fb>76</fb>
    <v>13</v>
  </rv>
  <rv s="7">
    <fb>75.2</fb>
    <v>13</v>
  </rv>
  <rv s="7">
    <fb>77.790000000000006</fb>
    <v>13</v>
  </rv>
  <rv s="7">
    <fb>78.41</fb>
    <v>13</v>
  </rv>
  <rv s="7">
    <fb>78.53</fb>
    <v>13</v>
  </rv>
  <rv s="7">
    <fb>77.87</fb>
    <v>13</v>
  </rv>
  <rv s="7">
    <fb>77.48</fb>
    <v>13</v>
  </rv>
  <rv s="7">
    <fb>77.69</fb>
    <v>13</v>
  </rv>
  <rv s="7">
    <fb>77.709999999999994</fb>
    <v>13</v>
  </rv>
  <rv s="7">
    <fb>77.239999999999995</fb>
    <v>13</v>
  </rv>
  <rv s="7">
    <fb>77.349999999999994</fb>
    <v>13</v>
  </rv>
  <rv s="7">
    <fb>75.5</fb>
    <v>13</v>
  </rv>
  <rv s="7">
    <fb>76.14</fb>
    <v>13</v>
  </rv>
  <rv s="7">
    <fb>76.38</fb>
    <v>13</v>
  </rv>
  <rv s="7">
    <fb>75.540000000000006</fb>
    <v>13</v>
  </rv>
  <rv s="7">
    <fb>75.180000000000007</fb>
    <v>13</v>
  </rv>
  <rv s="7">
    <fb>76.459999999999994</fb>
    <v>13</v>
  </rv>
  <rv s="7">
    <fb>75.63</fb>
    <v>13</v>
  </rv>
  <rv s="7">
    <fb>76.02</fb>
    <v>13</v>
  </rv>
  <rv s="7">
    <fb>76.73</fb>
    <v>13</v>
  </rv>
  <rv s="7">
    <fb>77.27</fb>
    <v>13</v>
  </rv>
  <rv s="7">
    <fb>77.33</fb>
    <v>13</v>
  </rv>
  <rv s="7">
    <fb>77.67</fb>
    <v>13</v>
  </rv>
  <rv s="7">
    <fb>78.14</fb>
    <v>13</v>
  </rv>
  <rv s="7">
    <fb>78.25</fb>
    <v>13</v>
  </rv>
  <rv s="7">
    <fb>77.5</fb>
    <v>13</v>
  </rv>
  <rv s="7">
    <fb>77.44</fb>
    <v>13</v>
  </rv>
  <rv s="7">
    <fb>76.89</fb>
    <v>13</v>
  </rv>
  <rv s="7">
    <fb>77.72</fb>
    <v>13</v>
  </rv>
  <rv s="7">
    <fb>78.95</fb>
    <v>13</v>
  </rv>
  <rv s="7">
    <fb>79.7</fb>
    <v>13</v>
  </rv>
  <rv s="7">
    <fb>80.75</fb>
    <v>13</v>
  </rv>
  <rv s="7">
    <fb>81.5</fb>
    <v>13</v>
  </rv>
  <rv s="7">
    <fb>81.58</fb>
    <v>13</v>
  </rv>
  <rv s="7">
    <fb>80.959999999999994</fb>
    <v>13</v>
  </rv>
  <rv s="7">
    <fb>80.8</fb>
    <v>13</v>
  </rv>
  <rv s="7">
    <fb>80.260000000000005</fb>
    <v>13</v>
  </rv>
  <rv s="7">
    <fb>80.930000000000007</fb>
    <v>13</v>
  </rv>
  <rv s="7">
    <fb>81.27</fb>
    <v>13</v>
  </rv>
  <rv s="7">
    <fb>81.39</fb>
    <v>13</v>
  </rv>
  <rv s="7">
    <fb>81.64</fb>
    <v>13</v>
  </rv>
  <rv s="7">
    <fb>83.53</fb>
    <v>13</v>
  </rv>
  <rv s="7">
    <fb>85.91</fb>
    <v>13</v>
  </rv>
  <rv s="7">
    <fb>88.5</fb>
    <v>13</v>
  </rv>
  <rv s="7">
    <fb>87.8</fb>
    <v>13</v>
  </rv>
  <rv s="7">
    <fb>86.75</fb>
    <v>13</v>
  </rv>
  <rv s="7">
    <fb>87.68</fb>
    <v>13</v>
  </rv>
  <rv s="7">
    <fb>87.62</fb>
    <v>13</v>
  </rv>
  <rv s="7">
    <fb>87.72</fb>
    <v>13</v>
  </rv>
  <rv s="7">
    <fb>87.77</fb>
    <v>13</v>
  </rv>
  <rv s="7">
    <fb>87.05</fb>
    <v>13</v>
  </rv>
  <rv s="7">
    <fb>86.64</fb>
    <v>13</v>
  </rv>
  <rv s="7">
    <fb>86.96</fb>
    <v>13</v>
  </rv>
  <rv s="7">
    <fb>85.38</fb>
    <v>13</v>
  </rv>
  <rv s="7">
    <fb>86</fb>
    <v>13</v>
  </rv>
  <rv s="7">
    <fb>84.18</fb>
    <v>13</v>
  </rv>
  <rv s="7">
    <fb>82.86</fb>
    <v>13</v>
  </rv>
  <rv s="7">
    <fb>82.94</fb>
    <v>13</v>
  </rv>
  <rv s="7">
    <fb>83.25</fb>
    <v>13</v>
  </rv>
  <rv s="7">
    <fb>83.34</fb>
    <v>13</v>
  </rv>
  <rv s="7">
    <fb>84.27</fb>
    <v>13</v>
  </rv>
  <rv s="7">
    <fb>84.05</fb>
    <v>13</v>
  </rv>
  <rv s="7">
    <fb>82.65</fb>
    <v>13</v>
  </rv>
  <rv s="7">
    <fb>83.28</fb>
    <v>13</v>
  </rv>
  <rv s="7">
    <fb>82.88</fb>
    <v>13</v>
  </rv>
  <rv s="7">
    <fb>84.02</fb>
    <v>13</v>
  </rv>
  <rv s="7">
    <fb>84.09</fb>
    <v>13</v>
  </rv>
  <rv s="7">
    <fb>83.76</fb>
    <v>13</v>
  </rv>
  <rv s="7">
    <fb>81.459999999999994</fb>
    <v>13</v>
  </rv>
  <rv s="7">
    <fb>80.89</fb>
    <v>13</v>
  </rv>
  <rv s="7">
    <fb>81</fb>
    <v>13</v>
  </rv>
  <rv s="7">
    <fb>79.540000000000006</fb>
    <v>13</v>
  </rv>
  <rv s="7">
    <fb>79.98</fb>
    <v>13</v>
  </rv>
  <rv s="7">
    <fb>79.87</fb>
    <v>13</v>
  </rv>
  <rv s="7">
    <fb>79.31</fb>
    <v>13</v>
  </rv>
  <rv s="7">
    <fb>80.48</fb>
    <v>13</v>
  </rv>
  <rv s="7">
    <fb>80.36</fb>
    <v>13</v>
  </rv>
  <rv s="7">
    <fb>79.739999999999995</fb>
    <v>13</v>
  </rv>
  <rv s="7">
    <fb>79.28</fb>
    <v>13</v>
  </rv>
  <rv s="7">
    <fb>78.790000000000006</fb>
    <v>13</v>
  </rv>
  <rv s="7">
    <fb>79.099999999999994</fb>
    <v>13</v>
  </rv>
  <rv s="7">
    <fb>80.05</fb>
    <v>13</v>
  </rv>
  <rv s="7">
    <fb>80.37</fb>
    <v>13</v>
  </rv>
  <rv s="7">
    <fb>81.430000000000007</fb>
    <v>13</v>
  </rv>
  <rv s="7">
    <fb>81.09</fb>
    <v>13</v>
  </rv>
  <rv s="7">
    <fb>81.36</fb>
    <v>13</v>
  </rv>
  <rv s="7">
    <fb>82.17</fb>
    <v>13</v>
  </rv>
  <rv s="7">
    <fb>83.81</fb>
    <v>13</v>
  </rv>
  <rv s="7">
    <fb>84.43</fb>
    <v>13</v>
  </rv>
  <rv s="7">
    <fb>83.02</fb>
    <v>13</v>
  </rv>
  <rv s="7">
    <fb>85.03</fb>
    <v>13</v>
  </rv>
  <rv s="7">
    <fb>85.65</fb>
    <v>13</v>
  </rv>
  <rv s="7">
    <fb>88.11</fb>
    <v>13</v>
  </rv>
  <rv s="7">
    <fb>89.53</fb>
    <v>13</v>
  </rv>
  <rv s="7">
    <fb>91.67</fb>
    <v>13</v>
  </rv>
  <rv s="7">
    <fb>92.38</fb>
    <v>13</v>
  </rv>
  <rv s="7">
    <fb>93.69</fb>
    <v>13</v>
  </rv>
  <rv s="7">
    <fb>93.89</fb>
    <v>13</v>
  </rv>
  <rv s="7">
    <fb>93.02</fb>
    <v>13</v>
  </rv>
  <rv s="7">
    <fb>92.17</fb>
    <v>13</v>
  </rv>
  <rv s="7">
    <fb>92.13</fb>
    <v>13</v>
  </rv>
  <rv s="7">
    <fb>93.09</fb>
    <v>13</v>
  </rv>
  <rv s="7">
    <fb>93.22</fb>
    <v>13</v>
  </rv>
  <rv s="7">
    <fb>93.82</fb>
    <v>13</v>
  </rv>
  <rv s="7">
    <fb>93.75</fb>
    <v>13</v>
  </rv>
  <rv s="7">
    <fb>93.72</fb>
    <v>13</v>
  </rv>
  <rv s="7">
    <fb>94.76</fb>
    <v>13</v>
  </rv>
  <rv s="7">
    <fb>93.39</fb>
    <v>13</v>
  </rv>
  <rv s="7">
    <fb>92.82</fb>
    <v>13</v>
  </rv>
  <rv s="7">
    <fb>91.17</fb>
    <v>13</v>
  </rv>
  <rv s="7">
    <fb>91.02</fb>
    <v>13</v>
  </rv>
  <rv s="7">
    <fb>90.43</fb>
    <v>13</v>
  </rv>
  <rv s="7">
    <fb>90.37</fb>
    <v>13</v>
  </rv>
  <rv s="7">
    <fb>89.83</fb>
    <v>13</v>
  </rv>
  <rv s="7">
    <fb>90.13</fb>
    <v>13</v>
  </rv>
  <rv s="7">
    <fb>90.52</fb>
    <v>13</v>
  </rv>
  <rv s="7">
    <fb>88.02</fb>
    <v>13</v>
  </rv>
  <rv s="7">
    <fb>89.25</fb>
    <v>13</v>
  </rv>
  <rv s="7">
    <fb>89.58</fb>
    <v>13</v>
  </rv>
  <rv s="7">
    <fb>89.71</fb>
    <v>13</v>
  </rv>
  <rv s="7">
    <fb>89.94</fb>
    <v>13</v>
  </rv>
  <rv s="7">
    <fb>91.4</fb>
    <v>13</v>
  </rv>
  <rv s="7">
    <fb>91.52</fb>
    <v>13</v>
  </rv>
  <rv s="7">
    <fb>91.69</fb>
    <v>13</v>
  </rv>
  <rv s="7">
    <fb>90.71</fb>
    <v>13</v>
  </rv>
  <rv s="7">
    <fb>91.38</fb>
    <v>13</v>
  </rv>
  <rv s="7">
    <fb>91.22</fb>
    <v>13</v>
  </rv>
  <rv s="7">
    <fb>91.32</fb>
    <v>13</v>
  </rv>
  <rv s="7">
    <fb>92.05</fb>
    <v>13</v>
  </rv>
  <rv s="7">
    <fb>92.48</fb>
    <v>13</v>
  </rv>
  <rv s="7">
    <fb>93.35</fb>
    <v>13</v>
  </rv>
  <rv s="7">
    <fb>92.9</fb>
    <v>13</v>
  </rv>
  <rv s="7">
    <fb>92.22</fb>
    <v>13</v>
  </rv>
  <rv s="7">
    <fb>91.44</fb>
    <v>13</v>
  </rv>
  <rv s="7">
    <fb>89.66</fb>
    <v>13</v>
  </rv>
  <rv s="7">
    <fb>90.68</fb>
    <v>13</v>
  </rv>
  <rv s="7">
    <fb>90.47</fb>
    <v>13</v>
  </rv>
  <rv s="7">
    <fb>90.36</fb>
    <v>13</v>
  </rv>
  <rv s="7">
    <fb>92.03</fb>
    <v>13</v>
  </rv>
  <rv s="7">
    <fb>91.2</fb>
    <v>13</v>
  </rv>
  <rv s="7">
    <fb>91.53</fb>
    <v>13</v>
  </rv>
  <rv s="7">
    <fb>91.65</fb>
    <v>13</v>
  </rv>
  <rv s="7">
    <fb>89.77</fb>
    <v>13</v>
  </rv>
  <rv s="7">
    <fb>87.95</fb>
    <v>13</v>
  </rv>
  <rv s="7">
    <fb>84.78</fb>
    <v>13</v>
  </rv>
  <rv s="7">
    <fb>83.77</fb>
    <v>13</v>
  </rv>
  <rv s="7">
    <fb>81.709999999999994</fb>
    <v>13</v>
  </rv>
  <rv s="7">
    <fb>1.8149999999999999</fb>
    <v>13</v>
  </rv>
  <rv s="7">
    <fb>1.73</fb>
    <v>13</v>
  </rv>
  <rv s="7">
    <fb>1.7</fb>
    <v>13</v>
  </rv>
  <rv s="7">
    <fb>1.675</fb>
    <v>13</v>
  </rv>
  <rv s="7">
    <fb>1.75</fb>
    <v>13</v>
  </rv>
  <rv s="7">
    <fb>1.825</fb>
    <v>13</v>
  </rv>
  <rv s="7">
    <fb>1.855</fb>
    <v>13</v>
  </rv>
  <rv s="7">
    <fb>1.88</fb>
    <v>13</v>
  </rv>
  <rv s="7">
    <fb>1.885</fb>
    <v>13</v>
  </rv>
  <rv s="7">
    <fb>1.875</fb>
    <v>13</v>
  </rv>
  <rv s="7">
    <fb>1.9</fb>
    <v>13</v>
  </rv>
  <rv s="7">
    <fb>1.91</fb>
    <v>13</v>
  </rv>
  <rv s="7">
    <fb>1.81</fb>
    <v>13</v>
  </rv>
  <rv s="7">
    <fb>1.8</fb>
    <v>13</v>
  </rv>
  <rv s="7">
    <fb>1.85</fb>
    <v>13</v>
  </rv>
  <rv s="7">
    <fb>1.8049999999999999</fb>
    <v>13</v>
  </rv>
  <rv s="7">
    <fb>1.7849999999999999</fb>
    <v>13</v>
  </rv>
  <rv s="7">
    <fb>1.7050000000000001</fb>
    <v>13</v>
  </rv>
  <rv s="7">
    <fb>1.67</fb>
    <v>13</v>
  </rv>
  <rv s="7">
    <fb>1.72</fb>
    <v>13</v>
  </rv>
  <rv s="7">
    <fb>1.7450000000000001</fb>
    <v>13</v>
  </rv>
  <rv s="7">
    <fb>1.71</fb>
    <v>13</v>
  </rv>
  <rv s="7">
    <fb>1.6950000000000001</fb>
    <v>13</v>
  </rv>
  <rv s="7">
    <fb>1.79</fb>
    <v>13</v>
  </rv>
  <rv s="7">
    <fb>1.895</fb>
    <v>13</v>
  </rv>
  <rv s="7">
    <fb>1.835</fb>
    <v>13</v>
  </rv>
  <rv s="7">
    <fb>1.89</fb>
    <v>13</v>
  </rv>
  <rv s="7">
    <fb>1.86</fb>
    <v>13</v>
  </rv>
  <rv s="7">
    <fb>1.84</fb>
    <v>13</v>
  </rv>
  <rv s="7">
    <fb>1.93</fb>
    <v>13</v>
  </rv>
  <rv s="7">
    <fb>1.9750000000000001</fb>
    <v>13</v>
  </rv>
  <rv s="7">
    <fb>1.98</fb>
    <v>13</v>
  </rv>
  <rv s="7">
    <fb>2</fb>
    <v>13</v>
  </rv>
  <rv s="7">
    <fb>2.0699999999999998</fb>
    <v>13</v>
  </rv>
  <rv s="7">
    <fb>2.1</fb>
    <v>13</v>
  </rv>
  <rv s="7">
    <fb>2.08</fb>
    <v>13</v>
  </rv>
  <rv s="7">
    <fb>2.21</fb>
    <v>13</v>
  </rv>
  <rv s="7">
    <fb>2.1800000000000002</fb>
    <v>13</v>
  </rv>
  <rv s="7">
    <fb>2.09</fb>
    <v>13</v>
  </rv>
  <rv s="7">
    <fb>2.06</fb>
    <v>13</v>
  </rv>
  <rv s="7">
    <fb>2.02</fb>
    <v>13</v>
  </rv>
  <rv s="7">
    <fb>2.04</fb>
    <v>13</v>
  </rv>
  <rv s="7">
    <fb>2.0499999999999998</fb>
    <v>13</v>
  </rv>
  <rv s="7">
    <fb>2.0299999999999998</fb>
    <v>13</v>
  </rv>
  <rv s="7">
    <fb>1.97</fb>
    <v>13</v>
  </rv>
  <rv s="7">
    <fb>1.87</fb>
    <v>13</v>
  </rv>
  <rv s="7">
    <fb>1.9550000000000001</fb>
    <v>13</v>
  </rv>
  <rv s="7">
    <fb>1.9350000000000001</fb>
    <v>13</v>
  </rv>
  <rv s="7">
    <fb>2.0099999999999998</fb>
    <v>13</v>
  </rv>
  <rv s="7">
    <fb>2.27</fb>
    <v>13</v>
  </rv>
  <rv s="7">
    <fb>2.17</fb>
    <v>13</v>
  </rv>
  <rv s="7">
    <fb>2.2000000000000002</fb>
    <v>13</v>
  </rv>
  <rv s="7">
    <fb>2.13</fb>
    <v>13</v>
  </rv>
  <rv s="7">
    <fb>2.15</fb>
    <v>13</v>
  </rv>
  <rv s="7">
    <fb>2.23</fb>
    <v>13</v>
  </rv>
  <rv s="7">
    <fb>2.19</fb>
    <v>13</v>
  </rv>
  <rv s="7">
    <fb>2.2200000000000002</fb>
    <v>13</v>
  </rv>
  <rv s="7">
    <fb>2.14</fb>
    <v>13</v>
  </rv>
  <rv s="8">
    <fb t="e">#N/A</fb>
    <v>6</v>
    <v>4</v>
  </rv>
  <rv s="7">
    <fb>1.9850000000000001</fb>
    <v>13</v>
  </rv>
  <rv s="7">
    <fb>1.99</fb>
    <v>13</v>
  </rv>
  <rv s="7">
    <fb>1.92</fb>
    <v>13</v>
  </rv>
  <rv s="7">
    <fb>1.94</fb>
    <v>13</v>
  </rv>
  <rv s="7">
    <fb>1.78</fb>
    <v>13</v>
  </rv>
  <rv s="7">
    <fb>1.7749999999999999</fb>
    <v>13</v>
  </rv>
  <rv s="7">
    <fb>1.77</fb>
    <v>13</v>
  </rv>
  <rv s="7">
    <fb>1.76</fb>
    <v>13</v>
  </rv>
  <rv s="7">
    <fb>1.68</fb>
    <v>13</v>
  </rv>
  <rv s="7">
    <fb>1.74</fb>
    <v>13</v>
  </rv>
  <rv s="7">
    <fb>1.7649999999999999</fb>
    <v>13</v>
  </rv>
  <rv s="7">
    <fb>1.83</fb>
    <v>13</v>
  </rv>
  <rv s="7">
    <fb>1.865</fb>
    <v>13</v>
  </rv>
  <rv s="7">
    <fb>1.95</fb>
    <v>13</v>
  </rv>
  <rv s="7">
    <fb>1.915</fb>
    <v>13</v>
  </rv>
  <rv s="7">
    <fb>1.9950000000000001</fb>
    <v>13</v>
  </rv>
  <rv s="7">
    <fb>1.905</fb>
    <v>13</v>
  </rv>
  <rv s="7">
    <fb>1.845</fb>
    <v>13</v>
  </rv>
  <rv s="7">
    <fb>1.9650000000000001</fb>
    <v>13</v>
  </rv>
  <rv s="7">
    <fb>1.96</fb>
    <v>13</v>
  </rv>
  <rv s="7">
    <fb>1.82</fb>
    <v>13</v>
  </rv>
  <rv s="7">
    <fb>1.69</fb>
    <v>13</v>
  </rv>
  <rv s="7">
    <fb>1.7150000000000001</fb>
    <v>13</v>
  </rv>
  <rv s="7">
    <fb>1.635</fb>
    <v>13</v>
  </rv>
  <rv s="7">
    <fb>1.66</fb>
    <v>13</v>
  </rv>
  <rv s="7">
    <fb>1.56</fb>
    <v>13</v>
  </rv>
  <rv s="7">
    <fb>1.645</fb>
    <v>13</v>
  </rv>
  <rv s="7">
    <fb>1.655</fb>
    <v>13</v>
  </rv>
  <rv s="7">
    <fb>1.595</fb>
    <v>13</v>
  </rv>
  <rv s="7">
    <fb>1.5649999999999999</fb>
    <v>13</v>
  </rv>
  <rv s="7">
    <fb>1.585</fb>
    <v>13</v>
  </rv>
  <rv s="7">
    <fb>1.52</fb>
    <v>13</v>
  </rv>
  <rv s="7">
    <fb>1.51</fb>
    <v>13</v>
  </rv>
  <rv s="7">
    <fb>1.5</fb>
    <v>13</v>
  </rv>
  <rv s="7">
    <fb>1.5549999999999999</fb>
    <v>13</v>
  </rv>
  <rv s="7">
    <fb>1.5349999999999999</fb>
    <v>13</v>
  </rv>
  <rv s="7">
    <fb>1.48</fb>
    <v>13</v>
  </rv>
  <rv s="7">
    <fb>1.4</fb>
    <v>13</v>
  </rv>
  <rv s="7">
    <fb>1.47</fb>
    <v>13</v>
  </rv>
  <rv s="7">
    <fb>1.4750000000000001</fb>
    <v>13</v>
  </rv>
  <rv s="7">
    <fb>1.45</fb>
    <v>13</v>
  </rv>
  <rv s="7">
    <fb>1.4950000000000001</fb>
    <v>13</v>
  </rv>
  <rv s="7">
    <fb>1.44</fb>
    <v>13</v>
  </rv>
  <rv s="7">
    <fb>1.46</fb>
    <v>13</v>
  </rv>
  <rv s="7">
    <fb>1.43</fb>
    <v>13</v>
  </rv>
  <rv s="7">
    <fb>1.5049999999999999</fb>
    <v>13</v>
  </rv>
  <rv s="7">
    <fb>1.49</fb>
    <v>13</v>
  </rv>
  <rv s="7">
    <fb>1.54</fb>
    <v>13</v>
  </rv>
  <rv s="7">
    <fb>1.55</fb>
    <v>13</v>
  </rv>
  <rv s="7">
    <fb>1.4850000000000001</fb>
    <v>13</v>
  </rv>
  <rv s="7">
    <fb>1.5249999999999999</fb>
    <v>13</v>
  </rv>
  <rv s="7">
    <fb>1.4350000000000001</fb>
    <v>13</v>
  </rv>
  <rv s="7">
    <fb>1.4650000000000001</fb>
    <v>13</v>
  </rv>
  <rv s="7">
    <fb>1.41</fb>
    <v>13</v>
  </rv>
  <rv s="7">
    <fb>1.36</fb>
    <v>13</v>
  </rv>
  <rv s="7">
    <fb>85.27</fb>
    <v>13</v>
  </rv>
  <rv s="7">
    <fb>86.6</fb>
    <v>13</v>
  </rv>
  <rv s="7">
    <fb>85.14</fb>
    <v>13</v>
  </rv>
  <rv s="7">
    <fb>83.51</fb>
    <v>13</v>
  </rv>
  <rv s="7">
    <fb>84.68</fb>
    <v>13</v>
  </rv>
  <rv s="7">
    <fb>86.59</fb>
    <v>13</v>
  </rv>
  <rv s="7">
    <fb>87.59</fb>
    <v>13</v>
  </rv>
  <rv s="7">
    <fb>87.06</fb>
    <v>13</v>
  </rv>
  <rv s="7">
    <fb>88.64</fb>
    <v>13</v>
  </rv>
  <rv s="7">
    <fb>88.62</fb>
    <v>13</v>
  </rv>
  <rv s="7">
    <fb>87.42</fb>
    <v>13</v>
  </rv>
  <rv s="7">
    <fb>86.12</fb>
    <v>13</v>
  </rv>
  <rv s="7">
    <fb>86.87</fb>
    <v>13</v>
  </rv>
  <rv s="7">
    <fb>86.31</fb>
    <v>13</v>
  </rv>
  <rv s="7">
    <fb>84.28</fb>
    <v>13</v>
  </rv>
  <rv s="7">
    <fb>83.62</fb>
    <v>13</v>
  </rv>
  <rv s="7">
    <fb>82.51</fb>
    <v>13</v>
  </rv>
  <rv s="7">
    <fb>81.900000000000006</fb>
    <v>13</v>
  </rv>
  <rv s="7">
    <fb>83.29</fb>
    <v>13</v>
  </rv>
  <rv s="7">
    <fb>82.78</fb>
    <v>13</v>
  </rv>
  <rv s="7">
    <fb>83.7</fb>
    <v>13</v>
  </rv>
  <rv s="7">
    <fb>81.56</fb>
    <v>13</v>
  </rv>
  <rv s="7">
    <fb>84.11</fb>
    <v>13</v>
  </rv>
  <rv s="7">
    <fb>84.49</fb>
    <v>13</v>
  </rv>
  <rv s="7">
    <fb>85.4</fb>
    <v>13</v>
  </rv>
  <rv s="7">
    <fb>86.38</fb>
    <v>13</v>
  </rv>
  <rv s="7">
    <fb>86.45</fb>
    <v>13</v>
  </rv>
  <rv s="7">
    <fb>87.32</fb>
    <v>13</v>
  </rv>
  <rv s="7">
    <fb>87.89</fb>
    <v>13</v>
  </rv>
  <rv s="7">
    <fb>86.72</fb>
    <v>13</v>
  </rv>
  <rv s="7">
    <fb>86.49</fb>
    <v>13</v>
  </rv>
  <rv s="7">
    <fb>86.4</fb>
    <v>13</v>
  </rv>
  <rv s="7">
    <fb>87.18</fb>
    <v>13</v>
  </rv>
  <rv s="7">
    <fb>87.11</fb>
    <v>13</v>
  </rv>
  <rv s="7">
    <fb>85.75</fb>
    <v>13</v>
  </rv>
  <rv s="7">
    <fb>84.71</fb>
    <v>13</v>
  </rv>
  <rv s="7">
    <fb>85.08</fb>
    <v>13</v>
  </rv>
  <rv s="7">
    <fb>84.77</fb>
    <v>13</v>
  </rv>
  <rv s="7">
    <fb>86.37</fb>
    <v>13</v>
  </rv>
  <rv s="7">
    <fb>86.54</fb>
    <v>13</v>
  </rv>
  <rv s="7">
    <fb>85.57</fb>
    <v>13</v>
  </rv>
  <rv s="7">
    <fb>86.1</fb>
    <v>13</v>
  </rv>
  <rv s="7">
    <fb>86.21</fb>
    <v>13</v>
  </rv>
  <rv s="7">
    <fb>86.03</fb>
    <v>13</v>
  </rv>
  <rv s="7">
    <fb>86.53</fb>
    <v>13</v>
  </rv>
  <rv s="7">
    <fb>87.12</fb>
    <v>13</v>
  </rv>
  <rv s="7">
    <fb>87.13</fb>
    <v>13</v>
  </rv>
  <rv s="7">
    <fb>87.19</fb>
    <v>13</v>
  </rv>
  <rv s="7">
    <fb>87.91</fb>
    <v>13</v>
  </rv>
  <rv s="7">
    <fb>87.99</fb>
    <v>13</v>
  </rv>
  <rv s="7">
    <fb>88.84</fb>
    <v>13</v>
  </rv>
  <rv s="7">
    <fb>87.74</fb>
    <v>13</v>
  </rv>
  <rv s="7">
    <fb>88.17</fb>
    <v>13</v>
  </rv>
  <rv s="7">
    <fb>89.14</fb>
    <v>13</v>
  </rv>
  <rv s="7">
    <fb>89.39</fb>
    <v>13</v>
  </rv>
  <rv s="7">
    <fb>89.05</fb>
    <v>13</v>
  </rv>
  <rv s="7">
    <fb>89.33</fb>
    <v>13</v>
  </rv>
  <rv s="7">
    <fb>90.21</fb>
    <v>13</v>
  </rv>
  <rv s="7">
    <fb>90</fb>
    <v>13</v>
  </rv>
  <rv s="7">
    <fb>89.04</fb>
    <v>13</v>
  </rv>
  <rv s="7">
    <fb>89.7</fb>
    <v>13</v>
  </rv>
  <rv s="7">
    <fb>90.45</fb>
    <v>13</v>
  </rv>
  <rv s="7">
    <fb>92.72</fb>
    <v>13</v>
  </rv>
  <rv s="7">
    <fb>92.94</fb>
    <v>13</v>
  </rv>
  <rv s="7">
    <fb>93.92</fb>
    <v>13</v>
  </rv>
  <rv s="7">
    <fb>95.15</fb>
    <v>13</v>
  </rv>
  <rv s="7">
    <fb>94.58</fb>
    <v>13</v>
  </rv>
  <rv s="7">
    <fb>95.57</fb>
    <v>13</v>
  </rv>
  <rv s="7">
    <fb>95.98</fb>
    <v>13</v>
  </rv>
  <rv s="7">
    <fb>96.58</fb>
    <v>13</v>
  </rv>
  <rv s="7">
    <fb>97.79</fb>
    <v>13</v>
  </rv>
  <rv s="7">
    <fb>97.76</fb>
    <v>13</v>
  </rv>
  <rv s="7">
    <fb>95.32</fb>
    <v>13</v>
  </rv>
  <rv s="7">
    <fb>98.4</fb>
    <v>13</v>
  </rv>
  <rv s="7">
    <fb>98.05</fb>
    <v>13</v>
  </rv>
  <rv s="7">
    <fb>98.76</fb>
    <v>13</v>
  </rv>
  <rv s="7">
    <fb>99.63</fb>
    <v>13</v>
  </rv>
  <rv s="7">
    <fb>99.58</fb>
    <v>13</v>
  </rv>
  <rv s="7">
    <fb>98.97</fb>
    <v>13</v>
  </rv>
  <rv s="7">
    <fb>100.56</fb>
    <v>13</v>
  </rv>
  <rv s="7">
    <fb>99.72</fb>
    <v>13</v>
  </rv>
  <rv s="7">
    <fb>99.46</fb>
    <v>13</v>
  </rv>
  <rv s="7">
    <fb>100.33</fb>
    <v>13</v>
  </rv>
  <rv s="7">
    <fb>101.21</fb>
    <v>13</v>
  </rv>
  <rv s="7">
    <fb>102.52</fb>
    <v>13</v>
  </rv>
  <rv s="7">
    <fb>101.93</fb>
    <v>13</v>
  </rv>
  <rv s="7">
    <fb>101.48</fb>
    <v>13</v>
  </rv>
  <rv s="7">
    <fb>101.08</fb>
    <v>13</v>
  </rv>
  <rv s="7">
    <fb>101.85</fb>
    <v>13</v>
  </rv>
  <rv s="7">
    <fb>101.36</fb>
    <v>13</v>
  </rv>
  <rv s="7">
    <fb>103.45</fb>
    <v>13</v>
  </rv>
  <rv s="7">
    <fb>104.82</fb>
    <v>13</v>
  </rv>
  <rv s="7">
    <fb>105.91</fb>
    <v>13</v>
  </rv>
  <rv s="7">
    <fb>103.69</fb>
    <v>13</v>
  </rv>
  <rv s="7">
    <fb>98.06</fb>
    <v>13</v>
  </rv>
  <rv s="7">
    <fb>100.23</fb>
    <v>13</v>
  </rv>
  <rv s="7">
    <fb>99.2</fb>
    <v>13</v>
  </rv>
  <rv s="7">
    <fb>98.65</fb>
    <v>13</v>
  </rv>
  <rv s="7">
    <fb>99.26</fb>
    <v>13</v>
  </rv>
  <rv s="7">
    <fb>99.87</fb>
    <v>13</v>
  </rv>
  <rv s="7">
    <fb>100.48</fb>
    <v>13</v>
  </rv>
  <rv s="7">
    <fb>98.7</fb>
    <v>13</v>
  </rv>
  <rv s="7">
    <fb>99.49</fb>
    <v>13</v>
  </rv>
  <rv s="7">
    <fb>99.18</fb>
    <v>13</v>
  </rv>
  <rv s="7">
    <fb>98.62</fb>
    <v>13</v>
  </rv>
  <rv s="7">
    <fb>99.71</fb>
    <v>13</v>
  </rv>
  <rv s="7">
    <fb>98.59</fb>
    <v>13</v>
  </rv>
  <rv s="7">
    <fb>99.17</fb>
    <v>13</v>
  </rv>
  <rv s="7">
    <fb>98.39</fb>
    <v>13</v>
  </rv>
  <rv s="7">
    <fb>98.78</fb>
    <v>13</v>
  </rv>
  <rv s="7">
    <fb>98.31</fb>
    <v>13</v>
  </rv>
  <rv s="7">
    <fb>98.19</fb>
    <v>13</v>
  </rv>
  <rv s="7">
    <fb>97.68</fb>
    <v>13</v>
  </rv>
  <rv s="7">
    <fb>97.61</fb>
    <v>13</v>
  </rv>
  <rv s="7">
    <fb>98.42</fb>
    <v>13</v>
  </rv>
  <rv s="7">
    <fb>99.88</fb>
    <v>13</v>
  </rv>
  <rv s="7">
    <fb>99.12</fb>
    <v>13</v>
  </rv>
  <rv s="7">
    <fb>99.14</fb>
    <v>13</v>
  </rv>
  <rv s="7">
    <fb>100.71</fb>
    <v>13</v>
  </rv>
  <rv s="7">
    <fb>99.3</fb>
    <v>13</v>
  </rv>
  <rv s="7">
    <fb>99.45</fb>
    <v>13</v>
  </rv>
  <rv s="7">
    <fb>99.65</fb>
    <v>13</v>
  </rv>
  <rv s="7">
    <fb>101.66</fb>
    <v>13</v>
  </rv>
  <rv s="7">
    <fb>101.45</fb>
    <v>13</v>
  </rv>
  <rv s="7">
    <fb>102.23</fb>
    <v>13</v>
  </rv>
  <rv s="7">
    <fb>103.41</fb>
    <v>13</v>
  </rv>
  <rv s="7">
    <fb>103.75</fb>
    <v>13</v>
  </rv>
  <rv s="7">
    <fb>104.94</fb>
    <v>13</v>
  </rv>
  <rv s="7">
    <fb>106.56</fb>
    <v>13</v>
  </rv>
  <rv s="7">
    <fb>108.17</fb>
    <v>13</v>
  </rv>
  <rv s="7">
    <fb>105.88</fb>
    <v>13</v>
  </rv>
  <rv s="7">
    <fb>104.03</fb>
    <v>13</v>
  </rv>
  <rv s="7">
    <fb>102.54</fb>
    <v>13</v>
  </rv>
  <rv s="7">
    <fb>99</fb>
    <v>13</v>
  </rv>
  <rv s="7">
    <fb>99.77</fb>
    <v>13</v>
  </rv>
  <rv s="7">
    <fb>99.22</fb>
    <v>13</v>
  </rv>
  <rv s="7">
    <fb>99.27</fb>
    <v>13</v>
  </rv>
  <rv s="7">
    <fb>100.17</fb>
    <v>13</v>
  </rv>
  <rv s="7">
    <fb>99.91</fb>
    <v>13</v>
  </rv>
  <rv s="7">
    <fb>100.32</fb>
    <v>13</v>
  </rv>
  <rv s="7">
    <fb>100.99</fb>
    <v>13</v>
  </rv>
  <rv s="7">
    <fb>101.54</fb>
    <v>13</v>
  </rv>
  <rv s="7">
    <fb>100.42</fb>
    <v>13</v>
  </rv>
  <rv s="7">
    <fb>100.12</fb>
    <v>13</v>
  </rv>
  <rv s="7">
    <fb>101</fb>
    <v>13</v>
  </rv>
  <rv s="7">
    <fb>101.37</fb>
    <v>13</v>
  </rv>
  <rv s="7">
    <fb>101.84</fb>
    <v>13</v>
  </rv>
  <rv s="7">
    <fb>102.16</fb>
    <v>13</v>
  </rv>
  <rv s="7">
    <fb>102.14</fb>
    <v>13</v>
  </rv>
  <rv s="7">
    <fb>102.92</fb>
    <v>13</v>
  </rv>
  <rv s="7">
    <fb>100.55</fb>
    <v>13</v>
  </rv>
  <rv s="7">
    <fb>101.09</fb>
    <v>13</v>
  </rv>
  <rv s="7">
    <fb>101.3</fb>
    <v>13</v>
  </rv>
  <rv s="7">
    <fb>101.58</fb>
    <v>13</v>
  </rv>
  <rv s="7">
    <fb>101.41</fb>
    <v>13</v>
  </rv>
  <rv s="7">
    <fb>102.85</fb>
    <v>13</v>
  </rv>
  <rv s="7">
    <fb>102.88</fb>
    <v>13</v>
  </rv>
  <rv s="7">
    <fb>100.81</fb>
    <v>13</v>
  </rv>
  <rv s="7">
    <fb>100.34</fb>
    <v>13</v>
  </rv>
  <rv s="7">
    <fb>99.64</fb>
    <v>13</v>
  </rv>
  <rv s="7">
    <fb>100.8</fb>
    <v>13</v>
  </rv>
  <rv s="7">
    <fb>101.7</fb>
    <v>13</v>
  </rv>
  <rv s="7">
    <fb>104.59</fb>
    <v>13</v>
  </rv>
  <rv s="7">
    <fb>104</fb>
    <v>13</v>
  </rv>
  <rv s="7">
    <fb>102.62</fb>
    <v>13</v>
  </rv>
  <rv s="7">
    <fb>104.33</fb>
    <v>13</v>
  </rv>
  <rv s="7">
    <fb>100.08</fb>
    <v>13</v>
  </rv>
  <rv s="7">
    <fb>105.16</fb>
    <v>13</v>
  </rv>
  <rv s="7">
    <fb>105.5</fb>
    <v>13</v>
  </rv>
  <rv s="7">
    <fb>103.42</fb>
    <v>13</v>
  </rv>
  <rv s="7">
    <fb>104.45</fb>
    <v>13</v>
  </rv>
  <rv s="7">
    <fb>104.69</fb>
    <v>13</v>
  </rv>
  <rv s="7">
    <fb>104.89</fb>
    <v>13</v>
  </rv>
  <rv s="7">
    <fb>103.22</fb>
    <v>13</v>
  </rv>
  <rv s="7">
    <fb>101.91</fb>
    <v>13</v>
  </rv>
  <rv s="7">
    <fb>102.28</fb>
    <v>13</v>
  </rv>
  <rv s="7">
    <fb>103.94</fb>
    <v>13</v>
  </rv>
  <rv s="7">
    <fb>103.89</fb>
    <v>13</v>
  </rv>
  <rv s="7">
    <fb>105.03</fb>
    <v>13</v>
  </rv>
  <rv s="7">
    <fb>104.95</fb>
    <v>13</v>
  </rv>
  <rv s="7">
    <fb>104.88</fb>
    <v>13</v>
  </rv>
  <rv s="7">
    <fb>105.46</fb>
    <v>13</v>
  </rv>
  <rv s="7">
    <fb>105.1</fb>
    <v>13</v>
  </rv>
  <rv s="7">
    <fb>106.1</fb>
    <v>13</v>
  </rv>
  <rv s="7">
    <fb>106.86</fb>
    <v>13</v>
  </rv>
  <rv s="7">
    <fb>104.68</fb>
    <v>13</v>
  </rv>
  <rv s="7">
    <fb>106.29</fb>
    <v>13</v>
  </rv>
  <rv s="7">
    <fb>105.76</fb>
    <v>13</v>
  </rv>
  <rv s="7">
    <fb>107</fb>
    <v>13</v>
  </rv>
  <rv s="7">
    <fb>108.5</fb>
    <v>13</v>
  </rv>
  <rv s="7">
    <fb>109.71</fb>
    <v>13</v>
  </rv>
  <rv s="7">
    <fb>110.13</fb>
    <v>13</v>
  </rv>
  <rv s="7">
    <fb>108.81</fb>
    <v>13</v>
  </rv>
  <rv s="7">
    <fb>108.91</fb>
    <v>13</v>
  </rv>
  <rv s="7">
    <fb>107.17</fb>
    <v>13</v>
  </rv>
  <rv s="7">
    <fb>108.12</fb>
    <v>13</v>
  </rv>
  <rv s="7">
    <fb>108.01</fb>
    <v>13</v>
  </rv>
  <rv s="7">
    <fb>107.68</fb>
    <v>13</v>
  </rv>
  <rv s="7">
    <fb>98.99</fb>
    <v>13</v>
  </rv>
  <rv s="7">
    <fb>97.46</fb>
    <v>13</v>
  </rv>
  <rv s="7">
    <fb>97.81</fb>
    <v>13</v>
  </rv>
  <rv s="7">
    <fb>95.8</fb>
    <v>13</v>
  </rv>
  <rv s="7">
    <fb>96.82</fb>
    <v>13</v>
  </rv>
  <rv s="7">
    <fb>97.18</fb>
    <v>13</v>
  </rv>
  <rv s="7">
    <fb>95.77</fb>
    <v>13</v>
  </rv>
  <rv s="7">
    <fb>94.81</fb>
    <v>13</v>
  </rv>
  <rv s="7">
    <fb>93.78</fb>
    <v>13</v>
  </rv>
  <rv s="7">
    <fb>93.18</fb>
    <v>13</v>
  </rv>
  <rv s="7">
    <fb>93.88</fb>
    <v>13</v>
  </rv>
  <rv s="7">
    <fb>95.9</fb>
    <v>13</v>
  </rv>
  <rv s="7">
    <fb>96.61</fb>
    <v>13</v>
  </rv>
  <rv s="7">
    <fb>97.24</fb>
    <v>13</v>
  </rv>
  <rv s="7">
    <fb>97.63</fb>
    <v>13</v>
  </rv>
  <rv s="7">
    <fb>97.95</fb>
    <v>13</v>
  </rv>
  <rv s="7">
    <fb>98.16</fb>
    <v>13</v>
  </rv>
  <rv s="7">
    <fb>97.9</fb>
    <v>13</v>
  </rv>
  <rv s="7">
    <fb>98.03</fb>
    <v>13</v>
  </rv>
  <rv s="7">
    <fb>97.54</fb>
    <v>13</v>
  </rv>
  <rv s="7">
    <fb>96.93</fb>
    <v>13</v>
  </rv>
  <rv s="7">
    <fb>96.79</fb>
    <v>13</v>
  </rv>
  <rv s="7">
    <fb>99.59</fb>
    <v>13</v>
  </rv>
  <rv s="7">
    <fb>99.78</fb>
    <v>13</v>
  </rv>
  <rv s="7">
    <fb>100.11</fb>
    <v>13</v>
  </rv>
  <rv s="7">
    <fb>100.63</fb>
    <v>13</v>
  </rv>
  <rv s="7">
    <fb>101.9</fb>
    <v>13</v>
  </rv>
  <rv s="7">
    <fb>102.27</fb>
    <v>13</v>
  </rv>
  <rv s="7">
    <fb>102.51</fb>
    <v>13</v>
  </rv>
  <rv s="7">
    <fb>103.2</fb>
    <v>13</v>
  </rv>
  <rv s="7">
    <fb>99.97</fb>
    <v>13</v>
  </rv>
  <rv s="7">
    <fb>102.65</fb>
    <v>13</v>
  </rv>
  <rv s="7">
    <fb>103.32</fb>
    <v>13</v>
  </rv>
  <rv s="7">
    <fb>101.76</fb>
    <v>13</v>
  </rv>
  <rv s="7">
    <fb>102.12</fb>
    <v>13</v>
  </rv>
  <rv s="7">
    <fb>100.85</fb>
    <v>13</v>
  </rv>
  <rv s="7">
    <fb>101.16</fb>
    <v>13</v>
  </rv>
  <rv s="7">
    <fb>100.79</fb>
    <v>13</v>
  </rv>
  <rv s="7">
    <fb>99.33</fb>
    <v>13</v>
  </rv>
  <rv s="7">
    <fb>98.61</fb>
    <v>13</v>
  </rv>
  <rv s="7">
    <fb>97.37</fb>
    <v>13</v>
  </rv>
  <rv s="7">
    <fb>97.44</fb>
    <v>13</v>
  </rv>
  <rv s="7">
    <fb>95.45</fb>
    <v>13</v>
  </rv>
  <rv s="7">
    <fb>5.31</fb>
    <v>13</v>
  </rv>
  <rv s="7">
    <fb>5.15</fb>
    <v>13</v>
  </rv>
  <rv s="7">
    <fb>5.18</fb>
    <v>13</v>
  </rv>
  <rv s="7">
    <fb>5.21</fb>
    <v>13</v>
  </rv>
  <rv s="7">
    <fb>5.12</fb>
    <v>13</v>
  </rv>
  <rv s="7">
    <fb>5.25</fb>
    <v>13</v>
  </rv>
  <rv s="7">
    <fb>5.45</fb>
    <v>13</v>
  </rv>
  <rv s="7">
    <fb>5.13</fb>
    <v>13</v>
  </rv>
  <rv s="7">
    <fb>5.29</fb>
    <v>13</v>
  </rv>
  <rv s="7">
    <fb>5.17</fb>
    <v>13</v>
  </rv>
  <rv s="7">
    <fb>5.2</fb>
    <v>13</v>
  </rv>
  <rv s="7">
    <fb>5.14</fb>
    <v>13</v>
  </rv>
  <rv s="7">
    <fb>5.08</fb>
    <v>13</v>
  </rv>
  <rv s="7">
    <fb>4.93</fb>
    <v>13</v>
  </rv>
  <rv s="7">
    <fb>4.97</fb>
    <v>13</v>
  </rv>
  <rv s="7">
    <fb>5.05</fb>
    <v>13</v>
  </rv>
  <rv s="7">
    <fb>4.79</fb>
    <v>13</v>
  </rv>
  <rv s="7">
    <fb>4.8600000000000003</fb>
    <v>13</v>
  </rv>
  <rv s="7">
    <fb>4.46</fb>
    <v>13</v>
  </rv>
  <rv s="7">
    <fb>5.01</fb>
    <v>13</v>
  </rv>
  <rv s="7">
    <fb>5.24</fb>
    <v>13</v>
  </rv>
  <rv s="7">
    <fb>5.19</fb>
    <v>13</v>
  </rv>
  <rv s="7">
    <fb>5</fb>
    <v>13</v>
  </rv>
  <rv s="7">
    <fb>5.33</fb>
    <v>13</v>
  </rv>
  <rv s="7">
    <fb>5.23</fb>
    <v>13</v>
  </rv>
  <rv s="7">
    <fb>5.42</fb>
    <v>13</v>
  </rv>
  <rv s="7">
    <fb>5.37</fb>
    <v>13</v>
  </rv>
  <rv s="7">
    <fb>5.64</fb>
    <v>13</v>
  </rv>
  <rv s="7">
    <fb>5.52</fb>
    <v>13</v>
  </rv>
  <rv s="7">
    <fb>5.46</fb>
    <v>13</v>
  </rv>
  <rv s="7">
    <fb>5.3</fb>
    <v>13</v>
  </rv>
  <rv s="7">
    <fb>5.22</fb>
    <v>13</v>
  </rv>
  <rv s="7">
    <fb>5.26</fb>
    <v>13</v>
  </rv>
  <rv s="7">
    <fb>5.0999999999999996</fb>
    <v>13</v>
  </rv>
  <rv s="7">
    <fb>5.27</fb>
    <v>13</v>
  </rv>
  <rv s="7">
    <fb>5.38</fb>
    <v>13</v>
  </rv>
  <rv s="7">
    <fb>5.35</fb>
    <v>13</v>
  </rv>
  <rv s="7">
    <fb>5.41</fb>
    <v>13</v>
  </rv>
  <rv s="7">
    <fb>5.1100000000000003</fb>
    <v>13</v>
  </rv>
  <rv s="7">
    <fb>5.0599999999999996</fb>
    <v>13</v>
  </rv>
  <rv s="7">
    <fb>4.62</fb>
    <v>13</v>
  </rv>
  <rv s="7">
    <fb>4.45</fb>
    <v>13</v>
  </rv>
  <rv s="7">
    <fb>4.29</fb>
    <v>13</v>
  </rv>
  <rv s="7">
    <fb>4.13</fb>
    <v>13</v>
  </rv>
  <rv s="7">
    <fb>4.37</fb>
    <v>13</v>
  </rv>
  <rv s="7">
    <fb>4.24</fb>
    <v>13</v>
  </rv>
  <rv s="7">
    <fb>4.1500000000000004</fb>
    <v>13</v>
  </rv>
  <rv s="7">
    <fb>3.99</fb>
    <v>13</v>
  </rv>
  <rv s="7">
    <fb>4.4000000000000004</fb>
    <v>13</v>
  </rv>
  <rv s="7">
    <fb>4.04</fb>
    <v>13</v>
  </rv>
  <rv s="7">
    <fb>3.85</fb>
    <v>13</v>
  </rv>
  <rv s="7">
    <fb>3.71</fb>
    <v>13</v>
  </rv>
  <rv s="7">
    <fb>3.76</fb>
    <v>13</v>
  </rv>
  <rv s="7">
    <fb>3.82</fb>
    <v>13</v>
  </rv>
  <rv s="7">
    <fb>3.95</fb>
    <v>13</v>
  </rv>
  <rv s="7">
    <fb>3.91</fb>
    <v>13</v>
  </rv>
  <rv s="7">
    <fb>3.93</fb>
    <v>13</v>
  </rv>
  <rv s="7">
    <fb>4.1900000000000004</fb>
    <v>13</v>
  </rv>
  <rv s="7">
    <fb>4.0999999999999996</fb>
    <v>13</v>
  </rv>
  <rv s="7">
    <fb>4.01</fb>
    <v>13</v>
  </rv>
  <rv s="7">
    <fb>4.3099999999999996</fb>
    <v>13</v>
  </rv>
  <rv s="7">
    <fb>4.25</fb>
    <v>13</v>
  </rv>
  <rv s="7">
    <fb>4.3899999999999997</fb>
    <v>13</v>
  </rv>
  <rv s="7">
    <fb>4.38</fb>
    <v>13</v>
  </rv>
  <rv s="7">
    <fb>4.3499999999999996</fb>
    <v>13</v>
  </rv>
  <rv s="7">
    <fb>4.5199999999999996</fb>
    <v>13</v>
  </rv>
  <rv s="7">
    <fb>4.54</fb>
    <v>13</v>
  </rv>
  <rv s="7">
    <fb>4.47</fb>
    <v>13</v>
  </rv>
  <rv s="7">
    <fb>4.59</fb>
    <v>13</v>
  </rv>
  <rv s="7">
    <fb>4.6500000000000004</fb>
    <v>13</v>
  </rv>
  <rv s="7">
    <fb>4.67</fb>
    <v>13</v>
  </rv>
  <rv s="7">
    <fb>4.51</fb>
    <v>13</v>
  </rv>
  <rv s="7">
    <fb>4.41</fb>
    <v>13</v>
  </rv>
  <rv s="7">
    <fb>4.4400000000000004</fb>
    <v>13</v>
  </rv>
  <rv s="7">
    <fb>4.26</fb>
    <v>13</v>
  </rv>
  <rv s="7">
    <fb>4.22</fb>
    <v>13</v>
  </rv>
  <rv s="7">
    <fb>4.17</fb>
    <v>13</v>
  </rv>
  <rv s="7">
    <fb>4.08</fb>
    <v>13</v>
  </rv>
  <rv s="7">
    <fb>4.05</fb>
    <v>13</v>
  </rv>
  <rv s="7">
    <fb>4.03</fb>
    <v>13</v>
  </rv>
  <rv s="7">
    <fb>4.09</fb>
    <v>13</v>
  </rv>
  <rv s="7">
    <fb>4.16</fb>
    <v>13</v>
  </rv>
  <rv s="7">
    <fb>4.4800000000000004</fb>
    <v>13</v>
  </rv>
  <rv s="7">
    <fb>4.0599999999999996</fb>
    <v>13</v>
  </rv>
  <rv s="7">
    <fb>4.12</fb>
    <v>13</v>
  </rv>
  <rv s="7">
    <fb>4.3</fb>
    <v>13</v>
  </rv>
  <rv s="7">
    <fb>4.32</fb>
    <v>13</v>
  </rv>
  <rv s="7">
    <fb>4.18</fb>
    <v>13</v>
  </rv>
  <rv s="7">
    <fb>4.2</fb>
    <v>13</v>
  </rv>
  <rv s="7">
    <fb>4.1399999999999997</fb>
    <v>13</v>
  </rv>
  <rv s="7">
    <fb>3.96</fb>
    <v>13</v>
  </rv>
  <rv s="7">
    <fb>3.9</fb>
    <v>13</v>
  </rv>
  <rv s="7">
    <fb>3.52</fb>
    <v>13</v>
  </rv>
  <rv s="7">
    <fb>3.65</fb>
    <v>13</v>
  </rv>
  <rv s="7">
    <fb>3.74</fb>
    <v>13</v>
  </rv>
  <rv s="7">
    <fb>3.8</fb>
    <v>13</v>
  </rv>
  <rv s="7">
    <fb>3.81</fb>
    <v>13</v>
  </rv>
  <rv s="7">
    <fb>3.6</fb>
    <v>13</v>
  </rv>
  <rv s="7">
    <fb>3.72</fb>
    <v>13</v>
  </rv>
  <rv s="7">
    <fb>3.75</fb>
    <v>13</v>
  </rv>
  <rv s="7">
    <fb>3.64</fb>
    <v>13</v>
  </rv>
  <rv s="7">
    <fb>3.62</fb>
    <v>13</v>
  </rv>
  <rv s="7">
    <fb>3.54</fb>
    <v>13</v>
  </rv>
  <rv s="7">
    <fb>3.4</fb>
    <v>13</v>
  </rv>
  <rv s="7">
    <fb>3.39</fb>
    <v>13</v>
  </rv>
  <rv s="7">
    <fb>3.45</fb>
    <v>13</v>
  </rv>
  <rv s="7">
    <fb>3.61</fb>
    <v>13</v>
  </rv>
  <rv s="7">
    <fb>3.68</fb>
    <v>13</v>
  </rv>
  <rv s="7">
    <fb>3.73</fb>
    <v>13</v>
  </rv>
  <rv s="7">
    <fb>3.67</fb>
    <v>13</v>
  </rv>
  <rv s="7">
    <fb>3.43</fb>
    <v>13</v>
  </rv>
  <rv s="7">
    <fb>3.56</fb>
    <v>13</v>
  </rv>
  <rv s="7">
    <fb>3.31</fb>
    <v>13</v>
  </rv>
  <rv s="7">
    <fb>3.3</fb>
    <v>13</v>
  </rv>
  <rv s="7">
    <fb>3.46</fb>
    <v>13</v>
  </rv>
  <rv s="7">
    <fb>3.42</fb>
    <v>13</v>
  </rv>
  <rv s="7">
    <fb>3.63</fb>
    <v>13</v>
  </rv>
  <rv s="7">
    <fb>3.55</fb>
    <v>13</v>
  </rv>
  <rv s="7">
    <fb>3.69</fb>
    <v>13</v>
  </rv>
  <rv s="7">
    <fb>3.41</fb>
    <v>13</v>
  </rv>
  <rv s="7">
    <fb>3.34</fb>
    <v>13</v>
  </rv>
  <rv s="7">
    <fb>3.19</fb>
    <v>13</v>
  </rv>
  <rv s="7">
    <fb>3.06</fb>
    <v>13</v>
  </rv>
  <rv s="7">
    <fb>3.08</fb>
    <v>13</v>
  </rv>
  <rv s="7">
    <fb>3.05</fb>
    <v>13</v>
  </rv>
  <rv s="7">
    <fb>3.03</fb>
    <v>13</v>
  </rv>
  <rv s="7">
    <fb>2.92</fb>
    <v>13</v>
  </rv>
  <rv s="7">
    <fb>2.83</fb>
    <v>13</v>
  </rv>
  <rv s="7">
    <fb>2.93</fb>
    <v>13</v>
  </rv>
  <rv s="7">
    <fb>2.86</fb>
    <v>13</v>
  </rv>
  <rv s="7">
    <fb>2.81</fb>
    <v>13</v>
  </rv>
  <rv s="7">
    <fb>2.75</fb>
    <v>13</v>
  </rv>
  <rv s="7">
    <fb>2.82</fb>
    <v>13</v>
  </rv>
  <rv s="7">
    <fb>2.8</fb>
    <v>13</v>
  </rv>
  <rv s="7">
    <fb>2.77</fb>
    <v>13</v>
  </rv>
  <rv s="7">
    <fb>2.76</fb>
    <v>13</v>
  </rv>
  <rv s="7">
    <fb>2.78</fb>
    <v>13</v>
  </rv>
  <rv s="7">
    <fb>2.72</fb>
    <v>13</v>
  </rv>
  <rv s="7">
    <fb>2.5099999999999998</fb>
    <v>13</v>
  </rv>
  <rv s="7">
    <fb>2.57</fb>
    <v>13</v>
  </rv>
  <rv s="7">
    <fb>2.4700000000000002</fb>
    <v>13</v>
  </rv>
  <rv s="7">
    <fb>2.38</fb>
    <v>13</v>
  </rv>
  <rv s="7">
    <fb>2.42</fb>
    <v>13</v>
  </rv>
  <rv s="7">
    <fb>2.31</fb>
    <v>13</v>
  </rv>
  <rv s="7">
    <fb>2.5</fb>
    <v>13</v>
  </rv>
  <rv s="7">
    <fb>2.5499999999999998</fb>
    <v>13</v>
  </rv>
  <rv s="7">
    <fb>2.4500000000000002</fb>
    <v>13</v>
  </rv>
  <rv s="7">
    <fb>2.3199999999999998</fb>
    <v>13</v>
  </rv>
  <rv s="7">
    <fb>2.2599999999999998</fb>
    <v>13</v>
  </rv>
  <rv s="7">
    <fb>2.2799999999999998</fb>
    <v>13</v>
  </rv>
  <rv s="7">
    <fb>2.33</fb>
    <v>13</v>
  </rv>
  <rv s="7">
    <fb>2.35</fb>
    <v>13</v>
  </rv>
  <rv s="7">
    <fb>2.37</fb>
    <v>13</v>
  </rv>
  <rv s="7">
    <fb>2.34</fb>
    <v>13</v>
  </rv>
  <rv s="7">
    <fb>2.2400000000000002</fb>
    <v>13</v>
  </rv>
  <rv s="7">
    <fb>2.16</fb>
    <v>13</v>
  </rv>
  <rv s="7">
    <fb>24.13</fb>
    <v>13</v>
  </rv>
  <rv s="7">
    <fb>24.22</fb>
    <v>13</v>
  </rv>
  <rv s="7">
    <fb>23.92</fb>
    <v>13</v>
  </rv>
  <rv s="7">
    <fb>23.54</fb>
    <v>13</v>
  </rv>
  <rv s="7">
    <fb>23.81</fb>
    <v>13</v>
  </rv>
  <rv s="7">
    <fb>24.24</fb>
    <v>13</v>
  </rv>
  <rv s="7">
    <fb>24.71</fb>
    <v>13</v>
  </rv>
  <rv s="7">
    <fb>24.7</fb>
    <v>13</v>
  </rv>
  <rv s="7">
    <fb>25.23</fb>
    <v>13</v>
  </rv>
  <rv s="7">
    <fb>25.46</fb>
    <v>13</v>
  </rv>
  <rv s="7">
    <fb>25.03</fb>
    <v>13</v>
  </rv>
  <rv s="7">
    <fb>24.98</fb>
    <v>13</v>
  </rv>
  <rv s="7">
    <fb>25.05</fb>
    <v>13</v>
  </rv>
  <rv s="7">
    <fb>24.93</fb>
    <v>13</v>
  </rv>
  <rv s="7">
    <fb>25.29</fb>
    <v>13</v>
  </rv>
  <rv s="7">
    <fb>25.56</fb>
    <v>13</v>
  </rv>
  <rv s="7">
    <fb>25.6</fb>
    <v>13</v>
  </rv>
  <rv s="7">
    <fb>25.53</fb>
    <v>13</v>
  </rv>
  <rv s="7">
    <fb>25.11</fb>
    <v>13</v>
  </rv>
  <rv s="7">
    <fb>24.57</fb>
    <v>13</v>
  </rv>
  <rv s="7">
    <fb>24.85</fb>
    <v>13</v>
  </rv>
  <rv s="7">
    <fb>24.9</fb>
    <v>13</v>
  </rv>
  <rv s="7">
    <fb>25.15</fb>
    <v>13</v>
  </rv>
  <rv s="7">
    <fb>24.64</fb>
    <v>13</v>
  </rv>
  <rv s="7">
    <fb>25.14</fb>
    <v>13</v>
  </rv>
  <rv s="7">
    <fb>25.26</fb>
    <v>13</v>
  </rv>
  <rv s="7">
    <fb>25.7</fb>
    <v>13</v>
  </rv>
  <rv s="7">
    <fb>26.31</fb>
    <v>13</v>
  </rv>
  <rv s="7">
    <fb>26.39</fb>
    <v>13</v>
  </rv>
  <rv s="7">
    <fb>26.43</fb>
    <v>13</v>
  </rv>
  <rv s="7">
    <fb>26.65</fb>
    <v>13</v>
  </rv>
  <rv s="7">
    <fb>26.24</fb>
    <v>13</v>
  </rv>
  <rv s="7">
    <fb>26.12</fb>
    <v>13</v>
  </rv>
  <rv s="7">
    <fb>26.1</fb>
    <v>13</v>
  </rv>
  <rv s="7">
    <fb>26.14</fb>
    <v>13</v>
  </rv>
  <rv s="7">
    <fb>26.25</fb>
    <v>13</v>
  </rv>
  <rv s="7">
    <fb>26.01</fb>
    <v>13</v>
  </rv>
  <rv s="7">
    <fb>25.93</fb>
    <v>13</v>
  </rv>
  <rv s="7">
    <fb>25.94</fb>
    <v>13</v>
  </rv>
  <rv s="7">
    <fb>25.84</fb>
    <v>13</v>
  </rv>
  <rv s="7">
    <fb>25.97</fb>
    <v>13</v>
  </rv>
  <rv s="7">
    <fb>26.17</fb>
    <v>13</v>
  </rv>
  <rv s="7">
    <fb>26.13</fb>
    <v>13</v>
  </rv>
  <rv s="7">
    <fb>25.91</fb>
    <v>13</v>
  </rv>
  <rv s="7">
    <fb>26</fb>
    <v>13</v>
  </rv>
  <rv s="7">
    <fb>26.23</fb>
    <v>13</v>
  </rv>
  <rv s="7">
    <fb>26.34</fb>
    <v>13</v>
  </rv>
  <rv s="7">
    <fb>26.63</fb>
    <v>13</v>
  </rv>
  <rv s="7">
    <fb>26.72</fb>
    <v>13</v>
  </rv>
  <rv s="7">
    <fb>26.83</fb>
    <v>13</v>
  </rv>
  <rv s="7">
    <fb>26.79</fb>
    <v>13</v>
  </rv>
  <rv s="7">
    <fb>26.84</fb>
    <v>13</v>
  </rv>
  <rv s="7">
    <fb>26.68</fb>
    <v>13</v>
  </rv>
  <rv s="7">
    <fb>26.5</fb>
    <v>13</v>
  </rv>
  <rv s="7">
    <fb>26.21</fb>
    <v>13</v>
  </rv>
  <rv s="7">
    <fb>26.46</fb>
    <v>13</v>
  </rv>
  <rv s="7">
    <fb>26.66</fb>
    <v>13</v>
  </rv>
  <rv s="7">
    <fb>26.61</fb>
    <v>13</v>
  </rv>
  <rv s="7">
    <fb>26.91</fb>
    <v>13</v>
  </rv>
  <rv s="7">
    <fb>26.77</fb>
    <v>13</v>
  </rv>
  <rv s="7">
    <fb>27.23</fb>
    <v>13</v>
  </rv>
  <rv s="7">
    <fb>27.25</fb>
    <v>13</v>
  </rv>
  <rv s="7">
    <fb>27.37</fb>
    <v>13</v>
  </rv>
  <rv s="7">
    <fb>26.56</fb>
    <v>13</v>
  </rv>
  <rv s="7">
    <fb>26.78</fb>
    <v>13</v>
  </rv>
  <rv s="7">
    <fb>27.09</fb>
    <v>13</v>
  </rv>
  <rv s="7">
    <fb>26.81</fb>
    <v>13</v>
  </rv>
  <rv s="7">
    <fb>26.54</fb>
    <v>13</v>
  </rv>
  <rv s="7">
    <fb>25.96</fb>
    <v>13</v>
  </rv>
  <rv s="7">
    <fb>26.22</fb>
    <v>13</v>
  </rv>
  <rv s="7">
    <fb>26.05</fb>
    <v>13</v>
  </rv>
  <rv s="7">
    <fb>26.37</fb>
    <v>13</v>
  </rv>
  <rv s="7">
    <fb>26.02</fb>
    <v>13</v>
  </rv>
  <rv s="7">
    <fb>26.44</fb>
    <v>13</v>
  </rv>
  <rv s="7">
    <fb>26.47</fb>
    <v>13</v>
  </rv>
  <rv s="7">
    <fb>26.88</fb>
    <v>13</v>
  </rv>
  <rv s="7">
    <fb>26.82</fb>
    <v>13</v>
  </rv>
  <rv s="7">
    <fb>26.71</fb>
    <v>13</v>
  </rv>
  <rv s="7">
    <fb>26.95</fb>
    <v>13</v>
  </rv>
  <rv s="7">
    <fb>26.73</fb>
    <v>13</v>
  </rv>
  <rv s="7">
    <fb>27.12</fb>
    <v>13</v>
  </rv>
  <rv s="7">
    <fb>27.51</fb>
    <v>13</v>
  </rv>
  <rv s="7">
    <fb>26.64</fb>
    <v>13</v>
  </rv>
  <rv s="7">
    <fb>26.62</fb>
    <v>13</v>
  </rv>
  <rv s="7">
    <fb>26.67</fb>
    <v>13</v>
  </rv>
  <rv s="7">
    <fb>26.86</fb>
    <v>13</v>
  </rv>
  <rv s="7">
    <fb>27.01</fb>
    <v>13</v>
  </rv>
  <rv s="7">
    <fb>26.87</fb>
    <v>13</v>
  </rv>
  <rv s="7">
    <fb>26.42</fb>
    <v>13</v>
  </rv>
  <rv s="7">
    <fb>26.09</fb>
    <v>13</v>
  </rv>
  <rv s="7">
    <fb>26.18</fb>
    <v>13</v>
  </rv>
  <rv s="7">
    <fb>26.11</fb>
    <v>13</v>
  </rv>
  <rv s="7">
    <fb>26.04</fb>
    <v>13</v>
  </rv>
  <rv s="7">
    <fb>26.15</fb>
    <v>13</v>
  </rv>
  <rv s="7">
    <fb>26.08</fb>
    <v>13</v>
  </rv>
  <rv s="7">
    <fb>26.26</fb>
    <v>13</v>
  </rv>
  <rv s="7">
    <fb>25.65</fb>
    <v>13</v>
  </rv>
  <rv s="7">
    <fb>25.47</fb>
    <v>13</v>
  </rv>
  <rv s="7">
    <fb>25.74</fb>
    <v>13</v>
  </rv>
  <rv s="7">
    <fb>25.98</fb>
    <v>13</v>
  </rv>
  <rv s="7">
    <fb>25.77</fb>
    <v>13</v>
  </rv>
  <rv s="7">
    <fb>26.55</fb>
    <v>13</v>
  </rv>
  <rv s="7">
    <fb>26.32</fb>
    <v>13</v>
  </rv>
  <rv s="7">
    <fb>26.69</fb>
    <v>13</v>
  </rv>
  <rv s="7">
    <fb>26.92</fb>
    <v>13</v>
  </rv>
  <rv s="7">
    <fb>26.97</fb>
    <v>13</v>
  </rv>
  <rv s="7">
    <fb>27.22</fb>
    <v>13</v>
  </rv>
  <rv s="7">
    <fb>27.27</fb>
    <v>13</v>
  </rv>
  <rv s="7">
    <fb>27.7</fb>
    <v>13</v>
  </rv>
  <rv s="7">
    <fb>27.72</fb>
    <v>13</v>
  </rv>
  <rv s="7">
    <fb>27.45</fb>
    <v>13</v>
  </rv>
  <rv s="7">
    <fb>27.63</fb>
    <v>13</v>
  </rv>
  <rv s="7">
    <fb>27.41</fb>
    <v>13</v>
  </rv>
  <rv s="7">
    <fb>27.39</fb>
    <v>13</v>
  </rv>
  <rv s="7">
    <fb>27.4</fb>
    <v>13</v>
  </rv>
  <rv s="7">
    <fb>27.68</fb>
    <v>13</v>
  </rv>
  <rv s="7">
    <fb>27.53</fb>
    <v>13</v>
  </rv>
  <rv s="7">
    <fb>27.64</fb>
    <v>13</v>
  </rv>
  <rv s="7">
    <fb>27.54</fb>
    <v>13</v>
  </rv>
  <rv s="7">
    <fb>27.73</fb>
    <v>13</v>
  </rv>
  <rv s="7">
    <fb>28.34</fb>
    <v>13</v>
  </rv>
  <rv s="7">
    <fb>28.49</fb>
    <v>13</v>
  </rv>
  <rv s="7">
    <fb>28.7</fb>
    <v>13</v>
  </rv>
  <rv s="7">
    <fb>28.86</fb>
    <v>13</v>
  </rv>
  <rv s="7">
    <fb>28.67</fb>
    <v>13</v>
  </rv>
  <rv s="7">
    <fb>28.85</fb>
    <v>13</v>
  </rv>
  <rv s="7">
    <fb>28.4</fb>
    <v>13</v>
  </rv>
  <rv s="7">
    <fb>28.45</fb>
    <v>13</v>
  </rv>
  <rv s="7">
    <fb>28.18</fb>
    <v>13</v>
  </rv>
  <rv s="7">
    <fb>28.23</fb>
    <v>13</v>
  </rv>
  <rv s="7">
    <fb>28.14</fb>
    <v>13</v>
  </rv>
  <rv s="7">
    <fb>28.2</fb>
    <v>13</v>
  </rv>
  <rv s="7">
    <fb>27.89</fb>
    <v>13</v>
  </rv>
  <rv s="7">
    <fb>27.34</fb>
    <v>13</v>
  </rv>
  <rv s="7">
    <fb>27.1</fb>
    <v>13</v>
  </rv>
  <rv s="7">
    <fb>27.07</fb>
    <v>13</v>
  </rv>
  <rv s="7">
    <fb>27.35</fb>
    <v>13</v>
  </rv>
  <rv s="7">
    <fb>27.58</fb>
    <v>13</v>
  </rv>
  <rv s="7">
    <fb>27.49</fb>
    <v>13</v>
  </rv>
  <rv s="7">
    <fb>27.24</fb>
    <v>13</v>
  </rv>
  <rv s="7">
    <fb>27.83</fb>
    <v>13</v>
  </rv>
  <rv s="7">
    <fb>27.8</fb>
    <v>13</v>
  </rv>
  <rv s="7">
    <fb>27.78</fb>
    <v>13</v>
  </rv>
  <rv s="7">
    <fb>27.55</fb>
    <v>13</v>
  </rv>
  <rv s="7">
    <fb>27.99</fb>
    <v>13</v>
  </rv>
  <rv s="7">
    <fb>28.38</fb>
    <v>13</v>
  </rv>
  <rv s="7">
    <fb>28.46</fb>
    <v>13</v>
  </rv>
  <rv s="7">
    <fb>28.54</fb>
    <v>13</v>
  </rv>
  <rv s="7">
    <fb>28.58</fb>
    <v>13</v>
  </rv>
  <rv s="7">
    <fb>28.65</fb>
    <v>13</v>
  </rv>
  <rv s="7">
    <fb>28.79</fb>
    <v>13</v>
  </rv>
  <rv s="7">
    <fb>28.83</fb>
    <v>13</v>
  </rv>
  <rv s="7">
    <fb>28.9</fb>
    <v>13</v>
  </rv>
  <rv s="7">
    <fb>28.74</fb>
    <v>13</v>
  </rv>
  <rv s="7">
    <fb>29.3</fb>
    <v>13</v>
  </rv>
  <rv s="7">
    <fb>29.45</fb>
    <v>13</v>
  </rv>
  <rv s="7">
    <fb>28.71</fb>
    <v>13</v>
  </rv>
  <rv s="7">
    <fb>28.93</fb>
    <v>13</v>
  </rv>
  <rv s="7">
    <fb>29.11</fb>
    <v>13</v>
  </rv>
  <rv s="7">
    <fb>28.89</fb>
    <v>13</v>
  </rv>
  <rv s="7">
    <fb>30.15</fb>
    <v>13</v>
  </rv>
  <rv s="7">
    <fb>29.66</fb>
    <v>13</v>
  </rv>
  <rv s="7">
    <fb>29.87</fb>
    <v>13</v>
  </rv>
  <rv s="7">
    <fb>29.4</fb>
    <v>13</v>
  </rv>
  <rv s="7">
    <fb>29.23</fb>
    <v>13</v>
  </rv>
  <rv s="7">
    <fb>28.91</fb>
    <v>13</v>
  </rv>
  <rv s="7">
    <fb>28.57</fb>
    <v>13</v>
  </rv>
  <rv s="7">
    <fb>28.47</fb>
    <v>13</v>
  </rv>
  <rv s="7">
    <fb>28.32</fb>
    <v>13</v>
  </rv>
  <rv s="7">
    <fb>27.65</fb>
    <v>13</v>
  </rv>
  <rv s="7">
    <fb>27.2</fb>
    <v>13</v>
  </rv>
  <rv s="7">
    <fb>27.3</fb>
    <v>13</v>
  </rv>
  <rv s="7">
    <fb>27.38</fb>
    <v>13</v>
  </rv>
  <rv s="7">
    <fb>27.6</fb>
    <v>13</v>
  </rv>
  <rv s="7">
    <fb>27.96</fb>
    <v>13</v>
  </rv>
  <rv s="7">
    <fb>28.04</fb>
    <v>13</v>
  </rv>
  <rv s="7">
    <fb>28.63</fb>
    <v>13</v>
  </rv>
  <rv s="7">
    <fb>28.69</fb>
    <v>13</v>
  </rv>
  <rv s="7">
    <fb>28.59</fb>
    <v>13</v>
  </rv>
  <rv s="7">
    <fb>28.75</fb>
    <v>13</v>
  </rv>
  <rv s="7">
    <fb>28.53</fb>
    <v>13</v>
  </rv>
  <rv s="7">
    <fb>28.72</fb>
    <v>13</v>
  </rv>
  <rv s="7">
    <fb>29.25</fb>
    <v>13</v>
  </rv>
  <rv s="7">
    <fb>29.32</fb>
    <v>13</v>
  </rv>
  <rv s="7">
    <fb>28.84</fb>
    <v>13</v>
  </rv>
  <rv s="7">
    <fb>29.61</fb>
    <v>13</v>
  </rv>
  <rv s="7">
    <fb>28.97</fb>
    <v>13</v>
  </rv>
  <rv s="7">
    <fb>29.42</fb>
    <v>13</v>
  </rv>
  <rv s="7">
    <fb>29.39</fb>
    <v>13</v>
  </rv>
  <rv s="7">
    <fb>29.24</fb>
    <v>13</v>
  </rv>
  <rv s="7">
    <fb>29.57</fb>
    <v>13</v>
  </rv>
  <rv s="7">
    <fb>29.38</fb>
    <v>13</v>
  </rv>
  <rv s="7">
    <fb>29.41</fb>
    <v>13</v>
  </rv>
  <rv s="7">
    <fb>29.07</fb>
    <v>13</v>
  </rv>
  <rv s="7">
    <fb>28.17</fb>
    <v>13</v>
  </rv>
  <rv s="7">
    <fb>2.44</fb>
    <v>13</v>
  </rv>
  <rv s="7">
    <fb>2.29</fb>
    <v>13</v>
  </rv>
  <rv s="7">
    <fb>2.59</fb>
    <v>13</v>
  </rv>
  <rv s="7">
    <fb>2.62</fb>
    <v>13</v>
  </rv>
  <rv s="7">
    <fb>2.46</fb>
    <v>13</v>
  </rv>
  <rv s="7">
    <fb>2.12</fb>
    <v>13</v>
  </rv>
  <rv s="7">
    <fb>2.25</fb>
    <v>13</v>
  </rv>
  <rv s="7">
    <fb>2.11</fb>
    <v>13</v>
  </rv>
  <rv s="7">
    <fb>2.36</fb>
    <v>13</v>
  </rv>
  <rv s="7">
    <fb>1.6850000000000001</fb>
    <v>13</v>
  </rv>
  <rv s="7">
    <fb>1.65</fb>
    <v>13</v>
  </rv>
  <rv s="7">
    <fb>1.7949999999999999</fb>
    <v>13</v>
  </rv>
  <rv s="7">
    <fb>1.7250000000000001</fb>
    <v>13</v>
  </rv>
  <rv s="7">
    <fb>1.925</fb>
    <v>13</v>
  </rv>
  <rv s="7">
    <fb>1.9450000000000001</fb>
    <v>13</v>
  </rv>
  <rv s="7">
    <fb>1.615</fb>
    <v>13</v>
  </rv>
  <rv s="7">
    <fb>1.575</fb>
    <v>13</v>
  </rv>
  <rv s="7">
    <fb>1.58</fb>
    <v>13</v>
  </rv>
  <rv s="7">
    <fb>1.6</fb>
    <v>13</v>
  </rv>
  <rv s="7">
    <fb>1.385</fb>
    <v>13</v>
  </rv>
  <rv s="7">
    <fb>1.53</fb>
    <v>13</v>
  </rv>
  <rv s="7">
    <fb>1.5449999999999999</fb>
    <v>13</v>
  </rv>
  <rv s="7">
    <fb>1.4450000000000001</fb>
    <v>13</v>
  </rv>
  <rv s="7">
    <fb>1.395</fb>
    <v>13</v>
  </rv>
  <rv s="7">
    <fb>1.415</fb>
    <v>13</v>
  </rv>
  <rv s="7">
    <fb>1.375</fb>
    <v>13</v>
  </rv>
  <rv s="7">
    <fb>1.42</fb>
    <v>13</v>
  </rv>
  <rv s="7">
    <fb>1.37</fb>
    <v>13</v>
  </rv>
  <rv s="7">
    <fb>1.345</fb>
    <v>13</v>
  </rv>
  <rv s="7">
    <fb>1.325</fb>
    <v>13</v>
  </rv>
  <rv s="0">
    <v>https://www.bing.com/financeapi/forcetrigger?t=aa533m&amp;q=XASX%3aBLD&amp;form=skydnc</v>
    <v>Learn more on Bing</v>
  </rv>
  <rv s="1">
    <v>en-US</v>
    <v>aa533m</v>
    <v>268435456</v>
    <v>1</v>
    <v>Powered by Refinitiv</v>
    <v>0</v>
    <v>BORAL LIMITED (XASX:BLD)</v>
    <v>2</v>
    <v>3</v>
    <v>Finance</v>
    <v>4</v>
    <v>7.43</v>
    <v>4.79</v>
    <v>2.0434999999999999</v>
    <v>-0.1</v>
    <v>-1.6920000000000001E-2</v>
    <v>AUD</v>
    <v>Boral Limited is an Australia-based building products and construction materials company. The Company is engaged in the manufacture and supply of building and construction materials in Australia and North America. The Company operates through Boral Australia segment. The Boral Australia segment offers construction materials, which includes quarries, concrete, asphalt, transport, landfill, property, cement and concrete placing. Its products are offered to end-use markets, which include residential and non-residential construction and the engineering and infrastructure markets.</v>
    <v>5081</v>
    <v>Australian Securities Exchange</v>
    <v>XASX</v>
    <v>XASX</v>
    <v>L 18 15 Blue Street, NORTH SYDNEY, NEW SOUTH WALES, 2060 AU</v>
    <v>5.91</v>
    <v>Construction Materials</v>
    <v>Stock</v>
    <v>44586.333321759259</v>
    <v>1266</v>
    <v>5.71</v>
    <v>6519252000</v>
    <v>BORAL LIMITED</v>
    <v>BORAL LIMITED</v>
    <v>5.9</v>
    <v>11.26</v>
    <v>5.91</v>
    <v>5.81</v>
    <v>1103088000</v>
    <v>BLD</v>
    <v>BORAL LIMITED (XASX:BLD)</v>
    <v>1677629</v>
    <v>1960</v>
  </rv>
  <rv s="2">
    <v>1267</v>
  </rv>
  <rv s="0">
    <v>https://www.bing.com/financeapi/forcetrigger?t=aa4om7&amp;q=XASX%3aASB&amp;form=skydnc</v>
    <v>Learn more on Bing</v>
  </rv>
  <rv s="1">
    <v>en-US</v>
    <v>aa4om7</v>
    <v>268435456</v>
    <v>1</v>
    <v>Powered by Refinitiv</v>
    <v>0</v>
    <v>AUSTAL LIMITED (XASX:ASB)</v>
    <v>2</v>
    <v>3</v>
    <v>Finance</v>
    <v>4</v>
    <v>2.66</v>
    <v>1.61</v>
    <v>0.92379999999999995</v>
    <v>-0.03</v>
    <v>-1.5152000000000001E-2</v>
    <v>AUD</v>
    <v>Austal Limited (Austal) is an Australia-based shipbuilder, defense prime contractor and maritime technology company. The Company is engaged in designing, constructing and supporting defense and commercial vessels for the operators worldwide. Austal’s shipyards is located in Australia, the United States of America, the Philippines and Vietnam, and its service centers are located across the world. It offers naval, government and commercial operators ships, systems and support. Austal develops defense and commercials vessel. Its defense vessels include the Littoral Combat Ship for the United States Navy, the Expeditionary Fast Transport for the United States Navy and the High-Speed Support Vessel for the Royal Navy of Oman. Austal offers vessel control and information management systems, such as Motion Control and MARINELINK. Austal’s commercial vessel portfolio includes passenger ferries, vehicle passenger ferries, offshore crew transfer vessels and wind farm vessels.</v>
    <v>5500</v>
    <v>Australian Securities Exchange</v>
    <v>XASX</v>
    <v>XASX</v>
    <v>100 Clarence Beach Road, PERTH, WESTERN AUSTRALIA, 6166 AU</v>
    <v>1.9750000000000001</v>
    <v>Machinery, Equipment &amp; Components</v>
    <v>Stock</v>
    <v>44586.333333333336</v>
    <v>1269</v>
    <v>1.92</v>
    <v>716479100</v>
    <v>AUSTAL LIMITED</v>
    <v>AUSTAL LIMITED</v>
    <v>1.97</v>
    <v>8.76</v>
    <v>1.98</v>
    <v>1.95</v>
    <v>361858200</v>
    <v>ASB</v>
    <v>AUSTAL LIMITED (XASX:ASB)</v>
    <v>1157165</v>
    <v>1987</v>
  </rv>
  <rv s="2">
    <v>1270</v>
  </rv>
  <rv s="0">
    <v>https://www.bing.com/financeapi/forcetrigger?t=a1yjxm&amp;q=XNYS%3aNKE&amp;form=skydnc</v>
    <v>Learn more on Bing</v>
  </rv>
  <rv s="9">
    <v>en-US</v>
    <v>a1yjxm</v>
    <v>268435456</v>
    <v>1</v>
    <v>Powered by Refinitiv</v>
    <v>14</v>
    <v>NIKE, INC. (XNYS:NKE)</v>
    <v>2</v>
    <v>15</v>
    <v>Finance</v>
    <v>16</v>
    <v>179.1</v>
    <v>125.44</v>
    <v>0.96709999999999996</v>
    <v>-2.3849999999999998</v>
    <v>-1.6336E-2</v>
    <v>USD</v>
    <v>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v>
    <v>73300</v>
    <v>New York Stock Exchange</v>
    <v>XNYS</v>
    <v>XNYS</v>
    <v>1 SW Bowerman Dr, BEAVERTON, OR, 97005-6453 US</v>
    <v>145.62989999999999</v>
    <v>Textiles &amp; Apparel</v>
    <v>Stock</v>
    <v>44586.611219953127</v>
    <v>1272</v>
    <v>142.78</v>
    <v>227097681425</v>
    <v>NIKE, INC.</v>
    <v>NIKE, INC.</v>
    <v>145.19999999999999</v>
    <v>38.252299999999998</v>
    <v>146</v>
    <v>143.61500000000001</v>
    <v>1581295000</v>
    <v>NKE</v>
    <v>NIKE, INC. (XNYS:NKE)</v>
    <v>567352</v>
    <v>6071721</v>
    <v>1969</v>
  </rv>
  <rv s="2">
    <v>1273</v>
  </rv>
  <rv s="7">
    <fb>5.03</fb>
    <v>13</v>
  </rv>
  <rv s="7">
    <fb>4.83</fb>
    <v>13</v>
  </rv>
  <rv s="7">
    <fb>4.84</fb>
    <v>13</v>
  </rv>
  <rv s="7">
    <fb>4.99</fb>
    <v>13</v>
  </rv>
  <rv s="7">
    <fb>5.36</fb>
    <v>13</v>
  </rv>
  <rv s="7">
    <fb>5.47</fb>
    <v>13</v>
  </rv>
  <rv s="7">
    <fb>5.07</fb>
    <v>13</v>
  </rv>
  <rv s="7">
    <fb>5.04</fb>
    <v>13</v>
  </rv>
  <rv s="7">
    <fb>5.09</fb>
    <v>13</v>
  </rv>
  <rv s="7">
    <fb>5.28</fb>
    <v>13</v>
  </rv>
  <rv s="7">
    <fb>5.56</fb>
    <v>13</v>
  </rv>
  <rv s="7">
    <fb>5.53</fb>
    <v>13</v>
  </rv>
  <rv s="7">
    <fb>5.65</fb>
    <v>13</v>
  </rv>
  <rv s="7">
    <fb>5.66</fb>
    <v>13</v>
  </rv>
  <rv s="7">
    <fb>5.67</fb>
    <v>13</v>
  </rv>
  <rv s="7">
    <fb>5.62</fb>
    <v>13</v>
  </rv>
  <rv s="7">
    <fb>5.5</fb>
    <v>13</v>
  </rv>
  <rv s="7">
    <fb>5.48</fb>
    <v>13</v>
  </rv>
  <rv s="7">
    <fb>5.4</fb>
    <v>13</v>
  </rv>
  <rv s="7">
    <fb>5.49</fb>
    <v>13</v>
  </rv>
  <rv s="7">
    <fb>5.44</fb>
    <v>13</v>
  </rv>
  <rv s="7">
    <fb>5.86</fb>
    <v>13</v>
  </rv>
  <rv s="7">
    <fb>5.85</fb>
    <v>13</v>
  </rv>
  <rv s="7">
    <fb>5.83</fb>
    <v>13</v>
  </rv>
  <rv s="7">
    <fb>5.94</fb>
    <v>13</v>
  </rv>
  <rv s="7">
    <fb>5.96</fb>
    <v>13</v>
  </rv>
  <rv s="7">
    <fb>5.95</fb>
    <v>13</v>
  </rv>
  <rv s="7">
    <fb>5.98</fb>
    <v>13</v>
  </rv>
  <rv s="7">
    <fb>6.01</fb>
    <v>13</v>
  </rv>
  <rv s="7">
    <fb>6.06</fb>
    <v>13</v>
  </rv>
  <rv s="7">
    <fb>6.05</fb>
    <v>13</v>
  </rv>
  <rv s="7">
    <fb>6.15</fb>
    <v>13</v>
  </rv>
  <rv s="7">
    <fb>6.23</fb>
    <v>13</v>
  </rv>
  <rv s="7">
    <fb>6.26</fb>
    <v>13</v>
  </rv>
  <rv s="7">
    <fb>6.3</fb>
    <v>13</v>
  </rv>
  <rv s="7">
    <fb>6.35</fb>
    <v>13</v>
  </rv>
  <rv s="7">
    <fb>6.28</fb>
    <v>13</v>
  </rv>
  <rv s="7">
    <fb>6.2</fb>
    <v>13</v>
  </rv>
  <rv s="7">
    <fb>6.17</fb>
    <v>13</v>
  </rv>
  <rv s="7">
    <fb>6.33</fb>
    <v>13</v>
  </rv>
  <rv s="7">
    <fb>6.4</fb>
    <v>13</v>
  </rv>
  <rv s="7">
    <fb>6.44</fb>
    <v>13</v>
  </rv>
  <rv s="7">
    <fb>6.5</fb>
    <v>13</v>
  </rv>
  <rv s="7">
    <fb>6.72</fb>
    <v>13</v>
  </rv>
  <rv s="7">
    <fb>6.8</fb>
    <v>13</v>
  </rv>
  <rv s="7">
    <fb>6.76</fb>
    <v>13</v>
  </rv>
  <rv s="7">
    <fb>6.77</fb>
    <v>13</v>
  </rv>
  <rv s="7">
    <fb>6.78</fb>
    <v>13</v>
  </rv>
  <rv s="7">
    <fb>6.79</fb>
    <v>13</v>
  </rv>
  <rv s="7">
    <fb>6.75</fb>
    <v>13</v>
  </rv>
  <rv s="7">
    <fb>6.73</fb>
    <v>13</v>
  </rv>
  <rv s="7">
    <fb>6.74</fb>
    <v>13</v>
  </rv>
  <rv s="7">
    <fb>6.86</fb>
    <v>13</v>
  </rv>
  <rv s="7">
    <fb>6.81</fb>
    <v>13</v>
  </rv>
  <rv s="7">
    <fb>6.82</fb>
    <v>13</v>
  </rv>
  <rv s="7">
    <fb>6.91</fb>
    <v>13</v>
  </rv>
  <rv s="7">
    <fb>6.92</fb>
    <v>13</v>
  </rv>
  <rv s="7">
    <fb>6.85</fb>
    <v>13</v>
  </rv>
  <rv s="7">
    <fb>6.88</fb>
    <v>13</v>
  </rv>
  <rv s="7">
    <fb>6.83</fb>
    <v>13</v>
  </rv>
  <rv s="7">
    <fb>6.87</fb>
    <v>13</v>
  </rv>
  <rv s="7">
    <fb>7.16</fb>
    <v>13</v>
  </rv>
  <rv s="7">
    <fb>6.9</fb>
    <v>13</v>
  </rv>
  <rv s="7">
    <fb>7.34</fb>
    <v>13</v>
  </rv>
  <rv s="7">
    <fb>7.35</fb>
    <v>13</v>
  </rv>
  <rv s="7">
    <fb>7.36</fb>
    <v>13</v>
  </rv>
  <rv s="7">
    <fb>7.37</fb>
    <v>13</v>
  </rv>
  <rv s="7">
    <fb>7.38</fb>
    <v>13</v>
  </rv>
  <rv s="7">
    <fb>7.4</fb>
    <v>13</v>
  </rv>
  <rv s="7">
    <fb>7.39</fb>
    <v>13</v>
  </rv>
  <rv s="7">
    <fb>7.41</fb>
    <v>13</v>
  </rv>
  <rv s="7">
    <fb>7.18</fb>
    <v>13</v>
  </rv>
  <rv s="7">
    <fb>7.13</fb>
    <v>13</v>
  </rv>
  <rv s="7">
    <fb>7.08</fb>
    <v>13</v>
  </rv>
  <rv s="7">
    <fb>7.11</fb>
    <v>13</v>
  </rv>
  <rv s="7">
    <fb>7.03</fb>
    <v>13</v>
  </rv>
  <rv s="7">
    <fb>7.04</fb>
    <v>13</v>
  </rv>
  <rv s="7">
    <fb>7.01</fb>
    <v>13</v>
  </rv>
  <rv s="7">
    <fb>7.02</fb>
    <v>13</v>
  </rv>
  <rv s="7">
    <fb>6.97</fb>
    <v>13</v>
  </rv>
  <rv s="7">
    <fb>6.95</fb>
    <v>13</v>
  </rv>
  <rv s="7">
    <fb>6.71</fb>
    <v>13</v>
  </rv>
  <rv s="7">
    <fb>6.66</fb>
    <v>13</v>
  </rv>
  <rv s="7">
    <fb>6.47</fb>
    <v>13</v>
  </rv>
  <rv s="7">
    <fb>6.14</fb>
    <v>13</v>
  </rv>
  <rv s="7">
    <fb>6.12</fb>
    <v>13</v>
  </rv>
  <rv s="7">
    <fb>6.09</fb>
    <v>13</v>
  </rv>
  <rv s="7">
    <fb>6.1</fb>
    <v>13</v>
  </rv>
  <rv s="7">
    <fb>6.02</fb>
    <v>13</v>
  </rv>
  <rv s="7">
    <fb>5.97</fb>
    <v>13</v>
  </rv>
  <rv s="7">
    <fb>6.03</fb>
    <v>13</v>
  </rv>
  <rv s="7">
    <fb>5.99</fb>
    <v>13</v>
  </rv>
  <rv s="7">
    <fb>5.79</fb>
    <v>13</v>
  </rv>
  <rv s="7">
    <fb>5.87</fb>
    <v>13</v>
  </rv>
  <rv s="7">
    <fb>6</fb>
    <v>13</v>
  </rv>
  <rv s="7">
    <fb>6.11</fb>
    <v>13</v>
  </rv>
  <rv s="7">
    <fb>6.07</fb>
    <v>13</v>
  </rv>
  <rv s="7">
    <fb>6.16</fb>
    <v>13</v>
  </rv>
  <rv s="7">
    <fb>6.21</fb>
    <v>13</v>
  </rv>
  <rv s="7">
    <fb>6.22</fb>
    <v>13</v>
  </rv>
  <rv s="7">
    <fb>6.24</fb>
    <v>13</v>
  </rv>
  <rv s="7">
    <fb>6.25</fb>
    <v>13</v>
  </rv>
  <rv s="7">
    <fb>6.19</fb>
    <v>13</v>
  </rv>
  <rv s="7">
    <fb>6.18</fb>
    <v>13</v>
  </rv>
  <rv s="7">
    <fb>6.27</fb>
    <v>13</v>
  </rv>
  <rv s="7">
    <fb>6.31</fb>
    <v>13</v>
  </rv>
  <rv s="7">
    <fb>6.36</fb>
    <v>13</v>
  </rv>
  <rv s="7">
    <fb>6.37</fb>
    <v>13</v>
  </rv>
  <rv s="7">
    <fb>6.32</fb>
    <v>13</v>
  </rv>
  <rv s="7">
    <fb>6.61</fb>
    <v>13</v>
  </rv>
  <rv s="7">
    <fb>6.38</fb>
    <v>13</v>
  </rv>
  <rv s="7">
    <fb>6.41</fb>
    <v>13</v>
  </rv>
  <rv s="7">
    <fb>6.34</fb>
    <v>13</v>
  </rv>
  <rv s="7">
    <fb>6.63</fb>
    <v>13</v>
  </rv>
  <rv s="7">
    <fb>6.57</fb>
    <v>13</v>
  </rv>
  <rv s="7">
    <fb>6.45</fb>
    <v>13</v>
  </rv>
  <rv s="7">
    <fb>6.29</fb>
    <v>13</v>
  </rv>
  <rv s="7">
    <fb>6.08</fb>
    <v>13</v>
  </rv>
  <rv s="7">
    <fb>6.04</fb>
    <v>13</v>
  </rv>
  <rv s="7">
    <fb>5.91</fb>
    <v>13</v>
  </rv>
  <rv s="7">
    <fb>5.93</fb>
    <v>13</v>
  </rv>
  <rv s="7">
    <fb>5.78</fb>
    <v>13</v>
  </rv>
  <rv s="7">
    <fb>5.77</fb>
    <v>13</v>
  </rv>
  <rv s="7">
    <fb>5.74</fb>
    <v>13</v>
  </rv>
  <rv s="7">
    <fb>5.81</fb>
    <v>13</v>
  </rv>
  <rv s="7">
    <fb>811097</fb>
    <v>17</v>
  </rv>
  <rv s="7">
    <fb>423886</fb>
    <v>17</v>
  </rv>
  <rv s="7">
    <fb>314793</fb>
    <v>17</v>
  </rv>
  <rv s="7">
    <fb>6.1950000000000003</fb>
    <v>13</v>
  </rv>
  <rv s="7">
    <fb>383280</fb>
    <v>17</v>
  </rv>
  <rv s="7">
    <fb>618348</fb>
    <v>17</v>
  </rv>
  <rv s="7">
    <fb>696593</fb>
    <v>17</v>
  </rv>
  <rv s="7">
    <fb>429896</fb>
    <v>17</v>
  </rv>
  <rv s="7">
    <fb>572147</fb>
    <v>17</v>
  </rv>
  <rv s="7">
    <fb>957337</fb>
    <v>17</v>
  </rv>
  <rv s="7">
    <fb>530149</fb>
    <v>17</v>
  </rv>
  <rv s="7">
    <fb>530331</fb>
    <v>17</v>
  </rv>
  <rv s="7">
    <fb>1159971</fb>
    <v>17</v>
  </rv>
  <rv s="7">
    <fb>1636720</fb>
    <v>17</v>
  </rv>
  <rv s="7">
    <fb>5.72</fb>
    <v>13</v>
  </rv>
  <rv s="7">
    <fb>1053948</fb>
    <v>17</v>
  </rv>
  <rv s="7">
    <fb>5.8250000000000002</fb>
    <v>13</v>
  </rv>
  <rv s="7">
    <fb>5.75</fb>
    <v>13</v>
  </rv>
  <rv s="7">
    <fb>712061</fb>
    <v>17</v>
  </rv>
  <rv s="7">
    <fb>1786992</fb>
    <v>17</v>
  </rv>
  <rv s="7">
    <fb>5.7750000000000004</fb>
    <v>13</v>
  </rv>
  <rv s="7">
    <fb>1421493</fb>
    <v>17</v>
  </rv>
  <rv s="7">
    <fb>5.73</fb>
    <v>13</v>
  </rv>
  <rv s="7">
    <fb>5.9</fb>
    <v>13</v>
  </rv>
  <rv s="7">
    <fb>1250325</fb>
    <v>17</v>
  </rv>
  <rv s="7">
    <fb>5.89</fb>
    <v>13</v>
  </rv>
  <rv s="7">
    <fb>1677629</fb>
    <v>17</v>
  </rv>
  <rv s="7">
    <fb>5.71</fb>
    <v>13</v>
  </rv>
  <rv s="7">
    <fb>2.52</fb>
    <v>13</v>
  </rv>
  <rv s="7">
    <fb>2.5299999999999998</fb>
    <v>13</v>
  </rv>
  <rv s="7">
    <fb>2.48</fb>
    <v>13</v>
  </rv>
  <rv s="7">
    <fb>2.58</fb>
    <v>13</v>
  </rv>
  <rv s="7">
    <fb>2.2999999999999998</fb>
    <v>13</v>
  </rv>
  <rv s="7">
    <fb>2.41</fb>
    <v>13</v>
  </rv>
  <rv s="7">
    <fb>2.39</fb>
    <v>13</v>
  </rv>
  <rv s="7">
    <fb>2.4900000000000002</fb>
    <v>13</v>
  </rv>
  <rv s="7">
    <fb>2.4300000000000002</fb>
    <v>13</v>
  </rv>
  <rv s="7">
    <fb>2.56</fb>
    <v>13</v>
  </rv>
  <rv s="7">
    <fb>2.4</fb>
    <v>13</v>
  </rv>
  <rv s="7">
    <fb>1276178</fb>
    <v>17</v>
  </rv>
  <rv s="7">
    <fb>292514</fb>
    <v>17</v>
  </rv>
  <rv s="7">
    <fb>255406</fb>
    <v>17</v>
  </rv>
  <rv s="7">
    <fb>859419</fb>
    <v>17</v>
  </rv>
  <rv s="7">
    <fb>1.9675</fb>
    <v>13</v>
  </rv>
  <rv s="7">
    <fb>688628</fb>
    <v>17</v>
  </rv>
  <rv s="7">
    <fb>534522</fb>
    <v>17</v>
  </rv>
  <rv s="7">
    <fb>1.9475</fb>
    <v>13</v>
  </rv>
  <rv s="7">
    <fb>231647</fb>
    <v>17</v>
  </rv>
  <rv s="7">
    <fb>235280</fb>
    <v>17</v>
  </rv>
  <rv s="7">
    <fb>224029</fb>
    <v>17</v>
  </rv>
  <rv s="7">
    <fb>673543</fb>
    <v>17</v>
  </rv>
  <rv s="7">
    <fb>1.9524999999999999</fb>
    <v>13</v>
  </rv>
  <rv s="7">
    <fb>910138</fb>
    <v>17</v>
  </rv>
  <rv s="7">
    <fb>938792</fb>
    <v>17</v>
  </rv>
  <rv s="7">
    <fb>2.0150000000000001</fb>
    <v>13</v>
  </rv>
  <rv s="7">
    <fb>1467453</fb>
    <v>17</v>
  </rv>
  <rv s="7">
    <fb>1137519</fb>
    <v>17</v>
  </rv>
  <rv s="7">
    <fb>1318824</fb>
    <v>17</v>
  </rv>
  <rv s="7">
    <fb>957400</fb>
    <v>17</v>
  </rv>
  <rv s="7">
    <fb>1084025</fb>
    <v>17</v>
  </rv>
  <rv s="7">
    <fb>1279002</fb>
    <v>17</v>
  </rv>
  <rv s="7">
    <fb>1.9624999999999999</fb>
    <v>13</v>
  </rv>
  <rv s="7">
    <fb>1157165</fb>
    <v>17</v>
  </rv>
  <rv s="10">
    <v>en-SG</v>
    <v>avte3m</v>
    <v>268435456</v>
    <v>1</v>
    <v>Powered by Refinitiv</v>
    <v>18</v>
    <v>SGD/USD</v>
    <v>19</v>
    <v>20</v>
    <v>Finance</v>
    <v>21</v>
    <v>0.75949999999999995</v>
    <v>0.72729999999999995</v>
    <v>5.9999999999999995E-4</v>
    <v>8.0760000000000001E-4</v>
    <v>USD</v>
    <v>SGD</v>
    <v>0.74480000000000002</v>
    <v>Currency Pair</v>
    <v>44586.611111111109</v>
    <v>0.74270000000000003</v>
    <v>Singapore Dollar/US Dollar FX Cross Rate</v>
    <v>0.74280000000000002</v>
    <v>0.7429</v>
    <v>0.74350000000000005</v>
    <v>SGDUSD</v>
    <v>SGD/USD</v>
  </rv>
  <rv s="2">
    <v>1463</v>
  </rv>
  <rv s="7">
    <fb>0.74160000000000004</fb>
    <v>22</v>
  </rv>
  <rv s="7">
    <fb>0.74180000000000001</fb>
    <v>22</v>
  </rv>
  <rv s="7">
    <fb>0.7389</fb>
    <v>22</v>
  </rv>
  <rv s="7">
    <fb>0.73750000000000004</fb>
    <v>22</v>
  </rv>
  <rv s="7">
    <fb>0.73080000000000001</fb>
    <v>22</v>
  </rv>
  <rv s="7">
    <fb>0.73219999999999996</fb>
    <v>22</v>
  </rv>
  <rv s="7">
    <fb>0.73470000000000002</fb>
    <v>22</v>
  </rv>
  <rv s="7">
    <fb>0.73240000000000005</fb>
    <v>22</v>
  </rv>
  <rv s="7">
    <fb>0.73409999999999997</fb>
    <v>22</v>
  </rv>
  <rv s="7">
    <fb>0.73929999999999996</fb>
    <v>22</v>
  </rv>
  <rv s="7">
    <fb>0.73640000000000005</fb>
    <v>22</v>
  </rv>
  <rv s="7">
    <fb>0.74299999999999999</fb>
    <v>22</v>
  </rv>
  <rv s="10">
    <v>en-SG</v>
    <v>avt4gh</v>
    <v>268435456</v>
    <v>1</v>
    <v>Powered by Refinitiv</v>
    <v>18</v>
    <v>SGD/AUD</v>
    <v>19</v>
    <v>23</v>
    <v>Finance</v>
    <v>21</v>
    <v>1.0438000000000001</v>
    <v>0.94779999999999998</v>
    <v>1E-3</v>
    <v>9.6140000000000006E-4</v>
    <v>AUD</v>
    <v>SGD</v>
    <v>1.0438000000000001</v>
    <v>Currency Pair</v>
    <v>44586.611250000002</v>
    <v>1.0383</v>
    <v>Singapore Dollar/Australian Dollar FX Cross Rate</v>
    <v>1.04</v>
    <v>1.0402</v>
    <v>1.0411999999999999</v>
    <v>SGDAUD</v>
    <v>SGD/AUD</v>
  </rv>
  <rv s="2">
    <v>1477</v>
  </rv>
  <rv s="7">
    <fb>0.98609999999999998</fb>
    <v>13</v>
  </rv>
  <rv s="7">
    <fb>0.99609999999999999</fb>
    <v>13</v>
  </rv>
  <rv s="7">
    <fb>1.0084</fb>
    <v>13</v>
  </rv>
  <rv s="7">
    <fb>1.0146999999999999</fb>
    <v>13</v>
  </rv>
  <rv s="7">
    <fb>1.0153000000000001</fb>
    <v>13</v>
  </rv>
  <rv s="7">
    <fb>1.0301</fb>
    <v>13</v>
  </rv>
  <rv s="7">
    <fb>1.0243</fb>
    <v>13</v>
  </rv>
  <rv s="7">
    <fb>1.0216000000000001</fb>
    <v>13</v>
  </rv>
  <rv s="7">
    <fb>1.0174000000000001</fb>
    <v>13</v>
  </rv>
  <rv s="7">
    <fb>1.0192000000000001</fb>
    <v>13</v>
  </rv>
  <rv s="7">
    <fb>1.0198</fb>
    <v>13</v>
  </rv>
  <rv s="7">
    <fb>1.0282</fb>
    <v>13</v>
  </rv>
  <rv s="10">
    <v>en-SG</v>
    <v>avt8m7</v>
    <v>268435456</v>
    <v>1</v>
    <v>Powered by Refinitiv</v>
    <v>18</v>
    <v>SGD/JPY</v>
    <v>19</v>
    <v>24</v>
    <v>Finance</v>
    <v>21</v>
    <v>85.7607</v>
    <v>77.9666</v>
    <v>7.6600000000000001E-2</v>
    <v>9.0509999999999994E-4</v>
    <v>JPY</v>
    <v>SGD</v>
    <v>84.918400000000005</v>
    <v>Currency Pair</v>
    <v>44586.611226851855</v>
    <v>84.609700000000004</v>
    <v>Singapore Dollar/Japanese Yen FX Cross Rate</v>
    <v>84.623400000000004</v>
    <v>84.6297</v>
    <v>84.706299999999999</v>
    <v>SGDJPY</v>
    <v>SGD/JPY</v>
  </rv>
  <rv s="2">
    <v>1491</v>
  </rv>
  <rv s="7">
    <fb>84.397499999999994</fb>
    <v>25</v>
  </rv>
  <rv s="7">
    <fb>84.548599999999993</fb>
    <v>25</v>
  </rv>
  <rv s="7">
    <fb>84.164599999999993</fb>
    <v>25</v>
  </rv>
  <rv s="7">
    <fb>84.122399999999999</fb>
    <v>25</v>
  </rv>
  <rv s="7">
    <fb>84.352800000000002</fb>
    <v>25</v>
  </rv>
  <rv s="7">
    <fb>82.552400000000006</fb>
    <v>25</v>
  </rv>
  <rv s="7">
    <fb>83.506</fb>
    <v>25</v>
  </rv>
  <rv s="7">
    <fb>83.506699999999995</fb>
    <v>25</v>
  </rv>
  <rv s="7">
    <fb>83.740700000000004</fb>
    <v>25</v>
  </rv>
  <rv s="7">
    <fb>84.977099999999993</fb>
    <v>25</v>
  </rv>
  <rv s="7">
    <fb>85.499700000000004</fb>
    <v>25</v>
  </rv>
  <rv s="7">
    <fb>85.169799999999995</fb>
    <v>25</v>
  </rv>
  <rv s="7">
    <fb>84.775700000000001</fb>
    <v>25</v>
  </rv>
  <rv s="10">
    <v>en-SG</v>
    <v>avtdzr</v>
    <v>268435456</v>
    <v>1</v>
    <v>Powered by Refinitiv</v>
    <v>18</v>
    <v>SGD/GBP</v>
    <v>19</v>
    <v>26</v>
    <v>Finance</v>
    <v>21</v>
    <v>0.55669999999999997</v>
    <v>0.52810000000000001</v>
    <v>9.3999999999999997E-4</v>
    <v>1.707E-3</v>
    <v>GBP</v>
    <v>SGD</v>
    <v>0.55330000000000001</v>
    <v>Currency Pair</v>
    <v>44586.611238425925</v>
    <v>0.55059999999999998</v>
    <v>Singapore Dollar/UK Pound Sterling FX Cross Rate</v>
    <v>0.55069999999999997</v>
    <v>0.55069999999999997</v>
    <v>0.55169999999999997</v>
    <v>SGDGBP</v>
    <v>SGD/GBP</v>
  </rv>
  <rv s="2">
    <v>1506</v>
  </rv>
  <rv s="7">
    <fb>0.5393</fb>
    <v>27</v>
  </rv>
  <rv s="7">
    <fb>0.54190000000000005</fb>
    <v>27</v>
  </rv>
  <rv s="7">
    <fb>0.55120000000000002</fb>
    <v>27</v>
  </rv>
  <rv s="7">
    <fb>0.54690000000000005</fb>
    <v>27</v>
  </rv>
  <rv s="7">
    <fb>0.54820000000000002</fb>
    <v>27</v>
  </rv>
  <rv s="7">
    <fb>0.55130000000000001</fb>
    <v>27</v>
  </rv>
  <rv s="7">
    <fb>0.55600000000000005</fb>
    <v>27</v>
  </rv>
  <rv s="7">
    <fb>0.55210000000000004</fb>
    <v>27</v>
  </rv>
  <rv s="7">
    <fb>0.54969999999999997</fb>
    <v>27</v>
  </rv>
  <rv s="7">
    <fb>0.54800000000000004</fb>
    <v>27</v>
  </rv>
  <rv s="7">
    <fb>0.54320000000000002</fb>
    <v>27</v>
  </rv>
  <rv s="7">
    <fb>0.54210000000000003</fb>
    <v>27</v>
  </rv>
  <rv s="7">
    <fb>0.54490000000000005</fb>
    <v>27</v>
  </rv>
  <rv s="10">
    <v>en-SG</v>
    <v>avt66h</v>
    <v>268435456</v>
    <v>1</v>
    <v>Powered by Refinitiv</v>
    <v>18</v>
    <v>SGD/CNY</v>
    <v>19</v>
    <v>28</v>
    <v>Finance</v>
    <v>21</v>
    <v>4.9036999999999997</v>
    <v>4.6341000000000001</v>
    <v>2.5999999999999999E-3</v>
    <v>5.5289999999999994E-4</v>
    <v>CNY</v>
    <v>SGD</v>
    <v>4.7149999999999999</v>
    <v>Currency Pair</v>
    <v>44586.611111111109</v>
    <v>4.7022000000000004</v>
    <v>Singapore Dollar/Chinese Renminbi FX Cross Rate</v>
    <v>4.7023999999999999</v>
    <v>4.7027999999999999</v>
    <v>4.7054</v>
    <v>SGDCNY</v>
    <v>SGD/CNY</v>
  </rv>
  <rv s="2">
    <v>1521</v>
  </rv>
  <rv s="7">
    <fb>4.7397</fb>
    <v>29</v>
  </rv>
  <rv s="7">
    <fb>4.7519</fb>
    <v>29</v>
  </rv>
  <rv s="7">
    <fb>4.7205000000000004</fb>
    <v>29</v>
  </rv>
  <rv s="7">
    <fb>4.7031999999999998</fb>
    <v>29</v>
  </rv>
  <rv s="7">
    <fb>4.6712999999999996</fb>
    <v>29</v>
  </rv>
  <rv s="7">
    <fb>4.6619999999999999</fb>
    <v>29</v>
  </rv>
  <rv s="7">
    <fb>4.6605999999999996</fb>
    <v>29</v>
  </rv>
  <rv s="7">
    <fb>4.6632999999999996</fb>
    <v>29</v>
  </rv>
  <rv s="7">
    <fb>4.6755000000000004</fb>
    <v>29</v>
  </rv>
  <rv s="7">
    <fb>4.7080000000000002</fb>
    <v>29</v>
  </rv>
  <rv s="7">
    <fb>4.6866000000000003</fb>
    <v>29</v>
  </rv>
  <rv s="7">
    <fb>4.7240000000000002</fb>
    <v>29</v>
  </rv>
  <rv s="7">
    <fb>4.7050000000000001</fb>
    <v>29</v>
  </rv>
  <rv s="10">
    <v>en-SG</v>
    <v>avt78m</v>
    <v>268435456</v>
    <v>1</v>
    <v>Powered by Refinitiv</v>
    <v>18</v>
    <v>SGD/EUR</v>
    <v>19</v>
    <v>30</v>
    <v>Finance</v>
    <v>21</v>
    <v>0.66020000000000001</v>
    <v>0.61329999999999996</v>
    <v>3.5999999999999999E-3</v>
    <v>5.4890000000000008E-3</v>
    <v>EUR</v>
    <v>SGD</v>
    <v>0.66020000000000001</v>
    <v>Currency Pair</v>
    <v>44586.611215277779</v>
    <v>0.65580000000000005</v>
    <v>Singapore Dollar/Euro FX Cross Rate</v>
    <v>0.65600000000000003</v>
    <v>0.65590000000000004</v>
    <v>0.65949999999999998</v>
    <v>SGDEUR</v>
    <v>SGD/EUR</v>
  </rv>
  <rv s="2">
    <v>1536</v>
  </rv>
  <rv s="7">
    <fb>0.63880000000000003</fb>
    <v>31</v>
  </rv>
  <rv s="7">
    <fb>0.63870000000000005</fb>
    <v>31</v>
  </rv>
  <rv s="7">
    <fb>0.64359999999999995</fb>
    <v>31</v>
  </rv>
  <rv s="7">
    <fb>0.65149999999999997</fb>
    <v>31</v>
  </rv>
  <rv s="7">
    <fb>0.65249999999999997</fb>
    <v>31</v>
  </rv>
  <rv s="7">
    <fb>0.64670000000000005</fb>
    <v>31</v>
  </rv>
  <rv s="7">
    <fb>0.64770000000000005</fb>
    <v>31</v>
  </rv>
  <rv s="7">
    <fb>0.64880000000000004</fb>
    <v>31</v>
  </rv>
  <rv s="7">
    <fb>0.64800000000000002</fb>
    <v>31</v>
  </rv>
  <rv s="7">
    <fb>0.65129999999999999</fb>
    <v>31</v>
  </rv>
  <rv s="7">
    <fb>0.65069999999999995</fb>
    <v>31</v>
  </rv>
  <rv s="7">
    <fb>0.64910000000000001</fb>
    <v>31</v>
  </rv>
  <rv s="7">
    <fb>0.65369999999999995</fb>
    <v>31</v>
  </rv>
  <rv s="10">
    <v>en-US</v>
    <v>avyspr</v>
    <v>268435456</v>
    <v>1</v>
    <v>Powered by Refinitiv</v>
    <v>18</v>
    <v>USD/SGD</v>
    <v>19</v>
    <v>32</v>
    <v>Finance</v>
    <v>21</v>
    <v>1.3744000000000001</v>
    <v>1.3160000000000001</v>
    <v>-1.4E-3</v>
    <v>-1.0399999999999999E-3</v>
    <v>SGD</v>
    <v>USD</v>
    <v>1.3464</v>
    <v>Currency Pair</v>
    <v>44586.611111111109</v>
    <v>1.3426</v>
    <v>US Dollar/Singapore Dollar FX Spot Rate</v>
    <v>1.3454999999999999</v>
    <v>1.3455999999999999</v>
    <v>1.3442000000000001</v>
    <v>USDSGD</v>
    <v>USD/SGD</v>
  </rv>
  <rv s="2">
    <v>1551</v>
  </rv>
  <rv s="7">
    <fb>42758</fb>
    <v>12</v>
  </rv>
  <rv s="7">
    <fb>1.4247000000000001</fb>
    <v>33</v>
  </rv>
  <rv s="7">
    <fb>1.4261999999999999</fb>
    <v>33</v>
  </rv>
  <rv s="7">
    <fb>1.4169</fb>
    <v>33</v>
  </rv>
  <rv s="7">
    <fb>1.4175</fb>
    <v>33</v>
  </rv>
  <rv s="7">
    <fb>42759</fb>
    <v>12</v>
  </rv>
  <rv s="7">
    <fb>1.4172</fb>
    <v>33</v>
  </rv>
  <rv s="7">
    <fb>1.4216</fb>
    <v>33</v>
  </rv>
  <rv s="7">
    <fb>1.4144000000000001</fb>
    <v>33</v>
  </rv>
  <rv s="7">
    <fb>1.421</fb>
    <v>33</v>
  </rv>
  <rv s="7">
    <fb>42760</fb>
    <v>12</v>
  </rv>
  <rv s="7">
    <fb>1.4211</fb>
    <v>33</v>
  </rv>
  <rv s="7">
    <fb>1.4215</fb>
    <v>33</v>
  </rv>
  <rv s="7">
    <fb>1.4117</fb>
    <v>33</v>
  </rv>
  <rv s="7">
    <fb>1.4129</fb>
    <v>33</v>
  </rv>
  <rv s="7">
    <fb>42761</fb>
    <v>12</v>
  </rv>
  <rv s="7">
    <fb>1.4128000000000001</fb>
    <v>33</v>
  </rv>
  <rv s="7">
    <fb>1.4280999999999999</fb>
    <v>33</v>
  </rv>
  <rv s="7">
    <fb>1.4108000000000001</fb>
    <v>33</v>
  </rv>
  <rv s="7">
    <fb>1.4263999999999999</fb>
    <v>33</v>
  </rv>
  <rv s="7">
    <fb>42762</fb>
    <v>12</v>
  </rv>
  <rv s="7">
    <fb>1.4265000000000001</fb>
    <v>33</v>
  </rv>
  <rv s="7">
    <fb>1.4326000000000001</fb>
    <v>33</v>
  </rv>
  <rv s="7">
    <fb>1.4238999999999999</fb>
    <v>33</v>
  </rv>
  <rv s="7">
    <fb>1.4313</fb>
    <v>33</v>
  </rv>
  <rv s="7">
    <fb>42765</fb>
    <v>12</v>
  </rv>
  <rv s="7">
    <fb>1.4314</fb>
    <v>33</v>
  </rv>
  <rv s="7">
    <fb>1.4315</fb>
    <v>33</v>
  </rv>
  <rv s="7">
    <fb>1.4187000000000001</fb>
    <v>33</v>
  </rv>
  <rv s="7">
    <fb>1.4206000000000001</fb>
    <v>33</v>
  </rv>
  <rv s="7">
    <fb>42766</fb>
    <v>12</v>
  </rv>
  <rv s="7">
    <fb>1.4209000000000001</fb>
    <v>33</v>
  </rv>
  <rv s="7">
    <fb>1.4066000000000001</fb>
    <v>33</v>
  </rv>
  <rv s="7">
    <fb>1.4097</fb>
    <v>33</v>
  </rv>
  <rv s="7">
    <fb>42767</fb>
    <v>12</v>
  </rv>
  <rv s="7">
    <fb>1.4084000000000001</fb>
    <v>33</v>
  </rv>
  <rv s="7">
    <fb>1.4168000000000001</fb>
    <v>33</v>
  </rv>
  <rv s="7">
    <fb>1.4081999999999999</fb>
    <v>33</v>
  </rv>
  <rv s="7">
    <fb>1.4123000000000001</fb>
    <v>33</v>
  </rv>
  <rv s="7">
    <fb>42768</fb>
    <v>12</v>
  </rv>
  <rv s="7">
    <fb>1.4126000000000001</fb>
    <v>33</v>
  </rv>
  <rv s="7">
    <fb>1.4133</fb>
    <v>33</v>
  </rv>
  <rv s="7">
    <fb>1.4074</fb>
    <v>33</v>
  </rv>
  <rv s="7">
    <fb>42769</fb>
    <v>12</v>
  </rv>
  <rv s="7">
    <fb>1.4111</fb>
    <v>33</v>
  </rv>
  <rv s="7">
    <fb>1.4152</fb>
    <v>33</v>
  </rv>
  <rv s="7">
    <fb>1.405</fb>
    <v>33</v>
  </rv>
  <rv s="7">
    <fb>1.407</fb>
    <v>33</v>
  </rv>
  <rv s="7">
    <fb>42772</fb>
    <v>12</v>
  </rv>
  <rv s="7">
    <fb>1.4071</fb>
    <v>33</v>
  </rv>
  <rv s="7">
    <fb>1.4127000000000001</fb>
    <v>33</v>
  </rv>
  <rv s="7">
    <fb>1.4049</fb>
    <v>33</v>
  </rv>
  <rv s="7">
    <fb>1.4079999999999999</fb>
    <v>33</v>
  </rv>
  <rv s="7">
    <fb>42773</fb>
    <v>12</v>
  </rv>
  <rv s="7">
    <fb>1.4077999999999999</fb>
    <v>33</v>
  </rv>
  <rv s="7">
    <fb>1.4198</fb>
    <v>33</v>
  </rv>
  <rv s="7">
    <fb>1.4177999999999999</fb>
    <v>33</v>
  </rv>
  <rv s="7">
    <fb>42774</fb>
    <v>12</v>
  </rv>
  <rv s="7">
    <fb>1.4177</fb>
    <v>33</v>
  </rv>
  <rv s="7">
    <fb>1.4196</fb>
    <v>33</v>
  </rv>
  <rv s="7">
    <fb>1.4132</fb>
    <v>33</v>
  </rv>
  <rv s="7">
    <fb>1.4162999999999999</fb>
    <v>33</v>
  </rv>
  <rv s="7">
    <fb>42775</fb>
    <v>12</v>
  </rv>
  <rv s="7">
    <fb>1.4160999999999999</fb>
    <v>33</v>
  </rv>
  <rv s="7">
    <fb>1.4205000000000001</fb>
    <v>33</v>
  </rv>
  <rv s="7">
    <fb>1.4204000000000001</fb>
    <v>33</v>
  </rv>
  <rv s="7">
    <fb>42776</fb>
    <v>12</v>
  </rv>
  <rv s="7">
    <fb>1.4202999999999999</fb>
    <v>33</v>
  </rv>
  <rv s="7">
    <fb>1.4229000000000001</fb>
    <v>33</v>
  </rv>
  <rv s="7">
    <fb>1.4174</fb>
    <v>33</v>
  </rv>
  <rv s="7">
    <fb>42779</fb>
    <v>12</v>
  </rv>
  <rv s="7">
    <fb>1.4256</fb>
    <v>33</v>
  </rv>
  <rv s="7">
    <fb>1.4193</fb>
    <v>33</v>
  </rv>
  <rv s="7">
    <fb>1.4238</fb>
    <v>33</v>
  </rv>
  <rv s="7">
    <fb>42780</fb>
    <v>12</v>
  </rv>
  <rv s="7">
    <fb>1.4235</fb>
    <v>33</v>
  </rv>
  <rv s="7">
    <fb>1.4242999999999999</fb>
    <v>33</v>
  </rv>
  <rv s="7">
    <fb>1.415</fb>
    <v>33</v>
  </rv>
  <rv s="7">
    <fb>42781</fb>
    <v>12</v>
  </rv>
  <rv s="7">
    <fb>1.4208000000000001</fb>
    <v>33</v>
  </rv>
  <rv s="7">
    <fb>1.4176</fb>
    <v>33</v>
  </rv>
  <rv s="7">
    <fb>1.4188000000000001</fb>
    <v>33</v>
  </rv>
  <rv s="7">
    <fb>42782</fb>
    <v>12</v>
  </rv>
  <rv s="7">
    <fb>1.4157</fb>
    <v>33</v>
  </rv>
  <rv s="7">
    <fb>1.4161999999999999</fb>
    <v>33</v>
  </rv>
  <rv s="7">
    <fb>42783</fb>
    <v>12</v>
  </rv>
  <rv s="7">
    <fb>1.4185000000000001</fb>
    <v>33</v>
  </rv>
  <rv s="7">
    <fb>42786</fb>
    <v>12</v>
  </rv>
  <rv s="7">
    <fb>1.4186000000000001</fb>
    <v>33</v>
  </rv>
  <rv s="7">
    <fb>1.4191</fb>
    <v>33</v>
  </rv>
  <rv s="7">
    <fb>1.4164000000000001</fb>
    <v>33</v>
  </rv>
  <rv s="7">
    <fb>42787</fb>
    <v>12</v>
  </rv>
  <rv s="7">
    <fb>1.4181999999999999</fb>
    <v>33</v>
  </rv>
  <rv s="7">
    <fb>1.4231</fb>
    <v>33</v>
  </rv>
  <rv s="7">
    <fb>1.4200999999999999</fb>
    <v>33</v>
  </rv>
  <rv s="7">
    <fb>42788</fb>
    <v>12</v>
  </rv>
  <rv s="7">
    <fb>1.4198999999999999</fb>
    <v>33</v>
  </rv>
  <rv s="7">
    <fb>1.4212</fb>
    <v>33</v>
  </rv>
  <rv s="7">
    <fb>1.4103000000000001</fb>
    <v>33</v>
  </rv>
  <rv s="7">
    <fb>1.4119999999999999</fb>
    <v>33</v>
  </rv>
  <rv s="7">
    <fb>42789</fb>
    <v>12</v>
  </rv>
  <rv s="7">
    <fb>1.4045000000000001</fb>
    <v>33</v>
  </rv>
  <rv s="7">
    <fb>1.4059999999999999</fb>
    <v>33</v>
  </rv>
  <rv s="7">
    <fb>42790</fb>
    <v>12</v>
  </rv>
  <rv s="7">
    <fb>1.4060999999999999</fb>
    <v>33</v>
  </rv>
  <rv s="7">
    <fb>1.4092</fb>
    <v>33</v>
  </rv>
  <rv s="7">
    <fb>1.4016999999999999</fb>
    <v>33</v>
  </rv>
  <rv s="7">
    <fb>42793</fb>
    <v>12</v>
  </rv>
  <rv s="7">
    <fb>1.4048</fb>
    <v>33</v>
  </rv>
  <rv s="7">
    <fb>1.4069</fb>
    <v>33</v>
  </rv>
  <rv s="7">
    <fb>1.3995</fb>
    <v>33</v>
  </rv>
  <rv s="7">
    <fb>1.4039999999999999</fb>
    <v>33</v>
  </rv>
  <rv s="7">
    <fb>42794</fb>
    <v>12</v>
  </rv>
  <rv s="7">
    <fb>1.4064000000000001</fb>
    <v>33</v>
  </rv>
  <rv s="7">
    <fb>1.3968</fb>
    <v>33</v>
  </rv>
  <rv s="7">
    <fb>1.4029</fb>
    <v>33</v>
  </rv>
  <rv s="7">
    <fb>42795</fb>
    <v>12</v>
  </rv>
  <rv s="7">
    <fb>1.403</fb>
    <v>33</v>
  </rv>
  <rv s="7">
    <fb>1.4114</fb>
    <v>33</v>
  </rv>
  <rv s="7">
    <fb>1.4023000000000001</fb>
    <v>33</v>
  </rv>
  <rv s="7">
    <fb>1.4087000000000001</fb>
    <v>33</v>
  </rv>
  <rv s="7">
    <fb>42796</fb>
    <v>12</v>
  </rv>
  <rv s="7">
    <fb>1.4141999999999999</fb>
    <v>33</v>
  </rv>
  <rv s="7">
    <fb>1.4078999999999999</fb>
    <v>33</v>
  </rv>
  <rv s="7">
    <fb>1.4124000000000001</fb>
    <v>33</v>
  </rv>
  <rv s="7">
    <fb>42797</fb>
    <v>12</v>
  </rv>
  <rv s="7">
    <fb>1.4121999999999999</fb>
    <v>33</v>
  </rv>
  <rv s="7">
    <fb>1.4089</fb>
    <v>33</v>
  </rv>
  <rv s="7">
    <fb>1.4097999999999999</fb>
    <v>33</v>
  </rv>
  <rv s="7">
    <fb>42800</fb>
    <v>12</v>
  </rv>
  <rv s="7">
    <fb>1.41</fb>
    <v>33</v>
  </rv>
  <rv s="7">
    <fb>42801</fb>
    <v>12</v>
  </rv>
  <rv s="7">
    <fb>1.4116</fb>
    <v>33</v>
  </rv>
  <rv s="7">
    <fb>1.4109</fb>
    <v>33</v>
  </rv>
  <rv s="7">
    <fb>42802</fb>
    <v>12</v>
  </rv>
  <rv s="7">
    <fb>1.4184000000000001</fb>
    <v>33</v>
  </rv>
  <rv s="7">
    <fb>1.4085000000000001</fb>
    <v>33</v>
  </rv>
  <rv s="7">
    <fb>1.4179999999999999</fb>
    <v>33</v>
  </rv>
  <rv s="7">
    <fb>42803</fb>
    <v>12</v>
  </rv>
  <rv s="7">
    <fb>1.4218999999999999</fb>
    <v>33</v>
  </rv>
  <rv s="7">
    <fb>1.4165000000000001</fb>
    <v>33</v>
  </rv>
  <rv s="7">
    <fb>42804</fb>
    <v>12</v>
  </rv>
  <rv s="7">
    <fb>1.4201999999999999</fb>
    <v>33</v>
  </rv>
  <rv s="7">
    <fb>1.4104000000000001</fb>
    <v>33</v>
  </rv>
  <rv s="7">
    <fb>42807</fb>
    <v>12</v>
  </rv>
  <rv s="7">
    <fb>1.4149</fb>
    <v>33</v>
  </rv>
  <rv s="7">
    <fb>1.4138999999999999</fb>
    <v>33</v>
  </rv>
  <rv s="7">
    <fb>42808</fb>
    <v>12</v>
  </rv>
  <rv s="7">
    <fb>1.4137</fb>
    <v>33</v>
  </rv>
  <rv s="7">
    <fb>1.4159999999999999</fb>
    <v>33</v>
  </rv>
  <rv s="7">
    <fb>1.4153</fb>
    <v>33</v>
  </rv>
  <rv s="7">
    <fb>42809</fb>
    <v>12</v>
  </rv>
  <rv s="7">
    <fb>1.4158999999999999</fb>
    <v>33</v>
  </rv>
  <rv s="7">
    <fb>1.4004000000000001</fb>
    <v>33</v>
  </rv>
  <rv s="7">
    <fb>1.4011</fb>
    <v>33</v>
  </rv>
  <rv s="7">
    <fb>42810</fb>
    <v>12</v>
  </rv>
  <rv s="7">
    <fb>1.4012</fb>
    <v>33</v>
  </rv>
  <rv s="7">
    <fb>1.4063000000000001</fb>
    <v>33</v>
  </rv>
  <rv s="7">
    <fb>1.4001999999999999</fb>
    <v>33</v>
  </rv>
  <rv s="7">
    <fb>1.4007000000000001</fb>
    <v>33</v>
  </rv>
  <rv s="7">
    <fb>42811</fb>
    <v>12</v>
  </rv>
  <rv s="7">
    <fb>1.401</fb>
    <v>33</v>
  </rv>
  <rv s="7">
    <fb>1.4037999999999999</fb>
    <v>33</v>
  </rv>
  <rv s="7">
    <fb>1.3996</fb>
    <v>33</v>
  </rv>
  <rv s="7">
    <fb>1.4017999999999999</fb>
    <v>33</v>
  </rv>
  <rv s="7">
    <fb>42814</fb>
    <v>12</v>
  </rv>
  <rv s="7">
    <fb>1.4020999999999999</fb>
    <v>33</v>
  </rv>
  <rv s="7">
    <fb>1.395</fb>
    <v>33</v>
  </rv>
  <rv s="7">
    <fb>1.3965000000000001</fb>
    <v>33</v>
  </rv>
  <rv s="7">
    <fb>42815</fb>
    <v>12</v>
  </rv>
  <rv s="7">
    <fb>1.3967000000000001</fb>
    <v>33</v>
  </rv>
  <rv s="7">
    <fb>1.4003000000000001</fb>
    <v>33</v>
  </rv>
  <rv s="7">
    <fb>1.3949</fb>
    <v>33</v>
  </rv>
  <rv s="7">
    <fb>1.3994</fb>
    <v>33</v>
  </rv>
  <rv s="7">
    <fb>42816</fb>
    <v>12</v>
  </rv>
  <rv s="7">
    <fb>1.4028</fb>
    <v>33</v>
  </rv>
  <rv s="7">
    <fb>1.3966000000000001</fb>
    <v>33</v>
  </rv>
  <rv s="7">
    <fb>1.3974</fb>
    <v>33</v>
  </rv>
  <rv s="7">
    <fb>42817</fb>
    <v>12</v>
  </rv>
  <rv s="7">
    <fb>1.3976999999999999</fb>
    <v>33</v>
  </rv>
  <rv s="7">
    <fb>1.397</fb>
    <v>33</v>
  </rv>
  <rv s="7">
    <fb>1.3991</fb>
    <v>33</v>
  </rv>
  <rv s="7">
    <fb>42818</fb>
    <v>12</v>
  </rv>
  <rv s="7">
    <fb>1.3992</fb>
    <v>33</v>
  </rv>
  <rv s="7">
    <fb>1.4018999999999999</fb>
    <v>33</v>
  </rv>
  <rv s="7">
    <fb>1.3951</fb>
    <v>33</v>
  </rv>
  <rv s="7">
    <fb>1.3987000000000001</fb>
    <v>33</v>
  </rv>
  <rv s="7">
    <fb>42821</fb>
    <v>12</v>
  </rv>
  <rv s="7">
    <fb>1.3902000000000001</fb>
    <v>33</v>
  </rv>
  <rv s="7">
    <fb>1.3932</fb>
    <v>33</v>
  </rv>
  <rv s="7">
    <fb>42822</fb>
    <v>12</v>
  </rv>
  <rv s="7">
    <fb>1.3978999999999999</fb>
    <v>33</v>
  </rv>
  <rv s="7">
    <fb>1.3911</fb>
    <v>33</v>
  </rv>
  <rv s="7">
    <fb>42823</fb>
    <v>12</v>
  </rv>
  <rv s="7">
    <fb>1.3975</fb>
    <v>33</v>
  </rv>
  <rv s="7">
    <fb>1.3986000000000001</fb>
    <v>33</v>
  </rv>
  <rv s="7">
    <fb>1.3929</fb>
    <v>33</v>
  </rv>
  <rv s="7">
    <fb>1.3937999999999999</fb>
    <v>33</v>
  </rv>
  <rv s="7">
    <fb>42824</fb>
    <v>12</v>
  </rv>
  <rv s="7">
    <fb>1.3980999999999999</fb>
    <v>33</v>
  </rv>
  <rv s="7">
    <fb>1.3926000000000001</fb>
    <v>33</v>
  </rv>
  <rv s="7">
    <fb>1.3979999999999999</fb>
    <v>33</v>
  </rv>
  <rv s="7">
    <fb>42825</fb>
    <v>12</v>
  </rv>
  <rv s="7">
    <fb>1.3977999999999999</fb>
    <v>33</v>
  </rv>
  <rv s="7">
    <fb>1.3996999999999999</fb>
    <v>33</v>
  </rv>
  <rv s="7">
    <fb>1.3952</fb>
    <v>33</v>
  </rv>
  <rv s="7">
    <fb>42828</fb>
    <v>12</v>
  </rv>
  <rv s="7">
    <fb>1.3976</fb>
    <v>33</v>
  </rv>
  <rv s="7">
    <fb>1.3982000000000001</fb>
    <v>33</v>
  </rv>
  <rv s="7">
    <fb>1.3945000000000001</fb>
    <v>33</v>
  </rv>
  <rv s="7">
    <fb>42829</fb>
    <v>12</v>
  </rv>
  <rv s="7">
    <fb>1.4009</fb>
    <v>33</v>
  </rv>
  <rv s="7">
    <fb>1.3953</fb>
    <v>33</v>
  </rv>
  <rv s="7">
    <fb>42830</fb>
    <v>12</v>
  </rv>
  <rv s="7">
    <fb>1.4021999999999999</fb>
    <v>33</v>
  </rv>
  <rv s="7">
    <fb>1.4006000000000001</fb>
    <v>33</v>
  </rv>
  <rv s="7">
    <fb>42831</fb>
    <v>12</v>
  </rv>
  <rv s="7">
    <fb>42832</fb>
    <v>12</v>
  </rv>
  <rv s="7">
    <fb>1.4024000000000001</fb>
    <v>33</v>
  </rv>
  <rv s="7">
    <fb>1.4043000000000001</fb>
    <v>33</v>
  </rv>
  <rv s="7">
    <fb>42835</fb>
    <v>12</v>
  </rv>
  <rv s="7">
    <fb>1.4046000000000001</fb>
    <v>33</v>
  </rv>
  <rv s="7">
    <fb>1.4080999999999999</fb>
    <v>33</v>
  </rv>
  <rv s="7">
    <fb>1.4036999999999999</fb>
    <v>33</v>
  </rv>
  <rv s="7">
    <fb>42836</fb>
    <v>12</v>
  </rv>
  <rv s="7">
    <fb>1.4047000000000001</fb>
    <v>33</v>
  </rv>
  <rv s="7">
    <fb>1.4077</fb>
    <v>33</v>
  </rv>
  <rv s="7">
    <fb>1.4033</fb>
    <v>33</v>
  </rv>
  <rv s="7">
    <fb>42837</fb>
    <v>12</v>
  </rv>
  <rv s="7">
    <fb>1.4036</fb>
    <v>33</v>
  </rv>
  <rv s="7">
    <fb>1.4044000000000001</fb>
    <v>33</v>
  </rv>
  <rv s="7">
    <fb>1.3948</fb>
    <v>33</v>
  </rv>
  <rv s="7">
    <fb>42838</fb>
    <v>12</v>
  </rv>
  <rv s="7">
    <fb>1.3925000000000001</fb>
    <v>33</v>
  </rv>
  <rv s="7">
    <fb>42839</fb>
    <v>12</v>
  </rv>
  <rv s="7">
    <fb>1.3988</fb>
    <v>33</v>
  </rv>
  <rv s="7">
    <fb>1.3958999999999999</fb>
    <v>33</v>
  </rv>
  <rv s="7">
    <fb>1.3972</fb>
    <v>33</v>
  </rv>
  <rv s="7">
    <fb>42842</fb>
    <v>12</v>
  </rv>
  <rv s="7">
    <fb>1.3928</fb>
    <v>33</v>
  </rv>
  <rv s="7">
    <fb>42843</fb>
    <v>12</v>
  </rv>
  <rv s="7">
    <fb>1.4</fb>
    <v>33</v>
  </rv>
  <rv s="7">
    <fb>1.3956</fb>
    <v>33</v>
  </rv>
  <rv s="7">
    <fb>42844</fb>
    <v>12</v>
  </rv>
  <rv s="7">
    <fb>1.399</fb>
    <v>33</v>
  </rv>
  <rv s="7">
    <fb>1.3943000000000001</fb>
    <v>33</v>
  </rv>
  <rv s="7">
    <fb>1.3983000000000001</fb>
    <v>33</v>
  </rv>
  <rv s="7">
    <fb>42845</fb>
    <v>12</v>
  </rv>
  <rv s="7">
    <fb>42846</fb>
    <v>12</v>
  </rv>
  <rv s="7">
    <fb>42849</fb>
    <v>12</v>
  </rv>
  <rv s="7">
    <fb>1.3913</fb>
    <v>33</v>
  </rv>
  <rv s="7">
    <fb>1.3924000000000001</fb>
    <v>33</v>
  </rv>
  <rv s="7">
    <fb>42850</fb>
    <v>12</v>
  </rv>
  <rv s="7">
    <fb>1.3934</fb>
    <v>33</v>
  </rv>
  <rv s="7">
    <fb>42851</fb>
    <v>12</v>
  </rv>
  <rv s="7">
    <fb>1.3989</fb>
    <v>33</v>
  </rv>
  <rv s="7">
    <fb>1.3914</fb>
    <v>33</v>
  </rv>
  <rv s="7">
    <fb>42852</fb>
    <v>12</v>
  </rv>
  <rv s="7">
    <fb>1.3938999999999999</fb>
    <v>33</v>
  </rv>
  <rv s="7">
    <fb>1.3963000000000001</fb>
    <v>33</v>
  </rv>
  <rv s="7">
    <fb>42853</fb>
    <v>12</v>
  </rv>
  <rv s="7">
    <fb>1.3940999999999999</fb>
    <v>33</v>
  </rv>
  <rv s="7">
    <fb>42856</fb>
    <v>12</v>
  </rv>
  <rv s="7">
    <fb>42857</fb>
    <v>12</v>
  </rv>
  <rv s="7">
    <fb>1.3919999999999999</fb>
    <v>33</v>
  </rv>
  <rv s="7">
    <fb>42858</fb>
    <v>12</v>
  </rv>
  <rv s="7">
    <fb>1.3931</fb>
    <v>33</v>
  </rv>
  <rv s="7">
    <fb>42859</fb>
    <v>12</v>
  </rv>
  <rv s="7">
    <fb>1.3957999999999999</fb>
    <v>33</v>
  </rv>
  <rv s="7">
    <fb>42860</fb>
    <v>12</v>
  </rv>
  <rv s="7">
    <fb>1.4005000000000001</fb>
    <v>33</v>
  </rv>
  <rv s="7">
    <fb>42863</fb>
    <v>12</v>
  </rv>
  <rv s="7">
    <fb>1.4067000000000001</fb>
    <v>33</v>
  </rv>
  <rv s="7">
    <fb>1.4054</fb>
    <v>33</v>
  </rv>
  <rv s="7">
    <fb>42864</fb>
    <v>12</v>
  </rv>
  <rv s="7">
    <fb>1.4055</fb>
    <v>33</v>
  </rv>
  <rv s="7">
    <fb>42865</fb>
    <v>12</v>
  </rv>
  <rv s="7">
    <fb>1.4088000000000001</fb>
    <v>33</v>
  </rv>
  <rv s="7">
    <fb>42866</fb>
    <v>12</v>
  </rv>
  <rv s="7">
    <fb>1.4100999999999999</fb>
    <v>33</v>
  </rv>
  <rv s="7">
    <fb>42867</fb>
    <v>12</v>
  </rv>
  <rv s="7">
    <fb>1.4072</fb>
    <v>33</v>
  </rv>
  <rv s="7">
    <fb>1.4094</fb>
    <v>33</v>
  </rv>
  <rv s="7">
    <fb>42870</fb>
    <v>12</v>
  </rv>
  <rv s="7">
    <fb>1.4041999999999999</fb>
    <v>33</v>
  </rv>
  <rv s="7">
    <fb>42871</fb>
    <v>12</v>
  </rv>
  <rv s="7">
    <fb>1.3935</fb>
    <v>33</v>
  </rv>
  <rv s="7">
    <fb>42872</fb>
    <v>12</v>
  </rv>
  <rv s="7">
    <fb>1.3892</fb>
    <v>33</v>
  </rv>
  <rv s="7">
    <fb>1.3897999999999999</fb>
    <v>33</v>
  </rv>
  <rv s="7">
    <fb>42873</fb>
    <v>12</v>
  </rv>
  <rv s="7">
    <fb>1.3896999999999999</fb>
    <v>33</v>
  </rv>
  <rv s="7">
    <fb>1.3885000000000001</fb>
    <v>33</v>
  </rv>
  <rv s="7">
    <fb>42874</fb>
    <v>12</v>
  </rv>
  <rv s="7">
    <fb>1.3933</fb>
    <v>33</v>
  </rv>
  <rv s="7">
    <fb>1.3833</fb>
    <v>33</v>
  </rv>
  <rv s="7">
    <fb>1.3847</fb>
    <v>33</v>
  </rv>
  <rv s="7">
    <fb>42877</fb>
    <v>12</v>
  </rv>
  <rv s="7">
    <fb>1.3862000000000001</fb>
    <v>33</v>
  </rv>
  <rv s="7">
    <fb>1.3886000000000001</fb>
    <v>33</v>
  </rv>
  <rv s="7">
    <fb>1.3845000000000001</fb>
    <v>33</v>
  </rv>
  <rv s="7">
    <fb>1.3857999999999999</fb>
    <v>33</v>
  </rv>
  <rv s="7">
    <fb>42878</fb>
    <v>12</v>
  </rv>
  <rv s="7">
    <fb>1.3863000000000001</fb>
    <v>33</v>
  </rv>
  <rv s="7">
    <fb>1.3908</fb>
    <v>33</v>
  </rv>
  <rv s="7">
    <fb>1.385</fb>
    <v>33</v>
  </rv>
  <rv s="7">
    <fb>42879</fb>
    <v>12</v>
  </rv>
  <rv s="7">
    <fb>1.3916999999999999</fb>
    <v>33</v>
  </rv>
  <rv s="7">
    <fb>1.3836999999999999</fb>
    <v>33</v>
  </rv>
  <rv s="7">
    <fb>1.3844000000000001</fb>
    <v>33</v>
  </rv>
  <rv s="7">
    <fb>42880</fb>
    <v>12</v>
  </rv>
  <rv s="7">
    <fb>1.3839999999999999</fb>
    <v>33</v>
  </rv>
  <rv s="7">
    <fb>1.387</fb>
    <v>33</v>
  </rv>
  <rv s="7">
    <fb>1.3816999999999999</fb>
    <v>33</v>
  </rv>
  <rv s="7">
    <fb>42881</fb>
    <v>12</v>
  </rv>
  <rv s="7">
    <fb>1.3869</fb>
    <v>33</v>
  </rv>
  <rv s="7">
    <fb>1.3802000000000001</fb>
    <v>33</v>
  </rv>
  <rv s="7">
    <fb>1.3815</fb>
    <v>33</v>
  </rv>
  <rv s="7">
    <fb>42884</fb>
    <v>12</v>
  </rv>
  <rv s="7">
    <fb>1.3813</fb>
    <v>33</v>
  </rv>
  <rv s="7">
    <fb>1.3861000000000001</fb>
    <v>33</v>
  </rv>
  <rv s="7">
    <fb>42885</fb>
    <v>12</v>
  </rv>
  <rv s="7">
    <fb>1.3884000000000001</fb>
    <v>33</v>
  </rv>
  <rv s="7">
    <fb>1.3832</fb>
    <v>33</v>
  </rv>
  <rv s="7">
    <fb>1.3837999999999999</fb>
    <v>33</v>
  </rv>
  <rv s="7">
    <fb>42886</fb>
    <v>12</v>
  </rv>
  <rv s="7">
    <fb>1.3838999999999999</fb>
    <v>33</v>
  </rv>
  <rv s="7">
    <fb>1.3831</fb>
    <v>33</v>
  </rv>
  <rv s="7">
    <fb>42887</fb>
    <v>12</v>
  </rv>
  <rv s="7">
    <fb>1.3829</fb>
    <v>33</v>
  </rv>
  <rv s="7">
    <fb>1.3822000000000001</fb>
    <v>33</v>
  </rv>
  <rv s="7">
    <fb>42888</fb>
    <v>12</v>
  </rv>
  <rv s="7">
    <fb>1.3865000000000001</fb>
    <v>33</v>
  </rv>
  <rv s="7">
    <fb>1.3868</fb>
    <v>33</v>
  </rv>
  <rv s="7">
    <fb>1.3797999999999999</fb>
    <v>33</v>
  </rv>
  <rv s="7">
    <fb>1.3804000000000001</fb>
    <v>33</v>
  </rv>
  <rv s="7">
    <fb>42891</fb>
    <v>12</v>
  </rv>
  <rv s="7">
    <fb>1.3801000000000001</fb>
    <v>33</v>
  </rv>
  <rv s="7">
    <fb>1.3781000000000001</fb>
    <v>33</v>
  </rv>
  <rv s="7">
    <fb>1.3814</fb>
    <v>33</v>
  </rv>
  <rv s="7">
    <fb>42892</fb>
    <v>12</v>
  </rv>
  <rv s="7">
    <fb>1.3819999999999999</fb>
    <v>33</v>
  </rv>
  <rv s="7">
    <fb>1.3777999999999999</fb>
    <v>33</v>
  </rv>
  <rv s="7">
    <fb>1.3791</fb>
    <v>33</v>
  </rv>
  <rv s="7">
    <fb>42893</fb>
    <v>12</v>
  </rv>
  <rv s="7">
    <fb>1.3794</fb>
    <v>33</v>
  </rv>
  <rv s="7">
    <fb>1.3827</fb>
    <v>33</v>
  </rv>
  <rv s="7">
    <fb>42894</fb>
    <v>12</v>
  </rv>
  <rv s="7">
    <fb>1.3818999999999999</fb>
    <v>33</v>
  </rv>
  <rv s="7">
    <fb>1.3795999999999999</fb>
    <v>33</v>
  </rv>
  <rv s="7">
    <fb>42895</fb>
    <v>12</v>
  </rv>
  <rv s="7">
    <fb>1.3798999999999999</fb>
    <v>33</v>
  </rv>
  <rv s="7">
    <fb>1.3852</fb>
    <v>33</v>
  </rv>
  <rv s="7">
    <fb>1.3842000000000001</fb>
    <v>33</v>
  </rv>
  <rv s="7">
    <fb>42898</fb>
    <v>12</v>
  </rv>
  <rv s="7">
    <fb>1.3821000000000001</fb>
    <v>33</v>
  </rv>
  <rv s="7">
    <fb>42899</fb>
    <v>12</v>
  </rv>
  <rv s="7">
    <fb>1.3835999999999999</fb>
    <v>33</v>
  </rv>
  <rv s="7">
    <fb>1.3796999999999999</fb>
    <v>33</v>
  </rv>
  <rv s="7">
    <fb>1.3807</fb>
    <v>33</v>
  </rv>
  <rv s="7">
    <fb>42900</fb>
    <v>12</v>
  </rv>
  <rv s="7">
    <fb>1.3809</fb>
    <v>33</v>
  </rv>
  <rv s="7">
    <fb>1.3704000000000001</fb>
    <v>33</v>
  </rv>
  <rv s="7">
    <fb>1.3753</fb>
    <v>33</v>
  </rv>
  <rv s="7">
    <fb>42901</fb>
    <v>12</v>
  </rv>
  <rv s="7">
    <fb>1.3751</fb>
    <v>33</v>
  </rv>
  <rv s="7">
    <fb>1.3843000000000001</fb>
    <v>33</v>
  </rv>
  <rv s="7">
    <fb>1.3734999999999999</fb>
    <v>33</v>
  </rv>
  <rv s="7">
    <fb>1.3834</fb>
    <v>33</v>
  </rv>
  <rv s="7">
    <fb>42902</fb>
    <v>12</v>
  </rv>
  <rv s="7">
    <fb>1.383</fb>
    <v>33</v>
  </rv>
  <rv s="7">
    <fb>42905</fb>
    <v>12</v>
  </rv>
  <rv s="7">
    <fb>1.3828</fb>
    <v>33</v>
  </rv>
  <rv s="7">
    <fb>1.3872</fb>
    <v>33</v>
  </rv>
  <rv s="7">
    <fb>1.3803000000000001</fb>
    <v>33</v>
  </rv>
  <rv s="7">
    <fb>1.3866000000000001</fb>
    <v>33</v>
  </rv>
  <rv s="7">
    <fb>42906</fb>
    <v>12</v>
  </rv>
  <rv s="7">
    <fb>1.3907</fb>
    <v>33</v>
  </rv>
  <rv s="7">
    <fb>1.3891</fb>
    <v>33</v>
  </rv>
  <rv s="7">
    <fb>42907</fb>
    <v>12</v>
  </rv>
  <rv s="7">
    <fb>1.3875999999999999</fb>
    <v>33</v>
  </rv>
  <rv s="7">
    <fb>1.389</fb>
    <v>33</v>
  </rv>
  <rv s="7">
    <fb>42908</fb>
    <v>12</v>
  </rv>
  <rv s="7">
    <fb>1.3887</fb>
    <v>33</v>
  </rv>
  <rv s="7">
    <fb>1.3873</fb>
    <v>33</v>
  </rv>
  <rv s="7">
    <fb>1.3898999999999999</fb>
    <v>33</v>
  </rv>
  <rv s="7">
    <fb>42909</fb>
    <v>12</v>
  </rv>
  <rv s="7">
    <fb>1.3909</fb>
    <v>33</v>
  </rv>
  <rv s="7">
    <fb>1.3848</fb>
    <v>33</v>
  </rv>
  <rv s="7">
    <fb>42912</fb>
    <v>12</v>
  </rv>
  <rv s="7">
    <fb>1.3888</fb>
    <v>33</v>
  </rv>
  <rv s="7">
    <fb>1.3855999999999999</fb>
    <v>33</v>
  </rv>
  <rv s="7">
    <fb>1.3877999999999999</fb>
    <v>33</v>
  </rv>
  <rv s="7">
    <fb>42913</fb>
    <v>12</v>
  </rv>
  <rv s="7">
    <fb>1.3879999999999999</fb>
    <v>33</v>
  </rv>
  <rv s="7">
    <fb>42914</fb>
    <v>12</v>
  </rv>
  <rv s="7">
    <fb>1.3867</fb>
    <v>33</v>
  </rv>
  <rv s="7">
    <fb>42915</fb>
    <v>12</v>
  </rv>
  <rv s="7">
    <fb>1.3817999999999999</fb>
    <v>33</v>
  </rv>
  <rv s="7">
    <fb>1.3824000000000001</fb>
    <v>33</v>
  </rv>
  <rv s="7">
    <fb>42916</fb>
    <v>12</v>
  </rv>
  <rv s="7">
    <fb>1.3785000000000001</fb>
    <v>33</v>
  </rv>
  <rv s="7">
    <fb>1.3793</fb>
    <v>33</v>
  </rv>
  <rv s="7">
    <fb>1.375</fb>
    <v>33</v>
  </rv>
  <rv s="7">
    <fb>1.3759999999999999</fb>
    <v>33</v>
  </rv>
  <rv s="7">
    <fb>42919</fb>
    <v>12</v>
  </rv>
  <rv s="7">
    <fb>1.3765000000000001</fb>
    <v>33</v>
  </rv>
  <rv s="7">
    <fb>1.3825000000000001</fb>
    <v>33</v>
  </rv>
  <rv s="7">
    <fb>42920</fb>
    <v>12</v>
  </rv>
  <rv s="7">
    <fb>1.3823000000000001</fb>
    <v>33</v>
  </rv>
  <rv s="7">
    <fb>42921</fb>
    <v>12</v>
  </rv>
  <rv s="7">
    <fb>1.3792</fb>
    <v>33</v>
  </rv>
  <rv s="7">
    <fb>1.3805000000000001</fb>
    <v>33</v>
  </rv>
  <rv s="7">
    <fb>42922</fb>
    <v>12</v>
  </rv>
  <rv s="7">
    <fb>1.3806</fb>
    <v>33</v>
  </rv>
  <rv s="7">
    <fb>42923</fb>
    <v>12</v>
  </rv>
  <rv s="7">
    <fb>1.3786</fb>
    <v>33</v>
  </rv>
  <rv s="7">
    <fb>1.3815999999999999</fb>
    <v>33</v>
  </rv>
  <rv s="7">
    <fb>42926</fb>
    <v>12</v>
  </rv>
  <rv s="7">
    <fb>42927</fb>
    <v>12</v>
  </rv>
  <rv s="7">
    <fb>1.3841000000000001</fb>
    <v>33</v>
  </rv>
  <rv s="7">
    <fb>1.3855</fb>
    <v>33</v>
  </rv>
  <rv s="7">
    <fb>1.3808</fb>
    <v>33</v>
  </rv>
  <rv s="7">
    <fb>42928</fb>
    <v>12</v>
  </rv>
  <rv s="7">
    <fb>1.3762000000000001</fb>
    <v>33</v>
  </rv>
  <rv s="7">
    <fb>1.3773</fb>
    <v>33</v>
  </rv>
  <rv s="7">
    <fb>42929</fb>
    <v>12</v>
  </rv>
  <rv s="7">
    <fb>1.3787</fb>
    <v>33</v>
  </rv>
  <rv s="7">
    <fb>1.3733</fb>
    <v>33</v>
  </rv>
  <rv s="7">
    <fb>1.3735999999999999</fb>
    <v>33</v>
  </rv>
  <rv s="7">
    <fb>42930</fb>
    <v>12</v>
  </rv>
  <rv s="7">
    <fb>1.3737999999999999</fb>
    <v>33</v>
  </rv>
  <rv s="7">
    <fb>1.3768</fb>
    <v>33</v>
  </rv>
  <rv s="7">
    <fb>1.3688</fb>
    <v>33</v>
  </rv>
  <rv s="7">
    <fb>1.3711</fb>
    <v>33</v>
  </rv>
  <rv s="7">
    <fb>42933</fb>
    <v>12</v>
  </rv>
  <rv s="7">
    <fb>1.3708</fb>
    <v>33</v>
  </rv>
  <rv s="7">
    <fb>1.3720000000000001</fb>
    <v>33</v>
  </rv>
  <rv s="7">
    <fb>1.3663000000000001</fb>
    <v>33</v>
  </rv>
  <rv s="7">
    <fb>1.369</fb>
    <v>33</v>
  </rv>
  <rv s="7">
    <fb>42934</fb>
    <v>12</v>
  </rv>
  <rv s="7">
    <fb>1.3706</fb>
    <v>33</v>
  </rv>
  <rv s="7">
    <fb>1.3648</fb>
    <v>33</v>
  </rv>
  <rv s="7">
    <fb>1.3662000000000001</fb>
    <v>33</v>
  </rv>
  <rv s="7">
    <fb>42935</fb>
    <v>12</v>
  </rv>
  <rv s="7">
    <fb>1.3661000000000001</fb>
    <v>33</v>
  </rv>
  <rv s="7">
    <fb>1.3698999999999999</fb>
    <v>33</v>
  </rv>
  <rv s="7">
    <fb>1.3676999999999999</fb>
    <v>33</v>
  </rv>
  <rv s="7">
    <fb>42936</fb>
    <v>12</v>
  </rv>
  <rv s="7">
    <fb>1.3681000000000001</fb>
    <v>33</v>
  </rv>
  <rv s="7">
    <fb>1.3709</fb>
    <v>33</v>
  </rv>
  <rv s="7">
    <fb>1.3643000000000001</fb>
    <v>33</v>
  </rv>
  <rv s="7">
    <fb>42937</fb>
    <v>12</v>
  </rv>
  <rv s="7">
    <fb>1.3655999999999999</fb>
    <v>33</v>
  </rv>
  <rv s="7">
    <fb>1.3674999999999999</fb>
    <v>33</v>
  </rv>
  <rv s="7">
    <fb>1.3608</fb>
    <v>33</v>
  </rv>
  <rv s="7">
    <fb>1.3621000000000001</fb>
    <v>33</v>
  </rv>
  <rv s="7">
    <fb>42940</fb>
    <v>12</v>
  </rv>
  <rv s="7">
    <fb>1.3633999999999999</fb>
    <v>33</v>
  </rv>
  <rv s="7">
    <fb>1.3634999999999999</fb>
    <v>33</v>
  </rv>
  <rv s="7">
    <fb>1.3592</fb>
    <v>33</v>
  </rv>
  <rv s="7">
    <fb>1.3617999999999999</fb>
    <v>33</v>
  </rv>
  <rv s="7">
    <fb>42941</fb>
    <v>12</v>
  </rv>
  <rv s="7">
    <fb>1.3633</fb>
    <v>33</v>
  </rv>
  <rv s="7">
    <fb>1.3586</fb>
    <v>33</v>
  </rv>
  <rv s="7">
    <fb>1.3620000000000001</fb>
    <v>33</v>
  </rv>
  <rv s="7">
    <fb>42942</fb>
    <v>12</v>
  </rv>
  <rv s="7">
    <fb>1.3619000000000001</fb>
    <v>33</v>
  </rv>
  <rv s="7">
    <fb>1.3642000000000001</fb>
    <v>33</v>
  </rv>
  <rv s="7">
    <fb>1.3552</fb>
    <v>33</v>
  </rv>
  <rv s="7">
    <fb>1.3571</fb>
    <v>33</v>
  </rv>
  <rv s="7">
    <fb>42943</fb>
    <v>12</v>
  </rv>
  <rv s="7">
    <fb>1.357</fb>
    <v>33</v>
  </rv>
  <rv s="7">
    <fb>1.3607</fb>
    <v>33</v>
  </rv>
  <rv s="7">
    <fb>1.3535999999999999</fb>
    <v>33</v>
  </rv>
  <rv s="7">
    <fb>1.359</fb>
    <v>33</v>
  </rv>
  <rv s="7">
    <fb>42944</fb>
    <v>12</v>
  </rv>
  <rv s="7">
    <fb>1.3613999999999999</fb>
    <v>33</v>
  </rv>
  <rv s="7">
    <fb>1.3554999999999999</fb>
    <v>33</v>
  </rv>
  <rv s="7">
    <fb>1.3564000000000001</fb>
    <v>33</v>
  </rv>
  <rv s="7">
    <fb>42947</fb>
    <v>12</v>
  </rv>
  <rv s="7">
    <fb>1.3569</fb>
    <v>33</v>
  </rv>
  <rv s="7">
    <fb>1.3583000000000001</fb>
    <v>33</v>
  </rv>
  <rv s="7">
    <fb>1.3540000000000001</fb>
    <v>33</v>
  </rv>
  <rv s="7">
    <fb>1.3545</fb>
    <v>33</v>
  </rv>
  <rv s="7">
    <fb>42948</fb>
    <v>12</v>
  </rv>
  <rv s="7">
    <fb>1.3542000000000001</fb>
    <v>33</v>
  </rv>
  <rv s="7">
    <fb>1.3585</fb>
    <v>33</v>
  </rv>
  <rv s="7">
    <fb>1.3536999999999999</fb>
    <v>33</v>
  </rv>
  <rv s="7">
    <fb>1.3574999999999999</fb>
    <v>33</v>
  </rv>
  <rv s="7">
    <fb>42949</fb>
    <v>12</v>
  </rv>
  <rv s="7">
    <fb>1.3576999999999999</fb>
    <v>33</v>
  </rv>
  <rv s="7">
    <fb>1.3611</fb>
    <v>33</v>
  </rv>
  <rv s="7">
    <fb>1.3565</fb>
    <v>33</v>
  </rv>
  <rv s="7">
    <fb>1.3588</fb>
    <v>33</v>
  </rv>
  <rv s="7">
    <fb>42950</fb>
    <v>12</v>
  </rv>
  <rv s="7">
    <fb>1.3573999999999999</fb>
    <v>33</v>
  </rv>
  <rv s="7">
    <fb>42951</fb>
    <v>12</v>
  </rv>
  <rv s="7">
    <fb>1.3549</fb>
    <v>33</v>
  </rv>
  <rv s="7">
    <fb>1.3606</fb>
    <v>33</v>
  </rv>
  <rv s="7">
    <fb>42954</fb>
    <v>12</v>
  </rv>
  <rv s="7">
    <fb>1.3603000000000001</fb>
    <v>33</v>
  </rv>
  <rv s="7">
    <fb>1.3637999999999999</fb>
    <v>33</v>
  </rv>
  <rv s="7">
    <fb>1.3587</fb>
    <v>33</v>
  </rv>
  <rv s="7">
    <fb>1.3626</fb>
    <v>33</v>
  </rv>
  <rv s="7">
    <fb>42955</fb>
    <v>12</v>
  </rv>
  <rv s="7">
    <fb>1.3624000000000001</fb>
    <v>33</v>
  </rv>
  <rv s="7">
    <fb>1.3641000000000001</fb>
    <v>33</v>
  </rv>
  <rv s="7">
    <fb>1.3629</fb>
    <v>33</v>
  </rv>
  <rv s="7">
    <fb>42956</fb>
    <v>12</v>
  </rv>
  <rv s="7">
    <fb>1.3647</fb>
    <v>33</v>
  </rv>
  <rv s="7">
    <fb>42957</fb>
    <v>12</v>
  </rv>
  <rv s="7">
    <fb>1.3653999999999999</fb>
    <v>33</v>
  </rv>
  <rv s="7">
    <fb>1.3612</fb>
    <v>33</v>
  </rv>
  <rv s="7">
    <fb>1.3632</fb>
    <v>33</v>
  </rv>
  <rv s="7">
    <fb>42958</fb>
    <v>12</v>
  </rv>
  <rv s="7">
    <fb>1.3644000000000001</fb>
    <v>33</v>
  </rv>
  <rv s="7">
    <fb>1.3604000000000001</fb>
    <v>33</v>
  </rv>
  <rv s="7">
    <fb>42961</fb>
    <v>12</v>
  </rv>
  <rv s="7">
    <fb>1.3582000000000001</fb>
    <v>33</v>
  </rv>
  <rv s="7">
    <fb>42962</fb>
    <v>12</v>
  </rv>
  <rv s="7">
    <fb>1.3614999999999999</fb>
    <v>33</v>
  </rv>
  <rv s="7">
    <fb>1.3669</fb>
    <v>33</v>
  </rv>
  <rv s="7">
    <fb>42963</fb>
    <v>12</v>
  </rv>
  <rv s="7">
    <fb>1.3666</fb>
    <v>33</v>
  </rv>
  <rv s="7">
    <fb>42964</fb>
    <v>12</v>
  </rv>
  <rv s="7">
    <fb>1.3671</fb>
    <v>33</v>
  </rv>
  <rv s="7">
    <fb>42965</fb>
    <v>12</v>
  </rv>
  <rv s="7">
    <fb>1.3673</fb>
    <v>33</v>
  </rv>
  <rv s="7">
    <fb>1.3628</fb>
    <v>33</v>
  </rv>
  <rv s="7">
    <fb>42968</fb>
    <v>12</v>
  </rv>
  <rv s="7">
    <fb>1.363</fb>
    <v>33</v>
  </rv>
  <rv s="7">
    <fb>1.3594999999999999</fb>
    <v>33</v>
  </rv>
  <rv s="7">
    <fb>42969</fb>
    <v>12</v>
  </rv>
  <rv s="7">
    <fb>1.3609</fb>
    <v>33</v>
  </rv>
  <rv s="7">
    <fb>1.3622000000000001</fb>
    <v>33</v>
  </rv>
  <rv s="7">
    <fb>42970</fb>
    <v>12</v>
  </rv>
  <rv s="7">
    <fb>1.3593</fb>
    <v>33</v>
  </rv>
  <rv s="7">
    <fb>42971</fb>
    <v>12</v>
  </rv>
  <rv s="7">
    <fb>1.3593999999999999</fb>
    <v>33</v>
  </rv>
  <rv s="7">
    <fb>42972</fb>
    <v>12</v>
  </rv>
  <rv s="7">
    <fb>1.3616999999999999</fb>
    <v>33</v>
  </rv>
  <rv s="7">
    <fb>1.3547</fb>
    <v>33</v>
  </rv>
  <rv s="7">
    <fb>1.3553999999999999</fb>
    <v>33</v>
  </rv>
  <rv s="7">
    <fb>42975</fb>
    <v>12</v>
  </rv>
  <rv s="7">
    <fb>1.3548</fb>
    <v>33</v>
  </rv>
  <rv s="7">
    <fb>1.3568</fb>
    <v>33</v>
  </rv>
  <rv s="7">
    <fb>1.3524</fb>
    <v>33</v>
  </rv>
  <rv s="7">
    <fb>1.3533999999999999</fb>
    <v>33</v>
  </rv>
  <rv s="7">
    <fb>42976</fb>
    <v>12</v>
  </rv>
  <rv s="7">
    <fb>1.353</fb>
    <v>33</v>
  </rv>
  <rv s="7">
    <fb>1.3563000000000001</fb>
    <v>33</v>
  </rv>
  <rv s="7">
    <fb>1.3502000000000001</fb>
    <v>33</v>
  </rv>
  <rv s="7">
    <fb>42977</fb>
    <v>12</v>
  </rv>
  <rv s="7">
    <fb>1.3532</fb>
    <v>33</v>
  </rv>
  <rv s="7">
    <fb>42978</fb>
    <v>12</v>
  </rv>
  <rv s="7">
    <fb>1.3581000000000001</fb>
    <v>33</v>
  </rv>
  <rv s="7">
    <fb>1.361</fb>
    <v>33</v>
  </rv>
  <rv s="7">
    <fb>1.355</fb>
    <v>33</v>
  </rv>
  <rv s="7">
    <fb>1.3555999999999999</fb>
    <v>33</v>
  </rv>
  <rv s="7">
    <fb>42979</fb>
    <v>12</v>
  </rv>
  <rv s="7">
    <fb>1.3501000000000001</fb>
    <v>33</v>
  </rv>
  <rv s="7">
    <fb>1.3573</fb>
    <v>33</v>
  </rv>
  <rv s="7">
    <fb>42982</fb>
    <v>12</v>
  </rv>
  <rv s="7">
    <fb>1.3584000000000001</fb>
    <v>33</v>
  </rv>
  <rv s="7">
    <fb>1.3566</fb>
    <v>33</v>
  </rv>
  <rv s="7">
    <fb>42983</fb>
    <v>12</v>
  </rv>
  <rv s="7">
    <fb>1.351</fb>
    <v>33</v>
  </rv>
  <rv s="7">
    <fb>42984</fb>
    <v>12</v>
  </rv>
  <rv s="7">
    <fb>1.3526</fb>
    <v>33</v>
  </rv>
  <rv s="7">
    <fb>1.3537999999999999</fb>
    <v>33</v>
  </rv>
  <rv s="7">
    <fb>1.3476999999999999</fb>
    <v>33</v>
  </rv>
  <rv s="7">
    <fb>1.35</fb>
    <v>33</v>
  </rv>
  <rv s="7">
    <fb>42985</fb>
    <v>12</v>
  </rv>
  <rv s="7">
    <fb>1.3499000000000001</fb>
    <v>33</v>
  </rv>
  <rv s="7">
    <fb>1.3508</fb>
    <v>33</v>
  </rv>
  <rv s="7">
    <fb>1.3391</fb>
    <v>33</v>
  </rv>
  <rv s="7">
    <fb>1.3399000000000001</fb>
    <v>33</v>
  </rv>
  <rv s="7">
    <fb>42986</fb>
    <v>12</v>
  </rv>
  <rv s="7">
    <fb>1.3392999999999999</fb>
    <v>33</v>
  </rv>
  <rv s="7">
    <fb>1.3425</fb>
    <v>33</v>
  </rv>
  <rv s="7">
    <fb>1.3342000000000001</fb>
    <v>33</v>
  </rv>
  <rv s="7">
    <fb>1.3419000000000001</fb>
    <v>33</v>
  </rv>
  <rv s="7">
    <fb>42989</fb>
    <v>12</v>
  </rv>
  <rv s="7">
    <fb>1.341</fb>
    <v>33</v>
  </rv>
  <rv s="7">
    <fb>1.3469</fb>
    <v>33</v>
  </rv>
  <rv s="7">
    <fb>1.3405</fb>
    <v>33</v>
  </rv>
  <rv s="7">
    <fb>1.3466</fb>
    <v>33</v>
  </rv>
  <rv s="7">
    <fb>42990</fb>
    <v>12</v>
  </rv>
  <rv s="7">
    <fb>1.3465</fb>
    <v>33</v>
  </rv>
  <rv s="7">
    <fb>1.3481000000000001</fb>
    <v>33</v>
  </rv>
  <rv s="7">
    <fb>1.3431999999999999</fb>
    <v>33</v>
  </rv>
  <rv s="7">
    <fb>1.3472999999999999</fb>
    <v>33</v>
  </rv>
  <rv s="7">
    <fb>42991</fb>
    <v>12</v>
  </rv>
  <rv s="7">
    <fb>1.3468</fb>
    <v>33</v>
  </rv>
  <rv s="7">
    <fb>1.3512999999999999</fb>
    <v>33</v>
  </rv>
  <rv s="7">
    <fb>1.3433999999999999</fb>
    <v>33</v>
  </rv>
  <rv s="7">
    <fb>42992</fb>
    <v>12</v>
  </rv>
  <rv s="7">
    <fb>1.3507</fb>
    <v>33</v>
  </rv>
  <rv s="7">
    <fb>1.3458000000000001</fb>
    <v>33</v>
  </rv>
  <rv s="7">
    <fb>42993</fb>
    <v>12</v>
  </rv>
  <rv s="7">
    <fb>1.3462000000000001</fb>
    <v>33</v>
  </rv>
  <rv s="7">
    <fb>1.3479000000000001</fb>
    <v>33</v>
  </rv>
  <rv s="7">
    <fb>1.3420000000000001</fb>
    <v>33</v>
  </rv>
  <rv s="7">
    <fb>1.345</fb>
    <v>33</v>
  </rv>
  <rv s="7">
    <fb>42996</fb>
    <v>12</v>
  </rv>
  <rv s="7">
    <fb>1.3451</fb>
    <v>33</v>
  </rv>
  <rv s="7">
    <fb>1.3495999999999999</fb>
    <v>33</v>
  </rv>
  <rv s="7">
    <fb>1.3475999999999999</fb>
    <v>33</v>
  </rv>
  <rv s="7">
    <fb>42997</fb>
    <v>12</v>
  </rv>
  <rv s="7">
    <fb>1.3493999999999999</fb>
    <v>33</v>
  </rv>
  <rv s="7">
    <fb>1.3464</fb>
    <v>33</v>
  </rv>
  <rv s="7">
    <fb>42998</fb>
    <v>12</v>
  </rv>
  <rv s="7">
    <fb>1.3516999999999999</fb>
    <v>33</v>
  </rv>
  <rv s="7">
    <fb>1.3484</fb>
    <v>33</v>
  </rv>
  <rv s="7">
    <fb>42999</fb>
    <v>12</v>
  </rv>
  <rv s="7">
    <fb>1.3486</fb>
    <v>33</v>
  </rv>
  <rv s="7">
    <fb>1.3532999999999999</fb>
    <v>33</v>
  </rv>
  <rv s="7">
    <fb>1.3494999999999999</fb>
    <v>33</v>
  </rv>
  <rv s="7">
    <fb>43000</fb>
    <v>12</v>
  </rv>
  <rv s="7">
    <fb>1.3506</fb>
    <v>33</v>
  </rv>
  <rv s="7">
    <fb>1.343</fb>
    <v>33</v>
  </rv>
  <rv s="7">
    <fb>1.3453999999999999</fb>
    <v>33</v>
  </rv>
  <rv s="7">
    <fb>43003</fb>
    <v>12</v>
  </rv>
  <rv s="7">
    <fb>1.3452999999999999</fb>
    <v>33</v>
  </rv>
  <rv s="7">
    <fb>43004</fb>
    <v>12</v>
  </rv>
  <rv s="7">
    <fb>1.3512</fb>
    <v>33</v>
  </rv>
  <rv s="7">
    <fb>1.3496999999999999</fb>
    <v>33</v>
  </rv>
  <rv s="7">
    <fb>43005</fb>
    <v>12</v>
  </rv>
  <rv s="7">
    <fb>1.3543000000000001</fb>
    <v>33</v>
  </rv>
  <rv s="7">
    <fb>43006</fb>
    <v>12</v>
  </rv>
  <rv s="7">
    <fb>1.3646</fb>
    <v>33</v>
  </rv>
  <rv s="7">
    <fb>1.3575999999999999</fb>
    <v>33</v>
  </rv>
  <rv s="7">
    <fb>43007</fb>
    <v>12</v>
  </rv>
  <rv s="7">
    <fb>1.3551</fb>
    <v>33</v>
  </rv>
  <rv s="7">
    <fb>1.3572</fb>
    <v>33</v>
  </rv>
  <rv s="7">
    <fb>43010</fb>
    <v>12</v>
  </rv>
  <rv s="7">
    <fb>1.3613</fb>
    <v>33</v>
  </rv>
  <rv s="7">
    <fb>43011</fb>
    <v>12</v>
  </rv>
  <rv s="7">
    <fb>1.3605</fb>
    <v>33</v>
  </rv>
  <rv s="7">
    <fb>43012</fb>
    <v>12</v>
  </rv>
  <rv s="7">
    <fb>1.3580000000000001</fb>
    <v>33</v>
  </rv>
  <rv s="7">
    <fb>43013</fb>
    <v>12</v>
  </rv>
  <rv s="7">
    <fb>1.3640000000000001</fb>
    <v>33</v>
  </rv>
  <rv s="7">
    <fb>43014</fb>
    <v>12</v>
  </rv>
  <rv s="7">
    <fb>43017</fb>
    <v>12</v>
  </rv>
  <rv s="7">
    <fb>1.3653</fb>
    <v>33</v>
  </rv>
  <rv s="7">
    <fb>1.3654999999999999</fb>
    <v>33</v>
  </rv>
  <rv s="7">
    <fb>43018</fb>
    <v>12</v>
  </rv>
  <rv s="7">
    <fb>1.3631</fb>
    <v>33</v>
  </rv>
  <rv s="7">
    <fb>1.3635999999999999</fb>
    <v>33</v>
  </rv>
  <rv s="7">
    <fb>1.3559000000000001</fb>
    <v>33</v>
  </rv>
  <rv s="7">
    <fb>43019</fb>
    <v>12</v>
  </rv>
  <rv s="7">
    <fb>1.3528</fb>
    <v>33</v>
  </rv>
  <rv s="7">
    <fb>1.3541000000000001</fb>
    <v>33</v>
  </rv>
  <rv s="7">
    <fb>43020</fb>
    <v>12</v>
  </rv>
  <rv s="7">
    <fb>1.3504</fb>
    <v>33</v>
  </rv>
  <rv s="7">
    <fb>1.3521000000000001</fb>
    <v>33</v>
  </rv>
  <rv s="7">
    <fb>43021</fb>
    <v>12</v>
  </rv>
  <rv s="7">
    <fb>1.3523000000000001</fb>
    <v>33</v>
  </rv>
  <rv s="7">
    <fb>1.349</fb>
    <v>33</v>
  </rv>
  <rv s="7">
    <fb>43024</fb>
    <v>12</v>
  </rv>
  <rv s="7">
    <fb>1.3488</fb>
    <v>33</v>
  </rv>
  <rv s="7">
    <fb>43025</fb>
    <v>12</v>
  </rv>
  <rv s="7">
    <fb>1.3577999999999999</fb>
    <v>33</v>
  </rv>
  <rv s="7">
    <fb>1.3505</fb>
    <v>33</v>
  </rv>
  <rv s="7">
    <fb>1.3552999999999999</fb>
    <v>33</v>
  </rv>
  <rv s="7">
    <fb>43026</fb>
    <v>12</v>
  </rv>
  <rv s="7">
    <fb>43027</fb>
    <v>12</v>
  </rv>
  <rv s="7">
    <fb>43028</fb>
    <v>12</v>
  </rv>
  <rv s="7">
    <fb>43031</fb>
    <v>12</v>
  </rv>
  <rv s="7">
    <fb>43032</fb>
    <v>12</v>
  </rv>
  <rv s="7">
    <fb>43033</fb>
    <v>12</v>
  </rv>
  <rv s="7">
    <fb>1.3623000000000001</fb>
    <v>33</v>
  </rv>
  <rv s="7">
    <fb>1.3638999999999999</fb>
    <v>33</v>
  </rv>
  <rv s="7">
    <fb>1.3602000000000001</fb>
    <v>33</v>
  </rv>
  <rv s="7">
    <fb>43034</fb>
    <v>12</v>
  </rv>
  <rv s="7">
    <fb>1.3668</fb>
    <v>33</v>
  </rv>
  <rv s="7">
    <fb>43035</fb>
    <v>12</v>
  </rv>
  <rv s="7">
    <fb>1.3672</fb>
    <v>33</v>
  </rv>
  <rv s="7">
    <fb>1.3713</fb>
    <v>33</v>
  </rv>
  <rv s="7">
    <fb>1.3652</fb>
    <v>33</v>
  </rv>
  <rv s="7">
    <fb>43038</fb>
    <v>12</v>
  </rv>
  <rv s="7">
    <fb>1.3597999999999999</fb>
    <v>33</v>
  </rv>
  <rv s="7">
    <fb>43039</fb>
    <v>12</v>
  </rv>
  <rv s="7">
    <fb>1.3625</fb>
    <v>33</v>
  </rv>
  <rv s="7">
    <fb>43040</fb>
    <v>12</v>
  </rv>
  <rv s="7">
    <fb>43041</fb>
    <v>12</v>
  </rv>
  <rv s="7">
    <fb>43042</fb>
    <v>12</v>
  </rv>
  <rv s="7">
    <fb>1.3651</fb>
    <v>33</v>
  </rv>
  <rv s="7">
    <fb>43045</fb>
    <v>12</v>
  </rv>
  <rv s="7">
    <fb>1.3658999999999999</fb>
    <v>33</v>
  </rv>
  <rv s="7">
    <fb>43046</fb>
    <v>12</v>
  </rv>
  <rv s="7">
    <fb>43047</fb>
    <v>12</v>
  </rv>
  <rv s="7">
    <fb>1.3615999999999999</fb>
    <v>33</v>
  </rv>
  <rv s="7">
    <fb>43048</fb>
    <v>12</v>
  </rv>
  <rv s="7">
    <fb>43049</fb>
    <v>12</v>
  </rv>
  <rv s="7">
    <fb>1.36</fb>
    <v>33</v>
  </rv>
  <rv s="7">
    <fb>43052</fb>
    <v>12</v>
  </rv>
  <rv s="7">
    <fb>1.3596999999999999</fb>
    <v>33</v>
  </rv>
  <rv s="7">
    <fb>43053</fb>
    <v>12</v>
  </rv>
  <rv s="7">
    <fb>43054</fb>
    <v>12</v>
  </rv>
  <rv s="7">
    <fb>1.3589</fb>
    <v>33</v>
  </rv>
  <rv s="7">
    <fb>43055</fb>
    <v>12</v>
  </rv>
  <rv s="7">
    <fb>1.3562000000000001</fb>
    <v>33</v>
  </rv>
  <rv s="7">
    <fb>43056</fb>
    <v>12</v>
  </rv>
  <rv s="7">
    <fb>1.3561000000000001</fb>
    <v>33</v>
  </rv>
  <rv s="7">
    <fb>1.3529</fb>
    <v>33</v>
  </rv>
  <rv s="7">
    <fb>43059</fb>
    <v>12</v>
  </rv>
  <rv s="7">
    <fb>1.3539000000000001</fb>
    <v>33</v>
  </rv>
  <rv s="7">
    <fb>43060</fb>
    <v>12</v>
  </rv>
  <rv s="7">
    <fb>1.3567</fb>
    <v>33</v>
  </rv>
  <rv s="7">
    <fb>1.3579000000000001</fb>
    <v>33</v>
  </rv>
  <rv s="7">
    <fb>43061</fb>
    <v>12</v>
  </rv>
  <rv s="7">
    <fb>43062</fb>
    <v>12</v>
  </rv>
  <rv s="7">
    <fb>1.3445</fb>
    <v>33</v>
  </rv>
  <rv s="7">
    <fb>1.3452</fb>
    <v>33</v>
  </rv>
  <rv s="7">
    <fb>43063</fb>
    <v>12</v>
  </rv>
  <rv s="7">
    <fb>1.3442000000000001</fb>
    <v>33</v>
  </rv>
  <rv s="7">
    <fb>43066</fb>
    <v>12</v>
  </rv>
  <rv s="7">
    <fb>1.3454999999999999</fb>
    <v>33</v>
  </rv>
  <rv s="7">
    <fb>1.3480000000000001</fb>
    <v>33</v>
  </rv>
  <rv s="7">
    <fb>43067</fb>
    <v>12</v>
  </rv>
  <rv s="7">
    <fb>1.3474999999999999</fb>
    <v>33</v>
  </rv>
  <rv s="7">
    <fb>1.3434999999999999</fb>
    <v>33</v>
  </rv>
  <rv s="7">
    <fb>1.3459000000000001</fb>
    <v>33</v>
  </rv>
  <rv s="7">
    <fb>43068</fb>
    <v>12</v>
  </rv>
  <rv s="7">
    <fb>1.3435999999999999</fb>
    <v>33</v>
  </rv>
  <rv s="7">
    <fb>43069</fb>
    <v>12</v>
  </rv>
  <rv s="7">
    <fb>1.3456999999999999</fb>
    <v>33</v>
  </rv>
  <rv s="7">
    <fb>43070</fb>
    <v>12</v>
  </rv>
  <rv s="7">
    <fb>1.3483000000000001</fb>
    <v>33</v>
  </rv>
  <rv s="7">
    <fb>1.3414999999999999</fb>
    <v>33</v>
  </rv>
  <rv s="7">
    <fb>43073</fb>
    <v>12</v>
  </rv>
  <rv s="7">
    <fb>1.3472</fb>
    <v>33</v>
  </rv>
  <rv s="7">
    <fb>43074</fb>
    <v>12</v>
  </rv>
  <rv s="7">
    <fb>1.3482000000000001</fb>
    <v>33</v>
  </rv>
  <rv s="7">
    <fb>1.3448</fb>
    <v>33</v>
  </rv>
  <rv s="7">
    <fb>1.3471</fb>
    <v>33</v>
  </rv>
  <rv s="7">
    <fb>43075</fb>
    <v>12</v>
  </rv>
  <rv s="7">
    <fb>1.3489</fb>
    <v>33</v>
  </rv>
  <rv s="7">
    <fb>43076</fb>
    <v>12</v>
  </rv>
  <rv s="7">
    <fb>1.3514999999999999</fb>
    <v>33</v>
  </rv>
  <rv s="7">
    <fb>1.3473999999999999</fb>
    <v>33</v>
  </rv>
  <rv s="7">
    <fb>1.3513999999999999</fb>
    <v>33</v>
  </rv>
  <rv s="7">
    <fb>43077</fb>
    <v>12</v>
  </rv>
  <rv s="7">
    <fb>1.3520000000000001</fb>
    <v>33</v>
  </rv>
  <rv s="7">
    <fb>43080</fb>
    <v>12</v>
  </rv>
  <rv s="7">
    <fb>1.3498000000000001</fb>
    <v>33</v>
  </rv>
  <rv s="7">
    <fb>43081</fb>
    <v>12</v>
  </rv>
  <rv s="7">
    <fb>1.3519000000000001</fb>
    <v>33</v>
  </rv>
  <rv s="7">
    <fb>43082</fb>
    <v>12</v>
  </rv>
  <rv s="7">
    <fb>43083</fb>
    <v>12</v>
  </rv>
  <rv s="7">
    <fb>1.3438000000000001</fb>
    <v>33</v>
  </rv>
  <rv s="7">
    <fb>43084</fb>
    <v>12</v>
  </rv>
  <rv s="7">
    <fb>1.3447</fb>
    <v>33</v>
  </rv>
  <rv s="7">
    <fb>43087</fb>
    <v>12</v>
  </rv>
  <rv s="7">
    <fb>43088</fb>
    <v>12</v>
  </rv>
  <rv s="7">
    <fb>43089</fb>
    <v>12</v>
  </rv>
  <rv s="7">
    <fb>1.3429</fb>
    <v>33</v>
  </rv>
  <rv s="7">
    <fb>1.3436999999999999</fb>
    <v>33</v>
  </rv>
  <rv s="7">
    <fb>43090</fb>
    <v>12</v>
  </rv>
  <rv s="7">
    <fb>1.3461000000000001</fb>
    <v>33</v>
  </rv>
  <rv s="7">
    <fb>1.3426</fb>
    <v>33</v>
  </rv>
  <rv s="7">
    <fb>43091</fb>
    <v>12</v>
  </rv>
  <rv s="7">
    <fb>1.3431</fb>
    <v>33</v>
  </rv>
  <rv s="7">
    <fb>43094</fb>
    <v>12</v>
  </rv>
  <rv s="7">
    <fb>1.3443000000000001</fb>
    <v>33</v>
  </rv>
  <rv s="7">
    <fb>1.3427</fb>
    <v>33</v>
  </rv>
  <rv s="7">
    <fb>43095</fb>
    <v>12</v>
  </rv>
  <rv s="7">
    <fb>1.3444</fb>
    <v>33</v>
  </rv>
  <rv s="7">
    <fb>43096</fb>
    <v>12</v>
  </rv>
  <rv s="7">
    <fb>1.3382000000000001</fb>
    <v>33</v>
  </rv>
  <rv s="7">
    <fb>1.3395999999999999</fb>
    <v>33</v>
  </rv>
  <rv s="7">
    <fb>43097</fb>
    <v>12</v>
  </rv>
  <rv s="7">
    <fb>1.3396999999999999</fb>
    <v>33</v>
  </rv>
  <rv s="7">
    <fb>1.3407</fb>
    <v>33</v>
  </rv>
  <rv s="7">
    <fb>1.3366</fb>
    <v>33</v>
  </rv>
  <rv s="7">
    <fb>1.3374999999999999</fb>
    <v>33</v>
  </rv>
  <rv s="7">
    <fb>43098</fb>
    <v>12</v>
  </rv>
  <rv s="7">
    <fb>1.335</fb>
    <v>33</v>
  </rv>
  <rv s="7">
    <fb>1.3372999999999999</fb>
    <v>33</v>
  </rv>
  <rv s="7">
    <fb>43101</fb>
    <v>12</v>
  </rv>
  <rv s="7">
    <fb>1.3368</fb>
    <v>33</v>
  </rv>
  <rv s="7">
    <fb>43102</fb>
    <v>12</v>
  </rv>
  <rv s="7">
    <fb>1.3270999999999999</fb>
    <v>33</v>
  </rv>
  <rv s="7">
    <fb>1.3289</fb>
    <v>33</v>
  </rv>
  <rv s="7">
    <fb>43103</fb>
    <v>12</v>
  </rv>
  <rv s="7">
    <fb>1.3309</fb>
    <v>33</v>
  </rv>
  <rv s="7">
    <fb>1.3275999999999999</fb>
    <v>33</v>
  </rv>
  <rv s="7">
    <fb>1.3291999999999999</fb>
    <v>33</v>
  </rv>
  <rv s="7">
    <fb>43104</fb>
    <v>12</v>
  </rv>
  <rv s="7">
    <fb>1.3313999999999999</fb>
    <v>33</v>
  </rv>
  <rv s="7">
    <fb>1.3265</fb>
    <v>33</v>
  </rv>
  <rv s="7">
    <fb>43105</fb>
    <v>12</v>
  </rv>
  <rv s="7">
    <fb>1.3282</fb>
    <v>33</v>
  </rv>
  <rv s="7">
    <fb>1.325</fb>
    <v>33</v>
  </rv>
  <rv s="7">
    <fb>1.3261000000000001</fb>
    <v>33</v>
  </rv>
  <rv s="7">
    <fb>43108</fb>
    <v>12</v>
  </rv>
  <rv s="7">
    <fb>1.327</fb>
    <v>33</v>
  </rv>
  <rv s="7">
    <fb>1.333</fb>
    <v>33</v>
  </rv>
  <rv s="7">
    <fb>1.3252999999999999</fb>
    <v>33</v>
  </rv>
  <rv s="7">
    <fb>1.3321000000000001</fb>
    <v>33</v>
  </rv>
  <rv s="7">
    <fb>43109</fb>
    <v>12</v>
  </rv>
  <rv s="7">
    <fb>1.3323</fb>
    <v>33</v>
  </rv>
  <rv s="7">
    <fb>1.3367</fb>
    <v>33</v>
  </rv>
  <rv s="7">
    <fb>1.3302</fb>
    <v>33</v>
  </rv>
  <rv s="7">
    <fb>1.3351</fb>
    <v>33</v>
  </rv>
  <rv s="7">
    <fb>43110</fb>
    <v>12</v>
  </rv>
  <rv s="7">
    <fb>1.3353999999999999</fb>
    <v>33</v>
  </rv>
  <rv s="7">
    <fb>1.3369</fb>
    <v>33</v>
  </rv>
  <rv s="7">
    <fb>1.3303</fb>
    <v>33</v>
  </rv>
  <rv s="7">
    <fb>1.3340000000000001</fb>
    <v>33</v>
  </rv>
  <rv s="7">
    <fb>43111</fb>
    <v>12</v>
  </rv>
  <rv s="7">
    <fb>1.3352999999999999</fb>
    <v>33</v>
  </rv>
  <rv s="7">
    <fb>1.3284</fb>
    <v>33</v>
  </rv>
  <rv s="7">
    <fb>43112</fb>
    <v>12</v>
  </rv>
  <rv s="7">
    <fb>1.3290999999999999</fb>
    <v>33</v>
  </rv>
  <rv s="7">
    <fb>1.3301000000000001</fb>
    <v>33</v>
  </rv>
  <rv s="7">
    <fb>1.3247</fb>
    <v>33</v>
  </rv>
  <rv s="7">
    <fb>1.3250999999999999</fb>
    <v>33</v>
  </rv>
  <rv s="7">
    <fb>43115</fb>
    <v>12</v>
  </rv>
  <rv s="7">
    <fb>1.3226</fb>
    <v>33</v>
  </rv>
  <rv s="7">
    <fb>1.3197000000000001</fb>
    <v>33</v>
  </rv>
  <rv s="7">
    <fb>1.3207</fb>
    <v>33</v>
  </rv>
  <rv s="7">
    <fb>43116</fb>
    <v>12</v>
  </rv>
  <rv s="7">
    <fb>1.3211999999999999</fb>
    <v>33</v>
  </rv>
  <rv s="7">
    <fb>1.3248</fb>
    <v>33</v>
  </rv>
  <rv s="7">
    <fb>1.3192999999999999</fb>
    <v>33</v>
  </rv>
  <rv s="7">
    <fb>43117</fb>
    <v>12</v>
  </rv>
  <rv s="7">
    <fb>1.3204</fb>
    <v>33</v>
  </rv>
  <rv s="7">
    <fb>1.3253999999999999</fb>
    <v>33</v>
  </rv>
  <rv s="7">
    <fb>1.3179000000000001</fb>
    <v>33</v>
  </rv>
  <rv s="7">
    <fb>1.3244</fb>
    <v>33</v>
  </rv>
  <rv s="7">
    <fb>43118</fb>
    <v>12</v>
  </rv>
  <rv s="7">
    <fb>1.3243</fb>
    <v>33</v>
  </rv>
  <rv s="7">
    <fb>1.3272999999999999</fb>
    <v>33</v>
  </rv>
  <rv s="7">
    <fb>43119</fb>
    <v>12</v>
  </rv>
  <rv s="7">
    <fb>1.3213999999999999</fb>
    <v>33</v>
  </rv>
  <rv s="7">
    <fb>1.3168</fb>
    <v>33</v>
  </rv>
  <rv s="7">
    <fb>43122</fb>
    <v>12</v>
  </rv>
  <rv s="7">
    <fb>1.3199000000000001</fb>
    <v>33</v>
  </rv>
  <rv s="7">
    <fb>1.3223</fb>
    <v>33</v>
  </rv>
  <rv s="7">
    <fb>1.3180000000000001</fb>
    <v>33</v>
  </rv>
  <rv s="7">
    <fb>1.3187</fb>
    <v>33</v>
  </rv>
  <rv s="7">
    <fb>43123</fb>
    <v>12</v>
  </rv>
  <rv s="7">
    <fb>1.3188</fb>
    <v>33</v>
  </rv>
  <rv s="7">
    <fb>1.3208</fb>
    <v>33</v>
  </rv>
  <rv s="7">
    <fb>1.3165</fb>
    <v>33</v>
  </rv>
  <rv s="7">
    <fb>1.3169</fb>
    <v>33</v>
  </rv>
  <rv s="7">
    <fb>43124</fb>
    <v>12</v>
  </rv>
  <rv s="7">
    <fb>1.3169999999999999</fb>
    <v>33</v>
  </rv>
  <rv s="7">
    <fb>1.3176000000000001</fb>
    <v>33</v>
  </rv>
  <rv s="7">
    <fb>1.3065</fb>
    <v>33</v>
  </rv>
  <rv s="7">
    <fb>1.3069999999999999</fb>
    <v>33</v>
  </rv>
  <rv s="7">
    <fb>43125</fb>
    <v>12</v>
  </rv>
  <rv s="7">
    <fb>1.3070999999999999</fb>
    <v>33</v>
  </rv>
  <rv s="7">
    <fb>1.3126</fb>
    <v>33</v>
  </rv>
  <rv s="7">
    <fb>1.3004</fb>
    <v>33</v>
  </rv>
  <rv s="7">
    <fb>1.3103</fb>
    <v>33</v>
  </rv>
  <rv s="7">
    <fb>43126</fb>
    <v>12</v>
  </rv>
  <rv s="7">
    <fb>1.3097000000000001</fb>
    <v>33</v>
  </rv>
  <rv s="7">
    <fb>1.3125</fb>
    <v>33</v>
  </rv>
  <rv s="7">
    <fb>1.3039000000000001</fb>
    <v>33</v>
  </rv>
  <rv s="7">
    <fb>1.3075000000000001</fb>
    <v>33</v>
  </rv>
  <rv s="7">
    <fb>43129</fb>
    <v>12</v>
  </rv>
  <rv s="7">
    <fb>1.3067</fb>
    <v>33</v>
  </rv>
  <rv s="7">
    <fb>1.3056000000000001</fb>
    <v>33</v>
  </rv>
  <rv s="7">
    <fb>1.3099000000000001</fb>
    <v>33</v>
  </rv>
  <rv s="7">
    <fb>43130</fb>
    <v>12</v>
  </rv>
  <rv s="7">
    <fb>1.3149</fb>
    <v>33</v>
  </rv>
  <rv s="7">
    <fb>1.3080000000000001</fb>
    <v>33</v>
  </rv>
  <rv s="7">
    <fb>1.3112999999999999</fb>
    <v>33</v>
  </rv>
  <rv s="7">
    <fb>43131</fb>
    <v>12</v>
  </rv>
  <rv s="7">
    <fb>1.3137000000000001</fb>
    <v>33</v>
  </rv>
  <rv s="7">
    <fb>1.3066</fb>
    <v>33</v>
  </rv>
  <rv s="7">
    <fb>1.3117000000000001</fb>
    <v>33</v>
  </rv>
  <rv s="7">
    <fb>43132</fb>
    <v>12</v>
  </rv>
  <rv s="7">
    <fb>1.3118000000000001</fb>
    <v>33</v>
  </rv>
  <rv s="7">
    <fb>1.3141</fb>
    <v>33</v>
  </rv>
  <rv s="7">
    <fb>1.3071999999999999</fb>
    <v>33</v>
  </rv>
  <rv s="7">
    <fb>43133</fb>
    <v>12</v>
  </rv>
  <rv s="7">
    <fb>1.3079000000000001</fb>
    <v>33</v>
  </rv>
  <rv s="7">
    <fb>1.3198000000000001</fb>
    <v>33</v>
  </rv>
  <rv s="7">
    <fb>1.3072999999999999</fb>
    <v>33</v>
  </rv>
  <rv s="7">
    <fb>43136</fb>
    <v>12</v>
  </rv>
  <rv s="7">
    <fb>1.3190999999999999</fb>
    <v>33</v>
  </rv>
  <rv s="7">
    <fb>1.3219000000000001</fb>
    <v>33</v>
  </rv>
  <rv s="7">
    <fb>1.3154999999999999</fb>
    <v>33</v>
  </rv>
  <rv s="7">
    <fb>1.3214999999999999</fb>
    <v>33</v>
  </rv>
  <rv s="7">
    <fb>43137</fb>
    <v>12</v>
  </rv>
  <rv s="7">
    <fb>1.3237000000000001</fb>
    <v>33</v>
  </rv>
  <rv s="7">
    <fb>1.3182</fb>
    <v>33</v>
  </rv>
  <rv s="7">
    <fb>43138</fb>
    <v>12</v>
  </rv>
  <rv s="7">
    <fb>1.3163</fb>
    <v>33</v>
  </rv>
  <rv s="7">
    <fb>43139</fb>
    <v>12</v>
  </rv>
  <rv s="7">
    <fb>1.3249</fb>
    <v>33</v>
  </rv>
  <rv s="7">
    <fb>1.3229</fb>
    <v>33</v>
  </rv>
  <rv s="7">
    <fb>1.331</fb>
    <v>33</v>
  </rv>
  <rv s="7">
    <fb>43140</fb>
    <v>12</v>
  </rv>
  <rv s="7">
    <fb>1.3310999999999999</fb>
    <v>33</v>
  </rv>
  <rv s="7">
    <fb>1.3339000000000001</fb>
    <v>33</v>
  </rv>
  <rv s="7">
    <fb>1.3274999999999999</fb>
    <v>33</v>
  </rv>
  <rv s="7">
    <fb>1.3293999999999999</fb>
    <v>33</v>
  </rv>
  <rv s="7">
    <fb>43143</fb>
    <v>12</v>
  </rv>
  <rv s="7">
    <fb>1.3225</fb>
    <v>33</v>
  </rv>
  <rv s="7">
    <fb>43144</fb>
    <v>12</v>
  </rv>
  <rv s="7">
    <fb>1.3228</fb>
    <v>33</v>
  </rv>
  <rv s="7">
    <fb>1.3251999999999999</fb>
    <v>33</v>
  </rv>
  <rv s="7">
    <fb>1.3202</fb>
    <v>33</v>
  </rv>
  <rv s="7">
    <fb>1.3221000000000001</fb>
    <v>33</v>
  </rv>
  <rv s="7">
    <fb>43145</fb>
    <v>12</v>
  </rv>
  <rv s="7">
    <fb>1.3133999999999999</fb>
    <v>33</v>
  </rv>
  <rv s="7">
    <fb>1.3139000000000001</fb>
    <v>33</v>
  </rv>
  <rv s="7">
    <fb>43146</fb>
    <v>12</v>
  </rv>
  <rv s="7">
    <fb>1.3138000000000001</fb>
    <v>33</v>
  </rv>
  <rv s="7">
    <fb>1.3152999999999999</fb>
    <v>33</v>
  </rv>
  <rv s="7">
    <fb>1.3078000000000001</fb>
    <v>33</v>
  </rv>
  <rv s="7">
    <fb>1.3089999999999999</fb>
    <v>33</v>
  </rv>
  <rv s="7">
    <fb>43147</fb>
    <v>12</v>
  </rv>
  <rv s="7">
    <fb>1.3086</fb>
    <v>33</v>
  </rv>
  <rv s="7">
    <fb>1.3130999999999999</fb>
    <v>33</v>
  </rv>
  <rv s="7">
    <fb>1.3051999999999999</fb>
    <v>33</v>
  </rv>
  <rv s="7">
    <fb>43150</fb>
    <v>12</v>
  </rv>
  <rv s="7">
    <fb>1.3148</fb>
    <v>33</v>
  </rv>
  <rv s="7">
    <fb>43151</fb>
    <v>12</v>
  </rv>
  <rv s="7">
    <fb>1.3132999999999999</fb>
    <v>33</v>
  </rv>
  <rv s="7">
    <fb>1.32</fb>
    <v>33</v>
  </rv>
  <rv s="7">
    <fb>1.3124</fb>
    <v>33</v>
  </rv>
  <rv s="7">
    <fb>1.319</fb>
    <v>33</v>
  </rv>
  <rv s="7">
    <fb>43152</fb>
    <v>12</v>
  </rv>
  <rv s="7">
    <fb>1.3183</fb>
    <v>33</v>
  </rv>
  <rv s="7">
    <fb>1.3239000000000001</fb>
    <v>33</v>
  </rv>
  <rv s="7">
    <fb>1.3164</fb>
    <v>33</v>
  </rv>
  <rv s="7">
    <fb>1.3233999999999999</fb>
    <v>33</v>
  </rv>
  <rv s="7">
    <fb>43153</fb>
    <v>12</v>
  </rv>
  <rv s="7">
    <fb>1.3232999999999999</fb>
    <v>33</v>
  </rv>
  <rv s="7">
    <fb>1.3255999999999999</fb>
    <v>33</v>
  </rv>
  <rv s="7">
    <fb>43154</fb>
    <v>12</v>
  </rv>
  <rv s="7">
    <fb>1.3171999999999999</fb>
    <v>33</v>
  </rv>
  <rv s="7">
    <fb>1.3194999999999999</fb>
    <v>33</v>
  </rv>
  <rv s="7">
    <fb>43157</fb>
    <v>12</v>
  </rv>
  <rv s="7">
    <fb>1.3157000000000001</fb>
    <v>33</v>
  </rv>
  <rv s="7">
    <fb>43158</fb>
    <v>12</v>
  </rv>
  <rv s="7">
    <fb>1.3156000000000001</fb>
    <v>33</v>
  </rv>
  <rv s="7">
    <fb>1.3140000000000001</fb>
    <v>33</v>
  </rv>
  <rv s="7">
    <fb>1.3242</fb>
    <v>33</v>
  </rv>
  <rv s="7">
    <fb>43159</fb>
    <v>12</v>
  </rv>
  <rv s="7">
    <fb>1.3241000000000001</fb>
    <v>33</v>
  </rv>
  <rv s="7">
    <fb>1.3264</fb>
    <v>33</v>
  </rv>
  <rv s="7">
    <fb>1.3217000000000001</fb>
    <v>33</v>
  </rv>
  <rv s="7">
    <fb>1.3246</fb>
    <v>33</v>
  </rv>
  <rv s="7">
    <fb>43160</fb>
    <v>12</v>
  </rv>
  <rv s="7">
    <fb>1.3245</fb>
    <v>33</v>
  </rv>
  <rv s="7">
    <fb>1.3220000000000001</fb>
    <v>33</v>
  </rv>
  <rv s="7">
    <fb>1.3227</fb>
    <v>33</v>
  </rv>
  <rv s="7">
    <fb>43161</fb>
    <v>12</v>
  </rv>
  <rv s="7">
    <fb>1.323</fb>
    <v>33</v>
  </rv>
  <rv s="7">
    <fb>1.3193999999999999</fb>
    <v>33</v>
  </rv>
  <rv s="7">
    <fb>43164</fb>
    <v>12</v>
  </rv>
  <rv s="7">
    <fb>1.3173999999999999</fb>
    <v>33</v>
  </rv>
  <rv s="7">
    <fb>43165</fb>
    <v>12</v>
  </rv>
  <rv s="7">
    <fb>1.3181</fb>
    <v>33</v>
  </rv>
  <rv s="7">
    <fb>1.3201000000000001</fb>
    <v>33</v>
  </rv>
  <rv s="7">
    <fb>1.3144</fb>
    <v>33</v>
  </rv>
  <rv s="7">
    <fb>1.3159000000000001</fb>
    <v>33</v>
  </rv>
  <rv s="7">
    <fb>43166</fb>
    <v>12</v>
  </rv>
  <rv s="7">
    <fb>1.3160000000000001</fb>
    <v>33</v>
  </rv>
  <rv s="7">
    <fb>43167</fb>
    <v>12</v>
  </rv>
  <rv s="7">
    <fb>1.3186</fb>
    <v>33</v>
  </rv>
  <rv s="7">
    <fb>43168</fb>
    <v>12</v>
  </rv>
  <rv s="7">
    <fb>1.3170999999999999</fb>
    <v>33</v>
  </rv>
  <rv s="7">
    <fb>43171</fb>
    <v>12</v>
  </rv>
  <rv s="7">
    <fb>1.3158000000000001</fb>
    <v>33</v>
  </rv>
  <rv s="7">
    <fb>1.3167</fb>
    <v>33</v>
  </rv>
  <rv s="7">
    <fb>1.3115000000000001</fb>
    <v>33</v>
  </rv>
  <rv s="7">
    <fb>43172</fb>
    <v>12</v>
  </rv>
  <rv s="7">
    <fb>1.3123</fb>
    <v>33</v>
  </rv>
  <rv s="7">
    <fb>1.3145</fb>
    <v>33</v>
  </rv>
  <rv s="7">
    <fb>43173</fb>
    <v>12</v>
  </rv>
  <rv s="7">
    <fb>1.3077000000000001</fb>
    <v>33</v>
  </rv>
  <rv s="7">
    <fb>1.3089</fb>
    <v>33</v>
  </rv>
  <rv s="7">
    <fb>43174</fb>
    <v>12</v>
  </rv>
  <rv s="7">
    <fb>1.3081</fb>
    <v>33</v>
  </rv>
  <rv s="7">
    <fb>1.3131999999999999</fb>
    <v>33</v>
  </rv>
  <rv s="7">
    <fb>43175</fb>
    <v>12</v>
  </rv>
  <rv s="7">
    <fb>1.3172999999999999</fb>
    <v>33</v>
  </rv>
  <rv s="7">
    <fb>43178</fb>
    <v>12</v>
  </rv>
  <rv s="7">
    <fb>1.3191999999999999</fb>
    <v>33</v>
  </rv>
  <rv s="7">
    <fb>43179</fb>
    <v>12</v>
  </rv>
  <rv s="7">
    <fb>43180</fb>
    <v>12</v>
  </rv>
  <rv s="7">
    <fb>1.3113999999999999</fb>
    <v>33</v>
  </rv>
  <rv s="7">
    <fb>1.3122</fb>
    <v>33</v>
  </rv>
  <rv s="7">
    <fb>43181</fb>
    <v>12</v>
  </rv>
  <rv s="7">
    <fb>1.3177000000000001</fb>
    <v>33</v>
  </rv>
  <rv s="7">
    <fb>1.3106</fb>
    <v>33</v>
  </rv>
  <rv s="7">
    <fb>43182</fb>
    <v>12</v>
  </rv>
  <rv s="7">
    <fb>1.3120000000000001</fb>
    <v>33</v>
  </rv>
  <rv s="7">
    <fb>1.3151999999999999</fb>
    <v>33</v>
  </rv>
  <rv s="7">
    <fb>43185</fb>
    <v>12</v>
  </rv>
  <rv s="7">
    <fb>1.3150999999999999</fb>
    <v>33</v>
  </rv>
  <rv s="7">
    <fb>1.3085</fb>
    <v>33</v>
  </rv>
  <rv s="7">
    <fb>43186</fb>
    <v>12</v>
  </rv>
  <rv s="7">
    <fb>1.3104</fb>
    <v>33</v>
  </rv>
  <rv s="7">
    <fb>1.3048999999999999</fb>
    <v>33</v>
  </rv>
  <rv s="7">
    <fb>1.3096000000000001</fb>
    <v>33</v>
  </rv>
  <rv s="7">
    <fb>43187</fb>
    <v>12</v>
  </rv>
  <rv s="7">
    <fb>1.3128</fb>
    <v>33</v>
  </rv>
  <rv s="7">
    <fb>43188</fb>
    <v>12</v>
  </rv>
  <rv s="7">
    <fb>1.3136000000000001</fb>
    <v>33</v>
  </rv>
  <rv s="7">
    <fb>1.3092999999999999</fb>
    <v>33</v>
  </rv>
  <rv s="7">
    <fb>1.3107</fb>
    <v>33</v>
  </rv>
  <rv s="7">
    <fb>43189</fb>
    <v>12</v>
  </rv>
  <rv s="7">
    <fb>1.3091999999999999</fb>
    <v>33</v>
  </rv>
  <rv s="7">
    <fb>43192</fb>
    <v>12</v>
  </rv>
  <rv s="7">
    <fb>1.3129999999999999</fb>
    <v>33</v>
  </rv>
  <rv s="7">
    <fb>1.3087</fb>
    <v>33</v>
  </rv>
  <rv s="7">
    <fb>43193</fb>
    <v>12</v>
  </rv>
  <rv s="7">
    <fb>1.3084</fb>
    <v>33</v>
  </rv>
  <rv s="7">
    <fb>43194</fb>
    <v>12</v>
  </rv>
  <rv s="7">
    <fb>1.3090999999999999</fb>
    <v>33</v>
  </rv>
  <rv s="7">
    <fb>1.3119000000000001</fb>
    <v>33</v>
  </rv>
  <rv s="7">
    <fb>43195</fb>
    <v>12</v>
  </rv>
  <rv s="7">
    <fb>1.3109999999999999</fb>
    <v>33</v>
  </rv>
  <rv s="7">
    <fb>43196</fb>
    <v>12</v>
  </rv>
  <rv s="7">
    <fb>1.3146</fb>
    <v>33</v>
  </rv>
  <rv s="7">
    <fb>1.3153999999999999</fb>
    <v>33</v>
  </rv>
  <rv s="7">
    <fb>43199</fb>
    <v>12</v>
  </rv>
  <rv s="7">
    <fb>1.3105</fb>
    <v>33</v>
  </rv>
  <rv s="7">
    <fb>1.3111999999999999</fb>
    <v>33</v>
  </rv>
  <rv s="7">
    <fb>43200</fb>
    <v>12</v>
  </rv>
  <rv s="7">
    <fb>43201</fb>
    <v>12</v>
  </rv>
  <rv s="7">
    <fb>1.3098000000000001</fb>
    <v>33</v>
  </rv>
  <rv s="7">
    <fb>43202</fb>
    <v>12</v>
  </rv>
  <rv s="7">
    <fb>1.3083</fb>
    <v>33</v>
  </rv>
  <rv s="7">
    <fb>43203</fb>
    <v>12</v>
  </rv>
  <rv s="7">
    <fb>43206</fb>
    <v>12</v>
  </rv>
  <rv s="7">
    <fb>1.3095000000000001</fb>
    <v>33</v>
  </rv>
  <rv s="7">
    <fb>43207</fb>
    <v>12</v>
  </rv>
  <rv s="7">
    <fb>1.31</fb>
    <v>33</v>
  </rv>
  <rv s="7">
    <fb>43208</fb>
    <v>12</v>
  </rv>
  <rv s="7">
    <fb>1.3088</fb>
    <v>33</v>
  </rv>
  <rv s="7">
    <fb>43209</fb>
    <v>12</v>
  </rv>
  <rv s="7">
    <fb>1.3082</fb>
    <v>33</v>
  </rv>
  <rv s="7">
    <fb>43210</fb>
    <v>12</v>
  </rv>
  <rv s="7">
    <fb>1.3161</fb>
    <v>33</v>
  </rv>
  <rv s="7">
    <fb>43213</fb>
    <v>12</v>
  </rv>
  <rv s="7">
    <fb>1.3262</fb>
    <v>33</v>
  </rv>
  <rv s="7">
    <fb>43214</fb>
    <v>12</v>
  </rv>
  <rv s="7">
    <fb>43215</fb>
    <v>12</v>
  </rv>
  <rv s="7">
    <fb>1.3295999999999999</fb>
    <v>33</v>
  </rv>
  <rv s="7">
    <fb>43216</fb>
    <v>12</v>
  </rv>
  <rv s="7">
    <fb>1.3283</fb>
    <v>33</v>
  </rv>
  <rv s="7">
    <fb>1.3287</fb>
    <v>33</v>
  </rv>
  <rv s="7">
    <fb>1.3277000000000001</fb>
    <v>33</v>
  </rv>
  <rv s="7">
    <fb>43217</fb>
    <v>12</v>
  </rv>
  <rv s="7">
    <fb>1.3278000000000001</fb>
    <v>33</v>
  </rv>
  <rv s="7">
    <fb>1.3234999999999999</fb>
    <v>33</v>
  </rv>
  <rv s="7">
    <fb>43220</fb>
    <v>12</v>
  </rv>
  <rv s="7">
    <fb>1.3258000000000001</fb>
    <v>33</v>
  </rv>
  <rv s="7">
    <fb>43221</fb>
    <v>12</v>
  </rv>
  <rv s="7">
    <fb>1.3343</fb>
    <v>33</v>
  </rv>
  <rv s="7">
    <fb>1.3331999999999999</fb>
    <v>33</v>
  </rv>
  <rv s="7">
    <fb>43222</fb>
    <v>12</v>
  </rv>
  <rv s="7">
    <fb>1.337</fb>
    <v>33</v>
  </rv>
  <rv s="7">
    <fb>1.3362000000000001</fb>
    <v>33</v>
  </rv>
  <rv s="7">
    <fb>43223</fb>
    <v>12</v>
  </rv>
  <rv s="7">
    <fb>1.3361000000000001</fb>
    <v>33</v>
  </rv>
  <rv s="7">
    <fb>1.3292999999999999</fb>
    <v>33</v>
  </rv>
  <rv s="7">
    <fb>1.3305</fb>
    <v>33</v>
  </rv>
  <rv s="7">
    <fb>43224</fb>
    <v>12</v>
  </rv>
  <rv s="7">
    <fb>1.3359000000000001</fb>
    <v>33</v>
  </rv>
  <rv s="7">
    <fb>1.3285</fb>
    <v>33</v>
  </rv>
  <rv s="7">
    <fb>1.3332999999999999</fb>
    <v>33</v>
  </rv>
  <rv s="7">
    <fb>43227</fb>
    <v>12</v>
  </rv>
  <rv s="7">
    <fb>1.3354999999999999</fb>
    <v>33</v>
  </rv>
  <rv s="7">
    <fb>43228</fb>
    <v>12</v>
  </rv>
  <rv s="7">
    <fb>1.3415999999999999</fb>
    <v>33</v>
  </rv>
  <rv s="7">
    <fb>1.34</fb>
    <v>33</v>
  </rv>
  <rv s="7">
    <fb>43229</fb>
    <v>12</v>
  </rv>
  <rv s="7">
    <fb>1.3388</fb>
    <v>33</v>
  </rv>
  <rv s="7">
    <fb>43230</fb>
    <v>12</v>
  </rv>
  <rv s="7">
    <fb>1.3358000000000001</fb>
    <v>33</v>
  </rv>
  <rv s="7">
    <fb>1.3371999999999999</fb>
    <v>33</v>
  </rv>
  <rv s="7">
    <fb>43231</fb>
    <v>12</v>
  </rv>
  <rv s="7">
    <fb>1.3385</fb>
    <v>33</v>
  </rv>
  <rv s="7">
    <fb>1.3360000000000001</fb>
    <v>33</v>
  </rv>
  <rv s="7">
    <fb>43234</fb>
    <v>12</v>
  </rv>
  <rv s="7">
    <fb>43235</fb>
    <v>12</v>
  </rv>
  <rv s="7">
    <fb>1.3344</fb>
    <v>33</v>
  </rv>
  <rv s="7">
    <fb>1.3446</fb>
    <v>33</v>
  </rv>
  <rv s="7">
    <fb>43236</fb>
    <v>12</v>
  </rv>
  <rv s="7">
    <fb>1.3455999999999999</fb>
    <v>33</v>
  </rv>
  <rv s="7">
    <fb>1.3383</fb>
    <v>33</v>
  </rv>
  <rv s="7">
    <fb>1.3402000000000001</fb>
    <v>33</v>
  </rv>
  <rv s="7">
    <fb>43237</fb>
    <v>12</v>
  </rv>
  <rv s="7">
    <fb>43238</fb>
    <v>12</v>
  </rv>
  <rv s="7">
    <fb>43241</fb>
    <v>12</v>
  </rv>
  <rv s="7">
    <fb>43242</fb>
    <v>12</v>
  </rv>
  <rv s="7">
    <fb>1.3413999999999999</fb>
    <v>33</v>
  </rv>
  <rv s="7">
    <fb>1.339</fb>
    <v>33</v>
  </rv>
  <rv s="7">
    <fb>43243</fb>
    <v>12</v>
  </rv>
  <rv s="7">
    <fb>1.3389</fb>
    <v>33</v>
  </rv>
  <rv s="7">
    <fb>1.3379000000000001</fb>
    <v>33</v>
  </rv>
  <rv s="7">
    <fb>1.3432999999999999</fb>
    <v>33</v>
  </rv>
  <rv s="7">
    <fb>43244</fb>
    <v>12</v>
  </rv>
  <rv s="7">
    <fb>43245</fb>
    <v>12</v>
  </rv>
  <rv s="7">
    <fb>1.3391999999999999</fb>
    <v>33</v>
  </rv>
  <rv s="7">
    <fb>1.3423</fb>
    <v>33</v>
  </rv>
  <rv s="7">
    <fb>43248</fb>
    <v>12</v>
  </rv>
  <rv s="7">
    <fb>1.3428</fb>
    <v>33</v>
  </rv>
  <rv s="7">
    <fb>1.3373999999999999</fb>
    <v>33</v>
  </rv>
  <rv s="7">
    <fb>1.3424</fb>
    <v>33</v>
  </rv>
  <rv s="7">
    <fb>43249</fb>
    <v>12</v>
  </rv>
  <rv s="7">
    <fb>1.3416999999999999</fb>
    <v>33</v>
  </rv>
  <rv s="7">
    <fb>43250</fb>
    <v>12</v>
  </rv>
  <rv s="7">
    <fb>43251</fb>
    <v>12</v>
  </rv>
  <rv s="7">
    <fb>1.3406</fb>
    <v>33</v>
  </rv>
  <rv s="7">
    <fb>43252</fb>
    <v>12</v>
  </rv>
  <rv s="7">
    <fb>43255</fb>
    <v>12</v>
  </rv>
  <rv s="7">
    <fb>1.3328</fb>
    <v>33</v>
  </rv>
  <rv s="7">
    <fb>1.3365</fb>
    <v>33</v>
  </rv>
  <rv s="7">
    <fb>43256</fb>
    <v>12</v>
  </rv>
  <rv s="7">
    <fb>1.3363</fb>
    <v>33</v>
  </rv>
  <rv s="7">
    <fb>1.3346</fb>
    <v>33</v>
  </rv>
  <rv s="7">
    <fb>43257</fb>
    <v>12</v>
  </rv>
  <rv s="7">
    <fb>1.3347</fb>
    <v>33</v>
  </rv>
  <rv s="7">
    <fb>1.3326</fb>
    <v>33</v>
  </rv>
  <rv s="7">
    <fb>43258</fb>
    <v>12</v>
  </rv>
  <rv s="7">
    <fb>1.3335999999999999</fb>
    <v>33</v>
  </rv>
  <rv s="7">
    <fb>43259</fb>
    <v>12</v>
  </rv>
  <rv s="7">
    <fb>1.3371</fb>
    <v>33</v>
  </rv>
  <rv s="7">
    <fb>1.3325</fb>
    <v>33</v>
  </rv>
  <rv s="7">
    <fb>43262</fb>
    <v>12</v>
  </rv>
  <rv s="7">
    <fb>1.3327</fb>
    <v>33</v>
  </rv>
  <rv s="7">
    <fb>43263</fb>
    <v>12</v>
  </rv>
  <rv s="7">
    <fb>1.3345</fb>
    <v>33</v>
  </rv>
  <rv s="7">
    <fb>1.3375999999999999</fb>
    <v>33</v>
  </rv>
  <rv s="7">
    <fb>43264</fb>
    <v>12</v>
  </rv>
  <rv s="7">
    <fb>1.3393999999999999</fb>
    <v>33</v>
  </rv>
  <rv s="7">
    <fb>1.3338000000000001</fb>
    <v>33</v>
  </rv>
  <rv s="7">
    <fb>43265</fb>
    <v>12</v>
  </rv>
  <rv s="7">
    <fb>1.3449</fb>
    <v>33</v>
  </rv>
  <rv s="7">
    <fb>43266</fb>
    <v>12</v>
  </rv>
  <rv s="7">
    <fb>1.3517999999999999</fb>
    <v>33</v>
  </rv>
  <rv s="7">
    <fb>43269</fb>
    <v>12</v>
  </rv>
  <rv s="7">
    <fb>43270</fb>
    <v>12</v>
  </rv>
  <rv s="7">
    <fb>1.3511</fb>
    <v>33</v>
  </rv>
  <rv s="7">
    <fb>1.3599000000000001</fb>
    <v>33</v>
  </rv>
  <rv s="7">
    <fb>43271</fb>
    <v>12</v>
  </rv>
  <rv s="7">
    <fb>43272</fb>
    <v>12</v>
  </rv>
  <rv s="7">
    <fb>43273</fb>
    <v>12</v>
  </rv>
  <rv s="7">
    <fb>1.3531</fb>
    <v>33</v>
  </rv>
  <rv s="7">
    <fb>43276</fb>
    <v>12</v>
  </rv>
  <rv s="7">
    <fb>43277</fb>
    <v>12</v>
  </rv>
  <rv s="7">
    <fb>43278</fb>
    <v>12</v>
  </rv>
  <rv s="7">
    <fb>1.3627</fb>
    <v>33</v>
  </rv>
  <rv s="7">
    <fb>1.3685</fb>
    <v>33</v>
  </rv>
  <rv s="7">
    <fb>43279</fb>
    <v>12</v>
  </rv>
  <rv s="7">
    <fb>1.3705000000000001</fb>
    <v>33</v>
  </rv>
  <rv s="7">
    <fb>43280</fb>
    <v>12</v>
  </rv>
  <rv s="7">
    <fb>1.3687</fb>
    <v>33</v>
  </rv>
  <rv s="7">
    <fb>43283</fb>
    <v>12</v>
  </rv>
  <rv s="7">
    <fb>1.3714999999999999</fb>
    <v>33</v>
  </rv>
  <rv s="7">
    <fb>43284</fb>
    <v>12</v>
  </rv>
  <rv s="7">
    <fb>1.3745000000000001</fb>
    <v>33</v>
  </rv>
  <rv s="7">
    <fb>1.3645</fb>
    <v>33</v>
  </rv>
  <rv s="7">
    <fb>43285</fb>
    <v>12</v>
  </rv>
  <rv s="7">
    <fb>1.3656999999999999</fb>
    <v>33</v>
  </rv>
  <rv s="7">
    <fb>43286</fb>
    <v>12</v>
  </rv>
  <rv s="7">
    <fb>43287</fb>
    <v>12</v>
  </rv>
  <rv s="7">
    <fb>43290</fb>
    <v>12</v>
  </rv>
  <rv s="7">
    <fb>43291</fb>
    <v>12</v>
  </rv>
  <rv s="7">
    <fb>1.3525</fb>
    <v>33</v>
  </rv>
  <rv s="7">
    <fb>43292</fb>
    <v>12</v>
  </rv>
  <rv s="7">
    <fb>43293</fb>
    <v>12</v>
  </rv>
  <rv s="7">
    <fb>1.3601000000000001</fb>
    <v>33</v>
  </rv>
  <rv s="7">
    <fb>43294</fb>
    <v>12</v>
  </rv>
  <rv s="7">
    <fb>1.3689</fb>
    <v>33</v>
  </rv>
  <rv s="7">
    <fb>43297</fb>
    <v>12</v>
  </rv>
  <rv s="7">
    <fb>43298</fb>
    <v>12</v>
  </rv>
  <rv s="7">
    <fb>43299</fb>
    <v>12</v>
  </rv>
  <rv s="7">
    <fb>43300</fb>
    <v>12</v>
  </rv>
  <rv s="7">
    <fb>1.365</fb>
    <v>33</v>
  </rv>
  <rv s="7">
    <fb>43301</fb>
    <v>12</v>
  </rv>
  <rv s="7">
    <fb>43304</fb>
    <v>12</v>
  </rv>
  <rv s="7">
    <fb>1.3660000000000001</fb>
    <v>33</v>
  </rv>
  <rv s="7">
    <fb>43305</fb>
    <v>12</v>
  </rv>
  <rv s="7">
    <fb>1.3636999999999999</fb>
    <v>33</v>
  </rv>
  <rv s="7">
    <fb>43306</fb>
    <v>12</v>
  </rv>
  <rv s="7">
    <fb>43307</fb>
    <v>12</v>
  </rv>
  <rv s="7">
    <fb>43308</fb>
    <v>12</v>
  </rv>
  <rv s="7">
    <fb>1.3649</fb>
    <v>33</v>
  </rv>
  <rv s="7">
    <fb>43311</fb>
    <v>12</v>
  </rv>
  <rv s="7">
    <fb>43312</fb>
    <v>12</v>
  </rv>
  <rv s="7">
    <fb>1.3595999999999999</fb>
    <v>33</v>
  </rv>
  <rv s="7">
    <fb>43313</fb>
    <v>12</v>
  </rv>
  <rv s="7">
    <fb>43314</fb>
    <v>12</v>
  </rv>
  <rv s="7">
    <fb>43315</fb>
    <v>12</v>
  </rv>
  <rv s="7">
    <fb>1.3712</fb>
    <v>33</v>
  </rv>
  <rv s="7">
    <fb>43318</fb>
    <v>12</v>
  </rv>
  <rv s="7">
    <fb>1.3664000000000001</fb>
    <v>33</v>
  </rv>
  <rv s="7">
    <fb>1.3694</fb>
    <v>33</v>
  </rv>
  <rv s="7">
    <fb>43319</fb>
    <v>12</v>
  </rv>
  <rv s="7">
    <fb>1.3691</fb>
    <v>33</v>
  </rv>
  <rv s="7">
    <fb>43320</fb>
    <v>12</v>
  </rv>
  <rv s="7">
    <fb>1.3657999999999999</fb>
    <v>33</v>
  </rv>
  <rv s="7">
    <fb>43321</fb>
    <v>12</v>
  </rv>
  <rv s="7">
    <fb>1.3675999999999999</fb>
    <v>33</v>
  </rv>
  <rv s="7">
    <fb>43322</fb>
    <v>12</v>
  </rv>
  <rv s="7">
    <fb>1.3736999999999999</fb>
    <v>33</v>
  </rv>
  <rv s="7">
    <fb>43325</fb>
    <v>12</v>
  </rv>
  <rv s="7">
    <fb>1.3728</fb>
    <v>33</v>
  </rv>
  <rv s="7">
    <fb>1.3716999999999999</fb>
    <v>33</v>
  </rv>
  <rv s="7">
    <fb>1.3755999999999999</fb>
    <v>33</v>
  </rv>
  <rv s="7">
    <fb>43326</fb>
    <v>12</v>
  </rv>
  <rv s="7">
    <fb>1.3754</fb>
    <v>33</v>
  </rv>
  <rv s="7">
    <fb>1.3789</fb>
    <v>33</v>
  </rv>
  <rv s="7">
    <fb>1.3714</fb>
    <v>33</v>
  </rv>
  <rv s="7">
    <fb>1.3776999999999999</fb>
    <v>33</v>
  </rv>
  <rv s="7">
    <fb>43327</fb>
    <v>12</v>
  </rv>
  <rv s="7">
    <fb>43328</fb>
    <v>12</v>
  </rv>
  <rv s="7">
    <fb>1.38</fb>
    <v>33</v>
  </rv>
  <rv s="7">
    <fb>1.3729</fb>
    <v>33</v>
  </rv>
  <rv s="7">
    <fb>1.3756999999999999</fb>
    <v>33</v>
  </rv>
  <rv s="7">
    <fb>43329</fb>
    <v>12</v>
  </rv>
  <rv s="7">
    <fb>1.3763000000000001</fb>
    <v>33</v>
  </rv>
  <rv s="7">
    <fb>1.3703000000000001</fb>
    <v>33</v>
  </rv>
  <rv s="7">
    <fb>43332</fb>
    <v>12</v>
  </rv>
  <rv s="7">
    <fb>1.3727</fb>
    <v>33</v>
  </rv>
  <rv s="7">
    <fb>43333</fb>
    <v>12</v>
  </rv>
  <rv s="7">
    <fb>1.3693</fb>
    <v>33</v>
  </rv>
  <rv s="7">
    <fb>43334</fb>
    <v>12</v>
  </rv>
  <rv s="7">
    <fb>43335</fb>
    <v>12</v>
  </rv>
  <rv s="7">
    <fb>1.3738999999999999</fb>
    <v>33</v>
  </rv>
  <rv s="7">
    <fb>43336</fb>
    <v>12</v>
  </rv>
  <rv s="7">
    <fb>1.3743000000000001</fb>
    <v>33</v>
  </rv>
  <rv s="7">
    <fb>43339</fb>
    <v>12</v>
  </rv>
  <rv s="7">
    <fb>1.367</fb>
    <v>33</v>
  </rv>
  <rv s="7">
    <fb>43340</fb>
    <v>12</v>
  </rv>
  <rv s="7">
    <fb>43341</fb>
    <v>12</v>
  </rv>
  <rv s="7">
    <fb>1.3678999999999999</fb>
    <v>33</v>
  </rv>
  <rv s="7">
    <fb>43342</fb>
    <v>12</v>
  </rv>
  <rv s="7">
    <fb>1.3686</fb>
    <v>33</v>
  </rv>
  <rv s="7">
    <fb>1.3673999999999999</fb>
    <v>33</v>
  </rv>
  <rv s="7">
    <fb>43343</fb>
    <v>12</v>
  </rv>
  <rv s="7">
    <fb>1.3718999999999999</fb>
    <v>33</v>
  </rv>
  <rv s="7">
    <fb>43346</fb>
    <v>12</v>
  </rv>
  <rv s="7">
    <fb>1.3732</fb>
    <v>33</v>
  </rv>
  <rv s="7">
    <fb>43347</fb>
    <v>12</v>
  </rv>
  <rv s="7">
    <fb>1.3758999999999999</fb>
    <v>33</v>
  </rv>
  <rv s="7">
    <fb>43348</fb>
    <v>12</v>
  </rv>
  <rv s="7">
    <fb>1.3742000000000001</fb>
    <v>33</v>
  </rv>
  <rv s="7">
    <fb>43349</fb>
    <v>12</v>
  </rv>
  <rv s="7">
    <fb>1.3784000000000001</fb>
    <v>33</v>
  </rv>
  <rv s="7">
    <fb>1.3740000000000001</fb>
    <v>33</v>
  </rv>
  <rv s="7">
    <fb>43350</fb>
    <v>12</v>
  </rv>
  <rv s="7">
    <fb>1.3744000000000001</fb>
    <v>33</v>
  </rv>
  <rv s="7">
    <fb>1.3734</fb>
    <v>33</v>
  </rv>
  <rv s="7">
    <fb>43353</fb>
    <v>12</v>
  </rv>
  <rv s="7">
    <fb>1.3783000000000001</fb>
    <v>33</v>
  </rv>
  <rv s="7">
    <fb>43354</fb>
    <v>12</v>
  </rv>
  <rv s="7">
    <fb>43355</fb>
    <v>12</v>
  </rv>
  <rv s="7">
    <fb>1.3717999999999999</fb>
    <v>33</v>
  </rv>
  <rv s="7">
    <fb>43356</fb>
    <v>12</v>
  </rv>
  <rv s="7">
    <fb>1.37</fb>
    <v>33</v>
  </rv>
  <rv s="7">
    <fb>43357</fb>
    <v>12</v>
  </rv>
  <rv s="7">
    <fb>1.3701000000000001</fb>
    <v>33</v>
  </rv>
  <rv s="7">
    <fb>43360</fb>
    <v>12</v>
  </rv>
  <rv s="7">
    <fb>43361</fb>
    <v>12</v>
  </rv>
  <rv s="7">
    <fb>1.3752</fb>
    <v>33</v>
  </rv>
  <rv s="7">
    <fb>43362</fb>
    <v>12</v>
  </rv>
  <rv s="7">
    <fb>1.3707</fb>
    <v>33</v>
  </rv>
  <rv s="7">
    <fb>43363</fb>
    <v>12</v>
  </rv>
  <rv s="7">
    <fb>1.3694999999999999</fb>
    <v>33</v>
  </rv>
  <rv s="7">
    <fb>43364</fb>
    <v>12</v>
  </rv>
  <rv s="7">
    <fb>43367</fb>
    <v>12</v>
  </rv>
  <rv s="7">
    <fb>43368</fb>
    <v>12</v>
  </rv>
  <rv s="7">
    <fb>1.3667</fb>
    <v>33</v>
  </rv>
  <rv s="7">
    <fb>43369</fb>
    <v>12</v>
  </rv>
  <rv s="7">
    <fb>43370</fb>
    <v>12</v>
  </rv>
  <rv s="7">
    <fb>43371</fb>
    <v>12</v>
  </rv>
  <rv s="7">
    <fb>1.3680000000000001</fb>
    <v>33</v>
  </rv>
  <rv s="7">
    <fb>43374</fb>
    <v>12</v>
  </rv>
  <rv s="7">
    <fb>43375</fb>
    <v>12</v>
  </rv>
  <rv s="7">
    <fb>1.3767</fb>
    <v>33</v>
  </rv>
  <rv s="7">
    <fb>1.371</fb>
    <v>33</v>
  </rv>
  <rv s="7">
    <fb>43376</fb>
    <v>12</v>
  </rv>
  <rv s="7">
    <fb>1.3794999999999999</fb>
    <v>33</v>
  </rv>
  <rv s="7">
    <fb>43377</fb>
    <v>12</v>
  </rv>
  <rv s="7">
    <fb>1.3775999999999999</fb>
    <v>33</v>
  </rv>
  <rv s="7">
    <fb>43378</fb>
    <v>12</v>
  </rv>
  <rv s="7">
    <fb>1.381</fb>
    <v>33</v>
  </rv>
  <rv s="7">
    <fb>1.3826000000000001</fb>
    <v>33</v>
  </rv>
  <rv s="7">
    <fb>43381</fb>
    <v>12</v>
  </rv>
  <rv s="7">
    <fb>43382</fb>
    <v>12</v>
  </rv>
  <rv s="7">
    <fb>43383</fb>
    <v>12</v>
  </rv>
  <rv s="7">
    <fb>1.379</fb>
    <v>33</v>
  </rv>
  <rv s="7">
    <fb>43384</fb>
    <v>12</v>
  </rv>
  <rv s="7">
    <fb>1.3764000000000001</fb>
    <v>33</v>
  </rv>
  <rv s="7">
    <fb>43385</fb>
    <v>12</v>
  </rv>
  <rv s="7">
    <fb>1.3761000000000001</fb>
    <v>33</v>
  </rv>
  <rv s="7">
    <fb>1.3774</fb>
    <v>33</v>
  </rv>
  <rv s="7">
    <fb>43388</fb>
    <v>12</v>
  </rv>
  <rv s="7">
    <fb>1.3746</fb>
    <v>33</v>
  </rv>
  <rv s="7">
    <fb>43389</fb>
    <v>12</v>
  </rv>
  <rv s="7">
    <fb>1.3724000000000001</fb>
    <v>33</v>
  </rv>
  <rv s="7">
    <fb>1.3748</fb>
    <v>33</v>
  </rv>
  <rv s="7">
    <fb>43390</fb>
    <v>12</v>
  </rv>
  <rv s="7">
    <fb>1.3747</fb>
    <v>33</v>
  </rv>
  <rv s="7">
    <fb>1.3723000000000001</fb>
    <v>33</v>
  </rv>
  <rv s="7">
    <fb>1.3779999999999999</fb>
    <v>33</v>
  </rv>
  <rv s="7">
    <fb>43391</fb>
    <v>12</v>
  </rv>
  <rv s="7">
    <fb>43392</fb>
    <v>12</v>
  </rv>
  <rv s="7">
    <fb>43395</fb>
    <v>12</v>
  </rv>
  <rv s="7">
    <fb>1.3771</fb>
    <v>33</v>
  </rv>
  <rv s="7">
    <fb>1.3754999999999999</fb>
    <v>33</v>
  </rv>
  <rv s="7">
    <fb>43396</fb>
    <v>12</v>
  </rv>
  <rv s="7">
    <fb>1.377</fb>
    <v>33</v>
  </rv>
  <rv s="7">
    <fb>1.3778999999999999</fb>
    <v>33</v>
  </rv>
  <rv s="7">
    <fb>43397</fb>
    <v>12</v>
  </rv>
  <rv s="7">
    <fb>1.3766</fb>
    <v>33</v>
  </rv>
  <rv s="7">
    <fb>43398</fb>
    <v>12</v>
  </rv>
  <rv s="7">
    <fb>1.3782000000000001</fb>
    <v>33</v>
  </rv>
  <rv s="7">
    <fb>43399</fb>
    <v>12</v>
  </rv>
  <rv s="7">
    <fb>43402</fb>
    <v>12</v>
  </rv>
  <rv s="7">
    <fb>1.3835</fb>
    <v>33</v>
  </rv>
  <rv s="7">
    <fb>43403</fb>
    <v>12</v>
  </rv>
  <rv s="7">
    <fb>43404</fb>
    <v>12</v>
  </rv>
  <rv s="7">
    <fb>1.3846000000000001</fb>
    <v>33</v>
  </rv>
  <rv s="7">
    <fb>1.3871</fb>
    <v>33</v>
  </rv>
  <rv s="7">
    <fb>1.3854</fb>
    <v>33</v>
  </rv>
  <rv s="7">
    <fb>43405</fb>
    <v>12</v>
  </rv>
  <rv s="7">
    <fb>43406</fb>
    <v>12</v>
  </rv>
  <rv s="7">
    <fb>1.3695999999999999</fb>
    <v>33</v>
  </rv>
  <rv s="7">
    <fb>43409</fb>
    <v>12</v>
  </rv>
  <rv s="7">
    <fb>43410</fb>
    <v>12</v>
  </rv>
  <rv s="7">
    <fb>1.3725000000000001</fb>
    <v>33</v>
  </rv>
  <rv s="7">
    <fb>43411</fb>
    <v>12</v>
  </rv>
  <rv s="7">
    <fb>1.3731</fb>
    <v>33</v>
  </rv>
  <rv s="7">
    <fb>43412</fb>
    <v>12</v>
  </rv>
  <rv s="7">
    <fb>43413</fb>
    <v>12</v>
  </rv>
  <rv s="7">
    <fb>43416</fb>
    <v>12</v>
  </rv>
  <rv s="7">
    <fb>43417</fb>
    <v>12</v>
  </rv>
  <rv s="7">
    <fb>1.3853</fb>
    <v>33</v>
  </rv>
  <rv s="7">
    <fb>43418</fb>
    <v>12</v>
  </rv>
  <rv s="7">
    <fb>43419</fb>
    <v>12</v>
  </rv>
  <rv s="7">
    <fb>1.3749</fb>
    <v>33</v>
  </rv>
  <rv s="7">
    <fb>43420</fb>
    <v>12</v>
  </rv>
  <rv s="7">
    <fb>1.3769</fb>
    <v>33</v>
  </rv>
  <rv s="7">
    <fb>43423</fb>
    <v>12</v>
  </rv>
  <rv s="7">
    <fb>43424</fb>
    <v>12</v>
  </rv>
  <rv s="7">
    <fb>1.3697999999999999</fb>
    <v>33</v>
  </rv>
  <rv s="7">
    <fb>43425</fb>
    <v>12</v>
  </rv>
  <rv s="7">
    <fb>1.3722000000000001</fb>
    <v>33</v>
  </rv>
  <rv s="7">
    <fb>43426</fb>
    <v>12</v>
  </rv>
  <rv s="7">
    <fb>1.3741000000000001</fb>
    <v>33</v>
  </rv>
  <rv s="7">
    <fb>43427</fb>
    <v>12</v>
  </rv>
  <rv s="7">
    <fb>43430</fb>
    <v>12</v>
  </rv>
  <rv s="7">
    <fb>43431</fb>
    <v>12</v>
  </rv>
  <rv s="7">
    <fb>1.3774999999999999</fb>
    <v>33</v>
  </rv>
  <rv s="7">
    <fb>43432</fb>
    <v>12</v>
  </rv>
  <rv s="7">
    <fb>1.3726</fb>
    <v>33</v>
  </rv>
  <rv s="7">
    <fb>43433</fb>
    <v>12</v>
  </rv>
  <rv s="7">
    <fb>43434</fb>
    <v>12</v>
  </rv>
  <rv s="7">
    <fb>1.3702000000000001</fb>
    <v>33</v>
  </rv>
  <rv s="7">
    <fb>43437</fb>
    <v>12</v>
  </rv>
  <rv s="7">
    <fb>43438</fb>
    <v>12</v>
  </rv>
  <rv s="7">
    <fb>43439</fb>
    <v>12</v>
  </rv>
  <rv s="7">
    <fb>43440</fb>
    <v>12</v>
  </rv>
  <rv s="7">
    <fb>1.3692</fb>
    <v>33</v>
  </rv>
  <rv s="7">
    <fb>43441</fb>
    <v>12</v>
  </rv>
  <rv s="7">
    <fb>43444</fb>
    <v>12</v>
  </rv>
  <rv s="7">
    <fb>1.3696999999999999</fb>
    <v>33</v>
  </rv>
  <rv s="7">
    <fb>43445</fb>
    <v>12</v>
  </rv>
  <rv s="7">
    <fb>43446</fb>
    <v>12</v>
  </rv>
  <rv s="7">
    <fb>43447</fb>
    <v>12</v>
  </rv>
  <rv s="7">
    <fb>43448</fb>
    <v>12</v>
  </rv>
  <rv s="7">
    <fb>43451</fb>
    <v>12</v>
  </rv>
  <rv s="7">
    <fb>1.3772</fb>
    <v>33</v>
  </rv>
  <rv s="7">
    <fb>43452</fb>
    <v>12</v>
  </rv>
  <rv s="7">
    <fb>1.373</fb>
    <v>33</v>
  </rv>
  <rv s="7">
    <fb>43453</fb>
    <v>12</v>
  </rv>
  <rv s="7">
    <fb>43454</fb>
    <v>12</v>
  </rv>
  <rv s="7">
    <fb>1.3721000000000001</fb>
    <v>33</v>
  </rv>
  <rv s="7">
    <fb>43455</fb>
    <v>12</v>
  </rv>
  <rv s="7">
    <fb>43458</fb>
    <v>12</v>
  </rv>
  <rv s="7">
    <fb>43459</fb>
    <v>12</v>
  </rv>
  <rv s="7">
    <fb>43460</fb>
    <v>12</v>
  </rv>
  <rv s="7">
    <fb>43461</fb>
    <v>12</v>
  </rv>
  <rv s="7">
    <fb>43462</fb>
    <v>12</v>
  </rv>
  <rv s="7">
    <fb>43465</fb>
    <v>12</v>
  </rv>
  <rv s="7">
    <fb>43466</fb>
    <v>12</v>
  </rv>
  <rv s="7">
    <fb>43467</fb>
    <v>12</v>
  </rv>
  <rv s="7">
    <fb>43468</fb>
    <v>12</v>
  </rv>
  <rv s="7">
    <fb>43469</fb>
    <v>12</v>
  </rv>
  <rv s="7">
    <fb>43472</fb>
    <v>12</v>
  </rv>
  <rv s="7">
    <fb>1.3560000000000001</fb>
    <v>33</v>
  </rv>
  <rv s="7">
    <fb>43473</fb>
    <v>12</v>
  </rv>
  <rv s="7">
    <fb>43474</fb>
    <v>12</v>
  </rv>
  <rv s="7">
    <fb>43475</fb>
    <v>12</v>
  </rv>
  <rv s="7">
    <fb>1.3546</fb>
    <v>33</v>
  </rv>
  <rv s="7">
    <fb>43476</fb>
    <v>12</v>
  </rv>
  <rv s="7">
    <fb>1.3492999999999999</fb>
    <v>33</v>
  </rv>
  <rv s="7">
    <fb>1.3527</fb>
    <v>33</v>
  </rv>
  <rv s="7">
    <fb>43479</fb>
    <v>12</v>
  </rv>
  <rv s="7">
    <fb>43480</fb>
    <v>12</v>
  </rv>
  <rv s="7">
    <fb>43481</fb>
    <v>12</v>
  </rv>
  <rv s="7">
    <fb>43482</fb>
    <v>12</v>
  </rv>
  <rv s="7">
    <fb>1.3534999999999999</fb>
    <v>33</v>
  </rv>
  <rv s="7">
    <fb>43483</fb>
    <v>12</v>
  </rv>
  <rv s="7">
    <fb>1.3556999999999999</fb>
    <v>33</v>
  </rv>
  <rv s="7">
    <fb>43486</fb>
    <v>12</v>
  </rv>
  <rv s="7">
    <fb>43488</fb>
    <v>12</v>
  </rv>
  <rv s="7">
    <fb>43489</fb>
    <v>12</v>
  </rv>
  <rv s="7">
    <fb>43490</fb>
    <v>12</v>
  </rv>
  <rv s="7">
    <fb>43493</fb>
    <v>12</v>
  </rv>
  <rv s="7">
    <fb>43494</fb>
    <v>12</v>
  </rv>
  <rv s="7">
    <fb>43495</fb>
    <v>12</v>
  </rv>
  <rv s="7">
    <fb>43496</fb>
    <v>12</v>
  </rv>
  <rv s="7">
    <fb>43497</fb>
    <v>12</v>
  </rv>
  <rv s="7">
    <fb>1.3509</fb>
    <v>33</v>
  </rv>
  <rv s="7">
    <fb>43500</fb>
    <v>12</v>
  </rv>
  <rv s="7">
    <fb>43501</fb>
    <v>12</v>
  </rv>
  <rv s="7">
    <fb>43502</fb>
    <v>12</v>
  </rv>
  <rv s="7">
    <fb>43503</fb>
    <v>12</v>
  </rv>
  <rv s="7">
    <fb>43504</fb>
    <v>12</v>
  </rv>
  <rv s="7">
    <fb>43507</fb>
    <v>12</v>
  </rv>
  <rv s="7">
    <fb>43508</fb>
    <v>12</v>
  </rv>
  <rv s="7">
    <fb>43509</fb>
    <v>12</v>
  </rv>
  <rv s="7">
    <fb>43510</fb>
    <v>12</v>
  </rv>
  <rv s="7">
    <fb>43511</fb>
    <v>12</v>
  </rv>
  <rv s="7">
    <fb>43514</fb>
    <v>12</v>
  </rv>
  <rv s="7">
    <fb>43515</fb>
    <v>12</v>
  </rv>
  <rv s="7">
    <fb>43516</fb>
    <v>12</v>
  </rv>
  <rv s="7">
    <fb>1.3491</fb>
    <v>33</v>
  </rv>
  <rv s="7">
    <fb>43517</fb>
    <v>12</v>
  </rv>
  <rv s="7">
    <fb>1.3515999999999999</fb>
    <v>33</v>
  </rv>
  <rv s="7">
    <fb>43518</fb>
    <v>12</v>
  </rv>
  <rv s="7">
    <fb>43521</fb>
    <v>12</v>
  </rv>
  <rv s="7">
    <fb>43522</fb>
    <v>12</v>
  </rv>
  <rv s="7">
    <fb>43523</fb>
    <v>12</v>
  </rv>
  <rv s="7">
    <fb>43524</fb>
    <v>12</v>
  </rv>
  <rv s="7">
    <fb>43525</fb>
    <v>12</v>
  </rv>
  <rv s="7">
    <fb>43528</fb>
    <v>12</v>
  </rv>
  <rv s="7">
    <fb>1.3522000000000001</fb>
    <v>33</v>
  </rv>
  <rv s="7">
    <fb>1.3544</fb>
    <v>33</v>
  </rv>
  <rv s="7">
    <fb>43529</fb>
    <v>12</v>
  </rv>
  <rv s="7">
    <fb>43530</fb>
    <v>12</v>
  </rv>
  <rv s="7">
    <fb>43531</fb>
    <v>12</v>
  </rv>
  <rv s="7">
    <fb>43532</fb>
    <v>12</v>
  </rv>
  <rv s="7">
    <fb>43535</fb>
    <v>12</v>
  </rv>
  <rv s="7">
    <fb>43536</fb>
    <v>12</v>
  </rv>
  <rv s="7">
    <fb>43537</fb>
    <v>12</v>
  </rv>
  <rv s="7">
    <fb>43538</fb>
    <v>12</v>
  </rv>
  <rv s="7">
    <fb>43539</fb>
    <v>12</v>
  </rv>
  <rv s="7">
    <fb>43542</fb>
    <v>12</v>
  </rv>
  <rv s="7">
    <fb>43543</fb>
    <v>12</v>
  </rv>
  <rv s="7">
    <fb>43544</fb>
    <v>12</v>
  </rv>
  <rv s="7">
    <fb>43545</fb>
    <v>12</v>
  </rv>
  <rv s="7">
    <fb>1.3467</fb>
    <v>33</v>
  </rv>
  <rv s="7">
    <fb>43546</fb>
    <v>12</v>
  </rv>
  <rv s="7">
    <fb>1.3478000000000001</fb>
    <v>33</v>
  </rv>
  <rv s="7">
    <fb>43549</fb>
    <v>12</v>
  </rv>
  <rv s="7">
    <fb>43550</fb>
    <v>12</v>
  </rv>
  <rv s="7">
    <fb>1.3485</fb>
    <v>33</v>
  </rv>
  <rv s="7">
    <fb>43551</fb>
    <v>12</v>
  </rv>
  <rv s="7">
    <fb>43552</fb>
    <v>12</v>
  </rv>
  <rv s="7">
    <fb>43553</fb>
    <v>12</v>
  </rv>
  <rv s="7">
    <fb>43556</fb>
    <v>12</v>
  </rv>
  <rv s="7">
    <fb>43557</fb>
    <v>12</v>
  </rv>
  <rv s="7">
    <fb>43558</fb>
    <v>12</v>
  </rv>
  <rv s="7">
    <fb>43559</fb>
    <v>12</v>
  </rv>
  <rv s="7">
    <fb>43560</fb>
    <v>12</v>
  </rv>
  <rv s="7">
    <fb>43563</fb>
    <v>12</v>
  </rv>
  <rv s="7">
    <fb>43564</fb>
    <v>12</v>
  </rv>
  <rv s="7">
    <fb>43565</fb>
    <v>12</v>
  </rv>
  <rv s="7">
    <fb>43566</fb>
    <v>12</v>
  </rv>
  <rv s="7">
    <fb>43567</fb>
    <v>12</v>
  </rv>
  <rv s="7">
    <fb>43570</fb>
    <v>12</v>
  </rv>
  <rv s="7">
    <fb>43571</fb>
    <v>12</v>
  </rv>
  <rv s="7">
    <fb>43572</fb>
    <v>12</v>
  </rv>
  <rv s="7">
    <fb>43573</fb>
    <v>12</v>
  </rv>
  <rv s="7">
    <fb>43574</fb>
    <v>12</v>
  </rv>
  <rv s="7">
    <fb>43577</fb>
    <v>12</v>
  </rv>
  <rv s="7">
    <fb>43578</fb>
    <v>12</v>
  </rv>
  <rv s="7">
    <fb>1.3557999999999999</fb>
    <v>33</v>
  </rv>
  <rv s="7">
    <fb>43579</fb>
    <v>12</v>
  </rv>
  <rv s="7">
    <fb>43580</fb>
    <v>12</v>
  </rv>
  <rv s="7">
    <fb>43581</fb>
    <v>12</v>
  </rv>
  <rv s="7">
    <fb>43584</fb>
    <v>12</v>
  </rv>
  <rv s="7">
    <fb>43585</fb>
    <v>12</v>
  </rv>
  <rv s="7">
    <fb>43586</fb>
    <v>12</v>
  </rv>
  <rv s="7">
    <fb>43587</fb>
    <v>12</v>
  </rv>
  <rv s="7">
    <fb>43588</fb>
    <v>12</v>
  </rv>
  <rv s="7">
    <fb>43591</fb>
    <v>12</v>
  </rv>
  <rv s="7">
    <fb>43592</fb>
    <v>12</v>
  </rv>
  <rv s="7">
    <fb>43593</fb>
    <v>12</v>
  </rv>
  <rv s="7">
    <fb>43594</fb>
    <v>12</v>
  </rv>
  <rv s="7">
    <fb>43595</fb>
    <v>12</v>
  </rv>
  <rv s="7">
    <fb>43598</fb>
    <v>12</v>
  </rv>
  <rv s="7">
    <fb>43599</fb>
    <v>12</v>
  </rv>
  <rv s="7">
    <fb>43601</fb>
    <v>12</v>
  </rv>
  <rv s="7">
    <fb>43602</fb>
    <v>12</v>
  </rv>
  <rv s="7">
    <fb>43605</fb>
    <v>12</v>
  </rv>
  <rv s="7">
    <fb>43606</fb>
    <v>12</v>
  </rv>
  <rv s="7">
    <fb>43607</fb>
    <v>12</v>
  </rv>
  <rv s="7">
    <fb>1.3812</fb>
    <v>33</v>
  </rv>
  <rv s="7">
    <fb>43608</fb>
    <v>12</v>
  </rv>
  <rv s="7">
    <fb>43609</fb>
    <v>12</v>
  </rv>
  <rv s="7">
    <fb>43612</fb>
    <v>12</v>
  </rv>
  <rv s="7">
    <fb>43613</fb>
    <v>12</v>
  </rv>
  <rv s="7">
    <fb>43614</fb>
    <v>12</v>
  </rv>
  <rv s="7">
    <fb>43615</fb>
    <v>12</v>
  </rv>
  <rv s="7">
    <fb>1.3811</fb>
    <v>33</v>
  </rv>
  <rv s="7">
    <fb>43616</fb>
    <v>12</v>
  </rv>
  <rv s="7">
    <fb>43619</fb>
    <v>12</v>
  </rv>
  <rv s="7">
    <fb>1.3757999999999999</fb>
    <v>33</v>
  </rv>
  <rv s="7">
    <fb>43620</fb>
    <v>12</v>
  </rv>
  <rv s="7">
    <fb>43621</fb>
    <v>12</v>
  </rv>
  <rv s="7">
    <fb>43622</fb>
    <v>12</v>
  </rv>
  <rv s="7">
    <fb>43623</fb>
    <v>12</v>
  </rv>
  <rv s="7">
    <fb>1.3683000000000001</fb>
    <v>33</v>
  </rv>
  <rv s="7">
    <fb>43626</fb>
    <v>12</v>
  </rv>
  <rv s="7">
    <fb>43627</fb>
    <v>12</v>
  </rv>
  <rv s="7">
    <fb>43628</fb>
    <v>12</v>
  </rv>
  <rv s="7">
    <fb>43629</fb>
    <v>12</v>
  </rv>
  <rv s="7">
    <fb>43630</fb>
    <v>12</v>
  </rv>
  <rv s="7">
    <fb>1.3665</fb>
    <v>33</v>
  </rv>
  <rv s="7">
    <fb>43633</fb>
    <v>12</v>
  </rv>
  <rv s="7">
    <fb>43634</fb>
    <v>12</v>
  </rv>
  <rv s="7">
    <fb>43635</fb>
    <v>12</v>
  </rv>
  <rv s="7">
    <fb>1.3682000000000001</fb>
    <v>33</v>
  </rv>
  <rv s="7">
    <fb>43636</fb>
    <v>12</v>
  </rv>
  <rv s="7">
    <fb>43637</fb>
    <v>12</v>
  </rv>
  <rv s="7">
    <fb>43640</fb>
    <v>12</v>
  </rv>
  <rv s="7">
    <fb>43641</fb>
    <v>12</v>
  </rv>
  <rv s="7">
    <fb>43642</fb>
    <v>12</v>
  </rv>
  <rv s="7">
    <fb>43643</fb>
    <v>12</v>
  </rv>
  <rv s="7">
    <fb>43644</fb>
    <v>12</v>
  </rv>
  <rv s="7">
    <fb>43647</fb>
    <v>12</v>
  </rv>
  <rv s="7">
    <fb>43648</fb>
    <v>12</v>
  </rv>
  <rv s="7">
    <fb>43649</fb>
    <v>12</v>
  </rv>
  <rv s="7">
    <fb>43650</fb>
    <v>12</v>
  </rv>
  <rv s="7">
    <fb>43651</fb>
    <v>12</v>
  </rv>
  <rv s="7">
    <fb>43654</fb>
    <v>12</v>
  </rv>
  <rv s="7">
    <fb>43655</fb>
    <v>12</v>
  </rv>
  <rv s="7">
    <fb>43656</fb>
    <v>12</v>
  </rv>
  <rv s="7">
    <fb>43657</fb>
    <v>12</v>
  </rv>
  <rv s="7">
    <fb>43658</fb>
    <v>12</v>
  </rv>
  <rv s="7">
    <fb>43661</fb>
    <v>12</v>
  </rv>
  <rv s="7">
    <fb>43662</fb>
    <v>12</v>
  </rv>
  <rv s="7">
    <fb>43663</fb>
    <v>12</v>
  </rv>
  <rv s="7">
    <fb>43664</fb>
    <v>12</v>
  </rv>
  <rv s="7">
    <fb>43665</fb>
    <v>12</v>
  </rv>
  <rv s="7">
    <fb>43668</fb>
    <v>12</v>
  </rv>
  <rv s="7">
    <fb>1.3591</fb>
    <v>33</v>
  </rv>
  <rv s="7">
    <fb>43669</fb>
    <v>12</v>
  </rv>
  <rv s="7">
    <fb>43670</fb>
    <v>12</v>
  </rv>
  <rv s="7">
    <fb>43671</fb>
    <v>12</v>
  </rv>
  <rv s="7">
    <fb>43672</fb>
    <v>12</v>
  </rv>
  <rv s="7">
    <fb>43675</fb>
    <v>12</v>
  </rv>
  <rv s="7">
    <fb>43676</fb>
    <v>12</v>
  </rv>
  <rv s="7">
    <fb>1.3684000000000001</fb>
    <v>33</v>
  </rv>
  <rv s="7">
    <fb>43677</fb>
    <v>12</v>
  </rv>
  <rv s="7">
    <fb>43678</fb>
    <v>12</v>
  </rv>
  <rv s="7">
    <fb>43679</fb>
    <v>12</v>
  </rv>
  <rv s="7">
    <fb>43682</fb>
    <v>12</v>
  </rv>
  <rv s="7">
    <fb>43683</fb>
    <v>12</v>
  </rv>
  <rv s="7">
    <fb>43684</fb>
    <v>12</v>
  </rv>
  <rv s="7">
    <fb>43685</fb>
    <v>12</v>
  </rv>
  <rv s="7">
    <fb>43686</fb>
    <v>12</v>
  </rv>
  <rv s="7">
    <fb>1.3859999999999999</fb>
    <v>33</v>
  </rv>
  <rv s="7">
    <fb>43689</fb>
    <v>12</v>
  </rv>
  <rv s="7">
    <fb>1.3851</fb>
    <v>33</v>
  </rv>
  <rv s="7">
    <fb>43690</fb>
    <v>12</v>
  </rv>
  <rv s="7">
    <fb>1.3895</fb>
    <v>33</v>
  </rv>
  <rv s="7">
    <fb>43691</fb>
    <v>12</v>
  </rv>
  <rv s="7">
    <fb>1.3905000000000001</fb>
    <v>33</v>
  </rv>
  <rv s="7">
    <fb>43692</fb>
    <v>12</v>
  </rv>
  <rv s="7">
    <fb>1.3906000000000001</fb>
    <v>33</v>
  </rv>
  <rv s="7">
    <fb>1.3864000000000001</fb>
    <v>33</v>
  </rv>
  <rv s="7">
    <fb>43693</fb>
    <v>12</v>
  </rv>
  <rv s="7">
    <fb>1.3894</fb>
    <v>33</v>
  </rv>
  <rv s="7">
    <fb>43696</fb>
    <v>12</v>
  </rv>
  <rv s="7">
    <fb>43697</fb>
    <v>12</v>
  </rv>
  <rv s="7">
    <fb>43698</fb>
    <v>12</v>
  </rv>
  <rv s="7">
    <fb>1.3856999999999999</fb>
    <v>33</v>
  </rv>
  <rv s="7">
    <fb>43699</fb>
    <v>12</v>
  </rv>
  <rv s="7">
    <fb>43700</fb>
    <v>12</v>
  </rv>
  <rv s="7">
    <fb>43703</fb>
    <v>12</v>
  </rv>
  <rv s="7">
    <fb>1.3923000000000001</fb>
    <v>33</v>
  </rv>
  <rv s="7">
    <fb>43704</fb>
    <v>12</v>
  </rv>
  <rv s="7">
    <fb>1.3882000000000001</fb>
    <v>33</v>
  </rv>
  <rv s="7">
    <fb>1.3900999999999999</fb>
    <v>33</v>
  </rv>
  <rv s="7">
    <fb>43705</fb>
    <v>12</v>
  </rv>
  <rv s="7">
    <fb>1.3893</fb>
    <v>33</v>
  </rv>
  <rv s="7">
    <fb>1.3874</fb>
    <v>33</v>
  </rv>
  <rv s="7">
    <fb>43706</fb>
    <v>12</v>
  </rv>
  <rv s="7">
    <fb>43707</fb>
    <v>12</v>
  </rv>
  <rv s="7">
    <fb>1.3875</fb>
    <v>33</v>
  </rv>
  <rv s="7">
    <fb>43710</fb>
    <v>12</v>
  </rv>
  <rv s="7">
    <fb>1.3889</fb>
    <v>33</v>
  </rv>
  <rv s="7">
    <fb>43711</fb>
    <v>12</v>
  </rv>
  <rv s="7">
    <fb>43712</fb>
    <v>12</v>
  </rv>
  <rv s="7">
    <fb>1.3904000000000001</fb>
    <v>33</v>
  </rv>
  <rv s="7">
    <fb>43713</fb>
    <v>12</v>
  </rv>
  <rv s="7">
    <fb>43714</fb>
    <v>12</v>
  </rv>
  <rv s="7">
    <fb>43717</fb>
    <v>12</v>
  </rv>
  <rv s="7">
    <fb>43718</fb>
    <v>12</v>
  </rv>
  <rv s="7">
    <fb>43719</fb>
    <v>12</v>
  </rv>
  <rv s="7">
    <fb>43720</fb>
    <v>12</v>
  </rv>
  <rv s="7">
    <fb>43721</fb>
    <v>12</v>
  </rv>
  <rv s="7">
    <fb>43724</fb>
    <v>12</v>
  </rv>
  <rv s="7">
    <fb>43725</fb>
    <v>12</v>
  </rv>
  <rv s="7">
    <fb>43726</fb>
    <v>12</v>
  </rv>
  <rv s="7">
    <fb>43727</fb>
    <v>12</v>
  </rv>
  <rv s="7">
    <fb>43728</fb>
    <v>12</v>
  </rv>
  <rv s="7">
    <fb>43731</fb>
    <v>12</v>
  </rv>
  <rv s="7">
    <fb>43732</fb>
    <v>12</v>
  </rv>
  <rv s="7">
    <fb>43733</fb>
    <v>12</v>
  </rv>
  <rv s="7">
    <fb>43734</fb>
    <v>12</v>
  </rv>
  <rv s="7">
    <fb>43735</fb>
    <v>12</v>
  </rv>
  <rv s="7">
    <fb>43738</fb>
    <v>12</v>
  </rv>
  <rv s="7">
    <fb>43739</fb>
    <v>12</v>
  </rv>
  <rv s="7">
    <fb>1.3849</fb>
    <v>33</v>
  </rv>
  <rv s="7">
    <fb>43740</fb>
    <v>12</v>
  </rv>
  <rv s="7">
    <fb>43741</fb>
    <v>12</v>
  </rv>
  <rv s="7">
    <fb>43742</fb>
    <v>12</v>
  </rv>
  <rv s="7">
    <fb>43745</fb>
    <v>12</v>
  </rv>
  <rv s="7">
    <fb>43746</fb>
    <v>12</v>
  </rv>
  <rv s="7">
    <fb>43747</fb>
    <v>12</v>
  </rv>
  <rv s="7">
    <fb>43748</fb>
    <v>12</v>
  </rv>
  <rv s="7">
    <fb>43749</fb>
    <v>12</v>
  </rv>
  <rv s="7">
    <fb>43752</fb>
    <v>12</v>
  </rv>
  <rv s="7">
    <fb>43753</fb>
    <v>12</v>
  </rv>
  <rv s="7">
    <fb>1.3677999999999999</fb>
    <v>33</v>
  </rv>
  <rv s="7">
    <fb>43754</fb>
    <v>12</v>
  </rv>
  <rv s="7">
    <fb>43755</fb>
    <v>12</v>
  </rv>
  <rv s="7">
    <fb>43756</fb>
    <v>12</v>
  </rv>
  <rv s="7">
    <fb>43759</fb>
    <v>12</v>
  </rv>
  <rv s="7">
    <fb>43760</fb>
    <v>12</v>
  </rv>
  <rv s="7">
    <fb>43761</fb>
    <v>12</v>
  </rv>
  <rv s="7">
    <fb>43762</fb>
    <v>12</v>
  </rv>
  <rv s="7">
    <fb>43763</fb>
    <v>12</v>
  </rv>
  <rv s="7">
    <fb>43766</fb>
    <v>12</v>
  </rv>
  <rv s="7">
    <fb>43767</fb>
    <v>12</v>
  </rv>
  <rv s="7">
    <fb>43768</fb>
    <v>12</v>
  </rv>
  <rv s="7">
    <fb>43769</fb>
    <v>12</v>
  </rv>
  <rv s="7">
    <fb>43770</fb>
    <v>12</v>
  </rv>
  <rv s="7">
    <fb>43773</fb>
    <v>12</v>
  </rv>
  <rv s="7">
    <fb>43774</fb>
    <v>12</v>
  </rv>
  <rv s="7">
    <fb>43775</fb>
    <v>12</v>
  </rv>
  <rv s="7">
    <fb>43776</fb>
    <v>12</v>
  </rv>
  <rv s="7">
    <fb>43777</fb>
    <v>12</v>
  </rv>
  <rv s="7">
    <fb>43780</fb>
    <v>12</v>
  </rv>
  <rv s="7">
    <fb>43781</fb>
    <v>12</v>
  </rv>
  <rv s="7">
    <fb>43782</fb>
    <v>12</v>
  </rv>
  <rv s="7">
    <fb>43783</fb>
    <v>12</v>
  </rv>
  <rv s="7">
    <fb>43784</fb>
    <v>12</v>
  </rv>
  <rv s="7">
    <fb>43787</fb>
    <v>12</v>
  </rv>
  <rv s="7">
    <fb>43788</fb>
    <v>12</v>
  </rv>
  <rv s="7">
    <fb>43789</fb>
    <v>12</v>
  </rv>
  <rv s="7">
    <fb>43790</fb>
    <v>12</v>
  </rv>
  <rv s="7">
    <fb>43791</fb>
    <v>12</v>
  </rv>
  <rv s="7">
    <fb>43794</fb>
    <v>12</v>
  </rv>
  <rv s="7">
    <fb>43795</fb>
    <v>12</v>
  </rv>
  <rv s="7">
    <fb>43796</fb>
    <v>12</v>
  </rv>
  <rv s="7">
    <fb>43797</fb>
    <v>12</v>
  </rv>
  <rv s="7">
    <fb>43798</fb>
    <v>12</v>
  </rv>
  <rv s="7">
    <fb>43801</fb>
    <v>12</v>
  </rv>
  <rv s="7">
    <fb>43802</fb>
    <v>12</v>
  </rv>
  <rv s="7">
    <fb>43803</fb>
    <v>12</v>
  </rv>
  <rv s="7">
    <fb>43804</fb>
    <v>12</v>
  </rv>
  <rv s="7">
    <fb>43805</fb>
    <v>12</v>
  </rv>
  <rv s="7">
    <fb>43808</fb>
    <v>12</v>
  </rv>
  <rv s="7">
    <fb>43809</fb>
    <v>12</v>
  </rv>
  <rv s="7">
    <fb>43810</fb>
    <v>12</v>
  </rv>
  <rv s="7">
    <fb>43811</fb>
    <v>12</v>
  </rv>
  <rv s="7">
    <fb>43812</fb>
    <v>12</v>
  </rv>
  <rv s="7">
    <fb>43815</fb>
    <v>12</v>
  </rv>
  <rv s="7">
    <fb>43816</fb>
    <v>12</v>
  </rv>
  <rv s="7">
    <fb>43817</fb>
    <v>12</v>
  </rv>
  <rv s="7">
    <fb>43818</fb>
    <v>12</v>
  </rv>
  <rv s="7">
    <fb>43819</fb>
    <v>12</v>
  </rv>
  <rv s="7">
    <fb>43822</fb>
    <v>12</v>
  </rv>
  <rv s="7">
    <fb>43823</fb>
    <v>12</v>
  </rv>
  <rv s="7">
    <fb>43824</fb>
    <v>12</v>
  </rv>
  <rv s="7">
    <fb>43825</fb>
    <v>12</v>
  </rv>
  <rv s="7">
    <fb>43826</fb>
    <v>12</v>
  </rv>
  <rv s="7">
    <fb>43829</fb>
    <v>12</v>
  </rv>
  <rv s="7">
    <fb>43830</fb>
    <v>12</v>
  </rv>
  <rv s="7">
    <fb>1.3439000000000001</fb>
    <v>33</v>
  </rv>
  <rv s="7">
    <fb>43831</fb>
    <v>12</v>
  </rv>
  <rv s="7">
    <fb>1.3460000000000001</fb>
    <v>33</v>
  </rv>
  <rv s="7">
    <fb>1.3441000000000001</fb>
    <v>33</v>
  </rv>
  <rv s="7">
    <fb>43832</fb>
    <v>12</v>
  </rv>
  <rv s="7">
    <fb>1.3440000000000001</fb>
    <v>33</v>
  </rv>
  <rv s="7">
    <fb>1.347</fb>
    <v>33</v>
  </rv>
  <rv s="7">
    <fb>43833</fb>
    <v>12</v>
  </rv>
  <rv s="7">
    <fb>1.3463000000000001</fb>
    <v>33</v>
  </rv>
  <rv s="7">
    <fb>43836</fb>
    <v>12</v>
  </rv>
  <rv s="7">
    <fb>43837</fb>
    <v>12</v>
  </rv>
  <rv s="7">
    <fb>43838</fb>
    <v>12</v>
  </rv>
  <rv s="7">
    <fb>43839</fb>
    <v>12</v>
  </rv>
  <rv s="7">
    <fb>43840</fb>
    <v>12</v>
  </rv>
  <rv s="7">
    <fb>43843</fb>
    <v>12</v>
  </rv>
  <rv s="7">
    <fb>1.3487</fb>
    <v>33</v>
  </rv>
  <rv s="7">
    <fb>43844</fb>
    <v>12</v>
  </rv>
  <rv s="7">
    <fb>43845</fb>
    <v>12</v>
  </rv>
  <rv s="7">
    <fb>43846</fb>
    <v>12</v>
  </rv>
  <rv s="7">
    <fb>43847</fb>
    <v>12</v>
  </rv>
  <rv s="7">
    <fb>43850</fb>
    <v>12</v>
  </rv>
  <rv s="7">
    <fb>43851</fb>
    <v>12</v>
  </rv>
  <rv s="7">
    <fb>43852</fb>
    <v>12</v>
  </rv>
  <rv s="7">
    <fb>43853</fb>
    <v>12</v>
  </rv>
  <rv s="7">
    <fb>43854</fb>
    <v>12</v>
  </rv>
  <rv s="7">
    <fb>43857</fb>
    <v>12</v>
  </rv>
  <rv s="7">
    <fb>43858</fb>
    <v>12</v>
  </rv>
  <rv s="7">
    <fb>43859</fb>
    <v>12</v>
  </rv>
  <rv s="7">
    <fb>43860</fb>
    <v>12</v>
  </rv>
  <rv s="7">
    <fb>43861</fb>
    <v>12</v>
  </rv>
  <rv s="7">
    <fb>43864</fb>
    <v>12</v>
  </rv>
  <rv s="7">
    <fb>43865</fb>
    <v>12</v>
  </rv>
  <rv s="7">
    <fb>43866</fb>
    <v>12</v>
  </rv>
  <rv s="7">
    <fb>43867</fb>
    <v>12</v>
  </rv>
  <rv s="7">
    <fb>43868</fb>
    <v>12</v>
  </rv>
  <rv s="7">
    <fb>1.3915999999999999</fb>
    <v>33</v>
  </rv>
  <rv s="7">
    <fb>43871</fb>
    <v>12</v>
  </rv>
  <rv s="7">
    <fb>1.3922000000000001</fb>
    <v>33</v>
  </rv>
  <rv s="7">
    <fb>43872</fb>
    <v>12</v>
  </rv>
  <rv s="7">
    <fb>1.3895999999999999</fb>
    <v>33</v>
  </rv>
  <rv s="7">
    <fb>43873</fb>
    <v>12</v>
  </rv>
  <rv s="7">
    <fb>43874</fb>
    <v>12</v>
  </rv>
  <rv s="7">
    <fb>1.3858999999999999</fb>
    <v>33</v>
  </rv>
  <rv s="7">
    <fb>43875</fb>
    <v>12</v>
  </rv>
  <rv s="7">
    <fb>1.3927</fb>
    <v>33</v>
  </rv>
  <rv s="7">
    <fb>43878</fb>
    <v>12</v>
  </rv>
  <rv s="7">
    <fb>1.391</fb>
    <v>33</v>
  </rv>
  <rv s="7">
    <fb>1.3876999999999999</fb>
    <v>33</v>
  </rv>
  <rv s="7">
    <fb>43879</fb>
    <v>12</v>
  </rv>
  <rv s="7">
    <fb>43880</fb>
    <v>12</v>
  </rv>
  <rv s="7">
    <fb>43881</fb>
    <v>12</v>
  </rv>
  <rv s="7">
    <fb>43882</fb>
    <v>12</v>
  </rv>
  <rv s="7">
    <fb>1.4026000000000001</fb>
    <v>33</v>
  </rv>
  <rv s="7">
    <fb>1.3960999999999999</fb>
    <v>33</v>
  </rv>
  <rv s="7">
    <fb>43885</fb>
    <v>12</v>
  </rv>
  <rv s="7">
    <fb>43886</fb>
    <v>12</v>
  </rv>
  <rv s="7">
    <fb>1.3993</fb>
    <v>33</v>
  </rv>
  <rv s="7">
    <fb>1.3998999999999999</fb>
    <v>33</v>
  </rv>
  <rv s="7">
    <fb>1.3954</fb>
    <v>33</v>
  </rv>
  <rv s="7">
    <fb>1.3985000000000001</fb>
    <v>33</v>
  </rv>
  <rv s="7">
    <fb>43887</fb>
    <v>12</v>
  </rv>
  <rv s="7">
    <fb>1.3962000000000001</fb>
    <v>33</v>
  </rv>
  <rv s="7">
    <fb>1.3973</fb>
    <v>33</v>
  </rv>
  <rv s="7">
    <fb>43888</fb>
    <v>12</v>
  </rv>
  <rv s="7">
    <fb>43889</fb>
    <v>12</v>
  </rv>
  <rv s="7">
    <fb>1.3947000000000001</fb>
    <v>33</v>
  </rv>
  <rv s="7">
    <fb>43892</fb>
    <v>12</v>
  </rv>
  <rv s="7">
    <fb>43893</fb>
    <v>12</v>
  </rv>
  <rv s="7">
    <fb>1.39</fb>
    <v>33</v>
  </rv>
  <rv s="7">
    <fb>1.3944000000000001</fb>
    <v>33</v>
  </rv>
  <rv s="7">
    <fb>43894</fb>
    <v>12</v>
  </rv>
  <rv s="7">
    <fb>43895</fb>
    <v>12</v>
  </rv>
  <rv s="7">
    <fb>43896</fb>
    <v>12</v>
  </rv>
  <rv s="7">
    <fb>43899</fb>
    <v>12</v>
  </rv>
  <rv s="7">
    <fb>43900</fb>
    <v>12</v>
  </rv>
  <rv s="7">
    <fb>1.3918999999999999</fb>
    <v>33</v>
  </rv>
  <rv s="7">
    <fb>43901</fb>
    <v>12</v>
  </rv>
  <rv s="7">
    <fb>43902</fb>
    <v>12</v>
  </rv>
  <rv s="7">
    <fb>1.411</fb>
    <v>33</v>
  </rv>
  <rv s="7">
    <fb>43903</fb>
    <v>12</v>
  </rv>
  <rv s="7">
    <fb>1.4056</fb>
    <v>33</v>
  </rv>
  <rv s="7">
    <fb>1.4147000000000001</fb>
    <v>33</v>
  </rv>
  <rv s="7">
    <fb>43906</fb>
    <v>12</v>
  </rv>
  <rv s="7">
    <fb>1.4117999999999999</fb>
    <v>33</v>
  </rv>
  <rv s="7">
    <fb>1.423</fb>
    <v>33</v>
  </rv>
  <rv s="7">
    <fb>1.4051</fb>
    <v>33</v>
  </rv>
  <rv s="7">
    <fb>43907</fb>
    <v>12</v>
  </rv>
  <rv s="7">
    <fb>1.4322999999999999</fb>
    <v>33</v>
  </rv>
  <rv s="7">
    <fb>1.4288000000000001</fb>
    <v>33</v>
  </rv>
  <rv s="7">
    <fb>43908</fb>
    <v>12</v>
  </rv>
  <rv s="7">
    <fb>1.4283999999999999</fb>
    <v>33</v>
  </rv>
  <rv s="7">
    <fb>1.4466000000000001</fb>
    <v>33</v>
  </rv>
  <rv s="7">
    <fb>1.4259999999999999</fb>
    <v>33</v>
  </rv>
  <rv s="7">
    <fb>1.4426000000000001</fb>
    <v>33</v>
  </rv>
  <rv s="7">
    <fb>43909</fb>
    <v>12</v>
  </rv>
  <rv s="7">
    <fb>1.4424999999999999</fb>
    <v>33</v>
  </rv>
  <rv s="7">
    <fb>1.4564999999999999</fb>
    <v>33</v>
  </rv>
  <rv s="7">
    <fb>1.4377</fb>
    <v>33</v>
  </rv>
  <rv s="7">
    <fb>1.4520999999999999</fb>
    <v>33</v>
  </rv>
  <rv s="7">
    <fb>43910</fb>
    <v>12</v>
  </rv>
  <rv s="7">
    <fb>1.4540999999999999</fb>
    <v>33</v>
  </rv>
  <rv s="7">
    <fb>1.4410000000000001</fb>
    <v>33</v>
  </rv>
  <rv s="7">
    <fb>1.4491000000000001</fb>
    <v>33</v>
  </rv>
  <rv s="7">
    <fb>43913</fb>
    <v>12</v>
  </rv>
  <rv s="7">
    <fb>1.4645999999999999</fb>
    <v>33</v>
  </rv>
  <rv s="7">
    <fb>1.4592000000000001</fb>
    <v>33</v>
  </rv>
  <rv s="7">
    <fb>43914</fb>
    <v>12</v>
  </rv>
  <rv s="7">
    <fb>1.4601999999999999</fb>
    <v>33</v>
  </rv>
  <rv s="7">
    <fb>1.4617</fb>
    <v>33</v>
  </rv>
  <rv s="7">
    <fb>1.4450000000000001</fb>
    <v>33</v>
  </rv>
  <rv s="7">
    <fb>1.4461999999999999</fb>
    <v>33</v>
  </rv>
  <rv s="7">
    <fb>43915</fb>
    <v>12</v>
  </rv>
  <rv s="7">
    <fb>1.4511000000000001</fb>
    <v>33</v>
  </rv>
  <rv s="7">
    <fb>1.4439</fb>
    <v>33</v>
  </rv>
  <rv s="7">
    <fb>1.4468000000000001</fb>
    <v>33</v>
  </rv>
  <rv s="7">
    <fb>43916</fb>
    <v>12</v>
  </rv>
  <rv s="7">
    <fb>1.4470000000000001</fb>
    <v>33</v>
  </rv>
  <rv s="7">
    <fb>1.4509000000000001</fb>
    <v>33</v>
  </rv>
  <rv s="7">
    <fb>1.4298</fb>
    <v>33</v>
  </rv>
  <rv s="7">
    <fb>1.431</fb>
    <v>33</v>
  </rv>
  <rv s="7">
    <fb>43917</fb>
    <v>12</v>
  </rv>
  <rv s="7">
    <fb>1.4309000000000001</fb>
    <v>33</v>
  </rv>
  <rv s="7">
    <fb>1.4361999999999999</fb>
    <v>33</v>
  </rv>
  <rv s="7">
    <fb>1.4268000000000001</fb>
    <v>33</v>
  </rv>
  <rv s="7">
    <fb>43920</fb>
    <v>12</v>
  </rv>
  <rv s="7">
    <fb>1.4294</fb>
    <v>33</v>
  </rv>
  <rv s="7">
    <fb>1.4234</fb>
    <v>33</v>
  </rv>
  <rv s="7">
    <fb>43921</fb>
    <v>12</v>
  </rv>
  <rv s="7">
    <fb>1.4277</fb>
    <v>33</v>
  </rv>
  <rv s="7">
    <fb>43922</fb>
    <v>12</v>
  </rv>
  <rv s="7">
    <fb>1.4374</fb>
    <v>33</v>
  </rv>
  <rv s="7">
    <fb>1.4359999999999999</fb>
    <v>33</v>
  </rv>
  <rv s="7">
    <fb>43923</fb>
    <v>12</v>
  </rv>
  <rv s="7">
    <fb>1.4358</fb>
    <v>33</v>
  </rv>
  <rv s="7">
    <fb>1.4381999999999999</fb>
    <v>33</v>
  </rv>
  <rv s="7">
    <fb>1.4303999999999999</fb>
    <v>33</v>
  </rv>
  <rv s="7">
    <fb>43924</fb>
    <v>12</v>
  </rv>
  <rv s="7">
    <fb>1.43</fb>
    <v>33</v>
  </rv>
  <rv s="7">
    <fb>1.4414</fb>
    <v>33</v>
  </rv>
  <rv s="7">
    <fb>1.4289000000000001</fb>
    <v>33</v>
  </rv>
  <rv s="7">
    <fb>1.4383999999999999</fb>
    <v>33</v>
  </rv>
  <rv s="7">
    <fb>43927</fb>
    <v>12</v>
  </rv>
  <rv s="7">
    <fb>1.4384999999999999</fb>
    <v>33</v>
  </rv>
  <rv s="7">
    <fb>1.4416</fb>
    <v>33</v>
  </rv>
  <rv s="7">
    <fb>1.4308000000000001</fb>
    <v>33</v>
  </rv>
  <rv s="7">
    <fb>1.4321999999999999</fb>
    <v>33</v>
  </rv>
  <rv s="7">
    <fb>43928</fb>
    <v>12</v>
  </rv>
  <rv s="7">
    <fb>1.4319</fb>
    <v>33</v>
  </rv>
  <rv s="7">
    <fb>1.4323999999999999</fb>
    <v>33</v>
  </rv>
  <rv s="7">
    <fb>43929</fb>
    <v>12</v>
  </rv>
  <rv s="7">
    <fb>1.4295</fb>
    <v>33</v>
  </rv>
  <rv s="7">
    <fb>1.4225000000000001</fb>
    <v>33</v>
  </rv>
  <rv s="7">
    <fb>1.4252</fb>
    <v>33</v>
  </rv>
  <rv s="7">
    <fb>43930</fb>
    <v>12</v>
  </rv>
  <rv s="7">
    <fb>1.4254</fb>
    <v>33</v>
  </rv>
  <rv s="7">
    <fb>1.4269000000000001</fb>
    <v>33</v>
  </rv>
  <rv s="7">
    <fb>43931</fb>
    <v>12</v>
  </rv>
  <rv s="7">
    <fb>43934</fb>
    <v>12</v>
  </rv>
  <rv s="7">
    <fb>43935</fb>
    <v>12</v>
  </rv>
  <rv s="7">
    <fb>1.4146000000000001</fb>
    <v>33</v>
  </rv>
  <rv s="7">
    <fb>1.4171</fb>
    <v>33</v>
  </rv>
  <rv s="7">
    <fb>43936</fb>
    <v>12</v>
  </rv>
  <rv s="7">
    <fb>43937</fb>
    <v>12</v>
  </rv>
  <rv s="7">
    <fb>1.4306000000000001</fb>
    <v>33</v>
  </rv>
  <rv s="7">
    <fb>43938</fb>
    <v>12</v>
  </rv>
  <rv s="7">
    <fb>1.4275</fb>
    <v>33</v>
  </rv>
  <rv s="7">
    <fb>1.4278999999999999</fb>
    <v>33</v>
  </rv>
  <rv s="7">
    <fb>1.4207000000000001</fb>
    <v>33</v>
  </rv>
  <rv s="7">
    <fb>1.4214</fb>
    <v>33</v>
  </rv>
  <rv s="7">
    <fb>43941</fb>
    <v>12</v>
  </rv>
  <rv s="7">
    <fb>1.4219999999999999</fb>
    <v>33</v>
  </rv>
  <rv s="7">
    <fb>43942</fb>
    <v>12</v>
  </rv>
  <rv s="7">
    <fb>1.4328000000000001</fb>
    <v>33</v>
  </rv>
  <rv s="7">
    <fb>43943</fb>
    <v>12</v>
  </rv>
  <rv s="7">
    <fb>1.4248000000000001</fb>
    <v>33</v>
  </rv>
  <rv s="7">
    <fb>43944</fb>
    <v>12</v>
  </rv>
  <rv s="7">
    <fb>1.4271</fb>
    <v>33</v>
  </rv>
  <rv s="7">
    <fb>1.4241999999999999</fb>
    <v>33</v>
  </rv>
  <rv s="7">
    <fb>43945</fb>
    <v>12</v>
  </rv>
  <rv s="7">
    <fb>1.4240999999999999</fb>
    <v>33</v>
  </rv>
  <rv s="7">
    <fb>1.4278</fb>
    <v>33</v>
  </rv>
  <rv s="7">
    <fb>1.4228000000000001</fb>
    <v>33</v>
  </rv>
  <rv s="7">
    <fb>43948</fb>
    <v>12</v>
  </rv>
  <rv s="7">
    <fb>1.4246000000000001</fb>
    <v>33</v>
  </rv>
  <rv s="7">
    <fb>1.4253</fb>
    <v>33</v>
  </rv>
  <rv s="7">
    <fb>1.4173</fb>
    <v>33</v>
  </rv>
  <rv s="7">
    <fb>1.4182999999999999</fb>
    <v>33</v>
  </rv>
  <rv s="7">
    <fb>43949</fb>
    <v>12</v>
  </rv>
  <rv s="7">
    <fb>1.4221999999999999</fb>
    <v>33</v>
  </rv>
  <rv s="7">
    <fb>1.4142999999999999</fb>
    <v>33</v>
  </rv>
  <rv s="7">
    <fb>43950</fb>
    <v>12</v>
  </rv>
  <rv s="7">
    <fb>1.4167000000000001</fb>
    <v>33</v>
  </rv>
  <rv s="7">
    <fb>1.4105000000000001</fb>
    <v>33</v>
  </rv>
  <rv s="7">
    <fb>1.4115</fb>
    <v>33</v>
  </rv>
  <rv s="7">
    <fb>43951</fb>
    <v>12</v>
  </rv>
  <rv s="7">
    <fb>1.4131</fb>
    <v>33</v>
  </rv>
  <rv s="7">
    <fb>1.4107000000000001</fb>
    <v>33</v>
  </rv>
  <rv s="7">
    <fb>43952</fb>
    <v>12</v>
  </rv>
  <rv s="7">
    <fb>1.4151</fb>
    <v>33</v>
  </rv>
  <rv s="7">
    <fb>43955</fb>
    <v>12</v>
  </rv>
  <rv s="7">
    <fb>43956</fb>
    <v>12</v>
  </rv>
  <rv s="7">
    <fb>1.4125000000000001</fb>
    <v>33</v>
  </rv>
  <rv s="7">
    <fb>1.4155</fb>
    <v>33</v>
  </rv>
  <rv s="7">
    <fb>43957</fb>
    <v>12</v>
  </rv>
  <rv s="7">
    <fb>43958</fb>
    <v>12</v>
  </rv>
  <rv s="7">
    <fb>1.413</fb>
    <v>33</v>
  </rv>
  <rv s="7">
    <fb>1.4137999999999999</fb>
    <v>33</v>
  </rv>
  <rv s="7">
    <fb>43959</fb>
    <v>12</v>
  </rv>
  <rv s="7">
    <fb>43962</fb>
    <v>12</v>
  </rv>
  <rv s="7">
    <fb>1.4112</fb>
    <v>33</v>
  </rv>
  <rv s="7">
    <fb>43963</fb>
    <v>12</v>
  </rv>
  <rv s="7">
    <fb>1.4166000000000001</fb>
    <v>33</v>
  </rv>
  <rv s="7">
    <fb>43964</fb>
    <v>12</v>
  </rv>
  <rv s="7">
    <fb>43965</fb>
    <v>12</v>
  </rv>
  <rv s="7">
    <fb>1.4232</fb>
    <v>33</v>
  </rv>
  <rv s="7">
    <fb>43966</fb>
    <v>12</v>
  </rv>
  <rv s="7">
    <fb>1.4217</fb>
    <v>33</v>
  </rv>
  <rv s="7">
    <fb>43969</fb>
    <v>12</v>
  </rv>
  <rv s="7">
    <fb>43970</fb>
    <v>12</v>
  </rv>
  <rv s="7">
    <fb>1.4178999999999999</fb>
    <v>33</v>
  </rv>
  <rv s="7">
    <fb>43971</fb>
    <v>12</v>
  </rv>
  <rv s="7">
    <fb>1.4180999999999999</fb>
    <v>33</v>
  </rv>
  <rv s="7">
    <fb>43972</fb>
    <v>12</v>
  </rv>
  <rv s="7">
    <fb>43973</fb>
    <v>12</v>
  </rv>
  <rv s="7">
    <fb>1.4258999999999999</fb>
    <v>33</v>
  </rv>
  <rv s="7">
    <fb>1.425</fb>
    <v>33</v>
  </rv>
  <rv s="7">
    <fb>43976</fb>
    <v>12</v>
  </rv>
  <rv s="7">
    <fb>1.4233</fb>
    <v>33</v>
  </rv>
  <rv s="7">
    <fb>43977</fb>
    <v>12</v>
  </rv>
  <rv s="7">
    <fb>1.4251</fb>
    <v>33</v>
  </rv>
  <rv s="7">
    <fb>43978</fb>
    <v>12</v>
  </rv>
  <rv s="7">
    <fb>1.4139999999999999</fb>
    <v>33</v>
  </rv>
  <rv s="7">
    <fb>1.42</fb>
    <v>33</v>
  </rv>
  <rv s="7">
    <fb>43979</fb>
    <v>12</v>
  </rv>
  <rv s="7">
    <fb>43980</fb>
    <v>12</v>
  </rv>
  <rv s="7">
    <fb>1.4101999999999999</fb>
    <v>33</v>
  </rv>
  <rv s="7">
    <fb>43983</fb>
    <v>12</v>
  </rv>
  <rv s="7">
    <fb>1.4073</fb>
    <v>33</v>
  </rv>
  <rv s="7">
    <fb>43984</fb>
    <v>12</v>
  </rv>
  <rv s="7">
    <fb>1.4075</fb>
    <v>33</v>
  </rv>
  <rv s="7">
    <fb>43985</fb>
    <v>12</v>
  </rv>
  <rv s="7">
    <fb>43986</fb>
    <v>12</v>
  </rv>
  <rv s="7">
    <fb>1.4027000000000001</fb>
    <v>33</v>
  </rv>
  <rv s="7">
    <fb>43987</fb>
    <v>12</v>
  </rv>
  <rv s="7">
    <fb>43990</fb>
    <v>12</v>
  </rv>
  <rv s="7">
    <fb>43991</fb>
    <v>12</v>
  </rv>
  <rv s="7">
    <fb>43992</fb>
    <v>12</v>
  </rv>
  <rv s="7">
    <fb>43993</fb>
    <v>12</v>
  </rv>
  <rv s="7">
    <fb>43994</fb>
    <v>12</v>
  </rv>
  <rv s="7">
    <fb>1.3880999999999999</fb>
    <v>33</v>
  </rv>
  <rv s="7">
    <fb>43997</fb>
    <v>12</v>
  </rv>
  <rv s="7">
    <fb>43998</fb>
    <v>12</v>
  </rv>
  <rv s="7">
    <fb>1.3912</fb>
    <v>33</v>
  </rv>
  <rv s="7">
    <fb>1.3946000000000001</fb>
    <v>33</v>
  </rv>
  <rv s="7">
    <fb>43999</fb>
    <v>12</v>
  </rv>
  <rv s="7">
    <fb>1.3942000000000001</fb>
    <v>33</v>
  </rv>
  <rv s="7">
    <fb>1.3964000000000001</fb>
    <v>33</v>
  </rv>
  <rv s="7">
    <fb>44000</fb>
    <v>12</v>
  </rv>
  <rv s="7">
    <fb>1.393</fb>
    <v>33</v>
  </rv>
  <rv s="7">
    <fb>1.3956999999999999</fb>
    <v>33</v>
  </rv>
  <rv s="7">
    <fb>1.3939999999999999</fb>
    <v>33</v>
  </rv>
  <rv s="7">
    <fb>44001</fb>
    <v>12</v>
  </rv>
  <rv s="7">
    <fb>44004</fb>
    <v>12</v>
  </rv>
  <rv s="7">
    <fb>1.3915</fb>
    <v>33</v>
  </rv>
  <rv s="7">
    <fb>44005</fb>
    <v>12</v>
  </rv>
  <rv s="7">
    <fb>1.3883000000000001</fb>
    <v>33</v>
  </rv>
  <rv s="7">
    <fb>44006</fb>
    <v>12</v>
  </rv>
  <rv s="7">
    <fb>44007</fb>
    <v>12</v>
  </rv>
  <rv s="7">
    <fb>44008</fb>
    <v>12</v>
  </rv>
  <rv s="7">
    <fb>44011</fb>
    <v>12</v>
  </rv>
  <rv s="7">
    <fb>44012</fb>
    <v>12</v>
  </rv>
  <rv s="7">
    <fb>1.3936999999999999</fb>
    <v>33</v>
  </rv>
  <rv s="7">
    <fb>44013</fb>
    <v>12</v>
  </rv>
  <rv s="7">
    <fb>1.3935999999999999</fb>
    <v>33</v>
  </rv>
  <rv s="7">
    <fb>44014</fb>
    <v>12</v>
  </rv>
  <rv s="7">
    <fb>44015</fb>
    <v>12</v>
  </rv>
  <rv s="7">
    <fb>44018</fb>
    <v>12</v>
  </rv>
  <rv s="7">
    <fb>44019</fb>
    <v>12</v>
  </rv>
  <rv s="7">
    <fb>44020</fb>
    <v>12</v>
  </rv>
  <rv s="7">
    <fb>44021</fb>
    <v>12</v>
  </rv>
  <rv s="7">
    <fb>44022</fb>
    <v>12</v>
  </rv>
  <rv s="7">
    <fb>44025</fb>
    <v>12</v>
  </rv>
  <rv s="7">
    <fb>44026</fb>
    <v>12</v>
  </rv>
  <rv s="7">
    <fb>1.3903000000000001</fb>
    <v>33</v>
  </rv>
  <rv s="7">
    <fb>1.3917999999999999</fb>
    <v>33</v>
  </rv>
  <rv s="7">
    <fb>44027</fb>
    <v>12</v>
  </rv>
  <rv s="7">
    <fb>44028</fb>
    <v>12</v>
  </rv>
  <rv s="7">
    <fb>1.3920999999999999</fb>
    <v>33</v>
  </rv>
  <rv s="7">
    <fb>44029</fb>
    <v>12</v>
  </rv>
  <rv s="7">
    <fb>44032</fb>
    <v>12</v>
  </rv>
  <rv s="7">
    <fb>44033</fb>
    <v>12</v>
  </rv>
  <rv s="7">
    <fb>44034</fb>
    <v>12</v>
  </rv>
  <rv s="7">
    <fb>44035</fb>
    <v>12</v>
  </rv>
  <rv s="7">
    <fb>44036</fb>
    <v>12</v>
  </rv>
  <rv s="7">
    <fb>44039</fb>
    <v>12</v>
  </rv>
  <rv s="7">
    <fb>44040</fb>
    <v>12</v>
  </rv>
  <rv s="7">
    <fb>1.3788</fb>
    <v>33</v>
  </rv>
  <rv s="7">
    <fb>44041</fb>
    <v>12</v>
  </rv>
  <rv s="7">
    <fb>44042</fb>
    <v>12</v>
  </rv>
  <rv s="7">
    <fb>44043</fb>
    <v>12</v>
  </rv>
  <rv s="7">
    <fb>44046</fb>
    <v>12</v>
  </rv>
  <rv s="7">
    <fb>44047</fb>
    <v>12</v>
  </rv>
  <rv s="7">
    <fb>44048</fb>
    <v>12</v>
  </rv>
  <rv s="7">
    <fb>44049</fb>
    <v>12</v>
  </rv>
  <rv s="7">
    <fb>44050</fb>
    <v>12</v>
  </rv>
  <rv s="7">
    <fb>44053</fb>
    <v>12</v>
  </rv>
  <rv s="7">
    <fb>44054</fb>
    <v>12</v>
  </rv>
  <rv s="7">
    <fb>44055</fb>
    <v>12</v>
  </rv>
  <rv s="7">
    <fb>44056</fb>
    <v>12</v>
  </rv>
  <rv s="7">
    <fb>44057</fb>
    <v>12</v>
  </rv>
  <rv s="7">
    <fb>44060</fb>
    <v>12</v>
  </rv>
  <rv s="7">
    <fb>44061</fb>
    <v>12</v>
  </rv>
  <rv s="7">
    <fb>44062</fb>
    <v>12</v>
  </rv>
  <rv s="7">
    <fb>44063</fb>
    <v>12</v>
  </rv>
  <rv s="7">
    <fb>44064</fb>
    <v>12</v>
  </rv>
  <rv s="7">
    <fb>44067</fb>
    <v>12</v>
  </rv>
  <rv s="7">
    <fb>44068</fb>
    <v>12</v>
  </rv>
  <rv s="7">
    <fb>44069</fb>
    <v>12</v>
  </rv>
  <rv s="7">
    <fb>44070</fb>
    <v>12</v>
  </rv>
  <rv s="7">
    <fb>44071</fb>
    <v>12</v>
  </rv>
  <rv s="7">
    <fb>44074</fb>
    <v>12</v>
  </rv>
  <rv s="7">
    <fb>44075</fb>
    <v>12</v>
  </rv>
  <rv s="7">
    <fb>44076</fb>
    <v>12</v>
  </rv>
  <rv s="7">
    <fb>44077</fb>
    <v>12</v>
  </rv>
  <rv s="7">
    <fb>44078</fb>
    <v>12</v>
  </rv>
  <rv s="7">
    <fb>44081</fb>
    <v>12</v>
  </rv>
  <rv s="7">
    <fb>44082</fb>
    <v>12</v>
  </rv>
  <rv s="7">
    <fb>44083</fb>
    <v>12</v>
  </rv>
  <rv s="7">
    <fb>44084</fb>
    <v>12</v>
  </rv>
  <rv s="7">
    <fb>44085</fb>
    <v>12</v>
  </rv>
  <rv s="7">
    <fb>44088</fb>
    <v>12</v>
  </rv>
  <rv s="7">
    <fb>44089</fb>
    <v>12</v>
  </rv>
  <rv s="7">
    <fb>44090</fb>
    <v>12</v>
  </rv>
  <rv s="7">
    <fb>44091</fb>
    <v>12</v>
  </rv>
  <rv s="7">
    <fb>44092</fb>
    <v>12</v>
  </rv>
  <rv s="7">
    <fb>44095</fb>
    <v>12</v>
  </rv>
  <rv s="7">
    <fb>44096</fb>
    <v>12</v>
  </rv>
  <rv s="7">
    <fb>44097</fb>
    <v>12</v>
  </rv>
  <rv s="7">
    <fb>44098</fb>
    <v>12</v>
  </rv>
  <rv s="7">
    <fb>44099</fb>
    <v>12</v>
  </rv>
  <rv s="7">
    <fb>44102</fb>
    <v>12</v>
  </rv>
  <rv s="7">
    <fb>44103</fb>
    <v>12</v>
  </rv>
  <rv s="7">
    <fb>44104</fb>
    <v>12</v>
  </rv>
  <rv s="7">
    <fb>44105</fb>
    <v>12</v>
  </rv>
  <rv s="7">
    <fb>44106</fb>
    <v>12</v>
  </rv>
  <rv s="7">
    <fb>44109</fb>
    <v>12</v>
  </rv>
  <rv s="7">
    <fb>44110</fb>
    <v>12</v>
  </rv>
  <rv s="7">
    <fb>44111</fb>
    <v>12</v>
  </rv>
  <rv s="7">
    <fb>44112</fb>
    <v>12</v>
  </rv>
  <rv s="7">
    <fb>44113</fb>
    <v>12</v>
  </rv>
  <rv s="7">
    <fb>44116</fb>
    <v>12</v>
  </rv>
  <rv s="7">
    <fb>44117</fb>
    <v>12</v>
  </rv>
  <rv s="7">
    <fb>44118</fb>
    <v>12</v>
  </rv>
  <rv s="7">
    <fb>44119</fb>
    <v>12</v>
  </rv>
  <rv s="7">
    <fb>44120</fb>
    <v>12</v>
  </rv>
  <rv s="7">
    <fb>44123</fb>
    <v>12</v>
  </rv>
  <rv s="7">
    <fb>44124</fb>
    <v>12</v>
  </rv>
  <rv s="7">
    <fb>44125</fb>
    <v>12</v>
  </rv>
  <rv s="7">
    <fb>44126</fb>
    <v>12</v>
  </rv>
  <rv s="7">
    <fb>44127</fb>
    <v>12</v>
  </rv>
  <rv s="7">
    <fb>44130</fb>
    <v>12</v>
  </rv>
  <rv s="7">
    <fb>44131</fb>
    <v>12</v>
  </rv>
  <rv s="7">
    <fb>44132</fb>
    <v>12</v>
  </rv>
  <rv s="7">
    <fb>44133</fb>
    <v>12</v>
  </rv>
  <rv s="7">
    <fb>44134</fb>
    <v>12</v>
  </rv>
  <rv s="7">
    <fb>44137</fb>
    <v>12</v>
  </rv>
  <rv s="7">
    <fb>44138</fb>
    <v>12</v>
  </rv>
  <rv s="7">
    <fb>44139</fb>
    <v>12</v>
  </rv>
  <rv s="7">
    <fb>44140</fb>
    <v>12</v>
  </rv>
  <rv s="7">
    <fb>44141</fb>
    <v>12</v>
  </rv>
  <rv s="7">
    <fb>44144</fb>
    <v>12</v>
  </rv>
  <rv s="7">
    <fb>1.3503000000000001</fb>
    <v>33</v>
  </rv>
  <rv s="7">
    <fb>44145</fb>
    <v>12</v>
  </rv>
  <rv s="7">
    <fb>44146</fb>
    <v>12</v>
  </rv>
  <rv s="7">
    <fb>44147</fb>
    <v>12</v>
  </rv>
  <rv s="7">
    <fb>1.3492</fb>
    <v>33</v>
  </rv>
  <rv s="7">
    <fb>44148</fb>
    <v>12</v>
  </rv>
  <rv s="7">
    <fb>44151</fb>
    <v>12</v>
  </rv>
  <rv s="7">
    <fb>44152</fb>
    <v>12</v>
  </rv>
  <rv s="7">
    <fb>44153</fb>
    <v>12</v>
  </rv>
  <rv s="7">
    <fb>1.3398000000000001</fb>
    <v>33</v>
  </rv>
  <rv s="7">
    <fb>44154</fb>
    <v>12</v>
  </rv>
  <rv s="7">
    <fb>1.3418000000000001</fb>
    <v>33</v>
  </rv>
  <rv s="7">
    <fb>44155</fb>
    <v>12</v>
  </rv>
  <rv s="7">
    <fb>44158</fb>
    <v>12</v>
  </rv>
  <rv s="7">
    <fb>44159</fb>
    <v>12</v>
  </rv>
  <rv s="7">
    <fb>1.3411999999999999</fb>
    <v>33</v>
  </rv>
  <rv s="7">
    <fb>44160</fb>
    <v>12</v>
  </rv>
  <rv s="7">
    <fb>44161</fb>
    <v>12</v>
  </rv>
  <rv s="7">
    <fb>44162</fb>
    <v>12</v>
  </rv>
  <rv s="7">
    <fb>1.3384</fb>
    <v>33</v>
  </rv>
  <rv s="7">
    <fb>44165</fb>
    <v>12</v>
  </rv>
  <rv s="7">
    <fb>1.3386</fb>
    <v>33</v>
  </rv>
  <rv s="7">
    <fb>44166</fb>
    <v>12</v>
  </rv>
  <rv s="7">
    <fb>44167</fb>
    <v>12</v>
  </rv>
  <rv s="7">
    <fb>44168</fb>
    <v>12</v>
  </rv>
  <rv s="7">
    <fb>1.3319000000000001</fb>
    <v>33</v>
  </rv>
  <rv s="7">
    <fb>44169</fb>
    <v>12</v>
  </rv>
  <rv s="7">
    <fb>1.3351999999999999</fb>
    <v>33</v>
  </rv>
  <rv s="7">
    <fb>44172</fb>
    <v>12</v>
  </rv>
  <rv s="7">
    <fb>44173</fb>
    <v>12</v>
  </rv>
  <rv s="7">
    <fb>1.3387</fb>
    <v>33</v>
  </rv>
  <rv s="7">
    <fb>44174</fb>
    <v>12</v>
  </rv>
  <rv s="7">
    <fb>1.3333999999999999</fb>
    <v>33</v>
  </rv>
  <rv s="7">
    <fb>44175</fb>
    <v>12</v>
  </rv>
  <rv s="7">
    <fb>1.3341000000000001</fb>
    <v>33</v>
  </rv>
  <rv s="7">
    <fb>44176</fb>
    <v>12</v>
  </rv>
  <rv s="7">
    <fb>1.3324</fb>
    <v>33</v>
  </rv>
  <rv s="7">
    <fb>44179</fb>
    <v>12</v>
  </rv>
  <rv s="7">
    <fb>1.3312999999999999</fb>
    <v>33</v>
  </rv>
  <rv s="7">
    <fb>44180</fb>
    <v>12</v>
  </rv>
  <rv s="7">
    <fb>1.3364</fb>
    <v>33</v>
  </rv>
  <rv s="7">
    <fb>44181</fb>
    <v>12</v>
  </rv>
  <rv s="7">
    <fb>1.3281000000000001</fb>
    <v>33</v>
  </rv>
  <rv s="7">
    <fb>44182</fb>
    <v>12</v>
  </rv>
  <rv s="7">
    <fb>1.33</fb>
    <v>33</v>
  </rv>
  <rv s="7">
    <fb>44183</fb>
    <v>12</v>
  </rv>
  <rv s="7">
    <fb>1.3297000000000001</fb>
    <v>33</v>
  </rv>
  <rv s="7">
    <fb>1.3269</fb>
    <v>33</v>
  </rv>
  <rv s="7">
    <fb>44186</fb>
    <v>12</v>
  </rv>
  <rv s="7">
    <fb>1.3403</fb>
    <v>33</v>
  </rv>
  <rv s="7">
    <fb>44187</fb>
    <v>12</v>
  </rv>
  <rv s="7">
    <fb>1.3322000000000001</fb>
    <v>33</v>
  </rv>
  <rv s="7">
    <fb>44188</fb>
    <v>12</v>
  </rv>
  <rv s="7">
    <fb>44189</fb>
    <v>12</v>
  </rv>
  <rv s="7">
    <fb>1.3299000000000001</fb>
    <v>33</v>
  </rv>
  <rv s="7">
    <fb>1.3320000000000001</fb>
    <v>33</v>
  </rv>
  <rv s="7">
    <fb>44190</fb>
    <v>12</v>
  </rv>
  <rv s="7">
    <fb>1.3288</fb>
    <v>33</v>
  </rv>
  <rv s="7">
    <fb>1.3298000000000001</fb>
    <v>33</v>
  </rv>
  <rv s="7">
    <fb>44193</fb>
    <v>12</v>
  </rv>
  <rv s="7">
    <fb>1.3267</fb>
    <v>33</v>
  </rv>
  <rv s="7">
    <fb>44194</fb>
    <v>12</v>
  </rv>
  <rv s="7">
    <fb>1.3266</fb>
    <v>33</v>
  </rv>
  <rv s="7">
    <fb>44195</fb>
    <v>12</v>
  </rv>
  <rv s="7">
    <fb>1.3271999999999999</fb>
    <v>33</v>
  </rv>
  <rv s="7">
    <fb>44196</fb>
    <v>12</v>
  </rv>
  <rv s="7">
    <fb>1.3209</fb>
    <v>33</v>
  </rv>
  <rv s="7">
    <fb>44197</fb>
    <v>12</v>
  </rv>
  <rv s="7">
    <fb>1.3218000000000001</fb>
    <v>33</v>
  </rv>
  <rv s="7">
    <fb>44200</fb>
    <v>12</v>
  </rv>
  <rv s="7">
    <fb>44201</fb>
    <v>12</v>
  </rv>
  <rv s="7">
    <fb>44202</fb>
    <v>12</v>
  </rv>
  <rv s="7">
    <fb>1.3174999999999999</fb>
    <v>33</v>
  </rv>
  <rv s="7">
    <fb>1.3210999999999999</fb>
    <v>33</v>
  </rv>
  <rv s="7">
    <fb>44203</fb>
    <v>12</v>
  </rv>
  <rv s="7">
    <fb>44204</fb>
    <v>12</v>
  </rv>
  <rv s="7">
    <fb>1.3286</fb>
    <v>33</v>
  </rv>
  <rv s="7">
    <fb>1.3212999999999999</fb>
    <v>33</v>
  </rv>
  <rv s="7">
    <fb>44207</fb>
    <v>12</v>
  </rv>
  <rv s="7">
    <fb>1.3307</fb>
    <v>33</v>
  </rv>
  <rv s="7">
    <fb>44208</fb>
    <v>12</v>
  </rv>
  <rv s="7">
    <fb>44209</fb>
    <v>12</v>
  </rv>
  <rv s="7">
    <fb>44210</fb>
    <v>12</v>
  </rv>
  <rv s="7">
    <fb>44211</fb>
    <v>12</v>
  </rv>
  <rv s="7">
    <fb>1.3231999999999999</fb>
    <v>33</v>
  </rv>
  <rv s="7">
    <fb>44214</fb>
    <v>12</v>
  </rv>
  <rv s="7">
    <fb>1.3334999999999999</fb>
    <v>33</v>
  </rv>
  <rv s="7">
    <fb>1.329</fb>
    <v>33</v>
  </rv>
  <rv s="7">
    <fb>44215</fb>
    <v>12</v>
  </rv>
  <rv s="7">
    <fb>1.3317000000000001</fb>
    <v>33</v>
  </rv>
  <rv s="7">
    <fb>44216</fb>
    <v>12</v>
  </rv>
  <rv s="7">
    <fb>44217</fb>
    <v>12</v>
  </rv>
  <rv s="7">
    <fb>1.3260000000000001</fb>
    <v>33</v>
  </rv>
  <rv s="7">
    <fb>44218</fb>
    <v>12</v>
  </rv>
  <rv s="7">
    <fb>44222</fb>
    <v>12</v>
  </rv>
  <rv s="7">
    <fb>1.3238000000000001</fb>
    <v>33</v>
  </rv>
  <rv s="7">
    <fb>1.3314999999999999</fb>
    <v>33</v>
  </rv>
  <rv s="7">
    <fb>1.3236000000000001</fb>
    <v>33</v>
  </rv>
  <rv s="7">
    <fb>1.3331</fb>
    <v>33</v>
  </rv>
  <rv s="7">
    <fb>1.3348</fb>
    <v>33</v>
  </rv>
  <rv s="7">
    <fb>1.3263</fb>
    <v>33</v>
  </rv>
  <rv s="7">
    <fb>1.3230999999999999</fb>
    <v>33</v>
  </rv>
  <rv s="7">
    <fb>1.3240000000000001</fb>
    <v>33</v>
  </rv>
  <rv s="7">
    <fb>1.3203</fb>
    <v>33</v>
  </rv>
  <rv s="7">
    <fb>1.3268</fb>
    <v>33</v>
  </rv>
  <rv s="7">
    <fb>1.3279000000000001</fb>
    <v>33</v>
  </rv>
  <rv s="7">
    <fb>1.3378000000000001</fb>
    <v>33</v>
  </rv>
  <rv s="7">
    <fb>1.3381000000000001</fb>
    <v>33</v>
  </rv>
  <rv s="7">
    <fb>1.3421000000000001</fb>
    <v>33</v>
  </rv>
  <rv s="7">
    <fb>44288</fb>
    <v>12</v>
  </rv>
  <rv s="7">
    <fb>44291</fb>
    <v>12</v>
  </rv>
  <rv s="7">
    <fb>1.3408</fb>
    <v>33</v>
  </rv>
  <rv s="7">
    <fb>1.3409</fb>
    <v>33</v>
  </rv>
  <rv s="7">
    <fb>1.3412999999999999</fb>
    <v>33</v>
  </rv>
  <rv s="7">
    <fb>1.3411</fb>
    <v>33</v>
  </rv>
  <rv s="7">
    <fb>1.3357000000000001</fb>
    <v>33</v>
  </rv>
  <rv s="7">
    <fb>1.3337000000000001</fb>
    <v>33</v>
  </rv>
  <rv s="7">
    <fb>1.3308</fb>
    <v>33</v>
  </rv>
  <rv s="7">
    <fb>1.3306</fb>
    <v>33</v>
  </rv>
  <rv s="7">
    <fb>1.3257000000000001</fb>
    <v>33</v>
  </rv>
  <rv s="7">
    <fb>1.3311999999999999</fb>
    <v>33</v>
  </rv>
  <rv s="7">
    <fb>1.3259000000000001</fb>
    <v>33</v>
  </rv>
  <rv s="7">
    <fb>1.3349</fb>
    <v>33</v>
  </rv>
  <rv s="7">
    <fb>1.3254999999999999</fb>
    <v>33</v>
  </rv>
  <rv s="7">
    <fb>1.3318000000000001</fb>
    <v>33</v>
  </rv>
  <rv s="7">
    <fb>1.3273999999999999</fb>
    <v>33</v>
  </rv>
  <rv s="7">
    <fb>1.3280000000000001</fb>
    <v>33</v>
  </rv>
  <rv s="7">
    <fb>1.3222</fb>
    <v>33</v>
  </rv>
  <rv s="7">
    <fb>1.3205</fb>
    <v>33</v>
  </rv>
  <rv s="7">
    <fb>1.3224</fb>
    <v>33</v>
  </rv>
  <rv s="7">
    <fb>44361</fb>
    <v>12</v>
  </rv>
  <rv s="7">
    <fb>1.3422000000000001</fb>
    <v>33</v>
  </rv>
  <rv s="7">
    <fb>1.3404</fb>
    <v>33</v>
  </rv>
  <rv s="7">
    <fb>44557</fb>
    <v>12</v>
  </rv>
  <rv s="7">
    <fb>44558</fb>
    <v>12</v>
  </rv>
  <rv s="7">
    <fb>44564</fb>
    <v>12</v>
  </rv>
  <rv s="11">
    <v>34</v>
    <v>XASX:BLD</v>
    <v>Daily</v>
    <v>44221</v>
    <v>44586</v>
    <v>0</v>
    <v>1</v>
    <v>637786656000000000,637787182625287858,0</v>
    <v>0</v>
    <v>aa533m</v>
    <v>XASX:BLD</v>
    <v>1</v>
  </rv>
  <rv s="12">
    <v>35</v>
    <v>XASX:BLD</v>
    <v>Daily</v>
    <v>44556</v>
    <v>44586</v>
    <v>0</v>
    <v>1</v>
    <v>637786656000000000,637787182625297842,0</v>
    <v>2</v>
    <v>aa533m</v>
    <v>XASX:BLD</v>
    <v>3</v>
    <v>4</v>
    <v>5</v>
    <v>6</v>
    <v>7</v>
  </rv>
  <rv s="12">
    <v>36</v>
    <v>avyspr</v>
    <v>Daily</v>
    <v>42756</v>
    <v>44586</v>
    <v>0</v>
    <v>1</v>
    <v>637785792000000000,637787182626581341,0</v>
    <v>8</v>
    <v>avyspr</v>
    <v>USDSGD</v>
    <v>9</v>
    <v>10</v>
    <v>11</v>
    <v>12</v>
    <v>13</v>
  </rv>
  <rv s="11">
    <v>37</v>
    <v>avte3m</v>
    <v>Daily</v>
    <v>44496</v>
    <v>44496</v>
    <v>0</v>
    <v>1</v>
    <v>637708896000000000,637787182626581341,0</v>
    <v>14</v>
    <v>avte3m</v>
    <v>SGDUSD</v>
    <v>15</v>
  </rv>
  <rv s="11">
    <v>37</v>
    <v>avte3m</v>
    <v>Daily</v>
    <v>44503</v>
    <v>44503</v>
    <v>0</v>
    <v>1</v>
    <v>637714944000000000,637787182626591276,0</v>
    <v>14</v>
    <v>avte3m</v>
    <v>SGDUSD</v>
    <v>16</v>
  </rv>
  <rv s="11">
    <v>37</v>
    <v>avte3m</v>
    <v>Daily</v>
    <v>44510</v>
    <v>44510</v>
    <v>0</v>
    <v>1</v>
    <v>637720992000000000,637787182626591276,0</v>
    <v>14</v>
    <v>avte3m</v>
    <v>SGDUSD</v>
    <v>17</v>
  </rv>
  <rv s="11">
    <v>37</v>
    <v>avte3m</v>
    <v>Daily</v>
    <v>44517</v>
    <v>44517</v>
    <v>0</v>
    <v>1</v>
    <v>637727040000000000,637787182626601285,0</v>
    <v>14</v>
    <v>avte3m</v>
    <v>SGDUSD</v>
    <v>18</v>
  </rv>
  <rv s="11">
    <v>37</v>
    <v>avte3m</v>
    <v>Daily</v>
    <v>44524</v>
    <v>44524</v>
    <v>0</v>
    <v>1</v>
    <v>637733088000000000,637787182626611375,0</v>
    <v>14</v>
    <v>avte3m</v>
    <v>SGDUSD</v>
    <v>19</v>
  </rv>
  <rv s="11">
    <v>37</v>
    <v>avte3m</v>
    <v>Daily</v>
    <v>44531</v>
    <v>44531</v>
    <v>0</v>
    <v>1</v>
    <v>637739136000000000,637787182626611375,0</v>
    <v>14</v>
    <v>avte3m</v>
    <v>SGDUSD</v>
    <v>20</v>
  </rv>
  <rv s="11">
    <v>37</v>
    <v>avte3m</v>
    <v>Daily</v>
    <v>44538</v>
    <v>44538</v>
    <v>0</v>
    <v>1</v>
    <v>637745184000000000,637787182626621073,0</v>
    <v>14</v>
    <v>avte3m</v>
    <v>SGDUSD</v>
    <v>21</v>
  </rv>
  <rv s="11">
    <v>37</v>
    <v>avte3m</v>
    <v>Daily</v>
    <v>44545</v>
    <v>44545</v>
    <v>0</v>
    <v>1</v>
    <v>637751232000000000,637787182626621073,0</v>
    <v>14</v>
    <v>avte3m</v>
    <v>SGDUSD</v>
    <v>22</v>
  </rv>
  <rv s="11">
    <v>37</v>
    <v>avte3m</v>
    <v>Daily</v>
    <v>44552</v>
    <v>44552</v>
    <v>0</v>
    <v>1</v>
    <v>637757280000000000,637787182626631314,0</v>
    <v>14</v>
    <v>avte3m</v>
    <v>SGDUSD</v>
    <v>23</v>
  </rv>
  <rv s="11">
    <v>37</v>
    <v>avte3m</v>
    <v>Daily</v>
    <v>44559</v>
    <v>44559</v>
    <v>0</v>
    <v>1</v>
    <v>637763328000000000,637787182624991969,0</v>
    <v>14</v>
    <v>avte3m</v>
    <v>SGDUSD</v>
    <v>24</v>
  </rv>
  <rv s="11">
    <v>37</v>
    <v>avte3m</v>
    <v>Daily</v>
    <v>44566</v>
    <v>44566</v>
    <v>0</v>
    <v>1</v>
    <v>637769376000000000,637787182625001966,0</v>
    <v>14</v>
    <v>avte3m</v>
    <v>SGDUSD</v>
    <v>25</v>
  </rv>
  <rv s="11">
    <v>37</v>
    <v>avte3m</v>
    <v>Daily</v>
    <v>44573</v>
    <v>44573</v>
    <v>0</v>
    <v>1</v>
    <v>637775424000000000,637787182625001966,0</v>
    <v>14</v>
    <v>avte3m</v>
    <v>SGDUSD</v>
    <v>26</v>
  </rv>
  <rv s="11">
    <v>37</v>
    <v>avte3m</v>
    <v>Daily</v>
    <v>44580</v>
    <v>44580</v>
    <v>0</v>
    <v>1</v>
    <v>637781472000000000,637787182625011959,0</v>
    <v>14</v>
    <v>avte3m</v>
    <v>SGDUSD</v>
    <v>15</v>
  </rv>
  <rv s="11">
    <v>34</v>
    <v>aa4pa2</v>
    <v>Daily</v>
    <v>44221</v>
    <v>44586</v>
    <v>0</v>
    <v>1</v>
    <v>637786656000000000,637787182638394381,0</v>
    <v>0</v>
    <v>aa4pa2</v>
    <v>XASX:ASX</v>
    <v>27</v>
  </rv>
  <rv s="11">
    <v>34</v>
    <v>avt4gh</v>
    <v>Daily</v>
    <v>44496</v>
    <v>44496</v>
    <v>0</v>
    <v>1</v>
    <v>637708896000000000,637787182624995131,0</v>
    <v>14</v>
    <v>avt4gh</v>
    <v>SGDAUD</v>
    <v>28</v>
  </rv>
  <rv s="11">
    <v>34</v>
    <v>avt4gh</v>
    <v>Daily</v>
    <v>44503</v>
    <v>44503</v>
    <v>0</v>
    <v>1</v>
    <v>637714944000000000,637787182624995131,0</v>
    <v>14</v>
    <v>avt4gh</v>
    <v>SGDAUD</v>
    <v>29</v>
  </rv>
  <rv s="11">
    <v>34</v>
    <v>avt4gh</v>
    <v>Daily</v>
    <v>44510</v>
    <v>44510</v>
    <v>0</v>
    <v>1</v>
    <v>637720992000000000,637787182625005105,0</v>
    <v>14</v>
    <v>avt4gh</v>
    <v>SGDAUD</v>
    <v>30</v>
  </rv>
  <rv s="11">
    <v>34</v>
    <v>avt4gh</v>
    <v>Daily</v>
    <v>44517</v>
    <v>44517</v>
    <v>0</v>
    <v>1</v>
    <v>637727040000000000,637787182625015099,0</v>
    <v>14</v>
    <v>avt4gh</v>
    <v>SGDAUD</v>
    <v>31</v>
  </rv>
  <rv s="11">
    <v>34</v>
    <v>avt4gh</v>
    <v>Daily</v>
    <v>44524</v>
    <v>44524</v>
    <v>0</v>
    <v>1</v>
    <v>637733088000000000,637787182625015099,0</v>
    <v>14</v>
    <v>avt4gh</v>
    <v>SGDAUD</v>
    <v>32</v>
  </rv>
  <rv s="11">
    <v>34</v>
    <v>avt4gh</v>
    <v>Daily</v>
    <v>44531</v>
    <v>44531</v>
    <v>0</v>
    <v>1</v>
    <v>637739136000000000,637787182625025113,0</v>
    <v>14</v>
    <v>avt4gh</v>
    <v>SGDAUD</v>
    <v>33</v>
  </rv>
  <rv s="11">
    <v>34</v>
    <v>avt4gh</v>
    <v>Daily</v>
    <v>44538</v>
    <v>44538</v>
    <v>0</v>
    <v>1</v>
    <v>637745184000000000,637787182626597774,0</v>
    <v>14</v>
    <v>avt4gh</v>
    <v>SGDAUD</v>
    <v>34</v>
  </rv>
  <rv s="11">
    <v>34</v>
    <v>avt4gh</v>
    <v>Daily</v>
    <v>44545</v>
    <v>44545</v>
    <v>0</v>
    <v>1</v>
    <v>637751232000000000,637787182626607527,0</v>
    <v>14</v>
    <v>avt4gh</v>
    <v>SGDAUD</v>
    <v>35</v>
  </rv>
  <rv s="11">
    <v>34</v>
    <v>avt4gh</v>
    <v>Daily</v>
    <v>44552</v>
    <v>44552</v>
    <v>0</v>
    <v>1</v>
    <v>637757280000000000,637787182626607527,0</v>
    <v>14</v>
    <v>avt4gh</v>
    <v>SGDAUD</v>
    <v>36</v>
  </rv>
  <rv s="11">
    <v>34</v>
    <v>avt4gh</v>
    <v>Daily</v>
    <v>44559</v>
    <v>44559</v>
    <v>0</v>
    <v>1</v>
    <v>637763328000000000,637787182626617595,0</v>
    <v>14</v>
    <v>avt4gh</v>
    <v>SGDAUD</v>
    <v>37</v>
  </rv>
  <rv s="11">
    <v>34</v>
    <v>avt4gh</v>
    <v>Daily</v>
    <v>44566</v>
    <v>44566</v>
    <v>0</v>
    <v>1</v>
    <v>637769376000000000,637787182626627503,0</v>
    <v>14</v>
    <v>avt4gh</v>
    <v>SGDAUD</v>
    <v>38</v>
  </rv>
  <rv s="11">
    <v>34</v>
    <v>avt4gh</v>
    <v>Daily</v>
    <v>44573</v>
    <v>44573</v>
    <v>0</v>
    <v>1</v>
    <v>637775424000000000,637787182626627503,0</v>
    <v>14</v>
    <v>avt4gh</v>
    <v>SGDAUD</v>
    <v>38</v>
  </rv>
  <rv s="11">
    <v>34</v>
    <v>avt4gh</v>
    <v>Daily</v>
    <v>44580</v>
    <v>44580</v>
    <v>0</v>
    <v>1</v>
    <v>637781472000000000,637787182626637727,0</v>
    <v>14</v>
    <v>avt4gh</v>
    <v>SGDAUD</v>
    <v>39</v>
  </rv>
  <rv s="11">
    <v>38</v>
    <v>avt8m7</v>
    <v>Daily</v>
    <v>44496</v>
    <v>44496</v>
    <v>0</v>
    <v>1</v>
    <v>637708896000000000,637787182626607325,0</v>
    <v>14</v>
    <v>avt8m7</v>
    <v>SGDJPY</v>
    <v>40</v>
  </rv>
  <rv s="11">
    <v>38</v>
    <v>avt8m7</v>
    <v>Daily</v>
    <v>44503</v>
    <v>44503</v>
    <v>0</v>
    <v>1</v>
    <v>637714944000000000,637787182626607325,0</v>
    <v>14</v>
    <v>avt8m7</v>
    <v>SGDJPY</v>
    <v>41</v>
  </rv>
  <rv s="11">
    <v>38</v>
    <v>avt8m7</v>
    <v>Daily</v>
    <v>44510</v>
    <v>44510</v>
    <v>0</v>
    <v>1</v>
    <v>637720992000000000,637787182626617325,0</v>
    <v>14</v>
    <v>avt8m7</v>
    <v>SGDJPY</v>
    <v>42</v>
  </rv>
  <rv s="11">
    <v>38</v>
    <v>avt8m7</v>
    <v>Daily</v>
    <v>44517</v>
    <v>44517</v>
    <v>0</v>
    <v>1</v>
    <v>637727040000000000,637787182625395907,0</v>
    <v>14</v>
    <v>avt8m7</v>
    <v>SGDJPY</v>
    <v>43</v>
  </rv>
  <rv s="11">
    <v>38</v>
    <v>avt8m7</v>
    <v>Daily</v>
    <v>44524</v>
    <v>44524</v>
    <v>0</v>
    <v>1</v>
    <v>637733088000000000,637787182625405890,0</v>
    <v>14</v>
    <v>avt8m7</v>
    <v>SGDJPY</v>
    <v>44</v>
  </rv>
  <rv s="11">
    <v>38</v>
    <v>avt8m7</v>
    <v>Daily</v>
    <v>44531</v>
    <v>44531</v>
    <v>0</v>
    <v>1</v>
    <v>637739136000000000,637787182625415892,0</v>
    <v>14</v>
    <v>avt8m7</v>
    <v>SGDJPY</v>
    <v>45</v>
  </rv>
  <rv s="11">
    <v>38</v>
    <v>avt8m7</v>
    <v>Daily</v>
    <v>44538</v>
    <v>44538</v>
    <v>0</v>
    <v>1</v>
    <v>637745184000000000,637787182625425890,0</v>
    <v>14</v>
    <v>avt8m7</v>
    <v>SGDJPY</v>
    <v>46</v>
  </rv>
  <rv s="11">
    <v>38</v>
    <v>avt8m7</v>
    <v>Daily</v>
    <v>44545</v>
    <v>44545</v>
    <v>0</v>
    <v>1</v>
    <v>637751232000000000,637787182625425890,0</v>
    <v>14</v>
    <v>avt8m7</v>
    <v>SGDJPY</v>
    <v>47</v>
  </rv>
  <rv s="11">
    <v>38</v>
    <v>avt8m7</v>
    <v>Daily</v>
    <v>44552</v>
    <v>44552</v>
    <v>0</v>
    <v>1</v>
    <v>637757280000000000,637787182625435883,0</v>
    <v>14</v>
    <v>avt8m7</v>
    <v>SGDJPY</v>
    <v>48</v>
  </rv>
  <rv s="11">
    <v>38</v>
    <v>avt8m7</v>
    <v>Daily</v>
    <v>44559</v>
    <v>44559</v>
    <v>0</v>
    <v>1</v>
    <v>637763328000000000,637787182625445877,0</v>
    <v>14</v>
    <v>avt8m7</v>
    <v>SGDJPY</v>
    <v>49</v>
  </rv>
  <rv s="11">
    <v>38</v>
    <v>avt8m7</v>
    <v>Daily</v>
    <v>44566</v>
    <v>44566</v>
    <v>0</v>
    <v>1</v>
    <v>637769376000000000,637787182625455858,0</v>
    <v>14</v>
    <v>avt8m7</v>
    <v>SGDJPY</v>
    <v>50</v>
  </rv>
  <rv s="11">
    <v>38</v>
    <v>avt8m7</v>
    <v>Daily</v>
    <v>44573</v>
    <v>44573</v>
    <v>0</v>
    <v>1</v>
    <v>637775424000000000,637787182625455858,0</v>
    <v>14</v>
    <v>avt8m7</v>
    <v>SGDJPY</v>
    <v>51</v>
  </rv>
  <rv s="11">
    <v>38</v>
    <v>avt8m7</v>
    <v>Daily</v>
    <v>44580</v>
    <v>44580</v>
    <v>0</v>
    <v>1</v>
    <v>637781472000000000,637787182625465865,0</v>
    <v>14</v>
    <v>avt8m7</v>
    <v>SGDJPY</v>
    <v>52</v>
  </rv>
  <rv s="11">
    <v>39</v>
    <v>avt66h</v>
    <v>Daily</v>
    <v>44496</v>
    <v>44496</v>
    <v>0</v>
    <v>1</v>
    <v>637708896000000000,637787182625340146,0</v>
    <v>14</v>
    <v>avt66h</v>
    <v>SGDCNY</v>
    <v>53</v>
  </rv>
  <rv s="11">
    <v>39</v>
    <v>avt66h</v>
    <v>Daily</v>
    <v>44503</v>
    <v>44503</v>
    <v>0</v>
    <v>1</v>
    <v>637714944000000000,637787182625340146,0</v>
    <v>14</v>
    <v>avt66h</v>
    <v>SGDCNY</v>
    <v>54</v>
  </rv>
  <rv s="11">
    <v>39</v>
    <v>avt66h</v>
    <v>Daily</v>
    <v>44510</v>
    <v>44510</v>
    <v>0</v>
    <v>1</v>
    <v>637720992000000000,637787182625350127,0</v>
    <v>14</v>
    <v>avt66h</v>
    <v>SGDCNY</v>
    <v>55</v>
  </rv>
  <rv s="11">
    <v>39</v>
    <v>avt66h</v>
    <v>Daily</v>
    <v>44517</v>
    <v>44517</v>
    <v>0</v>
    <v>1</v>
    <v>637727040000000000,637787182625360134,0</v>
    <v>14</v>
    <v>avt66h</v>
    <v>SGDCNY</v>
    <v>56</v>
  </rv>
  <rv s="11">
    <v>39</v>
    <v>avt66h</v>
    <v>Daily</v>
    <v>44524</v>
    <v>44524</v>
    <v>0</v>
    <v>1</v>
    <v>637733088000000000,637787182625360134,0</v>
    <v>14</v>
    <v>avt66h</v>
    <v>SGDCNY</v>
    <v>57</v>
  </rv>
  <rv s="11">
    <v>39</v>
    <v>avt66h</v>
    <v>Daily</v>
    <v>44531</v>
    <v>44531</v>
    <v>0</v>
    <v>1</v>
    <v>637739136000000000,637787182625370127,0</v>
    <v>14</v>
    <v>avt66h</v>
    <v>SGDCNY</v>
    <v>58</v>
  </rv>
  <rv s="11">
    <v>39</v>
    <v>avt66h</v>
    <v>Daily</v>
    <v>44538</v>
    <v>44538</v>
    <v>0</v>
    <v>1</v>
    <v>637745184000000000,637787182625370127,0</v>
    <v>14</v>
    <v>avt66h</v>
    <v>SGDCNY</v>
    <v>59</v>
  </rv>
  <rv s="11">
    <v>39</v>
    <v>avt66h</v>
    <v>Daily</v>
    <v>44545</v>
    <v>44545</v>
    <v>0</v>
    <v>1</v>
    <v>637751232000000000,637787182625312649,0</v>
    <v>14</v>
    <v>avt66h</v>
    <v>SGDCNY</v>
    <v>60</v>
  </rv>
  <rv s="11">
    <v>39</v>
    <v>avt66h</v>
    <v>Daily</v>
    <v>44552</v>
    <v>44552</v>
    <v>0</v>
    <v>1</v>
    <v>637757280000000000,637787182625312649,0</v>
    <v>14</v>
    <v>avt66h</v>
    <v>SGDCNY</v>
    <v>61</v>
  </rv>
  <rv s="11">
    <v>39</v>
    <v>avt66h</v>
    <v>Daily</v>
    <v>44559</v>
    <v>44559</v>
    <v>0</v>
    <v>1</v>
    <v>637763328000000000,637787182625322430,0</v>
    <v>14</v>
    <v>avt66h</v>
    <v>SGDCNY</v>
    <v>62</v>
  </rv>
  <rv s="11">
    <v>39</v>
    <v>avt66h</v>
    <v>Daily</v>
    <v>44566</v>
    <v>44566</v>
    <v>0</v>
    <v>1</v>
    <v>637769376000000000,637787182625332423,0</v>
    <v>14</v>
    <v>avt66h</v>
    <v>SGDCNY</v>
    <v>63</v>
  </rv>
  <rv s="11">
    <v>39</v>
    <v>avt66h</v>
    <v>Daily</v>
    <v>44573</v>
    <v>44573</v>
    <v>0</v>
    <v>1</v>
    <v>637775424000000000,637787182625332423,0</v>
    <v>14</v>
    <v>avt66h</v>
    <v>SGDCNY</v>
    <v>64</v>
  </rv>
  <rv s="11">
    <v>39</v>
    <v>avt66h</v>
    <v>Daily</v>
    <v>44580</v>
    <v>44580</v>
    <v>0</v>
    <v>1</v>
    <v>637781472000000000,637787182625342417,0</v>
    <v>14</v>
    <v>avt66h</v>
    <v>SGDCNY</v>
    <v>65</v>
  </rv>
  <rv s="11">
    <v>40</v>
    <v>avt78m</v>
    <v>Daily</v>
    <v>44496</v>
    <v>44496</v>
    <v>0</v>
    <v>1</v>
    <v>637708896000000000,637787182625325528,0</v>
    <v>14</v>
    <v>avt78m</v>
    <v>SGDEUR</v>
    <v>66</v>
  </rv>
  <rv s="11">
    <v>40</v>
    <v>avt78m</v>
    <v>Daily</v>
    <v>44503</v>
    <v>44503</v>
    <v>0</v>
    <v>1</v>
    <v>637714944000000000,637787182625335507,0</v>
    <v>14</v>
    <v>avt78m</v>
    <v>SGDEUR</v>
    <v>67</v>
  </rv>
  <rv s="11">
    <v>40</v>
    <v>avt78m</v>
    <v>Daily</v>
    <v>44510</v>
    <v>44510</v>
    <v>0</v>
    <v>1</v>
    <v>637720992000000000,637787182625335507,0</v>
    <v>14</v>
    <v>avt78m</v>
    <v>SGDEUR</v>
    <v>68</v>
  </rv>
  <rv s="11">
    <v>40</v>
    <v>avt78m</v>
    <v>Daily</v>
    <v>44517</v>
    <v>44517</v>
    <v>0</v>
    <v>1</v>
    <v>637727040000000000,637787182625345508,0</v>
    <v>14</v>
    <v>avt78m</v>
    <v>SGDEUR</v>
    <v>69</v>
  </rv>
  <rv s="11">
    <v>40</v>
    <v>avt78m</v>
    <v>Daily</v>
    <v>44524</v>
    <v>44524</v>
    <v>0</v>
    <v>1</v>
    <v>637733088000000000,637787182638372643,0</v>
    <v>14</v>
    <v>avt78m</v>
    <v>SGDEUR</v>
    <v>70</v>
  </rv>
  <rv s="11">
    <v>40</v>
    <v>avt78m</v>
    <v>Daily</v>
    <v>44531</v>
    <v>44531</v>
    <v>0</v>
    <v>1</v>
    <v>637739136000000000,637787182638382640,0</v>
    <v>14</v>
    <v>avt78m</v>
    <v>SGDEUR</v>
    <v>71</v>
  </rv>
  <rv s="11">
    <v>40</v>
    <v>avt78m</v>
    <v>Daily</v>
    <v>44538</v>
    <v>44538</v>
    <v>0</v>
    <v>1</v>
    <v>637745184000000000,637787182638392852,0</v>
    <v>14</v>
    <v>avt78m</v>
    <v>SGDEUR</v>
    <v>72</v>
  </rv>
  <rv s="11">
    <v>40</v>
    <v>avt78m</v>
    <v>Daily</v>
    <v>44545</v>
    <v>44545</v>
    <v>0</v>
    <v>1</v>
    <v>637751232000000000,637787182638402849,0</v>
    <v>14</v>
    <v>avt78m</v>
    <v>SGDEUR</v>
    <v>73</v>
  </rv>
  <rv s="11">
    <v>40</v>
    <v>avt78m</v>
    <v>Daily</v>
    <v>44552</v>
    <v>44552</v>
    <v>0</v>
    <v>1</v>
    <v>637757280000000000,637787182638402849,0</v>
    <v>14</v>
    <v>avt78m</v>
    <v>SGDEUR</v>
    <v>74</v>
  </rv>
  <rv s="11">
    <v>40</v>
    <v>avt78m</v>
    <v>Daily</v>
    <v>44559</v>
    <v>44559</v>
    <v>0</v>
    <v>1</v>
    <v>637763328000000000,637787182638412825,0</v>
    <v>14</v>
    <v>avt78m</v>
    <v>SGDEUR</v>
    <v>75</v>
  </rv>
  <rv s="11">
    <v>40</v>
    <v>avt78m</v>
    <v>Daily</v>
    <v>44566</v>
    <v>44566</v>
    <v>0</v>
    <v>1</v>
    <v>637769376000000000,637787182638422835,0</v>
    <v>14</v>
    <v>avt78m</v>
    <v>SGDEUR</v>
    <v>76</v>
  </rv>
  <rv s="11">
    <v>40</v>
    <v>avt78m</v>
    <v>Daily</v>
    <v>44573</v>
    <v>44573</v>
    <v>0</v>
    <v>1</v>
    <v>637775424000000000,637787182638422835,0</v>
    <v>14</v>
    <v>avt78m</v>
    <v>SGDEUR</v>
    <v>77</v>
  </rv>
  <rv s="11">
    <v>40</v>
    <v>avt78m</v>
    <v>Daily</v>
    <v>44580</v>
    <v>44580</v>
    <v>0</v>
    <v>1</v>
    <v>637781472000000000,637787182638432828,0</v>
    <v>14</v>
    <v>avt78m</v>
    <v>SGDEUR</v>
    <v>78</v>
  </rv>
  <rv s="11">
    <v>41</v>
    <v>avtdzr</v>
    <v>Daily</v>
    <v>44496</v>
    <v>44496</v>
    <v>0</v>
    <v>1</v>
    <v>637708896000000000,637787182626645290,0</v>
    <v>14</v>
    <v>avtdzr</v>
    <v>SGDGBP</v>
    <v>79</v>
  </rv>
  <rv s="11">
    <v>41</v>
    <v>avtdzr</v>
    <v>Daily</v>
    <v>44503</v>
    <v>44503</v>
    <v>0</v>
    <v>1</v>
    <v>637714944000000000,637787182626655304,0</v>
    <v>14</v>
    <v>avtdzr</v>
    <v>SGDGBP</v>
    <v>80</v>
  </rv>
  <rv s="11">
    <v>41</v>
    <v>avtdzr</v>
    <v>Daily</v>
    <v>44510</v>
    <v>44510</v>
    <v>0</v>
    <v>1</v>
    <v>637720992000000000,637787182626655304,0</v>
    <v>14</v>
    <v>avtdzr</v>
    <v>SGDGBP</v>
    <v>81</v>
  </rv>
  <rv s="11">
    <v>41</v>
    <v>avtdzr</v>
    <v>Daily</v>
    <v>44517</v>
    <v>44517</v>
    <v>0</v>
    <v>1</v>
    <v>637727040000000000,637787182626665315,0</v>
    <v>14</v>
    <v>avtdzr</v>
    <v>SGDGBP</v>
    <v>82</v>
  </rv>
  <rv s="11">
    <v>41</v>
    <v>avtdzr</v>
    <v>Daily</v>
    <v>44524</v>
    <v>44524</v>
    <v>0</v>
    <v>1</v>
    <v>637733088000000000,637787182626675289,0</v>
    <v>14</v>
    <v>avtdzr</v>
    <v>SGDGBP</v>
    <v>83</v>
  </rv>
  <rv s="11">
    <v>41</v>
    <v>avtdzr</v>
    <v>Daily</v>
    <v>44531</v>
    <v>44531</v>
    <v>0</v>
    <v>1</v>
    <v>637739136000000000,637787182626675289,0</v>
    <v>14</v>
    <v>avtdzr</v>
    <v>SGDGBP</v>
    <v>84</v>
  </rv>
  <rv s="11">
    <v>41</v>
    <v>avtdzr</v>
    <v>Daily</v>
    <v>44538</v>
    <v>44538</v>
    <v>0</v>
    <v>1</v>
    <v>637745184000000000,637787182626685279,0</v>
    <v>14</v>
    <v>avtdzr</v>
    <v>SGDGBP</v>
    <v>85</v>
  </rv>
  <rv s="11">
    <v>41</v>
    <v>avtdzr</v>
    <v>Daily</v>
    <v>44545</v>
    <v>44545</v>
    <v>0</v>
    <v>1</v>
    <v>637751232000000000,637787182626685279,0</v>
    <v>14</v>
    <v>avtdzr</v>
    <v>SGDGBP</v>
    <v>86</v>
  </rv>
  <rv s="11">
    <v>41</v>
    <v>avtdzr</v>
    <v>Daily</v>
    <v>44552</v>
    <v>44552</v>
    <v>0</v>
    <v>1</v>
    <v>637757280000000000,637787182626695347,0</v>
    <v>14</v>
    <v>avtdzr</v>
    <v>SGDGBP</v>
    <v>87</v>
  </rv>
  <rv s="11">
    <v>41</v>
    <v>avtdzr</v>
    <v>Daily</v>
    <v>44559</v>
    <v>44559</v>
    <v>0</v>
    <v>1</v>
    <v>637763328000000000,637787182626695347,0</v>
    <v>14</v>
    <v>avtdzr</v>
    <v>SGDGBP</v>
    <v>88</v>
  </rv>
  <rv s="11">
    <v>41</v>
    <v>avtdzr</v>
    <v>Daily</v>
    <v>44566</v>
    <v>44566</v>
    <v>0</v>
    <v>1</v>
    <v>637769376000000000,637787182625435997,0</v>
    <v>14</v>
    <v>avtdzr</v>
    <v>SGDGBP</v>
    <v>89</v>
  </rv>
  <rv s="11">
    <v>41</v>
    <v>avtdzr</v>
    <v>Daily</v>
    <v>44573</v>
    <v>44573</v>
    <v>0</v>
    <v>1</v>
    <v>637775424000000000,637787182625435997,0</v>
    <v>14</v>
    <v>avtdzr</v>
    <v>SGDGBP</v>
    <v>90</v>
  </rv>
  <rv s="11">
    <v>41</v>
    <v>avtdzr</v>
    <v>Daily</v>
    <v>44580</v>
    <v>44580</v>
    <v>0</v>
    <v>1</v>
    <v>637781472000000000,637787182625445988,0</v>
    <v>14</v>
    <v>avtdzr</v>
    <v>SGDGBP</v>
    <v>91</v>
  </rv>
  <rv s="11">
    <v>34</v>
    <v>aa5c2w</v>
    <v>Daily</v>
    <v>44221</v>
    <v>44586</v>
    <v>0</v>
    <v>1</v>
    <v>637786656000000000,637787182625244238,0</v>
    <v>0</v>
    <v>aa5c2w</v>
    <v>XASX:CAT</v>
    <v>92</v>
  </rv>
  <rv s="11">
    <v>34</v>
    <v>aa5cec</v>
    <v>Daily</v>
    <v>44221</v>
    <v>44586</v>
    <v>0</v>
    <v>1</v>
    <v>637786656000000000,637787182625264592,0</v>
    <v>0</v>
    <v>aa5cec</v>
    <v>XASX:CBA</v>
    <v>93</v>
  </rv>
  <rv s="11">
    <v>34</v>
    <v>aa658m</v>
    <v>Daily</v>
    <v>44221</v>
    <v>44586</v>
    <v>0</v>
    <v>1</v>
    <v>637786656000000000,637787182625250650,0</v>
    <v>0</v>
    <v>aa658m</v>
    <v>XASX:EOS</v>
    <v>94</v>
  </rv>
  <rv s="11">
    <v>34</v>
    <v>aa81zr</v>
    <v>Daily</v>
    <v>44221</v>
    <v>44586</v>
    <v>0</v>
    <v>1</v>
    <v>637786656000000000,637787182625335860,0</v>
    <v>0</v>
    <v>aa81zr</v>
    <v>XASX:NAB</v>
    <v>95</v>
  </rv>
  <rv s="11">
    <v>34</v>
    <v>aa86z2</v>
    <v>Daily</v>
    <v>44221</v>
    <v>44586</v>
    <v>0</v>
    <v>1</v>
    <v>637786656000000000,637787182625257869,0</v>
    <v>0</v>
    <v>aa86z2</v>
    <v>XASX:NEA</v>
    <v>96</v>
  </rv>
  <rv s="11">
    <v>34</v>
    <v>XASX:ASB</v>
    <v>Daily</v>
    <v>44221</v>
    <v>44586</v>
    <v>0</v>
    <v>1</v>
    <v>637786656000000000,637787182625255129,0</v>
    <v>0</v>
    <v>aa4om7</v>
    <v>XASX:ASB</v>
    <v>97</v>
  </rv>
  <rv s="12">
    <v>35</v>
    <v>XASX:ASB</v>
    <v>Daily</v>
    <v>44556</v>
    <v>44586</v>
    <v>0</v>
    <v>1</v>
    <v>637786656000000000,637787182625255129,0</v>
    <v>2</v>
    <v>aa4om7</v>
    <v>XASX:ASB</v>
    <v>98</v>
    <v>99</v>
    <v>100</v>
    <v>101</v>
    <v>102</v>
  </rv>
</rvData>
</file>

<file path=xl/richData/rdrichvaluestructure.xml><?xml version="1.0" encoding="utf-8"?>
<rvStructures xmlns="http://schemas.microsoft.com/office/spreadsheetml/2017/richdata" count="1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formattednumber">
    <k n="_Format" t="spb"/>
  </s>
  <s t="_error">
    <k n="errorType" t="i"/>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stockhistorycache">
    <k n="_Format" t="spb"/>
    <k n="Symbol" t="s"/>
    <k n="Interval" t="s"/>
    <k n="StartDate" t="i"/>
    <k n="EndDate" t="i"/>
    <k n="f1904" t="b"/>
    <k n="fdcompat" t="b"/>
    <k n="etag" t="s"/>
    <k n="Date" t="a"/>
    <k n="EntityId" t="s"/>
    <k n="Instrument" t="s"/>
    <k n="Close" t="a"/>
  </s>
  <s t="_stockhistorycache">
    <k n="_Format" t="spb"/>
    <k n="Symbol" t="s"/>
    <k n="Interval" t="s"/>
    <k n="StartDate" t="i"/>
    <k n="EndDate" t="i"/>
    <k n="f1904" t="b"/>
    <k n="fdcompat" t="b"/>
    <k n="etag" t="s"/>
    <k n="Date" t="a"/>
    <k n="EntityId" t="s"/>
    <k n="Instrument" t="s"/>
    <k n="Close" t="a"/>
    <k n="Open" t="a"/>
    <k n="High" t="a"/>
    <k n="Low" t="a"/>
    <k n="Volume" t="a"/>
  </s>
</rvStructures>
</file>

<file path=xl/richData/rdsupportingpropertybag.xml><?xml version="1.0" encoding="utf-8"?>
<supportingPropertyBags xmlns="http://schemas.microsoft.com/office/spreadsheetml/2017/richdata2">
  <spbArrays count="5">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42">
    <spb s="0">
      <v>0</v>
      <v>Name</v>
      <v>LearnMoreOnLink</v>
    </spb>
    <spb s="1">
      <v>0</v>
      <v>0</v>
      <v>0</v>
    </spb>
    <spb s="2">
      <v>1</v>
      <v>1</v>
      <v>1</v>
      <v>1</v>
    </spb>
    <spb s="3">
      <v>1</v>
      <v>2</v>
      <v>2</v>
      <v>1</v>
      <v>3</v>
      <v>1</v>
      <v>1</v>
      <v>1</v>
      <v>4</v>
      <v>4</v>
      <v>5</v>
      <v>6</v>
      <v>1</v>
      <v>1</v>
      <v>1</v>
      <v>7</v>
      <v>8</v>
      <v>9</v>
      <v>4</v>
    </spb>
    <spb s="4">
      <v>Delayed 20 minutes</v>
      <v>from previous close</v>
      <v>from previous close</v>
      <v>GMT</v>
    </spb>
    <spb s="0">
      <v>1</v>
      <v>Name</v>
      <v>LearnMoreOnLink</v>
    </spb>
    <spb s="5">
      <v>0</v>
      <v>0</v>
    </spb>
    <spb s="6">
      <v>6</v>
      <v>1</v>
      <v>1</v>
      <v>1</v>
      <v>1</v>
    </spb>
    <spb s="7">
      <v>1</v>
      <v>2</v>
      <v>2</v>
      <v>1</v>
      <v>3</v>
      <v>1</v>
      <v>10</v>
      <v>1</v>
      <v>1</v>
      <v>4</v>
      <v>4</v>
      <v>5</v>
      <v>6</v>
      <v>1</v>
      <v>1</v>
      <v>1</v>
      <v>7</v>
      <v>8</v>
      <v>9</v>
      <v>4</v>
    </spb>
    <spb s="8">
      <v>Powered by Refinitiv</v>
    </spb>
    <spb s="0">
      <v>2</v>
      <v>Name</v>
      <v>LearnMoreOnLink</v>
    </spb>
    <spb s="9">
      <v>1</v>
      <v>2</v>
      <v>2</v>
      <v>1</v>
      <v>3</v>
      <v>1</v>
      <v>1</v>
      <v>1</v>
      <v>4</v>
      <v>5</v>
      <v>6</v>
      <v>1</v>
      <v>1</v>
      <v>1</v>
      <v>7</v>
      <v>8</v>
      <v>9</v>
      <v>4</v>
    </spb>
    <spb s="10">
      <v>11</v>
    </spb>
    <spb s="10">
      <v>1</v>
    </spb>
    <spb s="0">
      <v>3</v>
      <v>Name</v>
      <v>LearnMoreOnLink</v>
    </spb>
    <spb s="11">
      <v>12</v>
      <v>2</v>
      <v>2</v>
      <v>12</v>
      <v>3</v>
      <v>12</v>
      <v>12</v>
      <v>12</v>
      <v>4</v>
      <v>4</v>
      <v>5</v>
      <v>13</v>
      <v>12</v>
      <v>12</v>
      <v>12</v>
      <v>4</v>
      <v>7</v>
      <v>8</v>
      <v>9</v>
      <v>4</v>
    </spb>
    <spb s="12">
      <v>Real-Time Nasdaq Last Sale</v>
      <v>from previous close</v>
      <v>from previous close</v>
      <v>Source: Nasdaq Last Sale</v>
      <v>GMT</v>
    </spb>
    <spb s="10">
      <v>4</v>
    </spb>
    <spb s="13">
      <v>4</v>
      <v>Name</v>
    </spb>
    <spb s="14">
      <v>1</v>
      <v>1</v>
    </spb>
    <spb s="15">
      <v>12</v>
      <v>12</v>
      <v>3</v>
      <v>12</v>
      <v>12</v>
      <v>12</v>
      <v>5</v>
      <v>12</v>
      <v>12</v>
      <v>12</v>
      <v>7</v>
      <v>9</v>
    </spb>
    <spb s="16">
      <v>GMT</v>
    </spb>
    <spb s="10">
      <v>12</v>
    </spb>
    <spb s="15">
      <v>1</v>
      <v>1</v>
      <v>3</v>
      <v>1</v>
      <v>1</v>
      <v>1</v>
      <v>5</v>
      <v>1</v>
      <v>1</v>
      <v>1</v>
      <v>7</v>
      <v>9</v>
    </spb>
    <spb s="15">
      <v>14</v>
      <v>14</v>
      <v>3</v>
      <v>14</v>
      <v>14</v>
      <v>14</v>
      <v>5</v>
      <v>14</v>
      <v>14</v>
      <v>14</v>
      <v>7</v>
      <v>9</v>
    </spb>
    <spb s="10">
      <v>14</v>
    </spb>
    <spb s="15">
      <v>15</v>
      <v>15</v>
      <v>3</v>
      <v>15</v>
      <v>15</v>
      <v>15</v>
      <v>5</v>
      <v>15</v>
      <v>15</v>
      <v>15</v>
      <v>7</v>
      <v>9</v>
    </spb>
    <spb s="10">
      <v>15</v>
    </spb>
    <spb s="15">
      <v>16</v>
      <v>16</v>
      <v>3</v>
      <v>16</v>
      <v>16</v>
      <v>16</v>
      <v>5</v>
      <v>16</v>
      <v>16</v>
      <v>16</v>
      <v>7</v>
      <v>9</v>
    </spb>
    <spb s="10">
      <v>16</v>
    </spb>
    <spb s="15">
      <v>17</v>
      <v>17</v>
      <v>3</v>
      <v>17</v>
      <v>17</v>
      <v>17</v>
      <v>5</v>
      <v>17</v>
      <v>17</v>
      <v>17</v>
      <v>7</v>
      <v>9</v>
    </spb>
    <spb s="10">
      <v>17</v>
    </spb>
    <spb s="15">
      <v>18</v>
      <v>18</v>
      <v>3</v>
      <v>18</v>
      <v>18</v>
      <v>18</v>
      <v>5</v>
      <v>18</v>
      <v>18</v>
      <v>18</v>
      <v>7</v>
      <v>9</v>
    </spb>
    <spb s="10">
      <v>18</v>
    </spb>
    <spb s="17">
      <v>11</v>
      <v>1</v>
    </spb>
    <spb s="18">
      <v>1</v>
      <v>11</v>
      <v>1</v>
      <v>1</v>
      <v>1</v>
      <v>4</v>
    </spb>
    <spb s="18">
      <v>18</v>
      <v>11</v>
      <v>18</v>
      <v>18</v>
      <v>18</v>
      <v>4</v>
    </spb>
    <spb s="17">
      <v>11</v>
      <v>12</v>
    </spb>
    <spb s="17">
      <v>11</v>
      <v>14</v>
    </spb>
    <spb s="17">
      <v>11</v>
      <v>16</v>
    </spb>
    <spb s="17">
      <v>11</v>
      <v>17</v>
    </spb>
    <spb s="17">
      <v>11</v>
      <v>15</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Last trade time" t="i"/>
    <k n="Year incorporated" t="i"/>
    <k n="`%EntityServiceId" t="i"/>
    <k n="Shares outstanding" t="i"/>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Last trade time" t="i"/>
    <k n="Year incorporated" t="i"/>
    <k n="`%EntityServiceId" t="i"/>
    <k n="Shares outstanding" t="i"/>
  </s>
  <s>
    <k n="name" t="s"/>
  </s>
  <s>
    <k n="Low" t="i"/>
    <k n="P/E" t="i"/>
    <k n="Beta" t="i"/>
    <k n="High" t="i"/>
    <k n="Name" t="i"/>
    <k n="Open" t="i"/>
    <k n="Price" t="i"/>
    <k n="Change" t="i"/>
    <k n="Volume" t="i"/>
    <k n="Change (%)" t="i"/>
    <k n="Market cap" t="i"/>
    <k n="52 week low" t="i"/>
    <k n="52 week high" t="i"/>
    <k n="Previous close" t="i"/>
    <k n="Last trade time" t="i"/>
    <k n="Year incorporated" t="i"/>
    <k n="`%EntityServiceId" t="i"/>
    <k n="Shares outstanding" t="i"/>
  </s>
  <s>
    <k n="_Self"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Date" t="i"/>
    <k n="Close" t="i"/>
  </s>
  <s>
    <k n="Low" t="i"/>
    <k n="Date" t="i"/>
    <k n="High" t="i"/>
    <k n="Open" t="i"/>
    <k n="Close" t="i"/>
    <k n="Volu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6">
    <x:dxf>
      <x:numFmt numFmtId="172" formatCode="_-[$$-C09]* #,##0.00_-;\-[$$-C09]* #,##0.00_-;_-[$$-C09]* &quot;-&quot;??_-;_-@_-"/>
    </x:dxf>
    <x:dxf>
      <x:numFmt numFmtId="14" formatCode="0.00%"/>
    </x:dxf>
    <x:dxf>
      <x:numFmt numFmtId="171" formatCode="_-[$$-C09]* #,##0_-;\-[$$-C09]* #,##0_-;_-[$$-C09]* &quot;-&quot;_-;_-@_-"/>
    </x:dxf>
    <x:dxf>
      <x:numFmt numFmtId="3" formatCode="#,##0"/>
    </x:dxf>
    <x:dxf>
      <x:numFmt numFmtId="27" formatCode="dd/mm/yyyy\ hh:mm"/>
    </x:dxf>
    <x:dxf>
      <x:numFmt numFmtId="2" formatCode="0.00"/>
    </x:dxf>
    <x:dxf>
      <x:numFmt numFmtId="4" formatCode="#,##0.00"/>
    </x:dxf>
    <x:dxf>
      <x:numFmt numFmtId="1" formatCode="0"/>
    </x:dxf>
    <x:dxf>
      <x:numFmt numFmtId="170" formatCode="_([$$-409]* #,##0.00_);_([$$-409]* \(#,##0.00\);_([$$-409]* &quot;-&quot;??_);_(@_)"/>
    </x:dxf>
    <x:dxf>
      <x:numFmt numFmtId="169" formatCode="_-[$¥-411]* #,##0.00_-;\-[$¥-411]* #,##0.00_-;_-[$¥-411]* &quot;-&quot;??_-;_-@_-"/>
    </x:dxf>
    <x:dxf>
      <x:numFmt numFmtId="168" formatCode="_-[$£-809]* #,##0.00_-;\-[$£-809]* #,##0.00_-;_-[$£-809]* &quot;-&quot;??_-;_-@_-"/>
    </x:dxf>
    <x:dxf>
      <x:numFmt numFmtId="167" formatCode="_ [$¥-804]* #,##0.00_ ;_ [$¥-804]* \-#,##0.00_ ;_ [$¥-804]* &quot;-&quot;??_ ;_ @_ "/>
    </x:dxf>
    <x:dxf>
      <x:numFmt numFmtId="166" formatCode="_([$€-2]\ * #,##0.00_);_([$€-2]\ * \(#,##0.00\);_([$€-2]\ * &quot;-&quot;??_);_(@_)"/>
    </x:dxf>
    <x:dxf>
      <x:numFmt numFmtId="165" formatCode="_-[$$-1004]* #,##0.00_-;\-[$$-1004]* #,##0.00_-;_-[$$-1004]* &quot;-&quot;??_-;_-@_-"/>
    </x:dxf>
    <x:dxf>
      <x:numFmt numFmtId="19" formatCode="dd/mm/yyyy"/>
    </x:dxf>
    <x:dxf>
      <x:numFmt numFmtId="164" formatCode="_([$$-409]* #,##0_);_([$$-409]* \(#,##0\);_([$$-409]* &quot;-&quot;_);_(@_)"/>
    </x:dxf>
  </dxfs>
  <richProperties>
    <rPr n="IsTitleField" t="b"/>
    <rPr n="IsHeroField" t="b"/>
  </richProperties>
  <richStyles>
    <rSty dxfid="0"/>
    <rSty dxfid="6"/>
    <rSty>
      <rpv i="0">1</rpv>
    </rSty>
    <rSty dxfid="3"/>
    <rSty dxfid="1"/>
    <rSty dxfid="2"/>
    <rSty dxfid="4"/>
    <rSty dxfid="7"/>
    <rSty dxfid="5"/>
    <rSty>
      <rpv i="1">1</rpv>
    </rSty>
    <rSty dxfid="14"/>
    <rSty dxfid="8"/>
    <rSty dxfid="15"/>
    <rSty dxfid="9"/>
    <rSty dxfid="10"/>
    <rSty dxfid="11"/>
    <rSty dxfid="12"/>
    <rSty dxfid="13"/>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tions1" xr10:uid="{B4824B44-A0D6-4EB8-8370-0C9ED11C3B0C}" sourceName="Options">
  <data>
    <tabular pivotCacheId="1771492515">
      <items count="8">
        <i x="2" s="1"/>
        <i x="6"/>
        <i x="3"/>
        <i x="0"/>
        <i x="7"/>
        <i x="4"/>
        <i x="1"/>
        <i x="5"/>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tions" xr10:uid="{B653E2C7-8BFC-4927-B7A3-265F0219E9DA}" sourceName="Options">
  <data>
    <tabular pivotCacheId="1862700435">
      <items count="3">
        <i x="0" s="1"/>
        <i x="2"/>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s" xr10:uid="{A2EB00EA-5B3E-49A3-9F28-C9CB98E7D706}" sourceName="[Table12_1].[Banks]">
  <pivotTables>
    <pivotTable tabId="54" name="PivotTable12"/>
  </pivotTables>
  <data>
    <olap pivotCacheId="332070303">
      <levels count="2">
        <level uniqueName="[Table12_1].[Banks].[(All)]" sourceCaption="(All)" count="0"/>
        <level uniqueName="[Table12_1].[Banks].[Banks]" sourceCaption="Banks" count="6">
          <ranges>
            <range startItem="0">
              <i n="[Table12_1].[Banks].&amp;[DBS]" c="DBS"/>
              <i n="[Table12_1].[Banks].&amp;[HSBC]" c="HSBC"/>
              <i n="[Table12_1].[Banks].&amp;[ICBC]" c="ICBC"/>
              <i n="[Table12_1].[Banks].&amp;[Maybank]" c="Maybank"/>
              <i n="[Table12_1].[Banks].&amp;[OCBC]" c="OCBC"/>
              <i n="[Table12_1].[Banks].&amp;[Standard Chartered]" c="Standard Chartered"/>
            </range>
          </ranges>
        </level>
      </levels>
      <selections count="1">
        <selection n="[Table12_1].[Banks].&amp;[DBS]"/>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s1" xr10:uid="{BEE6F7CB-375C-40AA-B34F-45943E831158}" sourceName="[Table12_1].[Banks]">
  <pivotTables>
    <pivotTable tabId="54" name="PivotTable13"/>
  </pivotTables>
  <data>
    <olap pivotCacheId="299262005">
      <levels count="2">
        <level uniqueName="[Table12_1].[Banks].[(All)]" sourceCaption="(All)" count="0"/>
        <level uniqueName="[Table12_1].[Banks].[Banks]" sourceCaption="Banks" count="6">
          <ranges>
            <range startItem="0">
              <i n="[Table12_1].[Banks].&amp;[DBS]" c="DBS"/>
              <i n="[Table12_1].[Banks].&amp;[HSBC]" c="HSBC"/>
              <i n="[Table12_1].[Banks].&amp;[ICBC]" c="ICBC"/>
              <i n="[Table12_1].[Banks].&amp;[Maybank]" c="Maybank"/>
              <i n="[Table12_1].[Banks].&amp;[OCBC]" c="OCBC"/>
              <i n="[Table12_1].[Banks].&amp;[Standard Chartered]" c="Standard Chartered"/>
            </range>
          </ranges>
        </level>
      </levels>
      <selections count="1">
        <selection n="[Table12_1].[Banks].[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39705E4-577D-489D-9BD2-31A595BF19C5}" sourceName="Category">
  <extLst>
    <x:ext xmlns:x15="http://schemas.microsoft.com/office/spreadsheetml/2010/11/main" uri="{2F2917AC-EB37-4324-AD4E-5DD8C200BD13}">
      <x15:tableSlicerCache tableId="23"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267205C6-5E8A-4BE3-8B26-6E3467477701}" sourceName="Name">
  <extLst>
    <x:ext xmlns:x15="http://schemas.microsoft.com/office/spreadsheetml/2010/11/main" uri="{2F2917AC-EB37-4324-AD4E-5DD8C200BD13}">
      <x15:tableSlicerCache tableId="12"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s" xr10:uid="{D8A5E3B1-71A6-454B-A958-53811C57FEAB}" cache="Slicer_Banks" caption="Banks" columnCount="5" level="1" rowHeight="241300"/>
  <slicer name="Banks 1" xr10:uid="{4210EA64-E7AE-42CC-AE6A-FA2045466300}" cache="Slicer_Banks1" caption="Banks" columnCount="5"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91500C1C-FD67-416F-9189-4826DE6584A8}" cache="Slicer_Category1" caption="Category" columnCoun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0D41EDFD-84FC-482E-B35E-13C412C91A51}" cache="Slicer_Name" caption="Name" columnCount="3" showCaption="0"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iod" xr10:uid="{034B4FEC-C725-4119-A46A-7922DA2A2EF9}" cache="Slicer_Options1" caption="Options" columnCount="8" showCaption="0" style="Stock Period Slicer" rowHeight="234950"/>
  <slicer name="Options" xr10:uid="{ADC36C10-11DC-4AFA-ACEC-2660584F7B53}" cache="Slicer_Options" caption="Options" columnCount="3" showCaption="0" style="Stock Period Slicer" rowHeight="257175"/>
</slicers>
</file>

<file path=xl/tables/_rels/table1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D9ED9C9-0EB1-45CB-9A0E-1DB0A7CCD8E8}" name="Table72726" displayName="Table72726" ref="E72:I73" totalsRowShown="0" headerRowDxfId="276" dataDxfId="274" headerRowBorderDxfId="275" tableBorderDxfId="273" totalsRowBorderDxfId="272">
  <tableColumns count="5">
    <tableColumn id="1" xr3:uid="{9FF6D13F-E0FF-4FF6-8777-B28A2D024B05}" name="Current Balance " dataDxfId="271"/>
    <tableColumn id="2" xr3:uid="{69CA4560-DDB9-45C0-8693-112FE60E1378}" name="Annual Interest Rate" dataDxfId="270">
      <calculatedColumnFormula>IF(OR(G68="CIMB",G68="ICBC"),0.3%,IF(OR(G68="Standard Chartered",G68="MayBank"),0.48%,IF(G68="DBS",0.4%,IF(G68="UOB",0.5%,IF(G68="OCBC",0.35%,IF(G68="HSBC",0.68%,IF(G68="Bank Of China",0.7%,"Any")))))))</calculatedColumnFormula>
    </tableColumn>
    <tableColumn id="5" xr3:uid="{39FA929E-56C1-4316-8519-E9FA3E4D4B2B}" name="Period" dataDxfId="269"/>
    <tableColumn id="6" xr3:uid="{EBDC5028-27E0-42D7-AED9-5FDC7988041D}" name="Earned Interest" dataDxfId="268">
      <calculatedColumnFormula>Table72726[[#This Row],[Ending Balance]]-Table72726[[#This Row],[Current Balance ]]</calculatedColumnFormula>
    </tableColumn>
    <tableColumn id="7" xr3:uid="{BE719EF5-551A-4E5D-9CAF-B325A70445F3}" name="Ending Balance" dataDxfId="267">
      <calculatedColumnFormula>Table72726[[#This Row],[Current Balance ]]*(1+Table72726[[#This Row],[Annual Interest Rate]])^Table72726[[#This Row],[Period]]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96F3EA77-1CAD-482C-B7DE-54B90C6A4BD2}" name="Table82833" displayName="Table82833" ref="E88:H96" totalsRowShown="0" headerRowDxfId="266" dataDxfId="264" headerRowBorderDxfId="265" tableBorderDxfId="263" totalsRowBorderDxfId="262">
  <autoFilter ref="E88:H96" xr:uid="{E0B9C854-C2CA-4521-8764-69CEEA9C5171}"/>
  <tableColumns count="4">
    <tableColumn id="1" xr3:uid="{9436A7DF-CD5C-4BB7-B69B-1E5ADCA72944}" name="Bank/financial institution" dataDxfId="261" dataCellStyle="Hyperlink"/>
    <tableColumn id="2" xr3:uid="{520C3A8D-1F32-4C47-B5ED-8894D84284AB}" name="Min. deposit amount" dataDxfId="260"/>
    <tableColumn id="3" xr3:uid="{60B8BDCB-917C-4B1B-9F9F-D40789B5EF29}" name="Tenure" dataDxfId="259"/>
    <tableColumn id="4" xr3:uid="{DF57C0F1-5843-4977-BBCB-06246B3781C0}" name="Interest rates" dataDxfId="2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EB69DBC-92EC-4099-9BC2-909A3C6A66D7}" name="Table2734" displayName="Table2734" ref="E76:G85" totalsRowShown="0" headerRowDxfId="257" dataDxfId="255" headerRowBorderDxfId="256">
  <autoFilter ref="E76:G85" xr:uid="{626809ED-B7EE-4486-9C5A-FE8AAAA2DDD9}"/>
  <tableColumns count="3">
    <tableColumn id="1" xr3:uid="{03CFF058-7CE6-4454-A479-25DE84421E7D}" name="Savings accounts" dataDxfId="254"/>
    <tableColumn id="2" xr3:uid="{B95B1427-DF8F-4EE2-AAE3-4D07D1B8B2F9}" name="Best for" dataDxfId="253"/>
    <tableColumn id="3" xr3:uid="{3951252B-9167-4244-BD06-A9435C59C81A}" name="Interest rates" dataDxfId="2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B07908A-C698-4300-8119-3B27C1F0DE6E}" name="Table12_1" displayName="Table12_1" ref="F8:H18" totalsRowCount="1" headerRowDxfId="251" totalsRowDxfId="248" headerRowBorderDxfId="250" tableBorderDxfId="249" totalsRowBorderDxfId="247">
  <autoFilter ref="F8:H17" xr:uid="{E16867E7-F8C4-4283-9291-7C538CEAAD6E}"/>
  <tableColumns count="3">
    <tableColumn id="1" xr3:uid="{CF04FBE1-582A-45D1-BA95-95E4C0CE6425}" name="Types of Account" totalsRowLabel="Total Balance" dataDxfId="246" totalsRowDxfId="245"/>
    <tableColumn id="2" xr3:uid="{0B6EA110-334C-43A8-92B4-0CDB30160FFE}" name="Banks" dataDxfId="244" totalsRowDxfId="243"/>
    <tableColumn id="3" xr3:uid="{C0C6242C-D472-41C3-B9E7-D2B191BBB67A}" name="Account Balance" totalsRowFunction="custom" totalsRowDxfId="242" dataCellStyle="Currency">
      <totalsRowFormula>SUM(Table12_1[Account Balance])</totalsRowFormula>
    </tableColumn>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99B38A7-0CF3-452C-9639-346E5642025B}" name="Table10" displayName="Table10" ref="A11:G17" totalsRowShown="0" headerRowDxfId="241" dataDxfId="239" headerRowBorderDxfId="240" tableBorderDxfId="238">
  <autoFilter ref="A11:G17" xr:uid="{C99B38A7-0CF3-452C-9639-346E5642025B}"/>
  <tableColumns count="7">
    <tableColumn id="1" xr3:uid="{81809092-17A3-41E7-8BBC-D7A153EC9324}" name="35 &amp; below" dataDxfId="237"/>
    <tableColumn id="2" xr3:uid="{CB3A1A42-1C89-4318-9373-B47FEFDDABB4}" name="17.00%" dataDxfId="236"/>
    <tableColumn id="3" xr3:uid="{F9724822-604B-4BB4-B221-D027044AA059}" name="20.00%" dataDxfId="235"/>
    <tableColumn id="4" xr3:uid="{CCF8FD8B-1173-4118-9DB0-1888DB2900E3}" name="37.00%" dataDxfId="234"/>
    <tableColumn id="5" xr3:uid="{83D6825F-2D56-4F05-AA6E-EC7B94F9F535}" name="23.00%" dataDxfId="233"/>
    <tableColumn id="6" xr3:uid="{9948133A-D742-4E39-8717-CAE5248CD636}" name="6.00%" dataDxfId="232"/>
    <tableColumn id="7" xr3:uid="{D9669C0D-795B-46F7-AD86-8CECCD828C3B}" name="8.00%" dataDxfId="231"/>
  </tableColumns>
  <tableStyleInfo name="TableStyleLight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EF0066-3469-43FD-829E-1973A2B4292E}" name="Table7" displayName="Table7" ref="I27:K42" totalsRowShown="0" headerRowDxfId="230" dataDxfId="229" tableBorderDxfId="228">
  <autoFilter ref="I27:K42" xr:uid="{EBEF0066-3469-43FD-829E-1973A2B4292E}"/>
  <tableColumns count="3">
    <tableColumn id="1" xr3:uid="{EDAB717E-B46E-4DB5-9B71-05B2400CCF7B}" name="Year" dataDxfId="227"/>
    <tableColumn id="2" xr3:uid="{425D38A1-C0C2-4ADC-B30C-4AA85A188516}" name="OA Account Value" dataDxfId="226">
      <calculatedColumnFormula>FV($J$21/12, I28*12,-$J$26,-$J$25)</calculatedColumnFormula>
    </tableColumn>
    <tableColumn id="3" xr3:uid="{1375450B-3A92-45A7-BAE7-E5340329FB76}" name="Contributions" dataDxfId="225">
      <calculatedColumnFormula>$J$25+(($J$26*12)*I28)</calculatedColumnFormula>
    </tableColumn>
  </tableColumns>
  <tableStyleInfo name="TableStyleMedium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F9846E7-043D-4A93-8C7F-56903F81DF36}" name="Table8" displayName="Table8" ref="I20:J23" totalsRowShown="0" headerRowDxfId="224" dataDxfId="223">
  <autoFilter ref="I20:J23" xr:uid="{1F9846E7-043D-4A93-8C7F-56903F81DF36}"/>
  <tableColumns count="2">
    <tableColumn id="1" xr3:uid="{BEDEFD84-FBEF-46E9-8FA0-95A4B6927CC0}" name="Interest Rate Per Annum of Various CPF Accounts" dataDxfId="222"/>
    <tableColumn id="2" xr3:uid="{5BD76D97-BC1A-4A73-BBDB-FD9D7ACA7096}" name="Rates" dataDxfId="221"/>
  </tableColumns>
  <tableStyleInfo name="TableStyleMedium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E480D72-923C-4DB2-B723-3A11235B13E6}" name="Table1015" displayName="Table1015" ref="D10:J16" totalsRowShown="0" headerRowDxfId="212" dataDxfId="210" headerRowBorderDxfId="211" tableBorderDxfId="209">
  <autoFilter ref="D10:J16" xr:uid="{DE480D72-923C-4DB2-B723-3A11235B13E6}"/>
  <tableColumns count="7">
    <tableColumn id="1" xr3:uid="{09F4AD0B-4781-4130-9A69-0202A218425A}" name="35 &amp; below" dataDxfId="208"/>
    <tableColumn id="2" xr3:uid="{D8958C34-09FF-4378-8E64-6557F7090E2B}" name="17.00%" dataDxfId="207"/>
    <tableColumn id="3" xr3:uid="{8EA9C16D-2246-4FD8-8330-2E9F7DA7D277}" name="20.00%" dataDxfId="206"/>
    <tableColumn id="4" xr3:uid="{EB4AA8FA-5165-4B18-999B-ECDDA34DAE23}" name="37.00%" dataDxfId="205"/>
    <tableColumn id="5" xr3:uid="{944D81B9-72E4-47E1-BD91-C7AE591B15C0}" name="23.00%" dataDxfId="204"/>
    <tableColumn id="6" xr3:uid="{23AAE578-3357-45E1-8510-D3D35AF6C959}" name="6.00%" dataDxfId="203"/>
    <tableColumn id="7" xr3:uid="{3E8D4F3A-7A01-435F-B8A3-2ED5043A2CC3}" name="8.00%" dataDxfId="202"/>
  </tableColumns>
  <tableStyleInfo name="TableStyleLight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D5AA5E-EAF3-43EE-A0D5-397200275A00}" name="Table5" displayName="Table5" ref="U9:AH41" totalsRowShown="0" headerRowDxfId="201" dataDxfId="200">
  <autoFilter ref="U9:AH41" xr:uid="{A1D5AA5E-EAF3-43EE-A0D5-397200275A00}"/>
  <tableColumns count="14">
    <tableColumn id="1" xr3:uid="{0A9AB42E-4A7A-4605-9C45-3FF856AECBEE}" name="Age" dataDxfId="199"/>
    <tableColumn id="2" xr3:uid="{DE93E714-58CF-4732-812F-311656F7E3F1}" name="Year" dataDxfId="198"/>
    <tableColumn id="3" xr3:uid="{CB07A025-4379-45BB-8AB5-7EA3C2DD9EE6}" name="Month" dataDxfId="197"/>
    <tableColumn id="4" xr3:uid="{3C539672-4714-45FB-B6D6-4F9E71396BB0}" name="Monthly Salary" dataDxfId="196"/>
    <tableColumn id="5" xr3:uid="{BD58D065-0A39-4C51-8506-7C686B7ADFBF}" name="Employer's Monthly Contribution" dataDxfId="195"/>
    <tableColumn id="6" xr3:uid="{825D8833-6B00-4516-BD57-1840392E35AB}" name="Employee's Monthly Contribution" dataDxfId="194"/>
    <tableColumn id="7" xr3:uid="{79A5BC2D-63BD-4D7E-A145-83F773624B9E}" name="Accumulated Salary" dataDxfId="193"/>
    <tableColumn id="8" xr3:uid="{55031123-491C-4F57-80D2-7529B5DFEFF1}" name="Ordinary acc " dataDxfId="192"/>
    <tableColumn id="9" xr3:uid="{D5A8ACF1-9AC9-438B-99D3-7BC1971D014F}" name="Special acc " dataDxfId="191"/>
    <tableColumn id="10" xr3:uid="{BE93E8DA-5B39-402A-B6CC-47E0BFEE6984}" name="Medisave " dataDxfId="190"/>
    <tableColumn id="11" xr3:uid="{805ADE7A-F5CC-4C19-BB1B-966842EA4283}" name="Months" dataDxfId="189"/>
    <tableColumn id="12" xr3:uid="{1DA8AFC0-8EAE-49C6-9F1C-1E67FF5EF58E}" name="Ordinary acc Int" dataDxfId="188"/>
    <tableColumn id="13" xr3:uid="{AA6D0E06-0621-45E6-8443-D66DEA4951F3}" name="Special acc Int" dataDxfId="187"/>
    <tableColumn id="14" xr3:uid="{C59C6657-2CEB-458D-B062-ADF216FD3398}" name="Medisave acc Int" dataDxfId="186"/>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6079D07-1A4D-42D2-94FF-98077F39F093}" name="Table101518" displayName="Table101518" ref="D11:J17" totalsRowShown="0" headerRowDxfId="182" dataDxfId="180" headerRowBorderDxfId="181" tableBorderDxfId="179">
  <autoFilter ref="D11:J17" xr:uid="{36079D07-1A4D-42D2-94FF-98077F39F093}"/>
  <tableColumns count="7">
    <tableColumn id="1" xr3:uid="{D130908C-7142-4999-8E1D-147CDE73D51E}" name="35 &amp; below" dataDxfId="178"/>
    <tableColumn id="2" xr3:uid="{C3813859-BCD4-4A0F-9851-990C0D7C98ED}" name="17.00%" dataDxfId="177"/>
    <tableColumn id="3" xr3:uid="{85CC6C4F-D2DA-4EC0-8C43-BDE783E1DC97}" name="20.00%" dataDxfId="176"/>
    <tableColumn id="4" xr3:uid="{94F5D551-70E9-4EFE-B7D8-F8462FA9802C}" name="37.00%" dataDxfId="175"/>
    <tableColumn id="5" xr3:uid="{639D0803-CCE0-4618-A0C0-B2278AA9E842}" name="23.00%" dataDxfId="174"/>
    <tableColumn id="6" xr3:uid="{FA6F5647-72E0-420F-8650-14053A84BD15}" name="6.00%" dataDxfId="173"/>
    <tableColumn id="7" xr3:uid="{2E4FAB00-A317-45EB-9448-F8EB8BC9117E}" name="8.00%" dataDxfId="172"/>
  </tableColumns>
  <tableStyleInfo name="TableStyleLight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A1E8C22-A65B-444D-8C74-A9055D280335}" name="Table21" displayName="Table21" ref="A5:J13" totalsRowShown="0" headerRowDxfId="171" dataDxfId="170">
  <autoFilter ref="A5:J13" xr:uid="{FA1E8C22-A65B-444D-8C74-A9055D280335}"/>
  <tableColumns count="10">
    <tableColumn id="1" xr3:uid="{17035C41-2343-4E83-9C61-193BAE66E404}" name="Cryptocurrency" dataDxfId="169"/>
    <tableColumn id="2" xr3:uid="{0DAE5538-B580-4EF4-AE67-8A82E8996B8C}" name="Amount Puchased" dataDxfId="168"/>
    <tableColumn id="3" xr3:uid="{5BE6C862-02C4-47B8-99AD-9005FB9606DD}" name="Date Purchased" dataDxfId="167"/>
    <tableColumn id="4" xr3:uid="{4CEE0CFA-EE54-4F96-8CDC-382F1D773F46}" name="Total Invested $" dataDxfId="166" dataCellStyle="Currency"/>
    <tableColumn id="5" xr3:uid="{0196CCAB-6901-4CBE-9DB8-BCF791FDF844}" name="Current Value $" dataDxfId="165">
      <calculatedColumnFormula>Table21[[#This Row],[Amount Puchased]]*Table21[[#This Row],[Current Price $]]</calculatedColumnFormula>
    </tableColumn>
    <tableColumn id="6" xr3:uid="{6BCEDDD3-F6A9-472A-9F34-2FB59039FF49}" name="Profit &amp; Loss" dataDxfId="164">
      <calculatedColumnFormula>Table21[[#This Row],[Current Value $]]-Table21[[#This Row],[Total Invested $]]</calculatedColumnFormula>
    </tableColumn>
    <tableColumn id="7" xr3:uid="{E7FB9C38-3922-40CD-94F7-E4DF8C8DC545}" name="ROI" dataDxfId="163" dataCellStyle="Percent">
      <calculatedColumnFormula>Table21[[#This Row],[Profit &amp; Loss]]/Table21[[#This Row],[Total Invested $]]</calculatedColumnFormula>
    </tableColumn>
    <tableColumn id="8" xr3:uid="{941F3010-5D77-4334-8E6B-916C601C1F32}" name="24% Change" dataDxfId="162" dataCellStyle="Percent">
      <calculatedColumnFormula>_xlfn.XLOOKUP(Table21[[#This Row],[Cryptocurrency]], markets_vs_currency_usd_ids_quant_network_2C_20amp_token_2C_20curve_dao_token_2C[Column1.name], markets_vs_currency_usd_ids_quant_network_2C_20amp_token_2C_20curve_dao_token_2C[Column1.price_change_percentage_24h])</calculatedColumnFormula>
    </tableColumn>
    <tableColumn id="9" xr3:uid="{868E979F-05FB-4A39-ABFF-E7A7CDCF77F3}" name="Current Price $" dataDxfId="161">
      <calculatedColumnFormula>_xlfn.XLOOKUP(Table21[[#This Row],[Cryptocurrency]], markets_vs_currency_usd_ids_quant_network_2C_20amp_token_2C_20curve_dao_token_2C[Column1.name], markets_vs_currency_usd_ids_quant_network_2C_20amp_token_2C_20curve_dao_token_2C[Column1.current_price])</calculatedColumnFormula>
    </tableColumn>
    <tableColumn id="10" xr3:uid="{C8DE475D-556D-4C66-8186-AA0FB308BDDE}" name="Average Daily ROI" dataDxfId="160" dataCellStyle="Percent">
      <calculatedColumnFormula>Table21[[#This Row],[ROI]]/(TODAY()-Table21[[#This Row],[Date Purchased]])</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6558CF1-B4E7-4E9D-BCED-D13FE5D5E4A7}" name="markets_vs_currency_usd_ids_quant_network_2C_20amp_token_2C_20curve_dao_token_2C" displayName="markets_vs_currency_usd_ids_quant_network_2C_20amp_token_2C_20curve_dao_token_2C" ref="A5:J55" tableType="queryTable" totalsRowShown="0">
  <autoFilter ref="A5:J55" xr:uid="{86558CF1-B4E7-4E9D-BCED-D13FE5D5E4A7}"/>
  <tableColumns count="10">
    <tableColumn id="1" xr3:uid="{945C4EDD-8053-4529-B34E-F200D5D76FB5}" uniqueName="1" name="Column1.id" queryTableFieldId="1"/>
    <tableColumn id="3" xr3:uid="{08DCA531-66D1-4BAF-B35B-59E4BDFAB181}" uniqueName="3" name="Column1.name" queryTableFieldId="3"/>
    <tableColumn id="4" xr3:uid="{4F1F3A1D-CED6-4B7A-A903-46F83332BA19}" uniqueName="4" name="Column1.current_price" queryTableFieldId="4"/>
    <tableColumn id="5" xr3:uid="{FA5BDCAE-55BA-415C-8B07-CB5343C9549D}" uniqueName="5" name="Column1.market_cap" queryTableFieldId="5"/>
    <tableColumn id="6" xr3:uid="{60F0B48F-B0A7-4FAD-98E0-687C6634D19E}" uniqueName="6" name="Column1.market_cap_rank" queryTableFieldId="6"/>
    <tableColumn id="8" xr3:uid="{5970DD14-D936-4718-95C5-26DC445F779B}" uniqueName="8" name="Column1.total_volume" queryTableFieldId="8"/>
    <tableColumn id="9" xr3:uid="{5BDE77F4-D162-4832-A2C0-83572A922254}" uniqueName="9" name="Column1.high_24h" queryTableFieldId="9"/>
    <tableColumn id="10" xr3:uid="{57A4ACD0-415D-45E7-9146-0E2E86E3B820}" uniqueName="10" name="Column1.low_24h" queryTableFieldId="10"/>
    <tableColumn id="11" xr3:uid="{B4D2E04C-B3BE-47FC-8229-E5C71C8D6604}" uniqueName="11" name="Column1.price_change_24h" queryTableFieldId="11"/>
    <tableColumn id="12" xr3:uid="{741CEC3F-F9F4-41FF-9B88-BFAE282CAA1C}" uniqueName="12" name="Column1.price_change_percentage_24h"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035C01-E658-4AF4-BBB2-828E0DF4FAF3}" name="Ledger" displayName="Ledger" ref="A5:G28" totalsRowShown="0" headerRowDxfId="159" dataDxfId="157" headerRowBorderDxfId="158" tableBorderDxfId="156" totalsRowBorderDxfId="155">
  <autoFilter ref="A5:G28" xr:uid="{DCB4D3CC-EDC7-4AC9-B41B-4ABE8F5E228E}"/>
  <tableColumns count="7">
    <tableColumn id="1" xr3:uid="{15D534AF-9607-4917-BDB5-B4713D4ED746}" name="Date" dataDxfId="154"/>
    <tableColumn id="2" xr3:uid="{5B542A94-17F4-4733-9ACC-97E918F82262}" name="Stock"/>
    <tableColumn id="3" xr3:uid="{A91D5AA0-81DE-4860-A2E8-205D25A800F8}" name="Transaction" dataDxfId="153"/>
    <tableColumn id="4" xr3:uid="{9295D512-0391-433A-BDC2-73D3B3C98696}" name="Units" dataDxfId="152"/>
    <tableColumn id="5" xr3:uid="{2D47C83A-2606-4858-B685-D28A9DC9C87E}" name="Price" dataDxfId="151"/>
    <tableColumn id="6" xr3:uid="{462FA474-723A-4AE6-966C-12E04712D366}" name="Currency" dataDxfId="150"/>
    <tableColumn id="7" xr3:uid="{F3FD2D91-5A7C-4ECF-A26E-793A88B33F00}" name="Transaction Amount" dataDxfId="14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2C73455-818B-4416-95C1-2624ECB4A13D}" name="WatchList" displayName="WatchList" ref="A4:H7" totalsRowShown="0" headerRowDxfId="148" dataDxfId="147">
  <autoFilter ref="A4:H7" xr:uid="{92C73455-818B-4416-95C1-2624ECB4A13D}"/>
  <tableColumns count="8">
    <tableColumn id="1" xr3:uid="{5686776A-7C04-4166-9D64-AC239CBA72B5}" name="Stocks" dataDxfId="146"/>
    <tableColumn id="2" xr3:uid="{E07FB035-3B01-4E6C-BCC3-C5C5C32FBD52}" name="Exchange" dataDxfId="145">
      <calculatedColumnFormula array="1">_FV(WatchList[[#This Row],[Stocks]],"Exchange abbreviation",TRUE)</calculatedColumnFormula>
    </tableColumn>
    <tableColumn id="3" xr3:uid="{46664A92-BF41-42A4-B310-A7C5014D2EB7}" name="Ticker symbol" dataDxfId="144">
      <calculatedColumnFormula array="1">_FV(WatchList[[#This Row],[Stocks]],"Ticker symbol",TRUE)</calculatedColumnFormula>
    </tableColumn>
    <tableColumn id="4" xr3:uid="{140B069E-483B-4C38-A6E2-44D2B3B1A539}" name="52 week high" dataDxfId="143">
      <calculatedColumnFormula array="1">_FV(WatchList[[#This Row],[Stocks]],"52 week high",TRUE)</calculatedColumnFormula>
    </tableColumn>
    <tableColumn id="5" xr3:uid="{7FF1BC5F-51EE-4751-83C8-6DF7C8C2D3D1}" name="52 week low" dataDxfId="142">
      <calculatedColumnFormula array="1">_FV(WatchList[[#This Row],[Stocks]],"52 week low",TRUE)</calculatedColumnFormula>
    </tableColumn>
    <tableColumn id="7" xr3:uid="{853CFE1A-45D6-49AE-B16C-238BEC1DDA82}" name="Price" dataDxfId="141">
      <calculatedColumnFormula array="1">_FV(WatchList[[#This Row],[Stocks]],"Price")</calculatedColumnFormula>
    </tableColumn>
    <tableColumn id="8" xr3:uid="{9D2CC2A5-6A4E-44B1-BE0A-4951C906D83C}" name="P/E" dataDxfId="140">
      <calculatedColumnFormula array="1">_FV(WatchList[[#This Row],[Stocks]],"P/E",TRUE)</calculatedColumnFormula>
    </tableColumn>
    <tableColumn id="9" xr3:uid="{F9E9B2A2-9277-4371-9F0B-003C55FA4C0E}" name="Change" dataDxfId="139">
      <calculatedColumnFormula array="1">_FV(WatchList[[#This Row],[Stocks]],"Change")</calculatedColumnFormula>
    </tableColumn>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66CD79-91B2-491C-86C0-2986EFD8D376}" name="Table1" displayName="Table1" ref="C11:N21" totalsRowShown="0">
  <autoFilter ref="C11:N21" xr:uid="{5366CD79-91B2-491C-86C0-2986EFD8D376}"/>
  <tableColumns count="12">
    <tableColumn id="2" xr3:uid="{1A742581-2777-4CB4-BCD5-5B6542F9727E}" name="Description"/>
    <tableColumn id="4" xr3:uid="{B1CD9392-60B3-4D4B-8B32-D5849BF3C81E}" name="Purchased time" dataDxfId="114">
      <calculatedColumnFormula>RANDBETWEEN(DATE(2010,1,1),DATE(2021,1,1))</calculatedColumnFormula>
    </tableColumn>
    <tableColumn id="3" xr3:uid="{8AC37DD8-A5FC-4747-896B-AFD0DF9C30F3}" name="Category" dataDxfId="113"/>
    <tableColumn id="5" xr3:uid="{4342D595-9A4B-4685-B332-B85B4E85718D}" name="Purchased value" dataDxfId="112"/>
    <tableColumn id="6" xr3:uid="{0D89EAD9-A519-4F06-B8DD-34BA44D15D51}" name="Years owned" dataDxfId="111">
      <calculatedColumnFormula>(TODAY()-D12)/365</calculatedColumnFormula>
    </tableColumn>
    <tableColumn id="8" xr3:uid="{B8BC8384-A31D-40C4-86B9-B1B2AC389CBF}" name="Trend" dataDxfId="110">
      <calculatedColumnFormula>IF(I12&lt;F12,"Depreciating","Appreciating")</calculatedColumnFormula>
    </tableColumn>
    <tableColumn id="7" xr3:uid="{752899C3-0625-4825-9844-780A386F6644}" name="Current Value (Estimated)" dataDxfId="109">
      <calculatedColumnFormula>MAX(0,F12*(1+((_xlfn.XLOOKUP(E12,$R$12:$R$18,$S$12:$S$18)/100)*G12)))</calculatedColumnFormula>
    </tableColumn>
    <tableColumn id="13" xr3:uid="{29CB9C95-0608-4F30-850F-AF205532F019}" name="Profit &amp; Loss" dataDxfId="108">
      <calculatedColumnFormula>I12-F12</calculatedColumnFormula>
    </tableColumn>
    <tableColumn id="12" xr3:uid="{2A647F29-C601-4A99-86E2-634DD453D49E}" name="Date To Seek" dataDxfId="107"/>
    <tableColumn id="10" xr3:uid="{3F56E245-5654-4164-9975-70EBCC039EF9}" name="Forecasted Years Owned" dataDxfId="106">
      <calculatedColumnFormula>DATEDIF(D12,K12,"Y")</calculatedColumnFormula>
    </tableColumn>
    <tableColumn id="9" xr3:uid="{B220B6F5-49AB-4103-B4DE-A90891167CEC}" name="Forecasted Values" dataDxfId="105">
      <calculatedColumnFormula>MAX(0,F12*(1+((_xlfn.XLOOKUP(E12,$R$12:$R$18,$S$12:$S$18)/100)*L12)))</calculatedColumnFormula>
    </tableColumn>
    <tableColumn id="11" xr3:uid="{7AA190DB-BAEA-4CD1-BC60-20BF1270C176}" name="Predicted Profit And &amp; Loss" dataDxfId="104">
      <calculatedColumnFormula>I12-F12</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FBF40C-83BA-4B7F-A408-78A4E5717AEA}" name="Table3" displayName="Table3" ref="G7:K8" totalsRowShown="0" tableBorderDxfId="103">
  <autoFilter ref="G7:K8" xr:uid="{5BFBF40C-83BA-4B7F-A408-78A4E5717AEA}"/>
  <tableColumns count="5">
    <tableColumn id="1" xr3:uid="{E2157B24-2FE5-4631-BC88-6B0BEE36B447}" name="Sum of purchased value" dataDxfId="102">
      <calculatedColumnFormula>SUM(F:F)</calculatedColumnFormula>
    </tableColumn>
    <tableColumn id="2" xr3:uid="{30F5E7EC-E9C6-4882-BE20-F706723D48A3}" name="sum of current value" dataDxfId="101">
      <calculatedColumnFormula>SUM(I12:I21)</calculatedColumnFormula>
    </tableColumn>
    <tableColumn id="3" xr3:uid="{079E19E5-C5A5-43AC-B71D-AFF837114689}" name="sum of current value w/o housing" dataDxfId="100">
      <calculatedColumnFormula>SUMIFS(I:I,D:D,"&lt;&gt;HDB",D:D,"&lt;&gt;Condominium")</calculatedColumnFormula>
    </tableColumn>
    <tableColumn id="4" xr3:uid="{A584B319-42A1-4046-B1FB-239F4D74F9FD}" name="Earning with housing">
      <calculatedColumnFormula>SUM(N12:N21)</calculatedColumnFormula>
    </tableColumn>
    <tableColumn id="5" xr3:uid="{4E4E8F67-F8D6-4E24-98E9-412754FD410B}" name="earning w/o housing" dataDxfId="99">
      <calculatedColumnFormula>SUMIFS(J:J,D:D,"&lt;&gt;HDB",D:D,"&lt;&gt;Condominium")</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510C05-FEBE-4DC2-9B41-58C52774741D}" name="Table15" displayName="Table15" ref="D37:G47" totalsRowShown="0">
  <autoFilter ref="D37:G47" xr:uid="{B5510C05-FEBE-4DC2-9B41-58C52774741D}"/>
  <sortState xmlns:xlrd2="http://schemas.microsoft.com/office/spreadsheetml/2017/richdata2" ref="D38:G45">
    <sortCondition ref="D37:D45"/>
  </sortState>
  <tableColumns count="4">
    <tableColumn id="1" xr3:uid="{96FB5DC0-C2AE-4DFF-8352-BBF1EDD97D84}" name="Date" dataDxfId="98">
      <calculatedColumnFormula>RANDBETWEEN(DATE(2021,12,1),DATE(2021,12,31))</calculatedColumnFormula>
    </tableColumn>
    <tableColumn id="2" xr3:uid="{3745DE65-98DC-4CD7-B030-CB42C6AFC6C0}" name="Description"/>
    <tableColumn id="6" xr3:uid="{EE74550E-69FD-4437-BA48-B93CE9C36B6B}" name="Type of Expense"/>
    <tableColumn id="3" xr3:uid="{2EDCBA02-D715-4217-89B0-AD304A5E6C8D}" name="Amount ($)" dataDxfId="97"/>
  </tableColumns>
  <tableStyleInfo name="Mortgage calculator"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40139C-00F6-4499-968F-DC9B31A84CF3}" name="Table4" displayName="Table4" ref="D5:H15" totalsRowShown="0">
  <autoFilter ref="D5:H15" xr:uid="{FC40139C-00F6-4499-968F-DC9B31A84CF3}"/>
  <tableColumns count="5">
    <tableColumn id="1" xr3:uid="{3555D92A-ACC5-4FE1-A450-BA936217D2C9}" name="Card Name"/>
    <tableColumn id="2" xr3:uid="{8D3294D8-4BDC-4C68-BE82-243E4B59C1A2}" name="months to pay off on minimum payment" dataDxfId="96">
      <calculatedColumnFormula>RANDBETWEEN(1,24)</calculatedColumnFormula>
    </tableColumn>
    <tableColumn id="3" xr3:uid="{FAD5493D-B4FB-46D5-89A7-7EEF35091950}" name="months to pay off on proposed payment" dataDxfId="95">
      <calculatedColumnFormula>RANDBETWEEN(1,24)</calculatedColumnFormula>
    </tableColumn>
    <tableColumn id="4" xr3:uid="{53D5840D-0904-463F-911C-F42EF9D741BD}" name="Total Interest Based On Minimum Payment" dataDxfId="94">
      <calculatedColumnFormula>RANDBETWEEN(100,3000)</calculatedColumnFormula>
    </tableColumn>
    <tableColumn id="5" xr3:uid="{4E0DD0A1-8E7D-4997-9C61-396CD67AA3CB}" name="Total Interest Based On Proposed Payment" dataDxfId="93">
      <calculatedColumnFormula>RANDBETWEEN(100,2000)</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8C37941-FECF-4649-B905-8685C18DFE2B}" name="Table16" displayName="Table16" ref="D22:E23" totalsRowShown="0">
  <autoFilter ref="D22:E23" xr:uid="{58C37941-FECF-4649-B905-8685C18DFE2B}"/>
  <tableColumns count="2">
    <tableColumn id="1" xr3:uid="{8A905710-FC89-426B-8313-BC45CF8AE5B7}" name="Sum of Interest Based on Minimum Payment" dataDxfId="92">
      <calculatedColumnFormula>SUM(G6:G15)</calculatedColumnFormula>
    </tableColumn>
    <tableColumn id="2" xr3:uid="{9FE73AC1-4EF4-4366-8A46-AB106A203FEC}" name="Sum of Interest Based on Proposed Payment" dataDxfId="91">
      <calculatedColumnFormula>SUM(H6:H15)</calculatedColumnFormula>
    </tableColumn>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EF4F42-8727-49AC-9DD3-3A4AA1789D50}" name="Table11" displayName="Table11" ref="A1:E92" totalsRowShown="0">
  <autoFilter ref="A1:E92" xr:uid="{ECEF4F42-8727-49AC-9DD3-3A4AA1789D50}"/>
  <tableColumns count="5">
    <tableColumn id="1" xr3:uid="{3656F7B0-B23C-4D9F-B617-7E23B2A0DC17}" name="Date" dataDxfId="90"/>
    <tableColumn id="2" xr3:uid="{C184CDF0-352B-44B5-AF97-FC0AC832A6A8}" name="Open"/>
    <tableColumn id="3" xr3:uid="{D96F437B-3EC9-483E-BAD2-C4DA4A1E86FC}" name="Forecast(Open)">
      <calculatedColumnFormula>_xlfn.FORECAST.ETS(A2,$B$2:$B$54,$A$2:$A$54,1,1)</calculatedColumnFormula>
    </tableColumn>
    <tableColumn id="4" xr3:uid="{AEDFE8DF-02FA-4BC8-B8BD-746B10E82068}" name="Lower Confidence Bound(Open)" dataDxfId="89">
      <calculatedColumnFormula>C2-_xlfn.FORECAST.ETS.CONFINT(A2,$B$2:$B$54,$A$2:$A$54,0.95,1,1)</calculatedColumnFormula>
    </tableColumn>
    <tableColumn id="5" xr3:uid="{0DF9759D-26FA-4646-8FFA-B2BEECC4826E}" name="Upper Confidence Bound(Open)" dataDxfId="88">
      <calculatedColumnFormula>C2+_xlfn.FORECAST.ETS.CONFINT(A2,$B$2:$B$54,$A$2:$A$54,0.95,1,1)</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6C20BB4-5C74-4CAB-832E-775A53987C9D}" name="Table13" displayName="Table13" ref="A1:E68" totalsRowShown="0">
  <autoFilter ref="A1:E68" xr:uid="{A6C20BB4-5C74-4CAB-832E-775A53987C9D}"/>
  <tableColumns count="5">
    <tableColumn id="1" xr3:uid="{736B89DC-D370-41A6-AF33-E0A29A1F83D8}" name="Date" dataDxfId="87"/>
    <tableColumn id="2" xr3:uid="{4B837392-CB42-4293-A9A5-AA95CED11565}" name="Open"/>
    <tableColumn id="3" xr3:uid="{AD636FA9-E42A-41E0-8A4A-E1B296187209}" name="Forecast(Open)">
      <calculatedColumnFormula>_xlfn.FORECAST.ETS(A2,$B$2:$B$54,$A$2:$A$54,1,1)</calculatedColumnFormula>
    </tableColumn>
    <tableColumn id="4" xr3:uid="{37877EAA-6E87-4DFE-B60D-1F69909A5554}" name="Lower Confidence Bound(Open)" dataDxfId="86">
      <calculatedColumnFormula>C2-_xlfn.FORECAST.ETS.CONFINT(A2,$B$2:$B$54,$A$2:$A$54,0.95,1,1)</calculatedColumnFormula>
    </tableColumn>
    <tableColumn id="5" xr3:uid="{1BBB26D7-51B9-4F5D-8C1D-63F03481C518}" name="Upper Confidence Bound(Open)" dataDxfId="85">
      <calculatedColumnFormula>C2+_xlfn.FORECAST.ETS.CONFINT(A2,$B$2:$B$54,$A$2:$A$54,0.95,1,1)</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71E00CA-A93F-4CD0-9FE4-5FD01DF912B0}" name="Table18" displayName="Table18" ref="A1:E68" totalsRowShown="0">
  <autoFilter ref="A1:E68" xr:uid="{B71E00CA-A93F-4CD0-9FE4-5FD01DF912B0}"/>
  <tableColumns count="5">
    <tableColumn id="1" xr3:uid="{5358CA84-9268-4A61-BFA5-6708399E356C}" name="Date" dataDxfId="84"/>
    <tableColumn id="2" xr3:uid="{E938446E-741E-49DA-9FE8-70CAD6449601}" name="Open"/>
    <tableColumn id="3" xr3:uid="{C58EF38C-FFAE-4A44-BF45-72EB81CE5C88}" name="Forecast(Open)">
      <calculatedColumnFormula>_xlfn.FORECAST.ETS(A2,$B$2:$B$54,$A$2:$A$54,1,1)</calculatedColumnFormula>
    </tableColumn>
    <tableColumn id="4" xr3:uid="{6BB15132-6FBE-4281-9598-43DDE9776EEA}" name="Lower Confidence Bound(Open)" dataDxfId="83">
      <calculatedColumnFormula>C2-_xlfn.FORECAST.ETS.CONFINT(A2,$B$2:$B$54,$A$2:$A$54,0.95,1,1)</calculatedColumnFormula>
    </tableColumn>
    <tableColumn id="5" xr3:uid="{97FB0362-E9B2-4368-9CDC-B898AF80F370}" name="Upper Confidence Bound(Open)" dataDxfId="82">
      <calculatedColumnFormula>C2+_xlfn.FORECAST.ETS.CONFINT(A2,$B$2:$B$54,$A$2:$A$54,0.95,1,1)</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F21C38-A4E5-4AB3-9CB4-EC7F40418D86}" name="Table19" displayName="Table19" ref="A1:E68" totalsRowShown="0">
  <autoFilter ref="A1:E68" xr:uid="{6FF21C38-A4E5-4AB3-9CB4-EC7F40418D86}"/>
  <tableColumns count="5">
    <tableColumn id="1" xr3:uid="{50F60B0A-8A81-4192-A384-F9F9D9CDF883}" name="Date" dataDxfId="81"/>
    <tableColumn id="2" xr3:uid="{803016AE-C9C9-463E-85FD-ABF676D591F0}" name="Open"/>
    <tableColumn id="3" xr3:uid="{F32D2378-F865-47C2-B9AD-2F15C0733C7E}" name="Forecast(Open)">
      <calculatedColumnFormula>_xlfn.FORECAST.ETS(A2,$B$2:$B$54,$A$2:$A$54,1,1)</calculatedColumnFormula>
    </tableColumn>
    <tableColumn id="4" xr3:uid="{1CEE58D2-1626-40E9-984E-07BC6C46B4CD}" name="Lower Confidence Bound(Open)" dataDxfId="80">
      <calculatedColumnFormula>C2-_xlfn.FORECAST.ETS.CONFINT(A2,$B$2:$B$54,$A$2:$A$54,0.95,1,1)</calculatedColumnFormula>
    </tableColumn>
    <tableColumn id="5" xr3:uid="{D43C85F2-4EDE-404F-8256-BE12852796C1}" name="Upper Confidence Bound(Open)" dataDxfId="79">
      <calculatedColumnFormula>C2+_xlfn.FORECAST.ETS.CONFINT(A2,$B$2:$B$54,$A$2:$A$54,0.95,1,1)</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92E7926-277B-4DF7-A72B-C6C9F221DDD7}" name="Table20" displayName="Table20" ref="A1:E68" totalsRowShown="0">
  <autoFilter ref="A1:E68" xr:uid="{B92E7926-277B-4DF7-A72B-C6C9F221DDD7}"/>
  <tableColumns count="5">
    <tableColumn id="1" xr3:uid="{B0C6A5BB-D226-461F-B903-0DF02A07FC32}" name="Date" dataDxfId="78"/>
    <tableColumn id="2" xr3:uid="{316AEA85-3130-42E1-84AD-9A4922A62164}" name="Open"/>
    <tableColumn id="3" xr3:uid="{99BE7328-72C7-4F75-9808-6FB366EFA74A}" name="Forecast(Open)">
      <calculatedColumnFormula>_xlfn.FORECAST.ETS(A2,$B$2:$B$54,$A$2:$A$54,1,1)</calculatedColumnFormula>
    </tableColumn>
    <tableColumn id="4" xr3:uid="{03811B62-34D0-472A-BA72-45570033D714}" name="Lower Confidence Bound(Open)" dataDxfId="77">
      <calculatedColumnFormula>C2-_xlfn.FORECAST.ETS.CONFINT(A2,$B$2:$B$54,$A$2:$A$54,0.95,1,1)</calculatedColumnFormula>
    </tableColumn>
    <tableColumn id="5" xr3:uid="{F506AC2B-BA9D-4893-93B5-0887EDEDB554}" name="Upper Confidence Bound(Open)" dataDxfId="76">
      <calculatedColumnFormula>C2+_xlfn.FORECAST.ETS.CONFINT(A2,$B$2:$B$54,$A$2:$A$54,0.95,1,1)</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70FB6F4-8FB7-4DB2-AF90-ACD2A9CB9CAD}" name="Table29" displayName="Table29" ref="A1:E68" totalsRowShown="0">
  <autoFilter ref="A1:E68" xr:uid="{370FB6F4-8FB7-4DB2-AF90-ACD2A9CB9CAD}"/>
  <tableColumns count="5">
    <tableColumn id="1" xr3:uid="{7A7593C1-3381-49EF-BB49-CAE96E35803A}" name="Date" dataDxfId="75"/>
    <tableColumn id="2" xr3:uid="{81FBFF04-60BE-4D01-A4A7-B5179516E7D5}" name="Open"/>
    <tableColumn id="3" xr3:uid="{F1E4DC3F-A67C-4B48-87DD-D4F2BFC2876D}" name="Forecast(Open)">
      <calculatedColumnFormula>_xlfn.FORECAST.ETS(A2,$B$2:$B$54,$A$2:$A$54,1,1)</calculatedColumnFormula>
    </tableColumn>
    <tableColumn id="4" xr3:uid="{51D262FE-F078-4787-8284-4EFBB996357F}" name="Lower Confidence Bound(Open)" dataDxfId="74">
      <calculatedColumnFormula>C2-_xlfn.FORECAST.ETS.CONFINT(A2,$B$2:$B$54,$A$2:$A$54,0.95,1,1)</calculatedColumnFormula>
    </tableColumn>
    <tableColumn id="5" xr3:uid="{63B1AC96-7AC9-4A62-965C-3D5A139F111F}" name="Upper Confidence Bound(Open)" dataDxfId="73">
      <calculatedColumnFormula>C2+_xlfn.FORECAST.ETS.CONFINT(A2,$B$2:$B$54,$A$2:$A$54,0.95,1,1)</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1620E8B-CE1C-4307-9D4E-406AC46DC74D}" name="MonthlyIncome" displayName="MonthlyIncome" ref="D3:E99" totalsRowShown="0" headerRowDxfId="72">
  <autoFilter ref="D3:E99" xr:uid="{00000000-0009-0000-0100-000004000000}"/>
  <tableColumns count="2">
    <tableColumn id="3" xr3:uid="{A2BAF41D-72AF-456C-8492-65DCEA18F883}" name="PROJECTED" dataDxfId="71"/>
    <tableColumn id="2" xr3:uid="{C6EC831A-3A12-4053-A8A5-57D735EC4DE9}" name="ACTUAL" dataDxfId="70" dataCellStyle="Amount"/>
  </tableColumns>
  <tableStyleInfo name="Personal budget table" showFirstColumn="0" showLastColumn="0" showRowStripes="1" showColumnStripes="0"/>
  <extLst>
    <ext xmlns:x14="http://schemas.microsoft.com/office/spreadsheetml/2009/9/main" uri="{504A1905-F514-4f6f-8877-14C23A59335A}">
      <x14:table altTextSummary="Enter monthly income sources and amounts in this table"/>
    </ext>
  </extLst>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ED25BF39-E102-4187-A4B1-910CE0FE17D9}" name="Monthly_Expenses_Table324" displayName="Monthly_Expenses_Table324" ref="A4:H65" totalsRowShown="0" headerRowDxfId="69" dataDxfId="68">
  <autoFilter ref="A4:H65" xr:uid="{97230627-B27C-41B6-A123-EF435E67C684}"/>
  <sortState xmlns:xlrd2="http://schemas.microsoft.com/office/spreadsheetml/2017/richdata2" ref="A5:H63">
    <sortCondition descending="1" sortBy="cellColor" ref="E5:E63" dxfId="67"/>
  </sortState>
  <tableColumns count="8">
    <tableColumn id="8" xr3:uid="{A6F16719-EE68-4FF0-904E-8BAE8B268BBF}" name="Date" dataDxfId="66">
      <calculatedColumnFormula>TODAY() - RANDBETWEEN(10,200)</calculatedColumnFormula>
    </tableColumn>
    <tableColumn id="1" xr3:uid="{8FCD2D73-E79D-402C-B5C1-9CD1A4850A9D}" name="Description" dataDxfId="65"/>
    <tableColumn id="2" xr3:uid="{7F2BBB63-22E8-4052-A60D-6614C0B47F6C}" name="Category" dataDxfId="64"/>
    <tableColumn id="3" xr3:uid="{45D98E34-9C8F-4A49-B87D-BBD385ACADCB}" name="Projected Cost" dataDxfId="63"/>
    <tableColumn id="4" xr3:uid="{979EC847-0260-4AB9-83D0-1667741AE090}" name="Actual Cost" dataDxfId="62"/>
    <tableColumn id="9" xr3:uid="{1A65680C-1633-498D-AC75-50461BEB10DA}" name="Account" dataDxfId="61"/>
    <tableColumn id="5" xr3:uid="{741D7504-8D54-4398-9AF0-E4EA78D46F64}" name="Difference" dataDxfId="60">
      <calculatedColumnFormula>IF(OR(Monthly_Expenses_Table324[[#This Row],[Projected Cost]]="",Monthly_Expenses_Table324[[#This Row],[Actual Cost]]=""),"",Monthly_Expenses_Table324[[#This Row],[Projected Cost]]-Monthly_Expenses_Table324[[#This Row],[Actual Cost]])</calculatedColumnFormula>
    </tableColumn>
    <tableColumn id="6" xr3:uid="{43CAFC5C-9881-461A-A8DE-CB843BE8F513}" name="Actual Cost Overview" dataDxfId="59">
      <calculatedColumnFormula>Monthly_Expenses_Table324[[#This Row],[Projected Cost]]-Monthly_Expenses_Table324[[#This Row],[Actual Cost]]</calculatedColumnFormula>
    </tableColumn>
  </tableColumns>
  <tableStyleInfo name="TableStyleLight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08208AB-6880-4F4B-902A-00911DC6764A}" name="CashSummaryTable6" displayName="CashSummaryTable6" ref="D14:G18" totalsRowCount="1" headerRowDxfId="58" dataDxfId="57" totalsRowDxfId="56">
  <tableColumns count="4">
    <tableColumn id="1" xr3:uid="{0C107A81-911F-43F7-8A6A-A39E0857E844}" name="Account" totalsRowLabel="Total" dataDxfId="55" totalsRowDxfId="54"/>
    <tableColumn id="3" xr3:uid="{03C638AB-2D5F-4D77-BE80-BE0ACFE92014}" name="Starting Cash" totalsRowFunction="custom" dataDxfId="53" totalsRowDxfId="52" dataCellStyle="Currency 2">
      <totalsRowFormula>TotalMonthlyIncome</totalsRowFormula>
    </tableColumn>
    <tableColumn id="2" xr3:uid="{E5E0711F-BA86-4F3D-9C76-5D5F7E3F6CFB}" name="Spending Total" totalsRowFunction="custom" dataDxfId="51" totalsRowDxfId="50" dataCellStyle="Currency 2">
      <totalsRowFormula>TotalMonthlyExpenses</totalsRowFormula>
    </tableColumn>
    <tableColumn id="4" xr3:uid="{96C14AB2-B46B-4547-85E8-7F1657448384}" name="Cash Remaining" totalsRowFunction="custom" totalsRowDxfId="49" dataCellStyle="Currency 2">
      <totalsRowFormula>CashSummaryTable6[[#Totals],[Starting Cash]]-CashSummaryTable6[[#Totals],[Spending Total]]</totalsRowFormula>
    </tableColumn>
  </tableColumns>
  <tableStyleInfo name="CashSummaryTable" showFirstColumn="0" showLastColumn="0" showRowStripes="0" showColumnStripes="1"/>
  <extLst>
    <ext xmlns:x14="http://schemas.microsoft.com/office/spreadsheetml/2009/9/main" uri="{504A1905-F514-4f6f-8877-14C23A59335A}">
      <x14:table altTextSummary="Enter Account type and Starting Cash amount in this table. Spending Total and Cash Remaining amounts are automatically calculated"/>
    </ext>
  </extLst>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C406FE9-2E1A-48B4-B8D7-B3DB0E64CA5A}" name="LoanDetails" displayName="LoanDetails" ref="B3:E8" headerRowDxfId="48" dataDxfId="46" totalsRowDxfId="45" headerRowBorderDxfId="47" headerRowCellStyle="Heading 1 4">
  <autoFilter ref="B3:E8" xr:uid="{00000000-0009-0000-0100-000005000000}">
    <filterColumn colId="0" hiddenButton="1"/>
    <filterColumn colId="1" hiddenButton="1"/>
    <filterColumn colId="2" hiddenButton="1"/>
    <filterColumn colId="3" hiddenButton="1"/>
  </autoFilter>
  <tableColumns count="4">
    <tableColumn id="1" xr3:uid="{271F5EA7-1123-4BF9-A6DB-66D7373B75D1}" name="LOAN DETAILS" totalsRowLabel="Total" dataDxfId="44"/>
    <tableColumn id="4" xr3:uid="{996CE362-AA0F-4532-A807-21834F2BE029}" name="VALUES" totalsRowFunction="count" dataDxfId="43"/>
    <tableColumn id="2" xr3:uid="{961F7BC0-3D9E-4AEA-94A6-590643C0715C}" name="KEY STATISTICS" dataDxfId="42" totalsRowDxfId="41"/>
    <tableColumn id="3" xr3:uid="{AA59AC02-53FB-49A9-BEFB-5147D6A5F830}" name="TOTALS" dataDxfId="40" dataCellStyle="Currency"/>
  </tableColumns>
  <tableStyleInfo name="Loan Calculator" showFirstColumn="0" showLastColumn="1" showRowStripes="1" showColumnStripes="1"/>
  <extLst>
    <ext xmlns:x14="http://schemas.microsoft.com/office/spreadsheetml/2009/9/main" uri="{504A1905-F514-4f6f-8877-14C23A59335A}">
      <x14:table altTextSummary="Enter loan details to generate loan key statistics for monthly loan payments, total monthly payments, total loan payments and total interest paid"/>
    </ext>
  </extLst>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64B2B15-6AA4-4C82-963F-0DAE322B4C49}" name="Amortization32" displayName="Amortization32" ref="B3:J363" totalsRowShown="0" headerRowDxfId="39" dataDxfId="38" headerRowCellStyle="Amortization Table Heading">
  <autoFilter ref="B3:J363" xr:uid="{00000000-0009-0000-0100-000001000000}"/>
  <tableColumns count="9">
    <tableColumn id="1" xr3:uid="{79D9F7A8-A29E-43E8-9065-C0BC92D2EC94}" name="#" dataDxfId="37">
      <calculatedColumnFormula>IF(SUM(ROWS($B$4:B4))&gt;'Mortgage Calculator'!DurationOfLoan,"",SUM(ROWS($B$4:B4)))</calculatedColumnFormula>
    </tableColumn>
    <tableColumn id="2" xr3:uid="{CEE59A80-CDDA-418F-831E-FA9D58811007}" name="payment_x000a_date" dataDxfId="36" dataCellStyle="Date">
      <calculatedColumnFormula>IFERROR(DATE(YEAR('Mortgage Calculator'!LoanStart), MONTH('Mortgage Calculator'!LoanStart) +B4,DAY('Mortgage Calculator'!LoanStart)), "")</calculatedColumnFormula>
    </tableColumn>
    <tableColumn id="3" xr3:uid="{74B2B696-328D-43C3-AE72-28FFA6FF359D}" name="opening_x000a_balance" dataDxfId="35" dataCellStyle="Currency">
      <calculatedColumnFormula>IFERROR(-FV('Mortgage Calculator'!InterestRate/12,B4-1,-'Mortgage Calculator'!MonthlyLoanPayment,'Mortgage Calculator'!LoanAmount),"")</calculatedColumnFormula>
    </tableColumn>
    <tableColumn id="4" xr3:uid="{31C6F3DB-00A3-4623-A885-824DBF42E40B}" name="interest" dataDxfId="34" dataCellStyle="Currency"/>
    <tableColumn id="5" xr3:uid="{354E06F9-2675-4B47-BA5E-E832B0DCE5E6}" name="principal" dataDxfId="33" dataCellStyle="Currency"/>
    <tableColumn id="7" xr3:uid="{426B3106-F97E-4BD9-BE56-E5DBE0A58597}" name="property_x000a_tax" dataDxfId="32" dataCellStyle="Currency">
      <calculatedColumnFormula>IF(Amortization32[[#This Row],[payment
date]]="",0,'Mortgage Calculator'!PropertyTaxAmount)</calculatedColumnFormula>
    </tableColumn>
    <tableColumn id="9" xr3:uid="{04719E6C-28F9-4E5C-8B94-4AA175845D7F}" name="total_x000a_payments" dataCellStyle="Currency">
      <calculatedColumnFormula>IF(Amortization32[[#This Row],[payment
date]]="",0,Amortization32[[#This Row],[interest]]+Amortization32[[#This Row],[principal]]+Amortization32[[#This Row],[property
tax]])</calculatedColumnFormula>
    </tableColumn>
    <tableColumn id="10" xr3:uid="{EA1E8551-BBDE-4ED2-9852-8D25359508F4}" name="closing_x000a_balance" dataCellStyle="Currency">
      <calculatedColumnFormula>IF(Amortization32[[#This Row],[payment
date]]="",0,Amortization32[[#This Row],[opening
balance]]-Amortization32[[#This Row],[principal]])</calculatedColumnFormula>
    </tableColumn>
    <tableColumn id="11" xr3:uid="{9F06920B-23D9-4357-9191-093F9F16A0C1}" name="#_x000a_remaining">
      <calculatedColumnFormula>IF(Amortization32[[#This Row],[closing
balance]]&gt;0,LastRow-ROW(),0)</calculatedColumnFormula>
    </tableColumn>
  </tableColumns>
  <tableStyleInfo name="Loan Calculator" showFirstColumn="0" showLastColumn="0" showRowStripes="1" showColumnStripes="0"/>
  <extLst>
    <ext xmlns:x14="http://schemas.microsoft.com/office/spreadsheetml/2009/9/main" uri="{504A1905-F514-4f6f-8877-14C23A59335A}">
      <x14:table altTextSummary="Calculations for loan payments over time. Additional payments assumes an extra payment of the same monthly amount. Add a new row &amp; enter payment date. Columns update automatically"/>
    </ext>
  </extLst>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B041838-A456-4843-9617-31B24B4BF26E}" name="CurrencyConverter" displayName="CurrencyConverter" ref="A1:D173" tableType="queryTable" totalsRowShown="0">
  <autoFilter ref="A1:D173" xr:uid="{7BBEAE54-8B4A-48F5-B571-63DAE086AFF3}">
    <filterColumn colId="1">
      <filters>
        <filter val="Aruban or Dutch Guilder"/>
      </filters>
    </filterColumn>
  </autoFilter>
  <tableColumns count="4">
    <tableColumn id="1" xr3:uid="{927AAC82-3035-4E0D-BC3D-F1584F287D74}" uniqueName="1" name="Currency" queryTableFieldId="1" dataDxfId="31"/>
    <tableColumn id="2" xr3:uid="{686E4805-1DB1-4132-B332-A8E162BF2B80}" uniqueName="2" name="Name" queryTableFieldId="2" dataDxfId="30"/>
    <tableColumn id="3" xr3:uid="{E1370DEB-6F4D-4274-B3DF-DC75897B1911}" uniqueName="3" name="Units per SGD" queryTableFieldId="3"/>
    <tableColumn id="4" xr3:uid="{C06F5912-7319-41A5-8C0A-33C5B9FE6982}" uniqueName="4" name="SGD per unit" queryTableFieldId="4"/>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D4B6055-6C14-4B83-A0B0-D0D9988B2C24}" name="Table2" displayName="Table2" ref="C15:K21" totalsRowShown="0" headerRowDxfId="29">
  <autoFilter ref="C15:K21" xr:uid="{833C7A67-BA70-43DD-A018-168C6606EF91}"/>
  <tableColumns count="9">
    <tableColumn id="1" xr3:uid="{105B0C19-0EEB-4C04-BFD9-E75A0BB5E179}" name="Local Currency" dataDxfId="28"/>
    <tableColumn id="2" xr3:uid="{A86EA866-A8EE-4169-8440-6A51BD574C5C}" name="Foreign Currency" dataDxfId="27"/>
    <tableColumn id="3" xr3:uid="{621B884A-011E-44D7-A79C-459FC21F24B7}" name="Currency Pair"/>
    <tableColumn id="4" xr3:uid="{B2FAFAF0-3C45-4C1B-B6EC-AF3E2BF08B82}" name="Lowest" dataDxfId="26">
      <calculatedColumnFormula array="1">_FV(E16,"Low")</calculatedColumnFormula>
    </tableColumn>
    <tableColumn id="5" xr3:uid="{399F4FFB-3FDB-4745-A588-303A8B5A14C2}" name="Highest" dataDxfId="25">
      <calculatedColumnFormula array="1">_FV(E16,"High")</calculatedColumnFormula>
    </tableColumn>
    <tableColumn id="6" xr3:uid="{C1BDA3B0-59FA-4938-AA11-14030AFF072E}" name="Open" dataDxfId="24">
      <calculatedColumnFormula array="1">_FV(E16,"Open")</calculatedColumnFormula>
    </tableColumn>
    <tableColumn id="7" xr3:uid="{C0EC0F1B-25DA-4054-B3EF-26B87BB15653}" name="Close" dataDxfId="23">
      <calculatedColumnFormula array="1">_FV(E16,"Previous close",TRUE)</calculatedColumnFormula>
    </tableColumn>
    <tableColumn id="8" xr3:uid="{23264488-B8B6-44D6-A299-A3E6749BC1DC}" name="%Change" dataDxfId="22" dataCellStyle="Percent">
      <calculatedColumnFormula array="1">_FV(E16,"Change (%)",TRUE)</calculatedColumnFormula>
    </tableColumn>
    <tableColumn id="9" xr3:uid="{3C394870-F60D-4BD6-9042-12BD143E11B4}" name="Trend" dataDxfId="21"/>
  </tableColumns>
  <tableStyleInfo name="TableStyleLight20"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86C5458-79E0-48A2-8228-FDC0BC9BBDCF}" name="T_CALC" displayName="T_CALC" ref="K3:Q1503" totalsRowShown="0" headerRowDxfId="20">
  <tableColumns count="7">
    <tableColumn id="1" xr3:uid="{F0C5072C-3DF2-417F-B3F3-9D30D4B3BEC6}" name="DAY" dataDxfId="19">
      <calculatedColumnFormula>IF(ROW(T_CALC[[#This Row],[DAY]])-ROW(T_CALC[[#Headers],[DAY]])&gt;C_N_TRADING_DAYS,"",ROW(T_CALC[[#This Row],[DAY]])-ROW(T_CALC[[#Headers],[DAY]]))</calculatedColumnFormula>
    </tableColumn>
    <tableColumn id="2" xr3:uid="{32EF9372-13E5-4502-AB89-25D3A77F68E2}" name="DATE" dataDxfId="18">
      <calculatedColumnFormula array="1">IFERROR(INDEX(_xlfn.ANCHORARRAY($C$3),T_CALC[[#This Row],[DAY]]+1,1),NA())</calculatedColumnFormula>
    </tableColumn>
    <tableColumn id="18" xr3:uid="{56E0ED28-101C-4178-A457-C340C9B69F5B}" name="Open" dataDxfId="17">
      <calculatedColumnFormula array="1">IFERROR(INDEX(_xlfn.ANCHORARRAY($C$3),T_CALC[[#This Row],[DAY]]+1,3),NA())</calculatedColumnFormula>
    </tableColumn>
    <tableColumn id="19" xr3:uid="{9AC53E43-79C9-475F-99A3-6499B00574C2}" name="High" dataDxfId="16">
      <calculatedColumnFormula array="1">IFERROR(INDEX(_xlfn.ANCHORARRAY($C$3),T_CALC[[#This Row],[DAY]]+1,4),NA())</calculatedColumnFormula>
    </tableColumn>
    <tableColumn id="20" xr3:uid="{2D8D2A78-05C3-4B37-B479-C084E59F59F6}" name="Low" dataDxfId="15">
      <calculatedColumnFormula array="1">IFERROR(INDEX(_xlfn.ANCHORARRAY($C$3),T_CALC[[#This Row],[DAY]]+1,5),NA())</calculatedColumnFormula>
    </tableColumn>
    <tableColumn id="3" xr3:uid="{3C5DFB2F-DE75-4590-ACC4-E92ACD2C4E92}" name="Close" dataDxfId="14">
      <calculatedColumnFormula array="1">IFERROR(INDEX(_xlfn.ANCHORARRAY($C$3),T_CALC[[#This Row],[DAY]]+1,6),NA())</calculatedColumnFormula>
    </tableColumn>
    <tableColumn id="4" xr3:uid="{ED26CE80-BA69-422E-8E14-1B49F0893B1E}" name="VOLUME" dataDxfId="13">
      <calculatedColumnFormula array="1">IFERROR(INDEX(_xlfn.ANCHORARRAY($C$3),T_CALC[[#This Row],[DAY]]+1,2),NA())</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2C352F9-AEED-4296-B5A1-B2C89466A087}" name="T_PER_OPTIONS" displayName="T_PER_OPTIONS" ref="E4:E12" totalsRowShown="0" headerRowDxfId="12" tableBorderDxfId="11">
  <autoFilter ref="E4:E12" xr:uid="{10586435-6F27-4D4F-B0BE-092E3436DB8F}"/>
  <tableColumns count="1">
    <tableColumn id="1" xr3:uid="{BD11076A-D3DA-42FB-BE02-8EDD34B7707C}" name="Options" dataDxfId="1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4F6480B-79D5-43FF-B452-F8D4A0CA04D8}" name="T_AGGR" displayName="T_AGGR" ref="B5:B8" totalsRowShown="0">
  <autoFilter ref="B5:B8" xr:uid="{960EE48D-83DD-4130-B67D-F0A90D93A49D}"/>
  <tableColumns count="1">
    <tableColumn id="1" xr3:uid="{49B30FE0-A5F1-4044-A478-8133DBCC04AF}" name="Optio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 dT="2021-03-12T14:37:00.29" personId="{FA8965E3-ABBC-4924-A5E6-54279B113A62}" id="{8156509C-390F-4D0A-B4B8-61557E08CBA8}">
    <text>hardcoded to look back 1830 days, approx 5 years</text>
  </threadedComment>
  <threadedComment ref="A16" dT="2021-03-12T14:39:21.90" personId="{FA8965E3-ABBC-4924-A5E6-54279B113A62}" id="{E75B0FEF-8D3D-4F1B-9CAE-B8980A799A9E}">
    <text>Number of trading days</text>
  </threadedComment>
</ThreadedComments>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ocbc.com/personal-banking/deposits/fixed-deposit-account.page" TargetMode="External"/><Relationship Id="rId13" Type="http://schemas.openxmlformats.org/officeDocument/2006/relationships/hyperlink" Target="https://www.bankofchina.com/sg/pbservice/pb1/202007/t20200731_18212078.html" TargetMode="External"/><Relationship Id="rId18" Type="http://schemas.openxmlformats.org/officeDocument/2006/relationships/hyperlink" Target="https://www.dbs.com.sg/personal/deposits/bank-earn/multiplier" TargetMode="External"/><Relationship Id="rId26" Type="http://schemas.openxmlformats.org/officeDocument/2006/relationships/image" Target="../media/image6.emf"/><Relationship Id="rId3" Type="http://schemas.openxmlformats.org/officeDocument/2006/relationships/hyperlink" Target="https://www.cimb.com.sg/en/personal/banking-with-us/accounts/fixed-deposit/cimb-sgd-fixed-deposit-account.html" TargetMode="External"/><Relationship Id="rId21" Type="http://schemas.openxmlformats.org/officeDocument/2006/relationships/drawing" Target="../drawings/drawing4.xml"/><Relationship Id="rId7" Type="http://schemas.openxmlformats.org/officeDocument/2006/relationships/hyperlink" Target="https://www.uob.com.sg/personal/save/fixed-deposit/singapore-dollar-fixed-deposit.page" TargetMode="External"/><Relationship Id="rId12" Type="http://schemas.openxmlformats.org/officeDocument/2006/relationships/hyperlink" Target="https://singapore.icbc.com.cn/ICBC/%e6%b5%b7%e5%a4%96%e5%88%86%e8%a1%8c/%e6%96%b0%e5%8a%a0%e5%9d%a1%e7%bd%91%e7%ab%99/en/CommercialBankBusiness/PersonalBanking/Deposits/RegularSaving/" TargetMode="External"/><Relationship Id="rId17" Type="http://schemas.openxmlformats.org/officeDocument/2006/relationships/hyperlink" Target="https://www.uob.com.sg/onecards/index.html" TargetMode="External"/><Relationship Id="rId25" Type="http://schemas.openxmlformats.org/officeDocument/2006/relationships/control" Target="../activeX/activeX2.xml"/><Relationship Id="rId2" Type="http://schemas.openxmlformats.org/officeDocument/2006/relationships/pivotTable" Target="../pivotTables/pivotTable2.xml"/><Relationship Id="rId16" Type="http://schemas.openxmlformats.org/officeDocument/2006/relationships/hyperlink" Target="https://www.ocbc.com/personal-banking/deposits/360-savings-account" TargetMode="External"/><Relationship Id="rId20" Type="http://schemas.openxmlformats.org/officeDocument/2006/relationships/printerSettings" Target="../printerSettings/printerSettings3.bin"/><Relationship Id="rId29"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hyperlink" Target="https://sslsecure.maybank.com.sg/cgi-bin/mbs/JSPscripts/mbb_rates/deposit_rate.jsp" TargetMode="External"/><Relationship Id="rId11" Type="http://schemas.openxmlformats.org/officeDocument/2006/relationships/hyperlink" Target="https://www.hsbc.com.sg/accounts/products/everyday-global/?promo=PSR1300478&amp;cid=SGH:AK:P1:CC:01:2001:1300478:Acq_EGA_PSR_Google_SEM&amp;gclid=Cj0KCQiA2sqOBhCGARIsAPuPK0jPmQr1aRqamdSdxhiuA_ZPqnRR9jH_VSh8RVAOISCarn-_3ZYQmOUaAg_REALw_wcB&amp;gclsrc=aw.ds" TargetMode="External"/><Relationship Id="rId24" Type="http://schemas.openxmlformats.org/officeDocument/2006/relationships/image" Target="../media/image5.emf"/><Relationship Id="rId5" Type="http://schemas.openxmlformats.org/officeDocument/2006/relationships/hyperlink" Target="http://singapore.icbc.com.cn/ICBC/%E6%B5%B7%E5%A4%96%E5%88%86%E8%A1%8C/%E6%96%B0%E5%8A%A0%E5%9D%A1%E7%BD%91%E7%AB%99/en/CommercialBankBusiness/PersonalBanking/PromotionInfo/latestfixeddepositpromotion.htm" TargetMode="External"/><Relationship Id="rId15" Type="http://schemas.openxmlformats.org/officeDocument/2006/relationships/hyperlink" Target="https://www.maybank2u.com.sg/en/personal/saveup/save-up-programme.page" TargetMode="External"/><Relationship Id="rId23" Type="http://schemas.openxmlformats.org/officeDocument/2006/relationships/control" Target="../activeX/activeX1.xml"/><Relationship Id="rId28" Type="http://schemas.openxmlformats.org/officeDocument/2006/relationships/table" Target="../tables/table2.xml"/><Relationship Id="rId10" Type="http://schemas.openxmlformats.org/officeDocument/2006/relationships/hyperlink" Target="https://www.hsbc.com.sg/accounts/products/time-deposit/" TargetMode="External"/><Relationship Id="rId19" Type="http://schemas.openxmlformats.org/officeDocument/2006/relationships/hyperlink" Target="https://www.cimb.com.sg/en/personal/banking-with-us/accounts/savings-accounts/cimb-fastsaver-account.html" TargetMode="External"/><Relationship Id="rId31" Type="http://schemas.microsoft.com/office/2007/relationships/slicer" Target="../slicers/slicer1.xml"/><Relationship Id="rId4" Type="http://schemas.openxmlformats.org/officeDocument/2006/relationships/hyperlink" Target="https://www.dbs.com.sg/personal/rates-online/singapore-dollar-fixed-deposits.page" TargetMode="External"/><Relationship Id="rId9" Type="http://schemas.openxmlformats.org/officeDocument/2006/relationships/hyperlink" Target="https://www.sc.com/sg/save/time-deposits/singapore-dollar-time-deposit/" TargetMode="External"/><Relationship Id="rId14" Type="http://schemas.openxmlformats.org/officeDocument/2006/relationships/hyperlink" Target="https://www.sc.com/sg/promotions/bsaver-wealth-promo/?subChanCode=IBW7&amp;referID=sem&amp;cid=sem-GOOGLE-58700007479981951-p67227808725-71700000088132130-na-sg-en&amp;gclid=Cj0KCQiA2sqOBhCGARIsAPuPK0hoZNfZXFT-G3GtrltwnNZSk7_dSJ9wQ-TfWhfZjhgHnPGaMZeIzLIaAttEEALw_wcB&amp;gclsrc=aw.ds" TargetMode="External"/><Relationship Id="rId22" Type="http://schemas.openxmlformats.org/officeDocument/2006/relationships/vmlDrawing" Target="../drawings/vmlDrawing2.vml"/><Relationship Id="rId27" Type="http://schemas.openxmlformats.org/officeDocument/2006/relationships/table" Target="../tables/table1.xml"/><Relationship Id="rId30"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table" Target="../tables/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8.xml"/><Relationship Id="rId5" Type="http://schemas.openxmlformats.org/officeDocument/2006/relationships/drawing" Target="../drawings/drawing7.xml"/><Relationship Id="rId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table" Target="../tables/table10.xml"/><Relationship Id="rId5" Type="http://schemas.openxmlformats.org/officeDocument/2006/relationships/drawing" Target="../drawings/drawing8.xml"/><Relationship Id="rId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11.xml"/><Relationship Id="rId5" Type="http://schemas.openxmlformats.org/officeDocument/2006/relationships/table" Target="../tables/table13.xml"/><Relationship Id="rId4" Type="http://schemas.openxmlformats.org/officeDocument/2006/relationships/image" Target="../media/image8.emf"/></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pivotTable" Target="../pivotTables/pivotTable14.xml"/><Relationship Id="rId7" Type="http://schemas.openxmlformats.org/officeDocument/2006/relationships/control" Target="../activeX/activeX4.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drawing" Target="../drawings/drawing13.xml"/><Relationship Id="rId5" Type="http://schemas.openxmlformats.org/officeDocument/2006/relationships/printerSettings" Target="../printerSettings/printerSettings11.bin"/><Relationship Id="rId10" Type="http://schemas.openxmlformats.org/officeDocument/2006/relationships/table" Target="../tables/table16.xml"/><Relationship Id="rId4" Type="http://schemas.openxmlformats.org/officeDocument/2006/relationships/pivotTable" Target="../pivotTables/pivotTable15.xml"/><Relationship Id="rId9"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14.xml"/><Relationship Id="rId1" Type="http://schemas.openxmlformats.org/officeDocument/2006/relationships/pivotTable" Target="../pivotTables/pivotTable16.xml"/><Relationship Id="rId6" Type="http://schemas.openxmlformats.org/officeDocument/2006/relationships/control" Target="../activeX/activeX6.xml"/><Relationship Id="rId5" Type="http://schemas.openxmlformats.org/officeDocument/2006/relationships/image" Target="../media/image10.emf"/><Relationship Id="rId4" Type="http://schemas.openxmlformats.org/officeDocument/2006/relationships/control" Target="../activeX/activeX5.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15.xml"/><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image" Target="../media/image13.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22.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14.emf"/><Relationship Id="rId4" Type="http://schemas.openxmlformats.org/officeDocument/2006/relationships/control" Target="../activeX/activeX8.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7.vml"/><Relationship Id="rId7" Type="http://schemas.openxmlformats.org/officeDocument/2006/relationships/image" Target="../media/image17.emf"/><Relationship Id="rId2" Type="http://schemas.openxmlformats.org/officeDocument/2006/relationships/drawing" Target="../drawings/drawing23.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6.emf"/><Relationship Id="rId4" Type="http://schemas.openxmlformats.org/officeDocument/2006/relationships/control" Target="../activeX/activeX10.xml"/><Relationship Id="rId9" Type="http://schemas.microsoft.com/office/2007/relationships/slicer" Target="../slicers/slicer2.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26.xml"/><Relationship Id="rId1" Type="http://schemas.openxmlformats.org/officeDocument/2006/relationships/printerSettings" Target="../printerSettings/printerSettings18.bin"/><Relationship Id="rId4" Type="http://schemas.microsoft.com/office/2007/relationships/slicer" Target="../slicers/slicer3.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8.xml"/><Relationship Id="rId1" Type="http://schemas.openxmlformats.org/officeDocument/2006/relationships/printerSettings" Target="../printerSettings/printerSettings19.bin"/><Relationship Id="rId6" Type="http://schemas.openxmlformats.org/officeDocument/2006/relationships/table" Target="../tables/table32.xml"/><Relationship Id="rId5" Type="http://schemas.openxmlformats.org/officeDocument/2006/relationships/image" Target="../media/image18.emf"/><Relationship Id="rId4" Type="http://schemas.openxmlformats.org/officeDocument/2006/relationships/control" Target="../activeX/activeX1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9.xml"/><Relationship Id="rId1" Type="http://schemas.openxmlformats.org/officeDocument/2006/relationships/printerSettings" Target="../printerSettings/printerSettings20.bin"/><Relationship Id="rId4" Type="http://schemas.microsoft.com/office/2007/relationships/slicer" Target="../slicers/slicer4.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vmlDrawing" Target="../drawings/vmlDrawing10.vml"/><Relationship Id="rId1" Type="http://schemas.openxmlformats.org/officeDocument/2006/relationships/printerSettings" Target="../printerSettings/printerSettings21.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8147B-0F89-4BD7-8A36-FD74F92CE585}">
  <sheetPr codeName="Sheet2">
    <tabColor theme="7"/>
  </sheetPr>
  <dimension ref="B4:R31"/>
  <sheetViews>
    <sheetView showGridLines="0" topLeftCell="B2" zoomScale="70" zoomScaleNormal="70" workbookViewId="0">
      <selection activeCell="M38" sqref="M36:X38"/>
    </sheetView>
  </sheetViews>
  <sheetFormatPr defaultColWidth="8.81640625" defaultRowHeight="14.5"/>
  <cols>
    <col min="1" max="16384" width="8.81640625" style="50"/>
  </cols>
  <sheetData>
    <row r="4" spans="2:18">
      <c r="B4" s="594" t="s">
        <v>0</v>
      </c>
      <c r="C4" s="594"/>
      <c r="D4" s="594"/>
      <c r="E4" s="594"/>
      <c r="F4" s="594"/>
      <c r="G4" s="594"/>
      <c r="H4" s="594"/>
      <c r="I4" s="594"/>
      <c r="J4" s="594"/>
      <c r="K4" s="594"/>
      <c r="M4" s="593" t="s">
        <v>1</v>
      </c>
      <c r="N4" s="593"/>
      <c r="O4" s="593"/>
      <c r="P4" s="593"/>
      <c r="Q4" s="593"/>
      <c r="R4" s="593"/>
    </row>
    <row r="5" spans="2:18">
      <c r="B5" s="594"/>
      <c r="C5" s="594"/>
      <c r="D5" s="594"/>
      <c r="E5" s="594"/>
      <c r="F5" s="594"/>
      <c r="G5" s="594"/>
      <c r="H5" s="594"/>
      <c r="I5" s="594"/>
      <c r="J5" s="594"/>
      <c r="K5" s="594"/>
      <c r="M5" s="593"/>
      <c r="N5" s="593"/>
      <c r="O5" s="593"/>
      <c r="P5" s="593"/>
      <c r="Q5" s="593"/>
      <c r="R5" s="593"/>
    </row>
    <row r="6" spans="2:18">
      <c r="B6" s="594"/>
      <c r="C6" s="594"/>
      <c r="D6" s="594"/>
      <c r="E6" s="594"/>
      <c r="F6" s="594"/>
      <c r="G6" s="594"/>
      <c r="H6" s="594"/>
      <c r="I6" s="594"/>
      <c r="J6" s="594"/>
      <c r="K6" s="594"/>
      <c r="M6" s="593"/>
      <c r="N6" s="593"/>
      <c r="O6" s="593"/>
      <c r="P6" s="593"/>
      <c r="Q6" s="593"/>
      <c r="R6" s="593"/>
    </row>
    <row r="7" spans="2:18">
      <c r="B7" s="594"/>
      <c r="C7" s="594"/>
      <c r="D7" s="594"/>
      <c r="E7" s="594"/>
      <c r="F7" s="594"/>
      <c r="G7" s="594"/>
      <c r="H7" s="594"/>
      <c r="I7" s="594"/>
      <c r="J7" s="594"/>
      <c r="K7" s="594"/>
    </row>
    <row r="8" spans="2:18">
      <c r="B8" s="594"/>
      <c r="C8" s="594"/>
      <c r="D8" s="594"/>
      <c r="E8" s="594"/>
      <c r="F8" s="594"/>
      <c r="G8" s="594"/>
      <c r="H8" s="594"/>
      <c r="I8" s="594"/>
      <c r="J8" s="594"/>
      <c r="K8" s="594"/>
    </row>
    <row r="9" spans="2:18">
      <c r="B9" s="594"/>
      <c r="C9" s="594"/>
      <c r="D9" s="594"/>
      <c r="E9" s="594"/>
      <c r="F9" s="594"/>
      <c r="G9" s="594"/>
      <c r="H9" s="594"/>
      <c r="I9" s="594"/>
      <c r="J9" s="594"/>
      <c r="K9" s="594"/>
      <c r="R9" s="256"/>
    </row>
    <row r="10" spans="2:18">
      <c r="B10" s="594"/>
      <c r="C10" s="594"/>
      <c r="D10" s="594"/>
      <c r="E10" s="594"/>
      <c r="F10" s="594"/>
      <c r="G10" s="594"/>
      <c r="H10" s="594"/>
      <c r="I10" s="594"/>
      <c r="J10" s="594"/>
      <c r="K10" s="594"/>
    </row>
    <row r="11" spans="2:18">
      <c r="B11" s="594"/>
      <c r="C11" s="594"/>
      <c r="D11" s="594"/>
      <c r="E11" s="594"/>
      <c r="F11" s="594"/>
      <c r="G11" s="594"/>
      <c r="H11" s="594"/>
      <c r="I11" s="594"/>
      <c r="J11" s="594"/>
      <c r="K11" s="594"/>
    </row>
    <row r="12" spans="2:18">
      <c r="B12" s="595" t="s">
        <v>2</v>
      </c>
      <c r="C12" s="596"/>
      <c r="D12" s="596"/>
      <c r="E12" s="596"/>
      <c r="F12" s="596"/>
      <c r="G12" s="596"/>
      <c r="H12" s="596"/>
      <c r="I12" s="596"/>
      <c r="J12" s="596"/>
      <c r="K12" s="596"/>
    </row>
    <row r="13" spans="2:18">
      <c r="B13" s="596"/>
      <c r="C13" s="596"/>
      <c r="D13" s="596"/>
      <c r="E13" s="596"/>
      <c r="F13" s="596"/>
      <c r="G13" s="596"/>
      <c r="H13" s="596"/>
      <c r="I13" s="596"/>
      <c r="J13" s="596"/>
      <c r="K13" s="596"/>
    </row>
    <row r="15" spans="2:18">
      <c r="B15" s="597" t="s">
        <v>3</v>
      </c>
      <c r="C15" s="598"/>
      <c r="D15" s="598"/>
      <c r="E15" s="598"/>
      <c r="F15" s="598"/>
      <c r="G15" s="598"/>
      <c r="H15" s="598"/>
      <c r="I15" s="598"/>
      <c r="J15" s="598"/>
      <c r="K15" s="598"/>
    </row>
    <row r="16" spans="2:18">
      <c r="B16" s="598"/>
      <c r="C16" s="598"/>
      <c r="D16" s="598"/>
      <c r="E16" s="598"/>
      <c r="F16" s="598"/>
      <c r="G16" s="598"/>
      <c r="H16" s="598"/>
      <c r="I16" s="598"/>
      <c r="J16" s="598"/>
      <c r="K16" s="598"/>
      <c r="N16" s="50" t="s">
        <v>4</v>
      </c>
    </row>
    <row r="17" spans="2:11">
      <c r="B17" s="258"/>
      <c r="C17" s="590" t="s">
        <v>5</v>
      </c>
      <c r="D17" s="591"/>
      <c r="E17" s="591"/>
      <c r="F17" s="592"/>
      <c r="G17" s="590" t="s">
        <v>6</v>
      </c>
      <c r="H17" s="591"/>
      <c r="I17" s="591"/>
      <c r="J17" s="592"/>
      <c r="K17" s="258"/>
    </row>
    <row r="18" spans="2:11">
      <c r="B18" s="258"/>
      <c r="C18" s="590" t="s">
        <v>7</v>
      </c>
      <c r="D18" s="591"/>
      <c r="E18" s="591"/>
      <c r="F18" s="592"/>
      <c r="G18" s="590" t="s">
        <v>8</v>
      </c>
      <c r="H18" s="591"/>
      <c r="I18" s="591"/>
      <c r="J18" s="592"/>
      <c r="K18" s="258"/>
    </row>
    <row r="19" spans="2:11">
      <c r="B19" s="258"/>
      <c r="C19" s="590" t="s">
        <v>9</v>
      </c>
      <c r="D19" s="591"/>
      <c r="E19" s="591"/>
      <c r="F19" s="592"/>
      <c r="G19" s="590" t="s">
        <v>10</v>
      </c>
      <c r="H19" s="591"/>
      <c r="I19" s="591"/>
      <c r="J19" s="592"/>
      <c r="K19" s="258"/>
    </row>
    <row r="20" spans="2:11">
      <c r="B20" s="258"/>
      <c r="C20" s="590" t="s">
        <v>11</v>
      </c>
      <c r="D20" s="591"/>
      <c r="E20" s="591"/>
      <c r="F20" s="592"/>
      <c r="G20" s="590" t="s">
        <v>12</v>
      </c>
      <c r="H20" s="591"/>
      <c r="I20" s="591"/>
      <c r="J20" s="592"/>
      <c r="K20" s="258"/>
    </row>
    <row r="21" spans="2:11">
      <c r="B21" s="258"/>
      <c r="C21" s="590" t="s">
        <v>13</v>
      </c>
      <c r="D21" s="591"/>
      <c r="E21" s="591"/>
      <c r="F21" s="592"/>
      <c r="G21" s="590" t="s">
        <v>14</v>
      </c>
      <c r="H21" s="591"/>
      <c r="I21" s="591"/>
      <c r="J21" s="592"/>
      <c r="K21" s="258"/>
    </row>
    <row r="22" spans="2:11">
      <c r="B22" s="258"/>
      <c r="C22" s="590" t="s">
        <v>15</v>
      </c>
      <c r="D22" s="591"/>
      <c r="E22" s="591"/>
      <c r="F22" s="592"/>
      <c r="G22" s="590" t="s">
        <v>16</v>
      </c>
      <c r="H22" s="591"/>
      <c r="I22" s="591"/>
      <c r="J22" s="592"/>
      <c r="K22" s="258"/>
    </row>
    <row r="23" spans="2:11">
      <c r="B23" s="258"/>
      <c r="C23" s="258"/>
      <c r="D23" s="258"/>
      <c r="E23" s="258"/>
      <c r="F23" s="258"/>
      <c r="G23" s="258"/>
      <c r="H23" s="258"/>
      <c r="I23" s="258"/>
      <c r="J23" s="258"/>
      <c r="K23" s="258"/>
    </row>
    <row r="31" spans="2:11">
      <c r="F31" s="257"/>
    </row>
  </sheetData>
  <mergeCells count="16">
    <mergeCell ref="C21:F21"/>
    <mergeCell ref="C22:F22"/>
    <mergeCell ref="G21:J21"/>
    <mergeCell ref="G22:J22"/>
    <mergeCell ref="M4:R6"/>
    <mergeCell ref="C18:F18"/>
    <mergeCell ref="C19:F19"/>
    <mergeCell ref="C20:F20"/>
    <mergeCell ref="G18:J18"/>
    <mergeCell ref="G19:J19"/>
    <mergeCell ref="G20:J20"/>
    <mergeCell ref="B4:K11"/>
    <mergeCell ref="B12:K13"/>
    <mergeCell ref="B15:K16"/>
    <mergeCell ref="C17:F17"/>
    <mergeCell ref="G17:J17"/>
  </mergeCells>
  <pageMargins left="0.7" right="0.7" top="0.75" bottom="0.75" header="0.3" footer="0.3"/>
  <pageSetup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088C2-67E6-4E71-9303-A9477C6AB9DD}">
  <sheetPr codeName="Sheet3">
    <tabColor rgb="FF5C5CE6"/>
  </sheetPr>
  <dimension ref="B1:T43"/>
  <sheetViews>
    <sheetView showGridLines="0" topLeftCell="A7" zoomScale="85" zoomScaleNormal="85" workbookViewId="0">
      <selection activeCell="M18" sqref="M18"/>
    </sheetView>
  </sheetViews>
  <sheetFormatPr defaultColWidth="9.1796875" defaultRowHeight="14.5"/>
  <cols>
    <col min="1" max="1" width="4.453125" style="50" customWidth="1"/>
    <col min="2" max="2" width="4.7265625" style="50" customWidth="1"/>
    <col min="3" max="3" width="4" style="50" customWidth="1"/>
    <col min="4" max="4" width="22.81640625" style="50" customWidth="1"/>
    <col min="5" max="5" width="6.7265625" style="50" customWidth="1"/>
    <col min="6" max="6" width="18.26953125" style="50" customWidth="1"/>
    <col min="7" max="8" width="4.7265625" style="50" customWidth="1"/>
    <col min="9" max="9" width="17.453125" style="50" customWidth="1"/>
    <col min="10" max="10" width="3.81640625" style="50" customWidth="1"/>
    <col min="11" max="11" width="18.453125" style="50" customWidth="1"/>
    <col min="12" max="16384" width="9.1796875" style="50"/>
  </cols>
  <sheetData>
    <row r="1" spans="2:20">
      <c r="D1" s="453"/>
    </row>
    <row r="2" spans="2:20" ht="12" customHeight="1">
      <c r="B2" s="261"/>
      <c r="C2" s="261"/>
      <c r="D2" s="468"/>
      <c r="E2" s="261"/>
      <c r="F2" s="261"/>
      <c r="G2" s="261"/>
      <c r="H2" s="261"/>
      <c r="I2" s="261"/>
      <c r="J2" s="261"/>
      <c r="K2" s="261"/>
      <c r="L2" s="261"/>
      <c r="M2" s="261"/>
      <c r="N2" s="261"/>
      <c r="O2" s="261"/>
      <c r="P2" s="261"/>
      <c r="Q2" s="261"/>
      <c r="R2" s="261"/>
      <c r="S2" s="261"/>
      <c r="T2" s="261"/>
    </row>
    <row r="3" spans="2:20" ht="12" customHeight="1">
      <c r="B3" s="261"/>
      <c r="C3" s="261"/>
      <c r="D3" s="599" t="s">
        <v>17</v>
      </c>
      <c r="E3" s="599"/>
      <c r="F3" s="599"/>
      <c r="G3" s="599"/>
      <c r="H3" s="599"/>
      <c r="I3" s="599"/>
      <c r="J3" s="599"/>
      <c r="K3" s="599"/>
      <c r="L3" s="599"/>
      <c r="M3" s="599"/>
      <c r="N3" s="599"/>
      <c r="O3" s="599"/>
      <c r="P3" s="599"/>
      <c r="Q3" s="599"/>
      <c r="R3" s="599"/>
      <c r="S3" s="599"/>
      <c r="T3" s="261"/>
    </row>
    <row r="4" spans="2:20" ht="12" customHeight="1">
      <c r="B4" s="261"/>
      <c r="C4" s="261"/>
      <c r="D4" s="599"/>
      <c r="E4" s="599"/>
      <c r="F4" s="599"/>
      <c r="G4" s="599"/>
      <c r="H4" s="599"/>
      <c r="I4" s="599"/>
      <c r="J4" s="599"/>
      <c r="K4" s="599"/>
      <c r="L4" s="599"/>
      <c r="M4" s="599"/>
      <c r="N4" s="599"/>
      <c r="O4" s="599"/>
      <c r="P4" s="599"/>
      <c r="Q4" s="599"/>
      <c r="R4" s="599"/>
      <c r="S4" s="599"/>
      <c r="T4" s="261"/>
    </row>
    <row r="5" spans="2:20" ht="12" customHeight="1">
      <c r="B5" s="261"/>
      <c r="C5" s="261"/>
      <c r="D5" s="599"/>
      <c r="E5" s="599"/>
      <c r="F5" s="599"/>
      <c r="G5" s="599"/>
      <c r="H5" s="599"/>
      <c r="I5" s="599"/>
      <c r="J5" s="599"/>
      <c r="K5" s="599"/>
      <c r="L5" s="599"/>
      <c r="M5" s="599"/>
      <c r="N5" s="599"/>
      <c r="O5" s="599"/>
      <c r="P5" s="599"/>
      <c r="Q5" s="599"/>
      <c r="R5" s="599"/>
      <c r="S5" s="599"/>
      <c r="T5" s="261"/>
    </row>
    <row r="6" spans="2:20" ht="12" customHeight="1">
      <c r="B6" s="261"/>
      <c r="C6" s="261"/>
      <c r="D6" s="599"/>
      <c r="E6" s="599"/>
      <c r="F6" s="599"/>
      <c r="G6" s="599"/>
      <c r="H6" s="599"/>
      <c r="I6" s="599"/>
      <c r="J6" s="599"/>
      <c r="K6" s="599"/>
      <c r="L6" s="599"/>
      <c r="M6" s="599"/>
      <c r="N6" s="599"/>
      <c r="O6" s="599"/>
      <c r="P6" s="599"/>
      <c r="Q6" s="599"/>
      <c r="R6" s="599"/>
      <c r="S6" s="599"/>
      <c r="T6" s="261"/>
    </row>
    <row r="7" spans="2:20" ht="12" customHeight="1">
      <c r="B7" s="261"/>
      <c r="C7" s="261"/>
      <c r="D7" s="599"/>
      <c r="E7" s="599"/>
      <c r="F7" s="599"/>
      <c r="G7" s="599"/>
      <c r="H7" s="599"/>
      <c r="I7" s="599"/>
      <c r="J7" s="599"/>
      <c r="K7" s="599"/>
      <c r="L7" s="599"/>
      <c r="M7" s="599"/>
      <c r="N7" s="599"/>
      <c r="O7" s="599"/>
      <c r="P7" s="599"/>
      <c r="Q7" s="599"/>
      <c r="R7" s="599"/>
      <c r="S7" s="599"/>
      <c r="T7" s="261"/>
    </row>
    <row r="8" spans="2:20" ht="12" customHeight="1">
      <c r="B8" s="261"/>
      <c r="C8" s="261"/>
      <c r="D8" s="469"/>
      <c r="E8" s="469"/>
      <c r="F8" s="469"/>
      <c r="G8" s="469"/>
      <c r="H8" s="469"/>
      <c r="I8" s="469"/>
      <c r="J8" s="469"/>
      <c r="K8" s="469"/>
      <c r="L8" s="469"/>
      <c r="M8" s="469"/>
      <c r="N8" s="469"/>
      <c r="O8" s="469"/>
      <c r="P8" s="469"/>
      <c r="Q8" s="469"/>
      <c r="R8" s="469"/>
      <c r="S8" s="469"/>
      <c r="T8" s="261"/>
    </row>
    <row r="9" spans="2:20" ht="12" customHeight="1">
      <c r="B9" s="261"/>
      <c r="C9" s="261"/>
      <c r="D9" s="469"/>
      <c r="E9" s="469"/>
      <c r="F9" s="469"/>
      <c r="G9" s="469"/>
      <c r="H9" s="469"/>
      <c r="I9" s="469"/>
      <c r="J9" s="469"/>
      <c r="K9" s="469"/>
      <c r="L9" s="469"/>
      <c r="M9" s="469"/>
      <c r="N9" s="469"/>
      <c r="O9" s="469"/>
      <c r="P9" s="469"/>
      <c r="Q9" s="469"/>
      <c r="R9" s="469"/>
      <c r="S9" s="469"/>
      <c r="T9" s="261"/>
    </row>
    <row r="10" spans="2:20" ht="11.25" customHeight="1" thickBot="1">
      <c r="B10" s="261"/>
      <c r="C10" s="261"/>
      <c r="D10" s="470"/>
      <c r="E10" s="261"/>
      <c r="F10" s="261"/>
      <c r="G10" s="261"/>
      <c r="H10" s="261"/>
      <c r="I10" s="261"/>
      <c r="J10" s="261"/>
      <c r="K10" s="261"/>
      <c r="L10" s="261"/>
      <c r="M10" s="261"/>
      <c r="N10" s="261"/>
      <c r="O10" s="261"/>
      <c r="P10" s="261"/>
      <c r="Q10" s="261"/>
      <c r="R10" s="261"/>
      <c r="S10" s="261"/>
      <c r="T10" s="261"/>
    </row>
    <row r="11" spans="2:20" ht="15" thickBot="1">
      <c r="B11" s="261"/>
      <c r="C11" s="261"/>
      <c r="D11" s="471" t="s">
        <v>18</v>
      </c>
      <c r="E11" s="261"/>
      <c r="F11" s="474" t="s">
        <v>19</v>
      </c>
      <c r="G11" s="261"/>
      <c r="H11" s="261"/>
      <c r="I11" s="470" t="s">
        <v>20</v>
      </c>
      <c r="J11" s="261"/>
      <c r="K11" s="474"/>
      <c r="L11" s="261"/>
      <c r="M11" s="261"/>
      <c r="N11" s="261"/>
      <c r="O11" s="261"/>
      <c r="P11" s="261"/>
      <c r="Q11" s="261"/>
      <c r="R11" s="261"/>
      <c r="S11" s="261"/>
      <c r="T11" s="261"/>
    </row>
    <row r="12" spans="2:20" ht="21.75" customHeight="1" thickBot="1">
      <c r="B12" s="261"/>
      <c r="C12" s="261"/>
      <c r="D12" s="471"/>
      <c r="E12" s="261"/>
      <c r="F12" s="296"/>
      <c r="G12" s="261"/>
      <c r="H12" s="261"/>
      <c r="I12" s="261"/>
      <c r="J12" s="261"/>
      <c r="K12" s="261"/>
      <c r="L12" s="261"/>
      <c r="M12" s="261"/>
      <c r="N12" s="261"/>
      <c r="O12" s="261"/>
      <c r="P12" s="261"/>
      <c r="Q12" s="261"/>
      <c r="R12" s="261"/>
      <c r="S12" s="261"/>
      <c r="T12" s="261"/>
    </row>
    <row r="13" spans="2:20" ht="15" thickBot="1">
      <c r="B13" s="261"/>
      <c r="C13" s="261"/>
      <c r="D13" s="471" t="s">
        <v>21</v>
      </c>
      <c r="E13" s="261"/>
      <c r="F13" s="475">
        <v>37905</v>
      </c>
      <c r="G13" s="261"/>
      <c r="H13" s="261"/>
      <c r="I13" s="470" t="s">
        <v>20</v>
      </c>
      <c r="J13" s="261"/>
      <c r="K13" s="474"/>
      <c r="L13" s="261"/>
      <c r="M13" s="261"/>
      <c r="N13" s="261"/>
      <c r="O13" s="261"/>
      <c r="P13" s="261"/>
      <c r="Q13" s="261"/>
      <c r="R13" s="261"/>
      <c r="S13" s="261"/>
      <c r="T13" s="261"/>
    </row>
    <row r="14" spans="2:20" ht="24.75" customHeight="1" thickBot="1">
      <c r="B14" s="261"/>
      <c r="C14" s="261"/>
      <c r="D14" s="471"/>
      <c r="E14" s="261"/>
      <c r="F14" s="296"/>
      <c r="G14" s="261"/>
      <c r="H14" s="261"/>
      <c r="I14" s="261"/>
      <c r="J14" s="261"/>
      <c r="K14" s="261"/>
      <c r="L14" s="261"/>
      <c r="M14" s="261"/>
      <c r="N14" s="261"/>
      <c r="O14" s="261"/>
      <c r="P14" s="261"/>
      <c r="Q14" s="261"/>
      <c r="R14" s="261"/>
      <c r="S14" s="261"/>
      <c r="T14" s="261"/>
    </row>
    <row r="15" spans="2:20" ht="15" thickBot="1">
      <c r="B15" s="261"/>
      <c r="C15" s="261"/>
      <c r="D15" s="471" t="s">
        <v>22</v>
      </c>
      <c r="E15" s="261"/>
      <c r="F15" s="476">
        <v>5000</v>
      </c>
      <c r="G15" s="261"/>
      <c r="H15" s="261"/>
      <c r="I15" s="470" t="s">
        <v>20</v>
      </c>
      <c r="J15" s="261"/>
      <c r="K15" s="474"/>
      <c r="L15" s="261"/>
      <c r="M15" s="261"/>
      <c r="N15" s="261"/>
      <c r="O15" s="261"/>
      <c r="P15" s="261"/>
      <c r="Q15" s="261"/>
      <c r="R15" s="261"/>
      <c r="S15" s="261"/>
      <c r="T15" s="261"/>
    </row>
    <row r="16" spans="2:20" ht="24.75" customHeight="1" thickBot="1">
      <c r="B16" s="261"/>
      <c r="C16" s="261"/>
      <c r="D16" s="471"/>
      <c r="E16" s="261"/>
      <c r="F16" s="472"/>
      <c r="G16" s="261"/>
      <c r="H16" s="261"/>
      <c r="I16" s="261"/>
      <c r="J16" s="261"/>
      <c r="K16" s="261"/>
      <c r="L16" s="261"/>
      <c r="M16" s="261"/>
      <c r="N16" s="261"/>
      <c r="O16" s="261"/>
      <c r="P16" s="261"/>
      <c r="Q16" s="261"/>
      <c r="R16" s="261"/>
      <c r="S16" s="261"/>
      <c r="T16" s="261"/>
    </row>
    <row r="17" spans="2:20" ht="15" thickBot="1">
      <c r="B17" s="261"/>
      <c r="C17" s="261"/>
      <c r="D17" s="471" t="s">
        <v>23</v>
      </c>
      <c r="E17" s="261"/>
      <c r="F17" s="477">
        <v>200</v>
      </c>
      <c r="G17" s="261"/>
      <c r="H17" s="261"/>
      <c r="I17" s="470" t="s">
        <v>20</v>
      </c>
      <c r="J17" s="261"/>
      <c r="K17" s="474"/>
      <c r="L17" s="261"/>
      <c r="M17" s="261"/>
      <c r="N17" s="261"/>
      <c r="O17" s="261"/>
      <c r="P17" s="261"/>
      <c r="Q17" s="261"/>
      <c r="R17" s="261"/>
      <c r="S17" s="261"/>
      <c r="T17" s="261"/>
    </row>
    <row r="18" spans="2:20" ht="27" customHeight="1" thickBot="1">
      <c r="B18" s="261"/>
      <c r="C18" s="261"/>
      <c r="D18" s="470"/>
      <c r="E18" s="261"/>
      <c r="F18" s="472"/>
      <c r="G18" s="261"/>
      <c r="H18" s="261"/>
      <c r="I18" s="261"/>
      <c r="J18" s="261"/>
      <c r="K18" s="261"/>
      <c r="L18" s="261"/>
      <c r="M18" s="261"/>
      <c r="N18" s="261"/>
      <c r="O18" s="261"/>
      <c r="P18" s="261"/>
      <c r="Q18" s="261"/>
      <c r="R18" s="261"/>
      <c r="S18" s="261"/>
      <c r="T18" s="261"/>
    </row>
    <row r="19" spans="2:20" ht="15" thickBot="1">
      <c r="B19" s="261"/>
      <c r="C19" s="261"/>
      <c r="D19" s="470" t="s">
        <v>24</v>
      </c>
      <c r="E19" s="261"/>
      <c r="F19" s="477">
        <v>400</v>
      </c>
      <c r="G19" s="261"/>
      <c r="H19" s="261"/>
      <c r="I19" s="470" t="s">
        <v>20</v>
      </c>
      <c r="J19" s="261"/>
      <c r="K19" s="474"/>
      <c r="L19" s="261"/>
      <c r="M19" s="261"/>
      <c r="N19" s="261"/>
      <c r="O19" s="261"/>
      <c r="P19" s="261"/>
      <c r="Q19" s="261"/>
      <c r="R19" s="261"/>
      <c r="S19" s="261"/>
      <c r="T19" s="261"/>
    </row>
    <row r="20" spans="2:20" ht="23.25" customHeight="1" thickBot="1">
      <c r="B20" s="261"/>
      <c r="C20" s="261"/>
      <c r="D20" s="470"/>
      <c r="E20" s="261"/>
      <c r="F20" s="472"/>
      <c r="G20" s="261"/>
      <c r="H20" s="261"/>
      <c r="I20" s="261"/>
      <c r="J20" s="261"/>
      <c r="K20" s="261"/>
      <c r="L20" s="261"/>
      <c r="M20" s="261"/>
      <c r="N20" s="261"/>
      <c r="O20" s="261"/>
      <c r="P20" s="261"/>
      <c r="Q20" s="261"/>
      <c r="R20" s="261"/>
      <c r="S20" s="261"/>
      <c r="T20" s="261"/>
    </row>
    <row r="21" spans="2:20" ht="15" thickBot="1">
      <c r="B21" s="261"/>
      <c r="C21" s="261"/>
      <c r="D21" s="470" t="s">
        <v>25</v>
      </c>
      <c r="E21" s="261"/>
      <c r="F21" s="477">
        <v>50000</v>
      </c>
      <c r="G21" s="261"/>
      <c r="H21" s="261"/>
      <c r="I21" s="470" t="s">
        <v>20</v>
      </c>
      <c r="J21" s="261"/>
      <c r="K21" s="474"/>
      <c r="L21" s="261"/>
      <c r="M21" s="261"/>
      <c r="N21" s="261"/>
      <c r="O21" s="261"/>
      <c r="P21" s="261"/>
      <c r="Q21" s="261"/>
      <c r="R21" s="261"/>
      <c r="S21" s="261"/>
      <c r="T21" s="261"/>
    </row>
    <row r="22" spans="2:20" ht="24.75" customHeight="1">
      <c r="B22" s="261"/>
      <c r="C22" s="261"/>
      <c r="D22" s="470"/>
      <c r="E22" s="261"/>
      <c r="F22" s="261"/>
      <c r="G22" s="261"/>
      <c r="H22" s="261"/>
      <c r="I22" s="261"/>
      <c r="J22" s="261"/>
      <c r="K22" s="261"/>
      <c r="L22" s="261"/>
      <c r="M22" s="261"/>
      <c r="N22" s="261"/>
      <c r="O22" s="261"/>
      <c r="P22" s="261"/>
      <c r="Q22" s="261"/>
      <c r="R22" s="261"/>
      <c r="S22" s="261"/>
      <c r="T22" s="261"/>
    </row>
    <row r="23" spans="2:20">
      <c r="B23" s="261"/>
      <c r="C23" s="261"/>
      <c r="D23" s="470"/>
      <c r="E23" s="261"/>
      <c r="F23" s="261"/>
      <c r="G23" s="261"/>
      <c r="H23" s="261"/>
      <c r="I23" s="261"/>
      <c r="J23" s="261"/>
      <c r="K23" s="261"/>
      <c r="L23" s="261"/>
      <c r="M23" s="261"/>
      <c r="N23" s="261"/>
      <c r="O23" s="261"/>
      <c r="P23" s="261"/>
      <c r="Q23" s="261"/>
      <c r="R23" s="261"/>
      <c r="S23" s="261"/>
      <c r="T23" s="261"/>
    </row>
    <row r="24" spans="2:20">
      <c r="B24" s="261"/>
      <c r="C24" s="261"/>
      <c r="D24" s="470"/>
      <c r="E24" s="261"/>
      <c r="F24" s="261"/>
      <c r="G24" s="261"/>
      <c r="H24" s="261"/>
      <c r="I24" s="261"/>
      <c r="J24" s="261"/>
      <c r="K24" s="261"/>
      <c r="L24" s="261"/>
      <c r="M24" s="261"/>
      <c r="N24" s="261"/>
      <c r="O24" s="261"/>
      <c r="P24" s="261"/>
      <c r="Q24" s="261"/>
      <c r="R24" s="261"/>
      <c r="S24" s="261"/>
      <c r="T24" s="261"/>
    </row>
    <row r="25" spans="2:20">
      <c r="B25" s="258"/>
      <c r="C25" s="258"/>
      <c r="D25" s="473"/>
      <c r="E25" s="258"/>
      <c r="F25" s="258"/>
      <c r="G25" s="258"/>
      <c r="H25" s="258"/>
      <c r="I25" s="258"/>
      <c r="J25" s="258"/>
      <c r="K25" s="258"/>
      <c r="L25" s="258"/>
      <c r="M25" s="258"/>
      <c r="N25" s="258"/>
      <c r="O25" s="258"/>
      <c r="P25" s="258"/>
      <c r="Q25" s="258"/>
      <c r="R25" s="258"/>
      <c r="S25" s="258"/>
      <c r="T25" s="258"/>
    </row>
    <row r="26" spans="2:20">
      <c r="B26" s="258"/>
      <c r="C26" s="258"/>
      <c r="D26" s="473"/>
      <c r="E26" s="258"/>
      <c r="F26" s="258"/>
      <c r="G26" s="258"/>
      <c r="H26" s="258"/>
      <c r="I26" s="258"/>
      <c r="J26" s="258"/>
      <c r="K26" s="258"/>
      <c r="L26" s="258"/>
      <c r="M26" s="258"/>
      <c r="N26" s="258"/>
      <c r="O26" s="258"/>
      <c r="P26" s="258"/>
      <c r="Q26" s="258"/>
      <c r="R26" s="258"/>
      <c r="S26" s="258"/>
      <c r="T26" s="258"/>
    </row>
    <row r="27" spans="2:20">
      <c r="B27" s="258"/>
      <c r="C27" s="258"/>
      <c r="D27" s="473"/>
      <c r="E27" s="258"/>
      <c r="F27" s="258"/>
      <c r="G27" s="258"/>
      <c r="H27" s="258"/>
      <c r="I27" s="258"/>
      <c r="J27" s="258"/>
      <c r="K27" s="258"/>
      <c r="L27" s="258"/>
      <c r="M27" s="258"/>
      <c r="N27" s="258"/>
      <c r="O27" s="258"/>
      <c r="P27" s="258"/>
      <c r="Q27" s="258"/>
      <c r="R27" s="258"/>
      <c r="S27" s="258"/>
      <c r="T27" s="258"/>
    </row>
    <row r="28" spans="2:20">
      <c r="B28" s="258"/>
      <c r="C28" s="258"/>
      <c r="D28" s="473"/>
      <c r="E28" s="258"/>
      <c r="F28" s="258"/>
      <c r="G28" s="258"/>
      <c r="H28" s="258"/>
      <c r="I28" s="258"/>
      <c r="J28" s="258"/>
      <c r="K28" s="258"/>
      <c r="L28" s="258"/>
      <c r="M28" s="258"/>
      <c r="N28" s="258"/>
      <c r="O28" s="258"/>
      <c r="P28" s="258"/>
      <c r="Q28" s="258"/>
      <c r="R28" s="258"/>
      <c r="S28" s="258"/>
      <c r="T28" s="258"/>
    </row>
    <row r="29" spans="2:20">
      <c r="B29" s="258"/>
      <c r="C29" s="258"/>
      <c r="D29" s="473"/>
      <c r="E29" s="258"/>
      <c r="F29" s="258"/>
      <c r="G29" s="258"/>
      <c r="H29" s="258"/>
      <c r="I29" s="258"/>
      <c r="J29" s="258"/>
      <c r="K29" s="258"/>
      <c r="L29" s="258"/>
      <c r="M29" s="258"/>
      <c r="N29" s="258"/>
      <c r="O29" s="258"/>
      <c r="P29" s="258"/>
      <c r="Q29" s="258"/>
      <c r="R29" s="258"/>
      <c r="S29" s="258"/>
      <c r="T29" s="258"/>
    </row>
    <row r="31" spans="2:20" ht="24" thickBot="1">
      <c r="B31" s="459"/>
      <c r="C31" s="459"/>
      <c r="D31" s="600" t="s">
        <v>26</v>
      </c>
      <c r="E31" s="600"/>
      <c r="F31" s="600"/>
      <c r="G31" s="459"/>
      <c r="H31" s="460"/>
      <c r="I31" s="460"/>
      <c r="J31" s="460"/>
      <c r="K31" s="460"/>
      <c r="L31" s="460"/>
      <c r="M31" s="460"/>
      <c r="N31" s="460"/>
      <c r="O31" s="460"/>
      <c r="P31" s="460"/>
      <c r="Q31" s="460"/>
      <c r="R31" s="460"/>
      <c r="S31" s="460"/>
      <c r="T31" s="460"/>
    </row>
    <row r="32" spans="2:20" ht="16" thickBot="1">
      <c r="B32" s="261"/>
      <c r="C32" s="261"/>
      <c r="D32" s="455" t="s">
        <v>5</v>
      </c>
      <c r="E32" s="456"/>
      <c r="F32" s="457" t="b">
        <f>AND(LEN(F11)&gt;=1, LEN(F11)&lt;100)</f>
        <v>1</v>
      </c>
      <c r="G32" s="261"/>
    </row>
    <row r="33" spans="2:7" ht="15" thickBot="1">
      <c r="B33" s="261"/>
      <c r="C33" s="261"/>
      <c r="D33" s="261"/>
      <c r="E33" s="261"/>
      <c r="F33" s="261"/>
      <c r="G33" s="261"/>
    </row>
    <row r="34" spans="2:7" ht="16" thickBot="1">
      <c r="B34" s="261"/>
      <c r="C34" s="261"/>
      <c r="D34" s="455" t="s">
        <v>27</v>
      </c>
      <c r="E34" s="454"/>
      <c r="F34" s="457" t="b">
        <f>LEN(F13)&gt;0</f>
        <v>1</v>
      </c>
      <c r="G34" s="261"/>
    </row>
    <row r="35" spans="2:7" ht="16" thickBot="1">
      <c r="B35" s="261"/>
      <c r="C35" s="261"/>
      <c r="D35" s="458"/>
      <c r="E35" s="261"/>
      <c r="F35" s="458"/>
      <c r="G35" s="261"/>
    </row>
    <row r="36" spans="2:7" ht="16" thickBot="1">
      <c r="B36" s="261"/>
      <c r="C36" s="261"/>
      <c r="D36" s="455" t="s">
        <v>28</v>
      </c>
      <c r="E36" s="454"/>
      <c r="F36" s="457" t="b">
        <f>LEN(F15)&gt;0</f>
        <v>1</v>
      </c>
      <c r="G36" s="261"/>
    </row>
    <row r="37" spans="2:7" ht="15.5">
      <c r="B37" s="261"/>
      <c r="C37" s="261"/>
      <c r="D37" s="458"/>
      <c r="E37" s="261"/>
      <c r="F37" s="458"/>
      <c r="G37" s="261"/>
    </row>
    <row r="38" spans="2:7" ht="15.5">
      <c r="B38" s="261"/>
      <c r="C38" s="261"/>
      <c r="D38" s="461" t="s">
        <v>29</v>
      </c>
      <c r="E38" s="462"/>
      <c r="F38" s="463" t="b">
        <f>LEN(F17)&gt;0</f>
        <v>1</v>
      </c>
      <c r="G38" s="261"/>
    </row>
    <row r="39" spans="2:7" ht="15.5">
      <c r="B39" s="261"/>
      <c r="C39" s="261"/>
      <c r="D39" s="458"/>
      <c r="E39" s="261"/>
      <c r="F39" s="458"/>
      <c r="G39" s="261"/>
    </row>
    <row r="40" spans="2:7" ht="15.5">
      <c r="B40" s="261"/>
      <c r="C40" s="261"/>
      <c r="D40" s="461" t="s">
        <v>30</v>
      </c>
      <c r="E40" s="462"/>
      <c r="F40" s="463" t="b">
        <f>LEN(F19)&gt;0</f>
        <v>1</v>
      </c>
      <c r="G40" s="261"/>
    </row>
    <row r="41" spans="2:7" ht="15.5">
      <c r="B41" s="261"/>
      <c r="C41" s="261"/>
      <c r="D41" s="458"/>
      <c r="E41" s="261"/>
      <c r="F41" s="458"/>
      <c r="G41" s="261"/>
    </row>
    <row r="42" spans="2:7" ht="15.5">
      <c r="B42" s="261"/>
      <c r="C42" s="261"/>
      <c r="D42" s="461" t="s">
        <v>31</v>
      </c>
      <c r="E42" s="462"/>
      <c r="F42" s="463" t="b">
        <f>LEN(F21)&gt;0</f>
        <v>1</v>
      </c>
      <c r="G42" s="261"/>
    </row>
    <row r="43" spans="2:7">
      <c r="B43" s="261"/>
      <c r="C43" s="261"/>
      <c r="D43" s="261"/>
      <c r="E43" s="261"/>
      <c r="F43" s="261"/>
      <c r="G43" s="261"/>
    </row>
  </sheetData>
  <mergeCells count="2">
    <mergeCell ref="D3:S7"/>
    <mergeCell ref="D31:F31"/>
  </mergeCells>
  <dataValidations count="2">
    <dataValidation type="date" operator="lessThan" allowBlank="1" showInputMessage="1" showErrorMessage="1" sqref="F13" xr:uid="{C0083D3B-386A-40C7-8AC6-45A2CCB0D0A4}">
      <formula1>TODAY()</formula1>
    </dataValidation>
    <dataValidation type="decimal" operator="greaterThanOrEqual" allowBlank="1" showInputMessage="1" showErrorMessage="1" sqref="F15 F17 F19 F21" xr:uid="{E6C998B0-065E-4501-8C98-5A6048F7B7A4}">
      <formula1>0</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54858-8E54-4ECD-8246-39AEE5FDC78A}">
  <sheetPr>
    <pageSetUpPr fitToPage="1"/>
  </sheetPr>
  <dimension ref="A1:H116"/>
  <sheetViews>
    <sheetView showGridLines="0" zoomScale="80" zoomScaleNormal="80" workbookViewId="0">
      <selection activeCell="H17" sqref="H17"/>
    </sheetView>
  </sheetViews>
  <sheetFormatPr defaultColWidth="9.81640625" defaultRowHeight="14.5"/>
  <cols>
    <col min="1" max="1" width="12.26953125" customWidth="1"/>
    <col min="2" max="2" width="12" customWidth="1"/>
    <col min="3" max="3" width="12.54296875" style="579" customWidth="1"/>
    <col min="4" max="4" width="43.1796875" style="579" customWidth="1"/>
    <col min="5" max="5" width="12" style="579" customWidth="1"/>
    <col min="6" max="6" width="17.26953125" style="579" customWidth="1"/>
    <col min="7" max="7" width="4.81640625" style="583" customWidth="1"/>
    <col min="8" max="8" width="22.81640625" style="583" customWidth="1"/>
    <col min="9" max="16384" width="9.81640625" style="583"/>
  </cols>
  <sheetData>
    <row r="1" spans="1:8" s="553" customFormat="1" ht="23.5">
      <c r="A1" s="50"/>
      <c r="B1" s="50"/>
      <c r="C1" s="601" t="s">
        <v>32</v>
      </c>
      <c r="D1" s="602"/>
      <c r="E1" s="602"/>
      <c r="F1" s="602"/>
    </row>
    <row r="2" spans="1:8" s="553" customFormat="1" ht="23.5">
      <c r="A2" s="50"/>
      <c r="B2" s="50"/>
      <c r="C2" s="554"/>
      <c r="D2" s="554"/>
      <c r="E2" s="555" t="s">
        <v>33</v>
      </c>
      <c r="F2" s="556">
        <f ca="1">TODAY()</f>
        <v>44586</v>
      </c>
    </row>
    <row r="3" spans="1:8" s="553" customFormat="1" ht="18.5">
      <c r="A3" s="50"/>
      <c r="B3" s="50"/>
      <c r="C3" s="557" t="s">
        <v>34</v>
      </c>
      <c r="D3" s="557"/>
      <c r="E3" s="558"/>
      <c r="F3" s="557"/>
      <c r="H3"/>
    </row>
    <row r="4" spans="1:8" s="553" customFormat="1">
      <c r="A4" s="50"/>
      <c r="B4" s="50"/>
      <c r="C4" s="559" t="s">
        <v>35</v>
      </c>
      <c r="D4" s="559"/>
      <c r="E4" s="560"/>
      <c r="F4" s="560"/>
      <c r="H4" s="561"/>
    </row>
    <row r="5" spans="1:8" s="553" customFormat="1">
      <c r="A5" s="50"/>
      <c r="B5" s="50"/>
      <c r="C5" s="562"/>
      <c r="D5" s="563" t="s">
        <v>36</v>
      </c>
      <c r="E5" s="564" t="s">
        <v>37</v>
      </c>
      <c r="F5" s="565"/>
    </row>
    <row r="6" spans="1:8" s="553" customFormat="1" ht="18.5">
      <c r="A6" s="603" t="s">
        <v>38</v>
      </c>
      <c r="B6" s="603"/>
      <c r="C6" s="562"/>
      <c r="D6" s="563" t="s">
        <v>39</v>
      </c>
      <c r="E6" s="564" t="s">
        <v>37</v>
      </c>
      <c r="F6" s="565"/>
    </row>
    <row r="7" spans="1:8" s="553" customFormat="1">
      <c r="A7" s="50"/>
      <c r="B7" s="50"/>
      <c r="C7" s="562"/>
      <c r="D7" s="563" t="s">
        <v>40</v>
      </c>
      <c r="E7" s="564" t="s">
        <v>37</v>
      </c>
      <c r="F7" s="565"/>
    </row>
    <row r="8" spans="1:8" s="553" customFormat="1">
      <c r="A8" s="50"/>
      <c r="B8" s="50"/>
      <c r="C8" s="562"/>
      <c r="D8" s="563" t="s">
        <v>41</v>
      </c>
      <c r="E8" s="564" t="s">
        <v>37</v>
      </c>
      <c r="F8" s="565"/>
    </row>
    <row r="9" spans="1:8" s="553" customFormat="1">
      <c r="A9" s="50"/>
      <c r="B9" s="50"/>
      <c r="C9" s="563"/>
      <c r="D9" s="563" t="s">
        <v>42</v>
      </c>
      <c r="E9" s="563"/>
      <c r="F9" s="566"/>
    </row>
    <row r="10" spans="1:8" s="553" customFormat="1">
      <c r="A10" s="50"/>
      <c r="B10" s="50"/>
      <c r="C10" s="563"/>
      <c r="D10" s="567"/>
      <c r="E10" s="568" t="s">
        <v>43</v>
      </c>
      <c r="F10" s="569">
        <f>SUM(F5:F9)</f>
        <v>0</v>
      </c>
    </row>
    <row r="11" spans="1:8" s="553" customFormat="1">
      <c r="A11" s="50"/>
      <c r="B11" s="50"/>
      <c r="C11" s="559" t="s">
        <v>44</v>
      </c>
      <c r="D11" s="559"/>
      <c r="E11" s="560"/>
      <c r="F11" s="560"/>
    </row>
    <row r="12" spans="1:8" s="553" customFormat="1">
      <c r="A12" s="50"/>
      <c r="B12" s="50"/>
      <c r="C12" s="563"/>
      <c r="D12" s="563" t="s">
        <v>45</v>
      </c>
      <c r="E12" s="564" t="s">
        <v>37</v>
      </c>
      <c r="F12" s="565"/>
    </row>
    <row r="13" spans="1:8" s="553" customFormat="1">
      <c r="A13" s="50"/>
      <c r="B13" s="50"/>
      <c r="C13" s="563"/>
      <c r="D13" s="563" t="s">
        <v>46</v>
      </c>
      <c r="E13" s="564" t="s">
        <v>37</v>
      </c>
      <c r="F13" s="565"/>
    </row>
    <row r="14" spans="1:8" s="553" customFormat="1">
      <c r="A14" s="50"/>
      <c r="B14" s="50"/>
      <c r="C14" s="563"/>
      <c r="D14" s="563" t="s">
        <v>47</v>
      </c>
      <c r="E14" s="563"/>
      <c r="F14" s="566"/>
    </row>
    <row r="15" spans="1:8" s="553" customFormat="1">
      <c r="A15" s="50"/>
      <c r="B15" s="50"/>
      <c r="C15" s="563"/>
      <c r="D15" s="567"/>
      <c r="E15" s="568" t="s">
        <v>48</v>
      </c>
      <c r="F15" s="569">
        <f>SUM(F11:F14)</f>
        <v>0</v>
      </c>
    </row>
    <row r="16" spans="1:8" s="553" customFormat="1">
      <c r="A16" s="50"/>
      <c r="B16" s="50"/>
      <c r="C16" s="563"/>
      <c r="D16" s="567"/>
      <c r="E16" s="568"/>
      <c r="F16" s="570"/>
    </row>
    <row r="17" spans="1:6" s="553" customFormat="1">
      <c r="A17" s="50"/>
      <c r="B17" s="50"/>
      <c r="C17" s="559" t="s">
        <v>49</v>
      </c>
      <c r="D17" s="559"/>
      <c r="E17" s="568" t="s">
        <v>50</v>
      </c>
      <c r="F17" s="565"/>
    </row>
    <row r="18" spans="1:6" s="553" customFormat="1">
      <c r="A18" s="50"/>
      <c r="B18" s="50"/>
      <c r="C18" s="567"/>
      <c r="D18" s="567"/>
      <c r="E18" s="567"/>
      <c r="F18" s="567"/>
    </row>
    <row r="19" spans="1:6" s="553" customFormat="1" ht="15.5">
      <c r="A19" s="50"/>
      <c r="B19" s="50"/>
      <c r="C19" s="571" t="s">
        <v>51</v>
      </c>
      <c r="D19" s="571"/>
      <c r="E19" s="572"/>
      <c r="F19" s="573"/>
    </row>
    <row r="20" spans="1:6" s="553" customFormat="1">
      <c r="A20" s="50"/>
      <c r="B20" s="50"/>
      <c r="C20" s="567"/>
      <c r="D20" s="567"/>
      <c r="E20" s="567"/>
      <c r="F20" s="567"/>
    </row>
    <row r="21" spans="1:6" s="553" customFormat="1" ht="18.5">
      <c r="A21" s="50"/>
      <c r="B21" s="50"/>
      <c r="C21" s="574" t="s">
        <v>52</v>
      </c>
      <c r="D21" s="557"/>
      <c r="E21" s="558"/>
      <c r="F21" s="557"/>
    </row>
    <row r="22" spans="1:6" s="553" customFormat="1">
      <c r="A22" s="50"/>
      <c r="B22" s="50"/>
      <c r="C22" s="563"/>
      <c r="D22" s="563" t="s">
        <v>53</v>
      </c>
      <c r="E22" s="564" t="s">
        <v>37</v>
      </c>
      <c r="F22" s="565">
        <f>[12]Details!H43+[12]Details!H51</f>
        <v>0</v>
      </c>
    </row>
    <row r="23" spans="1:6" s="553" customFormat="1">
      <c r="A23" s="50"/>
      <c r="B23" s="50"/>
      <c r="C23" s="563"/>
      <c r="D23" s="563" t="s">
        <v>54</v>
      </c>
      <c r="E23" s="564" t="s">
        <v>37</v>
      </c>
      <c r="F23" s="565">
        <f>[12]Details!H44+[12]Details!H52</f>
        <v>0</v>
      </c>
    </row>
    <row r="24" spans="1:6" s="553" customFormat="1">
      <c r="A24" s="50"/>
      <c r="B24" s="50"/>
      <c r="C24" s="563"/>
      <c r="D24" s="563" t="s">
        <v>55</v>
      </c>
      <c r="E24" s="564" t="s">
        <v>37</v>
      </c>
      <c r="F24" s="565"/>
    </row>
    <row r="25" spans="1:6" s="553" customFormat="1">
      <c r="A25" s="50"/>
      <c r="B25" s="50"/>
      <c r="C25" s="563"/>
      <c r="D25" s="563" t="s">
        <v>56</v>
      </c>
      <c r="E25" s="563"/>
      <c r="F25" s="566">
        <v>0</v>
      </c>
    </row>
    <row r="26" spans="1:6" s="553" customFormat="1">
      <c r="A26" s="50"/>
      <c r="B26" s="50"/>
      <c r="C26" s="563"/>
      <c r="D26" s="563" t="s">
        <v>57</v>
      </c>
      <c r="E26" s="563"/>
      <c r="F26" s="566">
        <v>0</v>
      </c>
    </row>
    <row r="27" spans="1:6" s="553" customFormat="1">
      <c r="A27" s="50"/>
      <c r="B27" s="50"/>
      <c r="C27" s="563"/>
      <c r="D27" s="563" t="s">
        <v>58</v>
      </c>
      <c r="E27" s="563"/>
      <c r="F27" s="566">
        <v>0</v>
      </c>
    </row>
    <row r="28" spans="1:6" s="553" customFormat="1">
      <c r="A28" s="50"/>
      <c r="B28" s="50"/>
      <c r="C28" s="563"/>
      <c r="D28" s="563" t="s">
        <v>59</v>
      </c>
      <c r="E28" s="563"/>
      <c r="F28" s="575">
        <v>0</v>
      </c>
    </row>
    <row r="29" spans="1:6" s="553" customFormat="1" ht="15.5">
      <c r="A29" s="50"/>
      <c r="B29" s="50"/>
      <c r="C29" s="571" t="s">
        <v>60</v>
      </c>
      <c r="D29" s="571"/>
      <c r="E29" s="572"/>
      <c r="F29" s="573">
        <f>SUM(F22:F28)</f>
        <v>0</v>
      </c>
    </row>
    <row r="30" spans="1:6" s="553" customFormat="1">
      <c r="A30" s="50"/>
      <c r="B30" s="50"/>
      <c r="C30" s="567"/>
      <c r="D30" s="567"/>
      <c r="E30" s="567"/>
      <c r="F30" s="567"/>
    </row>
    <row r="31" spans="1:6" s="553" customFormat="1" ht="16" thickBot="1">
      <c r="A31" s="50"/>
      <c r="B31" s="50"/>
      <c r="C31" s="576" t="s">
        <v>61</v>
      </c>
      <c r="D31" s="576"/>
      <c r="E31" s="577"/>
      <c r="F31" s="578">
        <f>F19-F29</f>
        <v>0</v>
      </c>
    </row>
    <row r="32" spans="1:6" s="553" customFormat="1" ht="15" thickTop="1">
      <c r="A32" s="50"/>
      <c r="B32" s="50"/>
      <c r="C32" s="579"/>
      <c r="D32" s="579"/>
      <c r="E32" s="579"/>
      <c r="F32" s="579"/>
    </row>
    <row r="33" spans="1:6" s="553" customFormat="1" ht="18.5">
      <c r="A33" s="50"/>
      <c r="B33" s="50"/>
      <c r="C33" s="574" t="s">
        <v>62</v>
      </c>
      <c r="D33" s="574"/>
      <c r="E33" s="574"/>
      <c r="F33" s="574"/>
    </row>
    <row r="34" spans="1:6">
      <c r="A34" s="50"/>
      <c r="B34" s="50"/>
      <c r="C34" s="580" t="s">
        <v>63</v>
      </c>
      <c r="D34" s="580"/>
      <c r="E34" s="581"/>
      <c r="F34" s="582" t="str">
        <f>IFERROR(F29/F19," - ")</f>
        <v xml:space="preserve"> - </v>
      </c>
    </row>
    <row r="35" spans="1:6">
      <c r="A35" s="50"/>
      <c r="B35" s="50"/>
      <c r="C35" s="580" t="s">
        <v>64</v>
      </c>
      <c r="D35" s="580"/>
      <c r="E35" s="581"/>
      <c r="F35" s="584" t="str">
        <f>IFERROR((F10)/([12]CashFlow!C55/12)," - ")</f>
        <v xml:space="preserve"> - </v>
      </c>
    </row>
    <row r="36" spans="1:6">
      <c r="A36" s="50"/>
      <c r="B36" s="50"/>
      <c r="C36" s="580" t="s">
        <v>65</v>
      </c>
      <c r="D36" s="580"/>
      <c r="E36" s="581"/>
      <c r="F36" s="585" t="str">
        <f>IFERROR((F15+#REF!)/F31," - ")</f>
        <v xml:space="preserve"> - </v>
      </c>
    </row>
    <row r="37" spans="1:6">
      <c r="A37" s="50"/>
      <c r="B37" s="50"/>
    </row>
    <row r="38" spans="1:6">
      <c r="A38" s="50"/>
      <c r="B38" s="50"/>
    </row>
    <row r="39" spans="1:6">
      <c r="A39" s="50"/>
      <c r="B39" s="50"/>
    </row>
    <row r="40" spans="1:6">
      <c r="A40" s="50"/>
      <c r="B40" s="50"/>
    </row>
    <row r="41" spans="1:6">
      <c r="A41" s="50"/>
      <c r="B41" s="50"/>
    </row>
    <row r="42" spans="1:6">
      <c r="A42" s="50"/>
      <c r="B42" s="50"/>
    </row>
    <row r="43" spans="1:6">
      <c r="A43" s="50"/>
      <c r="B43" s="50"/>
    </row>
    <row r="44" spans="1:6">
      <c r="A44" s="50"/>
      <c r="B44" s="50"/>
    </row>
    <row r="45" spans="1:6">
      <c r="A45" s="50"/>
      <c r="B45" s="50"/>
    </row>
    <row r="46" spans="1:6">
      <c r="A46" s="50"/>
      <c r="B46" s="50"/>
    </row>
    <row r="47" spans="1:6">
      <c r="A47" s="50"/>
      <c r="B47" s="50"/>
    </row>
    <row r="48" spans="1:6">
      <c r="A48" s="50"/>
      <c r="B48" s="50"/>
    </row>
    <row r="49" spans="1:2">
      <c r="A49" s="50"/>
      <c r="B49" s="50"/>
    </row>
    <row r="50" spans="1:2">
      <c r="A50" s="50"/>
      <c r="B50" s="50"/>
    </row>
    <row r="51" spans="1:2">
      <c r="A51" s="50"/>
      <c r="B51" s="50"/>
    </row>
    <row r="52" spans="1:2">
      <c r="A52" s="50"/>
      <c r="B52" s="50"/>
    </row>
    <row r="53" spans="1:2">
      <c r="A53" s="50"/>
      <c r="B53" s="50"/>
    </row>
    <row r="54" spans="1:2">
      <c r="A54" s="50"/>
      <c r="B54" s="50"/>
    </row>
    <row r="55" spans="1:2">
      <c r="A55" s="50"/>
      <c r="B55" s="50"/>
    </row>
    <row r="56" spans="1:2">
      <c r="A56" s="50"/>
      <c r="B56" s="50"/>
    </row>
    <row r="57" spans="1:2">
      <c r="A57" s="50"/>
      <c r="B57" s="50"/>
    </row>
    <row r="58" spans="1:2">
      <c r="A58" s="50"/>
      <c r="B58" s="50"/>
    </row>
    <row r="59" spans="1:2">
      <c r="A59" s="50"/>
      <c r="B59" s="50"/>
    </row>
    <row r="60" spans="1:2">
      <c r="A60" s="50"/>
      <c r="B60" s="50"/>
    </row>
    <row r="61" spans="1:2">
      <c r="A61" s="50"/>
      <c r="B61" s="50"/>
    </row>
    <row r="62" spans="1:2">
      <c r="A62" s="50"/>
      <c r="B62" s="50"/>
    </row>
    <row r="63" spans="1:2">
      <c r="A63" s="50"/>
      <c r="B63" s="50"/>
    </row>
    <row r="64" spans="1:2">
      <c r="A64" s="50"/>
      <c r="B64" s="50"/>
    </row>
    <row r="65" spans="1:2">
      <c r="A65" s="50"/>
      <c r="B65" s="50"/>
    </row>
    <row r="66" spans="1:2">
      <c r="A66" s="50"/>
      <c r="B66" s="50"/>
    </row>
    <row r="67" spans="1:2">
      <c r="A67" s="50"/>
      <c r="B67" s="50"/>
    </row>
    <row r="68" spans="1:2">
      <c r="A68" s="50"/>
      <c r="B68" s="50"/>
    </row>
    <row r="69" spans="1:2">
      <c r="A69" s="50"/>
      <c r="B69" s="50"/>
    </row>
    <row r="70" spans="1:2">
      <c r="A70" s="50"/>
      <c r="B70" s="50"/>
    </row>
    <row r="71" spans="1:2">
      <c r="A71" s="50"/>
      <c r="B71" s="50"/>
    </row>
    <row r="72" spans="1:2">
      <c r="A72" s="50"/>
      <c r="B72" s="50"/>
    </row>
    <row r="73" spans="1:2">
      <c r="A73" s="50"/>
      <c r="B73" s="50"/>
    </row>
    <row r="74" spans="1:2">
      <c r="A74" s="50"/>
      <c r="B74" s="50"/>
    </row>
    <row r="75" spans="1:2">
      <c r="A75" s="50"/>
      <c r="B75" s="50"/>
    </row>
    <row r="76" spans="1:2">
      <c r="A76" s="50"/>
      <c r="B76" s="50"/>
    </row>
    <row r="77" spans="1:2">
      <c r="A77" s="50"/>
      <c r="B77" s="50"/>
    </row>
    <row r="78" spans="1:2">
      <c r="A78" s="50"/>
      <c r="B78" s="50"/>
    </row>
    <row r="79" spans="1:2">
      <c r="A79" s="50"/>
      <c r="B79" s="50"/>
    </row>
    <row r="80" spans="1:2">
      <c r="A80" s="50"/>
      <c r="B80" s="50"/>
    </row>
    <row r="81" spans="1:2">
      <c r="A81" s="50"/>
      <c r="B81" s="50"/>
    </row>
    <row r="82" spans="1:2">
      <c r="A82" s="50"/>
      <c r="B82" s="50"/>
    </row>
    <row r="83" spans="1:2">
      <c r="A83" s="50"/>
      <c r="B83" s="50"/>
    </row>
    <row r="84" spans="1:2">
      <c r="A84" s="50"/>
      <c r="B84" s="50"/>
    </row>
    <row r="85" spans="1:2">
      <c r="A85" s="50"/>
      <c r="B85" s="50"/>
    </row>
    <row r="86" spans="1:2">
      <c r="A86" s="50"/>
      <c r="B86" s="50"/>
    </row>
    <row r="87" spans="1:2">
      <c r="A87" s="50"/>
      <c r="B87" s="50"/>
    </row>
    <row r="88" spans="1:2">
      <c r="A88" s="50"/>
      <c r="B88" s="50"/>
    </row>
    <row r="89" spans="1:2">
      <c r="A89" s="50"/>
      <c r="B89" s="50"/>
    </row>
    <row r="90" spans="1:2">
      <c r="A90" s="50"/>
      <c r="B90" s="50"/>
    </row>
    <row r="91" spans="1:2">
      <c r="A91" s="50"/>
      <c r="B91" s="50"/>
    </row>
    <row r="92" spans="1:2">
      <c r="A92" s="50"/>
      <c r="B92" s="50"/>
    </row>
    <row r="93" spans="1:2">
      <c r="A93" s="50"/>
      <c r="B93" s="50"/>
    </row>
    <row r="94" spans="1:2">
      <c r="A94" s="50"/>
      <c r="B94" s="50"/>
    </row>
    <row r="95" spans="1:2">
      <c r="A95" s="50"/>
      <c r="B95" s="50"/>
    </row>
    <row r="96" spans="1:2">
      <c r="A96" s="50"/>
      <c r="B96" s="50"/>
    </row>
    <row r="97" spans="1:2">
      <c r="A97" s="50"/>
      <c r="B97" s="50"/>
    </row>
    <row r="98" spans="1:2">
      <c r="A98" s="50"/>
      <c r="B98" s="50"/>
    </row>
    <row r="99" spans="1:2">
      <c r="A99" s="50"/>
      <c r="B99" s="50"/>
    </row>
    <row r="100" spans="1:2">
      <c r="A100" s="50"/>
      <c r="B100" s="50"/>
    </row>
    <row r="101" spans="1:2">
      <c r="A101" s="50"/>
      <c r="B101" s="50"/>
    </row>
    <row r="102" spans="1:2">
      <c r="A102" s="50"/>
      <c r="B102" s="50"/>
    </row>
    <row r="103" spans="1:2">
      <c r="A103" s="50"/>
      <c r="B103" s="50"/>
    </row>
    <row r="104" spans="1:2">
      <c r="A104" s="50"/>
      <c r="B104" s="50"/>
    </row>
    <row r="105" spans="1:2">
      <c r="A105" s="50"/>
      <c r="B105" s="50"/>
    </row>
    <row r="106" spans="1:2">
      <c r="A106" s="50"/>
      <c r="B106" s="50"/>
    </row>
    <row r="107" spans="1:2">
      <c r="A107" s="50"/>
      <c r="B107" s="50"/>
    </row>
    <row r="108" spans="1:2">
      <c r="A108" s="50"/>
      <c r="B108" s="50"/>
    </row>
    <row r="109" spans="1:2">
      <c r="A109" s="50"/>
      <c r="B109" s="50"/>
    </row>
    <row r="110" spans="1:2">
      <c r="A110" s="50"/>
      <c r="B110" s="50"/>
    </row>
    <row r="111" spans="1:2">
      <c r="A111" s="50"/>
      <c r="B111" s="50"/>
    </row>
    <row r="112" spans="1:2">
      <c r="A112" s="50"/>
      <c r="B112" s="50"/>
    </row>
    <row r="113" spans="1:2">
      <c r="A113" s="50"/>
      <c r="B113" s="50"/>
    </row>
    <row r="114" spans="1:2">
      <c r="A114" s="50"/>
      <c r="B114" s="50"/>
    </row>
    <row r="115" spans="1:2">
      <c r="A115" s="50"/>
      <c r="B115" s="50"/>
    </row>
    <row r="116" spans="1:2">
      <c r="A116" s="50"/>
      <c r="B116" s="50"/>
    </row>
  </sheetData>
  <sheetProtection formatCells="0" formatColumns="0" formatRows="0" insertColumns="0" insertRows="0" insertHyperlinks="0" deleteColumns="0" deleteRows="0" sort="0"/>
  <mergeCells count="2">
    <mergeCell ref="C1:F1"/>
    <mergeCell ref="A6:B6"/>
  </mergeCells>
  <hyperlinks>
    <hyperlink ref="E6" location="'Savings Tracker '!A1" display="Detail:" xr:uid="{8D944D83-2DA7-4493-BA44-224FEDD6C74D}"/>
    <hyperlink ref="E7" location="'Savings Tracker '!A1" display="Detail:" xr:uid="{340B2981-1AFF-403F-AEFC-45996F1752F0}"/>
    <hyperlink ref="A6" location="'Home'!A1" display="Home" xr:uid="{ACE57DAA-93CD-43A8-A0AC-6DA3563288A2}"/>
    <hyperlink ref="E5" location="'Savings Tracker '!A1" display="Detail:" xr:uid="{B7CA4BA3-43C1-4725-875F-404282A7CB53}"/>
    <hyperlink ref="E8" location="'CPF Tracker'!A1" display="Detail:" xr:uid="{4FA9674B-1E2B-49B9-A19F-1514AFD6A2DC}"/>
    <hyperlink ref="E12" location="'Savings Tracker '!A1" display="Detail:" xr:uid="{C1990BDA-5046-4F23-91D1-04573E747B69}"/>
    <hyperlink ref="E13" location="'Savings Tracker '!A1" display="Detail:" xr:uid="{B8A1321F-97E7-4507-96D4-24E9BCFBE2E3}"/>
    <hyperlink ref="E22" location="'Savings Tracker '!A1" display="Detail:" xr:uid="{BA8B7268-81D6-4515-874B-C758DADC7DE4}"/>
    <hyperlink ref="E23" location="'Savings Tracker '!A1" display="Detail:" xr:uid="{93D60270-B59E-4D73-AC5D-E271818CAF03}"/>
    <hyperlink ref="E24" location="'Savings Tracker '!A1" display="Detail:" xr:uid="{B36FFF37-BA63-4387-99C5-E9068AD62169}"/>
  </hyperlinks>
  <printOptions horizontalCentered="1"/>
  <pageMargins left="0.75" right="0.75" top="0.5" bottom="0.5" header="0.25" footer="0.25"/>
  <pageSetup scale="90" orientation="portrait" r:id="rId1"/>
  <headerFooter alignWithMargins="0">
    <oddHeader>&amp;C&amp;"Arial,Bold"CONFIDENTIAL</oddHeader>
    <oddFooter>&amp;C&amp;"Arial,Bold"CONFIDENTIAL</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4BE71-F1EB-46A9-A89F-977A81995EC7}">
  <sheetPr codeName="Sheet34">
    <tabColor rgb="FF4472C4"/>
  </sheetPr>
  <dimension ref="A1:AD116"/>
  <sheetViews>
    <sheetView zoomScale="50" zoomScaleNormal="50" workbookViewId="0"/>
  </sheetViews>
  <sheetFormatPr defaultRowHeight="14.5"/>
  <cols>
    <col min="1" max="2" width="18.7265625" customWidth="1"/>
    <col min="3" max="3" width="4.81640625" customWidth="1"/>
    <col min="4" max="4" width="23.54296875" customWidth="1"/>
    <col min="5" max="5" width="28.81640625" bestFit="1" customWidth="1"/>
    <col min="6" max="6" width="20" bestFit="1" customWidth="1"/>
    <col min="7" max="7" width="26.81640625" bestFit="1" customWidth="1"/>
    <col min="8" max="8" width="19.81640625" bestFit="1" customWidth="1"/>
    <col min="9" max="9" width="14.7265625" bestFit="1" customWidth="1"/>
    <col min="10" max="10" width="25.7265625" customWidth="1"/>
    <col min="11" max="11" width="23.54296875" customWidth="1"/>
    <col min="12" max="12" width="21.81640625" customWidth="1"/>
    <col min="13" max="13" width="22.453125" customWidth="1"/>
    <col min="14" max="14" width="7.1796875" bestFit="1" customWidth="1"/>
    <col min="15" max="15" width="23.81640625" bestFit="1" customWidth="1"/>
    <col min="16" max="16" width="13.81640625" bestFit="1" customWidth="1"/>
    <col min="17" max="17" width="7.81640625" bestFit="1" customWidth="1"/>
    <col min="18" max="18" width="13.81640625" bestFit="1" customWidth="1"/>
    <col min="19" max="19" width="12.26953125" bestFit="1" customWidth="1"/>
    <col min="20" max="20" width="6.54296875" bestFit="1" customWidth="1"/>
    <col min="21" max="21" width="11.453125" bestFit="1" customWidth="1"/>
    <col min="22" max="23" width="7.81640625" bestFit="1" customWidth="1"/>
    <col min="24" max="24" width="13.81640625" bestFit="1" customWidth="1"/>
  </cols>
  <sheetData>
    <row r="1" spans="1:30" ht="15" customHeight="1">
      <c r="A1" s="50"/>
      <c r="B1" s="50"/>
      <c r="C1" s="59"/>
      <c r="D1" s="605" t="s">
        <v>66</v>
      </c>
      <c r="E1" s="605"/>
      <c r="F1" s="605"/>
      <c r="G1" s="605"/>
      <c r="H1" s="605"/>
      <c r="I1" s="605"/>
      <c r="J1" s="605"/>
      <c r="K1" s="605"/>
      <c r="L1" s="605"/>
      <c r="M1" s="605"/>
      <c r="N1" s="493"/>
      <c r="O1" s="493"/>
      <c r="P1" s="493"/>
      <c r="Q1" s="493"/>
      <c r="R1" s="493"/>
      <c r="S1" s="493"/>
      <c r="T1" s="493"/>
      <c r="U1" s="493"/>
      <c r="V1" s="493"/>
      <c r="W1" s="493"/>
      <c r="X1" s="493"/>
      <c r="Y1" s="493"/>
      <c r="Z1" s="493"/>
      <c r="AA1" s="493"/>
      <c r="AB1" s="493"/>
      <c r="AC1" s="493"/>
      <c r="AD1" s="493"/>
    </row>
    <row r="2" spans="1:30" ht="21" customHeight="1">
      <c r="A2" s="50"/>
      <c r="B2" s="50"/>
      <c r="C2" s="606"/>
      <c r="D2" s="605"/>
      <c r="E2" s="605"/>
      <c r="F2" s="605"/>
      <c r="G2" s="605"/>
      <c r="H2" s="605"/>
      <c r="I2" s="605"/>
      <c r="J2" s="605"/>
      <c r="K2" s="605"/>
      <c r="L2" s="605"/>
      <c r="M2" s="605"/>
      <c r="N2" s="493"/>
      <c r="O2" s="493"/>
      <c r="P2" s="493"/>
      <c r="Q2" s="493"/>
      <c r="R2" s="493"/>
      <c r="S2" s="493"/>
      <c r="T2" s="493"/>
      <c r="U2" s="493"/>
      <c r="V2" s="493"/>
      <c r="W2" s="493"/>
      <c r="X2" s="493"/>
      <c r="Y2" s="493"/>
      <c r="Z2" s="493"/>
      <c r="AA2" s="493"/>
      <c r="AB2" s="493"/>
      <c r="AC2" s="493"/>
      <c r="AD2" s="493"/>
    </row>
    <row r="3" spans="1:30" ht="15" customHeight="1">
      <c r="A3" s="50"/>
      <c r="B3" s="50"/>
      <c r="C3" s="606"/>
      <c r="D3" s="605"/>
      <c r="E3" s="605"/>
      <c r="F3" s="605"/>
      <c r="G3" s="605"/>
      <c r="H3" s="605"/>
      <c r="I3" s="605"/>
      <c r="J3" s="605"/>
      <c r="K3" s="605"/>
      <c r="L3" s="605"/>
      <c r="M3" s="605"/>
      <c r="N3" s="493"/>
      <c r="O3" s="493"/>
      <c r="P3" s="493"/>
      <c r="Q3" s="493"/>
      <c r="R3" s="493"/>
      <c r="S3" s="493"/>
      <c r="T3" s="493"/>
      <c r="U3" s="493"/>
      <c r="V3" s="493"/>
      <c r="W3" s="493"/>
      <c r="X3" s="493"/>
      <c r="Y3" s="493"/>
      <c r="Z3" s="493"/>
      <c r="AA3" s="493"/>
      <c r="AB3" s="493"/>
      <c r="AC3" s="493"/>
      <c r="AD3" s="493"/>
    </row>
    <row r="4" spans="1:30" ht="15" customHeight="1">
      <c r="A4" s="50"/>
      <c r="B4" s="50"/>
      <c r="C4" s="59"/>
      <c r="D4" s="605"/>
      <c r="E4" s="605"/>
      <c r="F4" s="605"/>
      <c r="G4" s="605"/>
      <c r="H4" s="605"/>
      <c r="I4" s="605"/>
      <c r="J4" s="605"/>
      <c r="K4" s="605"/>
      <c r="L4" s="605"/>
      <c r="M4" s="605"/>
      <c r="N4" s="493"/>
      <c r="O4" s="493"/>
      <c r="P4" s="493"/>
      <c r="Q4" s="493"/>
      <c r="R4" s="493"/>
      <c r="S4" s="493"/>
      <c r="T4" s="493"/>
      <c r="U4" s="493"/>
      <c r="V4" s="493"/>
      <c r="W4" s="493"/>
      <c r="X4" s="493"/>
      <c r="Y4" s="493"/>
      <c r="Z4" s="493"/>
      <c r="AA4" s="493"/>
      <c r="AB4" s="493"/>
      <c r="AC4" s="493"/>
      <c r="AD4" s="493"/>
    </row>
    <row r="5" spans="1:30" ht="26.15" customHeight="1">
      <c r="A5" s="50"/>
      <c r="B5" s="50"/>
      <c r="C5" s="59"/>
      <c r="D5" s="494"/>
      <c r="E5" s="494"/>
      <c r="F5" s="494"/>
      <c r="G5" s="494"/>
      <c r="H5" s="492"/>
      <c r="I5" s="492"/>
      <c r="J5" s="492"/>
      <c r="K5" s="492"/>
      <c r="L5" s="63"/>
      <c r="M5" s="63"/>
      <c r="N5" s="493"/>
      <c r="O5" s="493"/>
      <c r="P5" s="493"/>
      <c r="Q5" s="493"/>
      <c r="R5" s="493"/>
      <c r="S5" s="493"/>
      <c r="T5" s="493"/>
      <c r="U5" s="493"/>
      <c r="V5" s="493"/>
      <c r="W5" s="493"/>
      <c r="X5" s="493"/>
      <c r="Y5" s="493"/>
      <c r="Z5" s="493"/>
      <c r="AA5" s="493"/>
      <c r="AB5" s="493"/>
      <c r="AC5" s="493"/>
      <c r="AD5" s="493"/>
    </row>
    <row r="6" spans="1:30" ht="18.5">
      <c r="A6" s="603" t="s">
        <v>38</v>
      </c>
      <c r="B6" s="603"/>
      <c r="C6" s="314"/>
      <c r="D6" s="59"/>
      <c r="E6" s="59"/>
      <c r="F6" s="59"/>
      <c r="G6" s="59"/>
      <c r="H6" s="59"/>
      <c r="I6" s="59"/>
      <c r="J6" s="59"/>
      <c r="K6" s="59"/>
      <c r="L6" s="60"/>
      <c r="M6" s="60"/>
      <c r="N6" s="493"/>
      <c r="O6" s="493"/>
      <c r="P6" s="493"/>
      <c r="Q6" s="493"/>
      <c r="R6" s="493"/>
      <c r="S6" s="493"/>
      <c r="T6" s="493"/>
      <c r="U6" s="493"/>
      <c r="V6" s="493"/>
      <c r="W6" s="493"/>
      <c r="X6" s="493"/>
      <c r="Y6" s="493"/>
      <c r="Z6" s="493"/>
      <c r="AA6" s="493"/>
      <c r="AB6" s="493"/>
      <c r="AC6" s="493"/>
      <c r="AD6" s="493"/>
    </row>
    <row r="7" spans="1:30" ht="21">
      <c r="A7" s="50"/>
      <c r="B7" s="50"/>
      <c r="C7" s="315"/>
      <c r="D7" s="59"/>
      <c r="E7" s="59"/>
      <c r="F7" s="61"/>
      <c r="G7" s="59"/>
      <c r="H7" s="59"/>
      <c r="I7" s="59"/>
      <c r="J7" s="59"/>
      <c r="K7" s="59"/>
      <c r="L7" s="59"/>
      <c r="M7" s="59"/>
      <c r="N7" s="493"/>
      <c r="O7" s="493"/>
      <c r="P7" s="493"/>
      <c r="Q7" s="493"/>
      <c r="R7" s="493"/>
      <c r="S7" s="493"/>
      <c r="T7" s="493"/>
      <c r="U7" s="493"/>
      <c r="V7" s="493"/>
      <c r="W7" s="493"/>
      <c r="X7" s="493"/>
      <c r="Y7" s="493"/>
      <c r="Z7" s="493"/>
      <c r="AA7" s="493"/>
      <c r="AB7" s="493"/>
      <c r="AC7" s="493"/>
      <c r="AD7" s="493"/>
    </row>
    <row r="8" spans="1:30" ht="18.5">
      <c r="A8" s="50"/>
      <c r="B8" s="50"/>
      <c r="C8" s="59"/>
      <c r="D8" s="59"/>
      <c r="E8" s="59"/>
      <c r="F8" s="488" t="s">
        <v>67</v>
      </c>
      <c r="G8" s="488" t="s">
        <v>68</v>
      </c>
      <c r="H8" s="488" t="s">
        <v>69</v>
      </c>
      <c r="I8" s="59"/>
      <c r="J8" s="59"/>
      <c r="K8" s="59"/>
      <c r="L8" s="59"/>
      <c r="M8" s="59"/>
      <c r="N8" s="493"/>
      <c r="O8" s="493"/>
      <c r="P8" s="493"/>
      <c r="Q8" s="493"/>
      <c r="R8" s="493"/>
      <c r="S8" s="493"/>
      <c r="T8" s="493"/>
      <c r="U8" s="493"/>
      <c r="V8" s="493"/>
      <c r="W8" s="493"/>
      <c r="X8" s="493"/>
      <c r="Y8" s="493"/>
      <c r="Z8" s="493"/>
      <c r="AA8" s="493"/>
      <c r="AB8" s="493"/>
      <c r="AC8" s="493"/>
      <c r="AD8" s="493"/>
    </row>
    <row r="9" spans="1:30" ht="18.5">
      <c r="A9" s="50"/>
      <c r="B9" s="50"/>
      <c r="C9" s="59"/>
      <c r="D9" s="59"/>
      <c r="E9" s="59"/>
      <c r="F9" s="483" t="s">
        <v>70</v>
      </c>
      <c r="G9" s="98" t="s">
        <v>71</v>
      </c>
      <c r="H9" s="485">
        <v>5000</v>
      </c>
      <c r="I9" s="59"/>
      <c r="J9" s="59"/>
      <c r="K9" s="59"/>
      <c r="L9" s="59"/>
      <c r="M9" s="59"/>
      <c r="N9" s="493"/>
      <c r="O9" s="493"/>
      <c r="P9" s="493"/>
      <c r="Q9" s="493"/>
      <c r="R9" s="493"/>
      <c r="S9" s="493"/>
      <c r="T9" s="493"/>
      <c r="U9" s="493"/>
      <c r="V9" s="493"/>
      <c r="W9" s="493"/>
      <c r="X9" s="493"/>
      <c r="Y9" s="493"/>
      <c r="Z9" s="493"/>
      <c r="AA9" s="493"/>
      <c r="AB9" s="493"/>
      <c r="AC9" s="493"/>
      <c r="AD9" s="493"/>
    </row>
    <row r="10" spans="1:30" ht="18.5">
      <c r="A10" s="50"/>
      <c r="B10" s="50"/>
      <c r="C10" s="59"/>
      <c r="D10" s="59"/>
      <c r="E10" s="59"/>
      <c r="F10" s="483" t="s">
        <v>72</v>
      </c>
      <c r="G10" s="98" t="s">
        <v>73</v>
      </c>
      <c r="H10" s="485">
        <v>8000</v>
      </c>
      <c r="I10" s="59"/>
      <c r="J10" s="59"/>
      <c r="K10" s="59"/>
      <c r="L10" s="59"/>
      <c r="M10" s="59"/>
      <c r="N10" s="493"/>
      <c r="O10" s="493"/>
      <c r="P10" s="493"/>
      <c r="Q10" s="493"/>
      <c r="R10" s="493"/>
      <c r="S10" s="493"/>
      <c r="T10" s="493"/>
      <c r="U10" s="493"/>
      <c r="V10" s="493"/>
      <c r="W10" s="493"/>
      <c r="X10" s="493"/>
      <c r="Y10" s="493"/>
      <c r="Z10" s="493"/>
      <c r="AA10" s="493"/>
      <c r="AB10" s="493"/>
      <c r="AC10" s="493"/>
      <c r="AD10" s="493"/>
    </row>
    <row r="11" spans="1:30" ht="18.5">
      <c r="A11" s="50"/>
      <c r="B11" s="50"/>
      <c r="C11" s="59"/>
      <c r="D11" s="59"/>
      <c r="E11" s="59"/>
      <c r="F11" s="483" t="s">
        <v>74</v>
      </c>
      <c r="G11" s="98" t="s">
        <v>73</v>
      </c>
      <c r="H11" s="485">
        <v>4500</v>
      </c>
      <c r="I11" s="59"/>
      <c r="J11" s="59"/>
      <c r="K11" s="59"/>
      <c r="L11" s="59"/>
      <c r="M11" s="59"/>
      <c r="N11" s="493"/>
      <c r="O11" s="493"/>
      <c r="P11" s="493"/>
      <c r="Q11" s="493"/>
      <c r="R11" s="493"/>
      <c r="S11" s="493"/>
      <c r="T11" s="493"/>
      <c r="U11" s="493"/>
      <c r="V11" s="493"/>
      <c r="W11" s="493"/>
      <c r="X11" s="493"/>
      <c r="Y11" s="493"/>
      <c r="Z11" s="493"/>
      <c r="AA11" s="493"/>
      <c r="AB11" s="493"/>
      <c r="AC11" s="493"/>
      <c r="AD11" s="493"/>
    </row>
    <row r="12" spans="1:30" ht="18.5">
      <c r="A12" s="50"/>
      <c r="B12" s="50"/>
      <c r="C12" s="59"/>
      <c r="D12" s="59"/>
      <c r="E12" s="59"/>
      <c r="F12" s="483" t="s">
        <v>74</v>
      </c>
      <c r="G12" s="98" t="s">
        <v>75</v>
      </c>
      <c r="H12" s="485">
        <v>40000</v>
      </c>
      <c r="I12" s="59"/>
      <c r="J12" s="59"/>
      <c r="K12" s="59"/>
      <c r="L12" s="59"/>
      <c r="M12" s="59"/>
      <c r="N12" s="493"/>
      <c r="O12" s="493"/>
      <c r="P12" s="493"/>
      <c r="Q12" s="493"/>
      <c r="R12" s="493"/>
      <c r="S12" s="493"/>
      <c r="T12" s="493"/>
      <c r="U12" s="493"/>
      <c r="V12" s="493"/>
      <c r="W12" s="493"/>
      <c r="X12" s="493"/>
      <c r="Y12" s="493"/>
      <c r="Z12" s="493"/>
      <c r="AA12" s="493"/>
      <c r="AB12" s="493"/>
      <c r="AC12" s="493"/>
      <c r="AD12" s="493"/>
    </row>
    <row r="13" spans="1:30" ht="18.5">
      <c r="A13" s="50"/>
      <c r="B13" s="50"/>
      <c r="C13" s="59"/>
      <c r="D13" s="59"/>
      <c r="E13" s="59"/>
      <c r="F13" s="483" t="s">
        <v>70</v>
      </c>
      <c r="G13" s="98" t="s">
        <v>73</v>
      </c>
      <c r="H13" s="486">
        <v>3500</v>
      </c>
      <c r="I13" s="59"/>
      <c r="J13" s="59"/>
      <c r="K13" s="59"/>
      <c r="L13" s="59"/>
      <c r="M13" s="59"/>
      <c r="N13" s="493"/>
      <c r="O13" s="493"/>
      <c r="P13" s="493"/>
      <c r="Q13" s="493"/>
      <c r="R13" s="493"/>
      <c r="S13" s="493"/>
      <c r="T13" s="493"/>
      <c r="U13" s="493"/>
      <c r="V13" s="493"/>
      <c r="W13" s="493"/>
      <c r="X13" s="493"/>
      <c r="Y13" s="493"/>
      <c r="Z13" s="493"/>
      <c r="AA13" s="493"/>
      <c r="AB13" s="493"/>
      <c r="AC13" s="493"/>
      <c r="AD13" s="493"/>
    </row>
    <row r="14" spans="1:30" ht="18.5">
      <c r="A14" s="50"/>
      <c r="B14" s="50"/>
      <c r="C14" s="59"/>
      <c r="D14" s="59"/>
      <c r="E14" s="59"/>
      <c r="F14" s="98" t="s">
        <v>72</v>
      </c>
      <c r="G14" s="98" t="s">
        <v>76</v>
      </c>
      <c r="H14" s="486">
        <v>1000</v>
      </c>
      <c r="I14" s="59"/>
      <c r="J14" s="59"/>
      <c r="K14" s="59"/>
      <c r="L14" s="59"/>
      <c r="M14" s="59"/>
      <c r="N14" s="493"/>
      <c r="O14" s="493"/>
      <c r="P14" s="493"/>
      <c r="Q14" s="493"/>
      <c r="R14" s="493"/>
      <c r="S14" s="493"/>
      <c r="T14" s="493"/>
      <c r="U14" s="493"/>
      <c r="V14" s="493"/>
      <c r="W14" s="493"/>
      <c r="X14" s="493"/>
      <c r="Y14" s="493"/>
      <c r="Z14" s="493"/>
      <c r="AA14" s="493"/>
      <c r="AB14" s="493"/>
      <c r="AC14" s="493"/>
      <c r="AD14" s="493"/>
    </row>
    <row r="15" spans="1:30" ht="18.5">
      <c r="A15" s="50"/>
      <c r="B15" s="50"/>
      <c r="C15" s="59"/>
      <c r="D15" s="59"/>
      <c r="E15" s="59"/>
      <c r="F15" s="484" t="s">
        <v>74</v>
      </c>
      <c r="G15" s="98" t="s">
        <v>77</v>
      </c>
      <c r="H15" s="486">
        <v>1000</v>
      </c>
      <c r="I15" s="59"/>
      <c r="J15" s="59"/>
      <c r="K15" s="59"/>
      <c r="L15" s="60"/>
      <c r="M15" s="60"/>
      <c r="N15" s="493"/>
      <c r="O15" s="493"/>
      <c r="P15" s="493"/>
      <c r="Q15" s="493"/>
      <c r="R15" s="493"/>
      <c r="S15" s="493"/>
      <c r="T15" s="493"/>
      <c r="U15" s="493"/>
      <c r="V15" s="493"/>
      <c r="W15" s="493"/>
      <c r="X15" s="493"/>
      <c r="Y15" s="493"/>
      <c r="Z15" s="493"/>
      <c r="AA15" s="493"/>
      <c r="AB15" s="493"/>
      <c r="AC15" s="493"/>
      <c r="AD15" s="493"/>
    </row>
    <row r="16" spans="1:30" ht="18.5">
      <c r="A16" s="50"/>
      <c r="B16" s="50"/>
      <c r="C16" s="59"/>
      <c r="D16" s="59"/>
      <c r="E16" s="59"/>
      <c r="F16" s="484" t="s">
        <v>72</v>
      </c>
      <c r="G16" s="98" t="s">
        <v>77</v>
      </c>
      <c r="H16" s="486">
        <v>2000</v>
      </c>
      <c r="I16" s="59"/>
      <c r="J16" s="59"/>
      <c r="K16" s="59"/>
      <c r="L16" s="59"/>
      <c r="M16" s="59"/>
      <c r="N16" s="493"/>
      <c r="O16" s="493"/>
      <c r="P16" s="493"/>
      <c r="Q16" s="493"/>
      <c r="R16" s="493"/>
      <c r="S16" s="493"/>
      <c r="T16" s="493"/>
      <c r="U16" s="493"/>
      <c r="V16" s="493"/>
      <c r="W16" s="493"/>
      <c r="X16" s="493"/>
      <c r="Y16" s="493"/>
      <c r="Z16" s="493"/>
      <c r="AA16" s="493"/>
      <c r="AB16" s="493"/>
      <c r="AC16" s="493"/>
      <c r="AD16" s="493"/>
    </row>
    <row r="17" spans="1:30" ht="18.5">
      <c r="A17" s="50"/>
      <c r="B17" s="50"/>
      <c r="C17" s="59"/>
      <c r="D17" s="59"/>
      <c r="E17" s="59"/>
      <c r="F17" s="483" t="s">
        <v>72</v>
      </c>
      <c r="G17" s="98" t="s">
        <v>78</v>
      </c>
      <c r="H17" s="486">
        <v>3400</v>
      </c>
      <c r="I17" s="59"/>
      <c r="J17" s="60"/>
      <c r="K17" s="60"/>
      <c r="L17" s="60"/>
      <c r="M17" s="60"/>
      <c r="N17" s="493"/>
      <c r="O17" s="493"/>
      <c r="P17" s="493"/>
      <c r="Q17" s="493"/>
      <c r="R17" s="493"/>
      <c r="S17" s="493"/>
      <c r="T17" s="493"/>
      <c r="U17" s="493"/>
      <c r="V17" s="493"/>
      <c r="W17" s="493"/>
      <c r="X17" s="493"/>
      <c r="Y17" s="493"/>
      <c r="Z17" s="493"/>
      <c r="AA17" s="493"/>
      <c r="AB17" s="493"/>
      <c r="AC17" s="493"/>
      <c r="AD17" s="493"/>
    </row>
    <row r="18" spans="1:30" ht="18.5">
      <c r="A18" s="50"/>
      <c r="B18" s="50"/>
      <c r="C18" s="59"/>
      <c r="D18" s="59"/>
      <c r="E18" s="59"/>
      <c r="F18" s="489" t="s">
        <v>79</v>
      </c>
      <c r="G18" s="489"/>
      <c r="H18" s="490">
        <f>SUM(Table12_1[Account Balance])</f>
        <v>68400</v>
      </c>
      <c r="I18" s="59"/>
      <c r="J18" s="60"/>
      <c r="K18" s="60"/>
      <c r="L18" s="60"/>
      <c r="M18" s="60"/>
      <c r="N18" s="493"/>
      <c r="O18" s="493"/>
      <c r="P18" s="493"/>
      <c r="Q18" s="493"/>
      <c r="R18" s="493"/>
      <c r="S18" s="493"/>
      <c r="T18" s="493"/>
      <c r="U18" s="493"/>
      <c r="V18" s="493"/>
      <c r="W18" s="493"/>
      <c r="X18" s="493"/>
      <c r="Y18" s="493"/>
      <c r="Z18" s="493"/>
      <c r="AA18" s="493"/>
      <c r="AB18" s="493"/>
      <c r="AC18" s="493"/>
      <c r="AD18" s="493"/>
    </row>
    <row r="19" spans="1:30" ht="15.5">
      <c r="A19" s="50"/>
      <c r="B19" s="50"/>
      <c r="C19" s="59"/>
      <c r="D19" s="59"/>
      <c r="E19" s="59"/>
      <c r="F19" s="59"/>
      <c r="G19" s="59"/>
      <c r="H19" s="60"/>
      <c r="I19" s="60"/>
      <c r="J19" s="60"/>
      <c r="K19" s="60"/>
      <c r="L19" s="60"/>
      <c r="M19" s="60"/>
      <c r="N19" s="493"/>
      <c r="O19" s="493"/>
      <c r="P19" s="493"/>
      <c r="Q19" s="493"/>
      <c r="R19" s="493"/>
      <c r="S19" s="493"/>
      <c r="T19" s="493"/>
      <c r="U19" s="493"/>
      <c r="V19" s="493"/>
      <c r="W19" s="493"/>
      <c r="X19" s="493"/>
      <c r="Y19" s="493"/>
      <c r="Z19" s="493"/>
      <c r="AA19" s="493"/>
      <c r="AB19" s="493"/>
      <c r="AC19" s="493"/>
      <c r="AD19" s="493"/>
    </row>
    <row r="20" spans="1:30" ht="26">
      <c r="A20" s="50"/>
      <c r="B20" s="50"/>
      <c r="C20" s="59"/>
      <c r="D20" s="619" t="s">
        <v>80</v>
      </c>
      <c r="E20" s="619"/>
      <c r="F20" s="619"/>
      <c r="G20" s="619"/>
      <c r="H20" s="619"/>
      <c r="I20" s="619"/>
      <c r="J20" s="619"/>
      <c r="K20" s="619"/>
      <c r="L20" s="619"/>
      <c r="M20" s="619"/>
      <c r="N20" s="493"/>
      <c r="O20" s="493"/>
      <c r="P20" s="493"/>
      <c r="Q20" s="493"/>
      <c r="R20" s="493"/>
      <c r="S20" s="493"/>
      <c r="T20" s="493"/>
      <c r="U20" s="493"/>
      <c r="V20" s="493"/>
      <c r="W20" s="493"/>
      <c r="X20" s="493"/>
      <c r="Y20" s="493"/>
      <c r="Z20" s="493"/>
      <c r="AA20" s="493"/>
      <c r="AB20" s="493"/>
      <c r="AC20" s="493"/>
      <c r="AD20" s="493"/>
    </row>
    <row r="21" spans="1:30" ht="15.5">
      <c r="A21" s="50"/>
      <c r="B21" s="50"/>
      <c r="C21" s="59"/>
      <c r="D21" s="59"/>
      <c r="E21" s="59"/>
      <c r="F21" s="59"/>
      <c r="G21" s="59"/>
      <c r="H21" s="59"/>
      <c r="I21" s="59"/>
      <c r="J21" s="59"/>
      <c r="K21" s="59"/>
      <c r="L21" s="59"/>
      <c r="M21" s="59"/>
      <c r="N21" s="493"/>
      <c r="O21" s="493"/>
      <c r="P21" s="493"/>
      <c r="Q21" s="493"/>
      <c r="R21" s="493"/>
      <c r="S21" s="493"/>
      <c r="T21" s="493"/>
      <c r="U21" s="493"/>
      <c r="V21" s="493"/>
      <c r="W21" s="493"/>
      <c r="X21" s="493"/>
      <c r="Y21" s="493"/>
      <c r="Z21" s="493"/>
      <c r="AA21" s="493"/>
      <c r="AB21" s="493"/>
      <c r="AC21" s="493"/>
      <c r="AD21" s="493"/>
    </row>
    <row r="22" spans="1:30" ht="15.5">
      <c r="A22" s="50"/>
      <c r="B22" s="50"/>
      <c r="C22" s="59"/>
      <c r="D22" s="59"/>
      <c r="E22" s="59"/>
      <c r="F22" s="59"/>
      <c r="G22" s="59"/>
      <c r="H22" s="59"/>
      <c r="I22" s="59"/>
      <c r="J22" s="59"/>
      <c r="K22" s="59"/>
      <c r="L22" s="59"/>
      <c r="M22" s="59"/>
      <c r="N22" s="493"/>
      <c r="O22" s="493"/>
      <c r="P22" s="493"/>
      <c r="Q22" s="493"/>
      <c r="R22" s="493"/>
      <c r="S22" s="493"/>
      <c r="T22" s="493"/>
      <c r="U22" s="493"/>
      <c r="V22" s="493"/>
      <c r="W22" s="493"/>
      <c r="X22" s="493"/>
      <c r="Y22" s="493"/>
      <c r="Z22" s="493"/>
      <c r="AA22" s="493"/>
      <c r="AB22" s="493"/>
      <c r="AC22" s="493"/>
      <c r="AD22" s="493"/>
    </row>
    <row r="23" spans="1:30" ht="15.5">
      <c r="A23" s="50"/>
      <c r="B23" s="50"/>
      <c r="C23" s="59"/>
      <c r="D23" s="59"/>
      <c r="E23" s="59"/>
      <c r="F23" s="59"/>
      <c r="G23" s="59"/>
      <c r="H23" s="59"/>
      <c r="I23" s="59"/>
      <c r="J23" s="59"/>
      <c r="K23" s="59"/>
      <c r="L23" s="59"/>
      <c r="M23" s="59"/>
      <c r="N23" s="493"/>
      <c r="O23" s="493"/>
      <c r="P23" s="493"/>
      <c r="Q23" s="493"/>
      <c r="R23" s="493"/>
      <c r="S23" s="493"/>
      <c r="T23" s="493"/>
      <c r="U23" s="493"/>
      <c r="V23" s="493"/>
      <c r="W23" s="493"/>
      <c r="X23" s="493"/>
      <c r="Y23" s="493"/>
      <c r="Z23" s="493"/>
      <c r="AA23" s="493"/>
      <c r="AB23" s="493"/>
      <c r="AC23" s="493"/>
      <c r="AD23" s="493"/>
    </row>
    <row r="24" spans="1:30" ht="15.5">
      <c r="A24" s="50"/>
      <c r="B24" s="50"/>
      <c r="C24" s="59"/>
      <c r="D24" s="59"/>
      <c r="E24" s="59"/>
      <c r="F24" s="59"/>
      <c r="G24" s="59"/>
      <c r="H24" s="59"/>
      <c r="I24" s="59"/>
      <c r="J24" s="59"/>
      <c r="K24" s="59"/>
      <c r="L24" s="59"/>
      <c r="M24" s="59"/>
      <c r="N24" s="493"/>
      <c r="O24" s="493"/>
      <c r="P24" s="493"/>
      <c r="Q24" s="493"/>
      <c r="R24" s="493"/>
      <c r="S24" s="493"/>
      <c r="T24" s="493"/>
      <c r="U24" s="493"/>
      <c r="V24" s="493"/>
      <c r="W24" s="493"/>
      <c r="X24" s="493"/>
      <c r="Y24" s="493"/>
      <c r="Z24" s="493"/>
      <c r="AA24" s="493"/>
      <c r="AB24" s="493"/>
      <c r="AC24" s="493"/>
      <c r="AD24" s="493"/>
    </row>
    <row r="25" spans="1:30" ht="15.5">
      <c r="A25" s="50"/>
      <c r="B25" s="50"/>
      <c r="C25" s="59"/>
      <c r="D25" s="59"/>
      <c r="E25" s="59"/>
      <c r="F25" s="59"/>
      <c r="G25" s="59"/>
      <c r="H25" s="59"/>
      <c r="I25" s="59"/>
      <c r="J25" s="59"/>
      <c r="K25" s="59"/>
      <c r="L25" s="59"/>
      <c r="M25" s="59"/>
      <c r="N25" s="493"/>
      <c r="O25" s="493"/>
      <c r="P25" s="493"/>
      <c r="Q25" s="493"/>
      <c r="R25" s="493"/>
      <c r="S25" s="493"/>
      <c r="T25" s="493"/>
      <c r="U25" s="493"/>
      <c r="V25" s="493"/>
      <c r="W25" s="493"/>
      <c r="X25" s="493"/>
      <c r="Y25" s="493"/>
      <c r="Z25" s="493"/>
      <c r="AA25" s="493"/>
      <c r="AB25" s="493"/>
      <c r="AC25" s="493"/>
      <c r="AD25" s="493"/>
    </row>
    <row r="26" spans="1:30" ht="19.5" customHeight="1">
      <c r="A26" s="50"/>
      <c r="B26" s="50"/>
      <c r="C26" s="59"/>
      <c r="D26" s="59"/>
      <c r="E26" s="59"/>
      <c r="F26" s="59"/>
      <c r="G26" s="59"/>
      <c r="H26" s="59"/>
      <c r="I26" s="59"/>
      <c r="J26" s="59"/>
      <c r="K26" s="59"/>
      <c r="L26" s="59"/>
      <c r="M26" s="59"/>
      <c r="N26" s="493"/>
      <c r="O26" s="493"/>
      <c r="P26" s="493"/>
      <c r="Q26" s="493"/>
      <c r="R26" s="493"/>
      <c r="S26" s="493"/>
      <c r="T26" s="493"/>
      <c r="U26" s="493"/>
      <c r="V26" s="493"/>
      <c r="W26" s="493"/>
      <c r="X26" s="493"/>
      <c r="Y26" s="493"/>
      <c r="Z26" s="493"/>
      <c r="AA26" s="493"/>
      <c r="AB26" s="493"/>
      <c r="AC26" s="493"/>
      <c r="AD26" s="493"/>
    </row>
    <row r="27" spans="1:30" ht="18.5">
      <c r="A27" s="50"/>
      <c r="B27" s="50"/>
      <c r="C27" s="59"/>
      <c r="D27" s="59"/>
      <c r="E27" s="487" t="s">
        <v>81</v>
      </c>
      <c r="F27" s="496" t="s">
        <v>68</v>
      </c>
      <c r="G27" s="587"/>
      <c r="H27" s="587"/>
      <c r="I27" s="587"/>
      <c r="J27" s="59"/>
      <c r="K27" s="59"/>
      <c r="L27" s="59"/>
      <c r="M27" s="59"/>
      <c r="Q27" s="493"/>
      <c r="R27" s="493"/>
      <c r="S27" s="493"/>
      <c r="T27" s="493"/>
      <c r="U27" s="493"/>
      <c r="V27" s="493"/>
      <c r="W27" s="493"/>
      <c r="X27" s="493"/>
      <c r="Y27" s="493"/>
      <c r="Z27" s="493"/>
      <c r="AA27" s="493"/>
      <c r="AB27" s="493"/>
      <c r="AC27" s="493"/>
      <c r="AD27" s="493"/>
    </row>
    <row r="28" spans="1:30" ht="18.5">
      <c r="A28" s="50"/>
      <c r="B28" s="50"/>
      <c r="C28" s="59"/>
      <c r="D28" s="59"/>
      <c r="E28" s="496" t="s">
        <v>82</v>
      </c>
      <c r="F28" s="496" t="s">
        <v>70</v>
      </c>
      <c r="G28" s="496" t="s">
        <v>74</v>
      </c>
      <c r="H28" s="496" t="s">
        <v>72</v>
      </c>
      <c r="I28" s="487" t="s">
        <v>83</v>
      </c>
      <c r="J28" s="59"/>
      <c r="K28" s="59"/>
      <c r="L28" s="59"/>
      <c r="M28" s="59"/>
      <c r="Q28" s="493"/>
      <c r="R28" s="493"/>
      <c r="S28" s="493"/>
      <c r="T28" s="493"/>
      <c r="U28" s="493"/>
      <c r="V28" s="493"/>
      <c r="W28" s="493"/>
      <c r="X28" s="493"/>
      <c r="Y28" s="493"/>
      <c r="Z28" s="493"/>
      <c r="AA28" s="493"/>
      <c r="AB28" s="493"/>
      <c r="AC28" s="493"/>
      <c r="AD28" s="493"/>
    </row>
    <row r="29" spans="1:30" ht="15.5">
      <c r="A29" s="50"/>
      <c r="B29" s="50"/>
      <c r="C29" s="59"/>
      <c r="D29" s="59"/>
      <c r="E29" s="176" t="s">
        <v>73</v>
      </c>
      <c r="F29" s="586">
        <v>3500</v>
      </c>
      <c r="G29" s="586">
        <v>4500</v>
      </c>
      <c r="H29" s="586">
        <v>8000</v>
      </c>
      <c r="I29" s="586">
        <v>16000</v>
      </c>
      <c r="J29" s="59"/>
      <c r="K29" s="59"/>
      <c r="L29" s="59"/>
      <c r="M29" s="59"/>
      <c r="Q29" s="493"/>
      <c r="R29" s="493"/>
      <c r="S29" s="493"/>
      <c r="T29" s="493"/>
      <c r="U29" s="493"/>
      <c r="V29" s="493"/>
      <c r="W29" s="493"/>
      <c r="X29" s="493"/>
      <c r="Y29" s="493"/>
      <c r="Z29" s="493"/>
      <c r="AA29" s="493"/>
      <c r="AB29" s="493"/>
      <c r="AC29" s="493"/>
      <c r="AD29" s="493"/>
    </row>
    <row r="30" spans="1:30" ht="15.5">
      <c r="A30" s="50"/>
      <c r="B30" s="50"/>
      <c r="C30" s="59"/>
      <c r="D30" s="59"/>
      <c r="E30" s="176" t="s">
        <v>77</v>
      </c>
      <c r="F30" s="586"/>
      <c r="G30" s="586">
        <v>1000</v>
      </c>
      <c r="H30" s="586">
        <v>2000</v>
      </c>
      <c r="I30" s="586">
        <v>3000</v>
      </c>
      <c r="J30" s="59"/>
      <c r="K30" s="59"/>
      <c r="L30" s="59"/>
      <c r="M30" s="59"/>
      <c r="Q30" s="493"/>
      <c r="R30" s="493"/>
      <c r="S30" s="493"/>
      <c r="T30" s="493"/>
      <c r="U30" s="493"/>
      <c r="V30" s="493"/>
      <c r="W30" s="493"/>
      <c r="X30" s="493"/>
      <c r="Y30" s="493"/>
      <c r="Z30" s="493"/>
      <c r="AA30" s="493"/>
      <c r="AB30" s="493"/>
      <c r="AC30" s="493"/>
      <c r="AD30" s="493"/>
    </row>
    <row r="31" spans="1:30" ht="15.5">
      <c r="A31" s="50"/>
      <c r="B31" s="50"/>
      <c r="C31" s="59"/>
      <c r="D31" s="59"/>
      <c r="E31" s="176" t="s">
        <v>76</v>
      </c>
      <c r="F31" s="586"/>
      <c r="G31" s="586"/>
      <c r="H31" s="586">
        <v>1000</v>
      </c>
      <c r="I31" s="586">
        <v>1000</v>
      </c>
      <c r="J31" s="59"/>
      <c r="K31" s="59"/>
      <c r="L31" s="59"/>
      <c r="M31" s="59"/>
      <c r="N31" s="493"/>
      <c r="O31" s="493"/>
      <c r="P31" s="493"/>
      <c r="Q31" s="493"/>
      <c r="R31" s="493"/>
      <c r="S31" s="493"/>
      <c r="T31" s="493"/>
      <c r="U31" s="493"/>
      <c r="V31" s="493"/>
      <c r="W31" s="493"/>
      <c r="X31" s="493"/>
      <c r="Y31" s="493"/>
      <c r="Z31" s="493"/>
      <c r="AA31" s="493"/>
      <c r="AB31" s="493"/>
      <c r="AC31" s="493"/>
      <c r="AD31" s="493"/>
    </row>
    <row r="32" spans="1:30" ht="15.5">
      <c r="A32" s="50"/>
      <c r="B32" s="50"/>
      <c r="C32" s="59"/>
      <c r="D32" s="59"/>
      <c r="E32" s="176" t="s">
        <v>75</v>
      </c>
      <c r="F32" s="586"/>
      <c r="G32" s="586">
        <v>40000</v>
      </c>
      <c r="H32" s="586"/>
      <c r="I32" s="586">
        <v>40000</v>
      </c>
      <c r="J32" s="59"/>
      <c r="K32" s="59"/>
      <c r="L32" s="59"/>
      <c r="M32" s="59"/>
      <c r="N32" s="493"/>
      <c r="O32" s="493"/>
      <c r="P32" s="493"/>
      <c r="Q32" s="493"/>
      <c r="R32" s="493"/>
      <c r="S32" s="493"/>
      <c r="T32" s="493"/>
      <c r="U32" s="493"/>
      <c r="V32" s="493"/>
      <c r="W32" s="493"/>
      <c r="X32" s="493"/>
      <c r="Y32" s="493"/>
      <c r="Z32" s="493"/>
      <c r="AA32" s="493"/>
      <c r="AB32" s="493"/>
      <c r="AC32" s="493"/>
      <c r="AD32" s="493"/>
    </row>
    <row r="33" spans="1:30" ht="15.5">
      <c r="A33" s="50"/>
      <c r="B33" s="50"/>
      <c r="C33" s="59"/>
      <c r="D33" s="59"/>
      <c r="E33" s="176" t="s">
        <v>71</v>
      </c>
      <c r="F33" s="586">
        <v>5000</v>
      </c>
      <c r="G33" s="586"/>
      <c r="H33" s="586"/>
      <c r="I33" s="586">
        <v>5000</v>
      </c>
      <c r="J33" s="59"/>
      <c r="K33" s="59"/>
      <c r="L33" s="59"/>
      <c r="M33" s="59"/>
      <c r="N33" s="493"/>
      <c r="O33" s="493"/>
      <c r="P33" s="493"/>
      <c r="Q33" s="493"/>
      <c r="R33" s="493"/>
      <c r="S33" s="493"/>
      <c r="T33" s="493"/>
      <c r="U33" s="493"/>
      <c r="V33" s="493"/>
      <c r="W33" s="493"/>
      <c r="X33" s="493"/>
      <c r="Y33" s="493"/>
      <c r="Z33" s="493"/>
      <c r="AA33" s="493"/>
      <c r="AB33" s="493"/>
      <c r="AC33" s="493"/>
      <c r="AD33" s="493"/>
    </row>
    <row r="34" spans="1:30" ht="15.5">
      <c r="A34" s="50"/>
      <c r="B34" s="50"/>
      <c r="C34" s="59"/>
      <c r="D34" s="59"/>
      <c r="E34" s="176" t="s">
        <v>78</v>
      </c>
      <c r="F34" s="586"/>
      <c r="G34" s="586"/>
      <c r="H34" s="586">
        <v>3400</v>
      </c>
      <c r="I34" s="586">
        <v>3400</v>
      </c>
      <c r="J34" s="59"/>
      <c r="K34" s="59"/>
      <c r="L34" s="59"/>
      <c r="M34" s="59"/>
      <c r="N34" s="493"/>
      <c r="O34" s="493"/>
      <c r="P34" s="493"/>
      <c r="Q34" s="493"/>
      <c r="R34" s="493"/>
      <c r="S34" s="493"/>
      <c r="T34" s="493"/>
      <c r="U34" s="493"/>
      <c r="V34" s="493"/>
      <c r="W34" s="493"/>
      <c r="X34" s="493"/>
      <c r="Y34" s="493"/>
      <c r="Z34" s="493"/>
      <c r="AA34" s="493"/>
      <c r="AB34" s="493"/>
      <c r="AC34" s="493"/>
      <c r="AD34" s="493"/>
    </row>
    <row r="35" spans="1:30" ht="15.5">
      <c r="A35" s="50"/>
      <c r="B35" s="50"/>
      <c r="C35" s="59"/>
      <c r="D35" s="59"/>
      <c r="E35" s="491" t="s">
        <v>83</v>
      </c>
      <c r="F35" s="588">
        <v>8500</v>
      </c>
      <c r="G35" s="588">
        <v>45500</v>
      </c>
      <c r="H35" s="588">
        <v>14400</v>
      </c>
      <c r="I35" s="588">
        <v>68400</v>
      </c>
      <c r="J35" s="60"/>
      <c r="K35" s="60"/>
      <c r="L35" s="60"/>
      <c r="M35" s="60"/>
      <c r="N35" s="493"/>
      <c r="O35" s="493"/>
      <c r="P35" s="493"/>
      <c r="Q35" s="493"/>
      <c r="R35" s="493"/>
      <c r="S35" s="493"/>
      <c r="T35" s="493"/>
      <c r="U35" s="493"/>
      <c r="V35" s="493"/>
      <c r="W35" s="493"/>
      <c r="X35" s="493"/>
      <c r="Y35" s="493"/>
      <c r="Z35" s="493"/>
      <c r="AA35" s="493"/>
      <c r="AB35" s="493"/>
      <c r="AC35" s="493"/>
      <c r="AD35" s="493"/>
    </row>
    <row r="36" spans="1:30" ht="15.5">
      <c r="A36" s="50"/>
      <c r="B36" s="50"/>
      <c r="C36" s="59"/>
      <c r="D36" s="59"/>
      <c r="E36" s="59"/>
      <c r="F36" s="59"/>
      <c r="G36" s="59"/>
      <c r="H36" s="59"/>
      <c r="I36" s="59"/>
      <c r="J36" s="60"/>
      <c r="K36" s="60"/>
      <c r="L36" s="60"/>
      <c r="M36" s="60"/>
      <c r="N36" s="493"/>
      <c r="O36" s="493"/>
      <c r="P36" s="493"/>
      <c r="Q36" s="493"/>
      <c r="R36" s="493"/>
      <c r="S36" s="493"/>
      <c r="T36" s="493"/>
      <c r="U36" s="493"/>
      <c r="V36" s="493"/>
      <c r="W36" s="493"/>
      <c r="X36" s="493"/>
      <c r="Y36" s="493"/>
      <c r="Z36" s="493"/>
      <c r="AA36" s="493"/>
      <c r="AB36" s="493"/>
      <c r="AC36" s="493"/>
      <c r="AD36" s="493"/>
    </row>
    <row r="37" spans="1:30" ht="15.5">
      <c r="A37" s="50"/>
      <c r="B37" s="50"/>
      <c r="C37" s="59"/>
      <c r="D37" s="59"/>
      <c r="E37" s="59"/>
      <c r="F37" s="59"/>
      <c r="G37" s="59"/>
      <c r="H37" s="59"/>
      <c r="I37" s="59"/>
      <c r="J37" s="60"/>
      <c r="K37" s="60"/>
      <c r="L37" s="60"/>
      <c r="M37" s="60"/>
      <c r="N37" s="493"/>
      <c r="O37" s="493"/>
      <c r="P37" s="493"/>
      <c r="Q37" s="493"/>
      <c r="R37" s="493"/>
      <c r="S37" s="493"/>
      <c r="T37" s="493"/>
      <c r="U37" s="493"/>
      <c r="V37" s="493"/>
      <c r="W37" s="493"/>
      <c r="X37" s="493"/>
      <c r="Y37" s="493"/>
      <c r="Z37" s="493"/>
      <c r="AA37" s="493"/>
      <c r="AB37" s="493"/>
      <c r="AC37" s="493"/>
      <c r="AD37" s="493"/>
    </row>
    <row r="38" spans="1:30" ht="15.5">
      <c r="A38" s="50"/>
      <c r="B38" s="50"/>
      <c r="C38" s="59"/>
      <c r="D38" s="59"/>
      <c r="E38" s="59"/>
      <c r="F38" s="59"/>
      <c r="G38" s="59"/>
      <c r="H38" s="59"/>
      <c r="I38" s="59"/>
      <c r="J38" s="59"/>
      <c r="K38" s="59"/>
      <c r="L38" s="59"/>
      <c r="M38" s="59"/>
      <c r="N38" s="493"/>
      <c r="O38" s="493"/>
      <c r="P38" s="493"/>
      <c r="Q38" s="493"/>
      <c r="R38" s="493"/>
      <c r="S38" s="493"/>
      <c r="T38" s="493"/>
      <c r="U38" s="493"/>
      <c r="V38" s="493"/>
      <c r="W38" s="493"/>
      <c r="X38" s="493"/>
      <c r="Y38" s="493"/>
      <c r="Z38" s="493"/>
      <c r="AA38" s="493"/>
      <c r="AB38" s="493"/>
      <c r="AC38" s="493"/>
      <c r="AD38" s="493"/>
    </row>
    <row r="39" spans="1:30" ht="15.5">
      <c r="A39" s="50"/>
      <c r="B39" s="50"/>
      <c r="C39" s="59"/>
      <c r="D39" s="59"/>
      <c r="E39" s="59"/>
      <c r="F39" s="59"/>
      <c r="G39" s="59"/>
      <c r="H39" s="59"/>
      <c r="I39" s="59"/>
      <c r="J39" s="59"/>
      <c r="K39" s="59"/>
      <c r="L39" s="59"/>
      <c r="M39" s="59"/>
      <c r="N39" s="493"/>
      <c r="O39" s="493"/>
      <c r="P39" s="493"/>
      <c r="Q39" s="493"/>
      <c r="R39" s="493"/>
      <c r="S39" s="493"/>
      <c r="T39" s="493"/>
      <c r="U39" s="493"/>
      <c r="V39" s="493"/>
      <c r="W39" s="493"/>
      <c r="X39" s="493"/>
      <c r="Y39" s="493"/>
      <c r="Z39" s="493"/>
      <c r="AA39" s="493"/>
      <c r="AB39" s="493"/>
      <c r="AC39" s="493"/>
      <c r="AD39" s="493"/>
    </row>
    <row r="40" spans="1:30" ht="15.5">
      <c r="A40" s="50"/>
      <c r="B40" s="50"/>
      <c r="C40" s="59"/>
      <c r="D40" s="59"/>
      <c r="E40" s="59"/>
      <c r="F40" s="59"/>
      <c r="G40" s="59"/>
      <c r="H40" s="59"/>
      <c r="I40" s="59"/>
      <c r="J40" s="59"/>
      <c r="K40" s="59"/>
      <c r="L40" s="59"/>
      <c r="M40" s="59"/>
      <c r="N40" s="493"/>
      <c r="O40" s="493"/>
      <c r="P40" s="493"/>
      <c r="Q40" s="493"/>
      <c r="R40" s="493"/>
      <c r="S40" s="493"/>
      <c r="T40" s="493"/>
      <c r="U40" s="493"/>
      <c r="V40" s="493"/>
      <c r="W40" s="493"/>
      <c r="X40" s="493"/>
      <c r="Y40" s="493"/>
      <c r="Z40" s="493"/>
      <c r="AA40" s="493"/>
      <c r="AB40" s="493"/>
      <c r="AC40" s="493"/>
      <c r="AD40" s="493"/>
    </row>
    <row r="41" spans="1:30" ht="15.5">
      <c r="A41" s="50"/>
      <c r="B41" s="50"/>
      <c r="C41" s="59"/>
      <c r="D41" s="59"/>
      <c r="E41" s="59"/>
      <c r="F41" s="59"/>
      <c r="G41" s="59"/>
      <c r="H41" s="59"/>
      <c r="I41" s="59"/>
      <c r="J41" s="59"/>
      <c r="K41" s="59"/>
      <c r="L41" s="59"/>
      <c r="M41" s="59"/>
      <c r="N41" s="493"/>
      <c r="O41" s="493"/>
      <c r="P41" s="493"/>
      <c r="Q41" s="493"/>
      <c r="R41" s="493"/>
      <c r="S41" s="493"/>
      <c r="T41" s="493"/>
      <c r="U41" s="493"/>
      <c r="V41" s="493"/>
      <c r="W41" s="493"/>
      <c r="X41" s="493"/>
      <c r="Y41" s="493"/>
      <c r="Z41" s="493"/>
      <c r="AA41" s="493"/>
      <c r="AB41" s="493"/>
      <c r="AC41" s="493"/>
      <c r="AD41" s="493"/>
    </row>
    <row r="42" spans="1:30" ht="29.5" customHeight="1">
      <c r="A42" s="50"/>
      <c r="B42" s="50"/>
      <c r="C42" s="59"/>
      <c r="D42" s="59"/>
      <c r="E42" s="59"/>
      <c r="F42" s="59"/>
      <c r="G42" s="59"/>
      <c r="H42" s="59"/>
      <c r="I42" s="59"/>
      <c r="J42" s="59"/>
      <c r="K42" s="59"/>
      <c r="L42" s="59"/>
      <c r="M42" s="59"/>
      <c r="N42" s="493"/>
      <c r="O42" s="493"/>
      <c r="P42" s="493"/>
      <c r="Q42" s="493"/>
      <c r="R42" s="493"/>
      <c r="S42" s="493"/>
      <c r="T42" s="493"/>
      <c r="U42" s="493"/>
      <c r="V42" s="493"/>
      <c r="W42" s="493"/>
      <c r="X42" s="493"/>
      <c r="Y42" s="493"/>
      <c r="Z42" s="493"/>
      <c r="AA42" s="493"/>
      <c r="AB42" s="493"/>
      <c r="AC42" s="493"/>
      <c r="AD42" s="493"/>
    </row>
    <row r="43" spans="1:30" ht="26">
      <c r="A43" s="50"/>
      <c r="B43" s="50"/>
      <c r="C43" s="59"/>
      <c r="D43" s="619" t="s">
        <v>84</v>
      </c>
      <c r="E43" s="619"/>
      <c r="F43" s="619"/>
      <c r="G43" s="619"/>
      <c r="H43" s="619"/>
      <c r="I43" s="619"/>
      <c r="J43" s="619"/>
      <c r="K43" s="619"/>
      <c r="L43" s="619"/>
      <c r="M43" s="619"/>
      <c r="N43" s="493"/>
      <c r="O43" s="493"/>
      <c r="P43" s="493"/>
      <c r="Q43" s="493"/>
      <c r="R43" s="493"/>
      <c r="S43" s="493"/>
      <c r="T43" s="493"/>
      <c r="U43" s="493"/>
      <c r="V43" s="493"/>
      <c r="W43" s="493"/>
      <c r="X43" s="493"/>
      <c r="Y43" s="493"/>
      <c r="Z43" s="493"/>
      <c r="AA43" s="493"/>
      <c r="AB43" s="493"/>
      <c r="AC43" s="493"/>
      <c r="AD43" s="493"/>
    </row>
    <row r="44" spans="1:30" ht="15.5">
      <c r="A44" s="50"/>
      <c r="B44" s="50"/>
      <c r="C44" s="59"/>
      <c r="D44" s="59"/>
      <c r="E44" s="59"/>
      <c r="F44" s="59"/>
      <c r="G44" s="59"/>
      <c r="H44" s="59"/>
      <c r="I44" s="59"/>
      <c r="J44" s="59"/>
      <c r="K44" s="59"/>
      <c r="L44" s="59"/>
      <c r="M44" s="59"/>
      <c r="N44" s="493"/>
      <c r="O44" s="493"/>
      <c r="P44" s="493"/>
      <c r="Q44" s="493"/>
      <c r="R44" s="493"/>
      <c r="S44" s="493"/>
      <c r="T44" s="493"/>
      <c r="U44" s="493"/>
      <c r="V44" s="493"/>
      <c r="W44" s="493"/>
      <c r="X44" s="493"/>
      <c r="Y44" s="493"/>
      <c r="Z44" s="493"/>
      <c r="AA44" s="493"/>
      <c r="AB44" s="493"/>
      <c r="AC44" s="493"/>
      <c r="AD44" s="493"/>
    </row>
    <row r="45" spans="1:30" ht="15.5">
      <c r="A45" s="50"/>
      <c r="B45" s="50"/>
      <c r="C45" s="59"/>
      <c r="D45" s="59"/>
      <c r="E45" s="59"/>
      <c r="F45" s="59"/>
      <c r="G45" s="59"/>
      <c r="H45" s="59"/>
      <c r="I45" s="59"/>
      <c r="J45" s="59"/>
      <c r="K45" s="59"/>
      <c r="L45" s="59"/>
      <c r="M45" s="59"/>
      <c r="N45" s="493"/>
      <c r="O45" s="493"/>
      <c r="P45" s="493"/>
      <c r="Q45" s="493"/>
      <c r="R45" s="493"/>
      <c r="S45" s="493"/>
      <c r="T45" s="493"/>
      <c r="U45" s="493"/>
      <c r="V45" s="493"/>
      <c r="W45" s="493"/>
      <c r="X45" s="493"/>
      <c r="Y45" s="493"/>
      <c r="Z45" s="493"/>
      <c r="AA45" s="493"/>
      <c r="AB45" s="493"/>
      <c r="AC45" s="493"/>
      <c r="AD45" s="493"/>
    </row>
    <row r="46" spans="1:30" ht="28.5" customHeight="1">
      <c r="A46" s="50"/>
      <c r="B46" s="50"/>
      <c r="C46" s="59"/>
      <c r="D46" s="59"/>
      <c r="E46" s="59"/>
      <c r="F46" s="59"/>
      <c r="G46" s="59"/>
      <c r="H46" s="59"/>
      <c r="I46" s="59"/>
      <c r="J46" s="59"/>
      <c r="K46" s="59"/>
      <c r="L46" s="59"/>
      <c r="M46" s="59"/>
      <c r="N46" s="493"/>
      <c r="O46" s="493"/>
      <c r="P46" s="493"/>
      <c r="Q46" s="493"/>
      <c r="R46" s="493"/>
      <c r="S46" s="493"/>
      <c r="T46" s="493"/>
      <c r="U46" s="493"/>
      <c r="V46" s="493"/>
      <c r="W46" s="493"/>
      <c r="X46" s="493"/>
      <c r="Y46" s="493"/>
      <c r="Z46" s="493"/>
      <c r="AA46" s="493"/>
      <c r="AB46" s="493"/>
      <c r="AC46" s="493"/>
      <c r="AD46" s="493"/>
    </row>
    <row r="47" spans="1:30" ht="34.5" customHeight="1">
      <c r="A47" s="50"/>
      <c r="B47" s="50"/>
      <c r="C47" s="59"/>
      <c r="D47" s="59"/>
      <c r="E47" s="59"/>
      <c r="F47" s="59"/>
      <c r="G47" s="59"/>
      <c r="H47" s="59"/>
      <c r="I47" s="59"/>
      <c r="J47" s="59"/>
      <c r="K47" s="59"/>
      <c r="L47" s="59"/>
      <c r="M47" s="59"/>
      <c r="N47" s="493"/>
      <c r="O47" s="493"/>
      <c r="P47" s="493"/>
      <c r="Q47" s="493"/>
      <c r="R47" s="493"/>
      <c r="S47" s="493"/>
      <c r="T47" s="493"/>
      <c r="U47" s="493"/>
      <c r="V47" s="493"/>
      <c r="W47" s="493"/>
      <c r="X47" s="493"/>
      <c r="Y47" s="493"/>
      <c r="Z47" s="493"/>
      <c r="AA47" s="493"/>
      <c r="AB47" s="493"/>
      <c r="AC47" s="493"/>
      <c r="AD47" s="493"/>
    </row>
    <row r="48" spans="1:30" ht="18.5">
      <c r="A48" s="50"/>
      <c r="B48" s="50"/>
      <c r="C48" s="59"/>
      <c r="D48" s="59"/>
      <c r="E48" s="487" t="s">
        <v>81</v>
      </c>
      <c r="F48" s="496" t="s">
        <v>68</v>
      </c>
      <c r="G48" s="587"/>
      <c r="H48" s="59"/>
      <c r="I48" s="59"/>
      <c r="J48" s="59"/>
      <c r="K48" s="59"/>
      <c r="L48" s="59"/>
      <c r="M48" s="59"/>
      <c r="N48" s="493"/>
      <c r="O48" s="493"/>
      <c r="P48" s="493"/>
      <c r="Q48" s="493"/>
      <c r="R48" s="493"/>
      <c r="S48" s="493"/>
      <c r="T48" s="493"/>
      <c r="U48" s="493"/>
      <c r="V48" s="493"/>
      <c r="W48" s="493"/>
      <c r="X48" s="493"/>
      <c r="Y48" s="493"/>
      <c r="Z48" s="493"/>
      <c r="AA48" s="493"/>
      <c r="AB48" s="493"/>
      <c r="AC48" s="493"/>
      <c r="AD48" s="493"/>
    </row>
    <row r="49" spans="1:30" ht="18.5">
      <c r="A49" s="50"/>
      <c r="B49" s="50"/>
      <c r="C49" s="59"/>
      <c r="D49" s="59"/>
      <c r="E49" s="496" t="s">
        <v>82</v>
      </c>
      <c r="F49" s="496" t="s">
        <v>73</v>
      </c>
      <c r="G49" s="487" t="s">
        <v>83</v>
      </c>
      <c r="H49" s="59"/>
      <c r="I49" s="59"/>
      <c r="J49" s="59"/>
      <c r="K49" s="59"/>
      <c r="L49" s="59"/>
      <c r="M49" s="59"/>
      <c r="N49" s="493"/>
      <c r="O49" s="493"/>
      <c r="P49" s="493"/>
      <c r="Q49" s="493"/>
      <c r="R49" s="493"/>
      <c r="S49" s="493"/>
      <c r="T49" s="493"/>
      <c r="U49" s="493"/>
      <c r="V49" s="493"/>
      <c r="W49" s="493"/>
      <c r="X49" s="493"/>
      <c r="Y49" s="493"/>
      <c r="Z49" s="493"/>
      <c r="AA49" s="493"/>
      <c r="AB49" s="493"/>
      <c r="AC49" s="493"/>
      <c r="AD49" s="493"/>
    </row>
    <row r="50" spans="1:30" ht="15.5">
      <c r="A50" s="50"/>
      <c r="B50" s="50"/>
      <c r="C50" s="59"/>
      <c r="D50" s="59"/>
      <c r="E50" s="176" t="s">
        <v>70</v>
      </c>
      <c r="F50" s="586">
        <v>3500</v>
      </c>
      <c r="G50" s="586">
        <v>3500</v>
      </c>
      <c r="H50" s="59"/>
      <c r="I50" s="59"/>
      <c r="J50" s="59"/>
      <c r="K50" s="59"/>
      <c r="L50" s="59"/>
      <c r="M50" s="59"/>
      <c r="N50" s="493"/>
      <c r="O50" s="493"/>
      <c r="P50" s="493"/>
      <c r="Q50" s="493"/>
      <c r="R50" s="493"/>
      <c r="S50" s="493"/>
      <c r="T50" s="493"/>
      <c r="U50" s="493"/>
      <c r="V50" s="493"/>
      <c r="W50" s="493"/>
      <c r="X50" s="493"/>
      <c r="Y50" s="493"/>
      <c r="Z50" s="493"/>
      <c r="AA50" s="493"/>
      <c r="AB50" s="493"/>
      <c r="AC50" s="493"/>
      <c r="AD50" s="493"/>
    </row>
    <row r="51" spans="1:30" ht="15.5">
      <c r="A51" s="50"/>
      <c r="B51" s="50"/>
      <c r="C51" s="59"/>
      <c r="D51" s="59"/>
      <c r="E51" s="176" t="s">
        <v>74</v>
      </c>
      <c r="F51" s="586">
        <v>4500</v>
      </c>
      <c r="G51" s="586">
        <v>4500</v>
      </c>
      <c r="H51" s="59"/>
      <c r="I51" s="59"/>
      <c r="J51" s="59"/>
      <c r="K51" s="59"/>
      <c r="L51" s="59"/>
      <c r="M51" s="59"/>
      <c r="N51" s="493"/>
      <c r="O51" s="493"/>
      <c r="P51" s="493"/>
      <c r="Q51" s="493"/>
      <c r="R51" s="493"/>
      <c r="S51" s="493"/>
      <c r="T51" s="493"/>
      <c r="U51" s="493"/>
      <c r="V51" s="493"/>
      <c r="W51" s="493"/>
      <c r="X51" s="493"/>
      <c r="Y51" s="493"/>
      <c r="Z51" s="493"/>
      <c r="AA51" s="493"/>
      <c r="AB51" s="493"/>
      <c r="AC51" s="493"/>
      <c r="AD51" s="493"/>
    </row>
    <row r="52" spans="1:30" ht="15.5">
      <c r="A52" s="50"/>
      <c r="B52" s="50"/>
      <c r="C52" s="59"/>
      <c r="D52" s="59"/>
      <c r="E52" s="176" t="s">
        <v>72</v>
      </c>
      <c r="F52" s="586">
        <v>8000</v>
      </c>
      <c r="G52" s="586">
        <v>8000</v>
      </c>
      <c r="H52" s="59"/>
      <c r="I52" s="59"/>
      <c r="J52" s="59"/>
      <c r="K52" s="59"/>
      <c r="L52" s="59"/>
      <c r="M52" s="59"/>
      <c r="N52" s="493"/>
      <c r="O52" s="493"/>
      <c r="P52" s="493"/>
      <c r="Q52" s="493"/>
      <c r="R52" s="493"/>
      <c r="S52" s="493"/>
      <c r="T52" s="493"/>
      <c r="U52" s="493"/>
      <c r="V52" s="493"/>
      <c r="W52" s="493"/>
      <c r="X52" s="493"/>
      <c r="Y52" s="493"/>
      <c r="Z52" s="493"/>
      <c r="AA52" s="493"/>
      <c r="AB52" s="493"/>
      <c r="AC52" s="493"/>
      <c r="AD52" s="493"/>
    </row>
    <row r="53" spans="1:30" ht="15.5">
      <c r="A53" s="50"/>
      <c r="B53" s="50"/>
      <c r="C53" s="59"/>
      <c r="D53" s="59"/>
      <c r="E53" s="491" t="s">
        <v>83</v>
      </c>
      <c r="F53" s="588">
        <v>16000</v>
      </c>
      <c r="G53" s="588">
        <v>16000</v>
      </c>
      <c r="H53" s="59"/>
      <c r="I53" s="59"/>
      <c r="J53" s="59"/>
      <c r="K53" s="59"/>
      <c r="L53" s="59"/>
      <c r="M53" s="59"/>
      <c r="N53" s="493"/>
      <c r="O53" s="493"/>
      <c r="P53" s="493"/>
      <c r="Q53" s="493"/>
      <c r="R53" s="493"/>
      <c r="S53" s="493"/>
      <c r="T53" s="493"/>
      <c r="U53" s="493"/>
      <c r="V53" s="493"/>
      <c r="W53" s="493"/>
      <c r="X53" s="493"/>
      <c r="Y53" s="493"/>
      <c r="Z53" s="493"/>
      <c r="AA53" s="493"/>
      <c r="AB53" s="493"/>
      <c r="AC53" s="493"/>
      <c r="AD53" s="493"/>
    </row>
    <row r="54" spans="1:30" ht="15.5">
      <c r="A54" s="50"/>
      <c r="B54" s="50"/>
      <c r="C54" s="59"/>
      <c r="D54" s="59"/>
      <c r="E54" s="59"/>
      <c r="F54" s="59"/>
      <c r="G54" s="59"/>
      <c r="H54" s="59"/>
      <c r="I54" s="59"/>
      <c r="J54" s="59"/>
      <c r="K54" s="59"/>
      <c r="L54" s="59"/>
      <c r="M54" s="59"/>
      <c r="N54" s="493"/>
      <c r="O54" s="493"/>
      <c r="P54" s="493"/>
      <c r="Q54" s="493"/>
      <c r="R54" s="493"/>
      <c r="S54" s="493"/>
      <c r="T54" s="493"/>
      <c r="U54" s="493"/>
      <c r="V54" s="493"/>
      <c r="W54" s="493"/>
      <c r="X54" s="493"/>
      <c r="Y54" s="493"/>
      <c r="Z54" s="493"/>
      <c r="AA54" s="493"/>
      <c r="AB54" s="493"/>
      <c r="AC54" s="493"/>
      <c r="AD54" s="493"/>
    </row>
    <row r="55" spans="1:30" ht="15.5">
      <c r="A55" s="50"/>
      <c r="B55" s="50"/>
      <c r="C55" s="59"/>
      <c r="D55" s="59"/>
      <c r="E55" s="59"/>
      <c r="F55" s="59"/>
      <c r="G55" s="59"/>
      <c r="H55" s="59"/>
      <c r="I55" s="59"/>
      <c r="J55" s="59"/>
      <c r="K55" s="59"/>
      <c r="L55" s="59"/>
      <c r="M55" s="59"/>
      <c r="N55" s="493"/>
      <c r="O55" s="493"/>
      <c r="P55" s="493"/>
      <c r="Q55" s="493"/>
      <c r="R55" s="493"/>
      <c r="S55" s="493"/>
      <c r="T55" s="493"/>
      <c r="U55" s="493"/>
      <c r="V55" s="493"/>
      <c r="W55" s="493"/>
      <c r="X55" s="493"/>
      <c r="Y55" s="493"/>
      <c r="Z55" s="493"/>
      <c r="AA55" s="493"/>
      <c r="AB55" s="493"/>
      <c r="AC55" s="493"/>
      <c r="AD55" s="493"/>
    </row>
    <row r="56" spans="1:30" ht="15.5">
      <c r="A56" s="50"/>
      <c r="B56" s="50"/>
      <c r="C56" s="59"/>
      <c r="D56" s="59"/>
      <c r="E56" s="59"/>
      <c r="F56" s="59"/>
      <c r="G56" s="59"/>
      <c r="H56" s="59"/>
      <c r="I56" s="59"/>
      <c r="J56" s="59"/>
      <c r="K56" s="59"/>
      <c r="L56" s="59"/>
      <c r="M56" s="59"/>
      <c r="N56" s="493"/>
      <c r="O56" s="493"/>
      <c r="P56" s="493"/>
      <c r="Q56" s="493"/>
      <c r="R56" s="493"/>
      <c r="S56" s="493"/>
      <c r="T56" s="493"/>
      <c r="U56" s="493"/>
      <c r="V56" s="493"/>
      <c r="W56" s="493"/>
      <c r="X56" s="493"/>
      <c r="Y56" s="493"/>
      <c r="Z56" s="493"/>
      <c r="AA56" s="493"/>
      <c r="AB56" s="493"/>
      <c r="AC56" s="493"/>
      <c r="AD56" s="493"/>
    </row>
    <row r="57" spans="1:30" ht="15.5">
      <c r="A57" s="50"/>
      <c r="B57" s="50"/>
      <c r="C57" s="59"/>
      <c r="D57" s="59"/>
      <c r="E57" s="59"/>
      <c r="F57" s="59"/>
      <c r="G57" s="59"/>
      <c r="H57" s="59"/>
      <c r="I57" s="59"/>
      <c r="J57" s="59"/>
      <c r="K57" s="59"/>
      <c r="L57" s="59"/>
      <c r="M57" s="59"/>
      <c r="N57" s="493"/>
      <c r="O57" s="493"/>
      <c r="P57" s="493"/>
      <c r="Q57" s="493"/>
      <c r="R57" s="493"/>
      <c r="S57" s="493"/>
      <c r="T57" s="493"/>
      <c r="U57" s="493"/>
      <c r="V57" s="493"/>
      <c r="W57" s="493"/>
      <c r="X57" s="493"/>
      <c r="Y57" s="493"/>
      <c r="Z57" s="493"/>
      <c r="AA57" s="493"/>
      <c r="AB57" s="493"/>
      <c r="AC57" s="493"/>
      <c r="AD57" s="493"/>
    </row>
    <row r="58" spans="1:30" ht="15.5">
      <c r="A58" s="50"/>
      <c r="B58" s="50"/>
      <c r="C58" s="59"/>
      <c r="D58" s="59"/>
      <c r="E58" s="59"/>
      <c r="F58" s="59"/>
      <c r="G58" s="59"/>
      <c r="H58" s="59"/>
      <c r="I58" s="59"/>
      <c r="J58" s="59"/>
      <c r="K58" s="59"/>
      <c r="L58" s="59"/>
      <c r="M58" s="59"/>
      <c r="N58" s="493"/>
      <c r="O58" s="493"/>
      <c r="P58" s="493"/>
      <c r="Q58" s="493"/>
      <c r="R58" s="493"/>
      <c r="S58" s="493"/>
      <c r="T58" s="493"/>
      <c r="U58" s="493"/>
      <c r="V58" s="493"/>
      <c r="W58" s="493"/>
      <c r="X58" s="493"/>
      <c r="Y58" s="493"/>
      <c r="Z58" s="493"/>
      <c r="AA58" s="493"/>
      <c r="AB58" s="493"/>
      <c r="AC58" s="493"/>
      <c r="AD58" s="493"/>
    </row>
    <row r="59" spans="1:30" ht="15.5">
      <c r="A59" s="50"/>
      <c r="B59" s="50"/>
      <c r="C59" s="59"/>
      <c r="D59" s="59"/>
      <c r="E59" s="59"/>
      <c r="F59" s="59"/>
      <c r="G59" s="59"/>
      <c r="H59" s="59"/>
      <c r="I59" s="59"/>
      <c r="J59" s="59"/>
      <c r="K59" s="59"/>
      <c r="L59" s="59"/>
      <c r="M59" s="59"/>
      <c r="N59" s="493"/>
      <c r="O59" s="493"/>
      <c r="P59" s="493"/>
      <c r="Q59" s="493"/>
      <c r="R59" s="493"/>
      <c r="S59" s="493"/>
      <c r="T59" s="493"/>
      <c r="U59" s="493"/>
      <c r="V59" s="493"/>
      <c r="W59" s="493"/>
      <c r="X59" s="493"/>
      <c r="Y59" s="493"/>
      <c r="Z59" s="493"/>
      <c r="AA59" s="493"/>
      <c r="AB59" s="493"/>
      <c r="AC59" s="493"/>
      <c r="AD59" s="493"/>
    </row>
    <row r="60" spans="1:30" ht="15.5">
      <c r="A60" s="50"/>
      <c r="B60" s="50"/>
      <c r="C60" s="59"/>
      <c r="D60" s="59"/>
      <c r="E60" s="59"/>
      <c r="F60" s="59"/>
      <c r="G60" s="59"/>
      <c r="H60" s="59"/>
      <c r="I60" s="59"/>
      <c r="J60" s="59"/>
      <c r="K60" s="59"/>
      <c r="L60" s="59"/>
      <c r="M60" s="59"/>
      <c r="N60" s="493"/>
      <c r="O60" s="493"/>
      <c r="P60" s="493"/>
      <c r="Q60" s="493"/>
      <c r="R60" s="493"/>
      <c r="S60" s="493"/>
      <c r="T60" s="493"/>
      <c r="U60" s="493"/>
      <c r="V60" s="493"/>
      <c r="W60" s="493"/>
      <c r="X60" s="493"/>
      <c r="Y60" s="493"/>
      <c r="Z60" s="493"/>
      <c r="AA60" s="493"/>
      <c r="AB60" s="493"/>
      <c r="AC60" s="493"/>
      <c r="AD60" s="493"/>
    </row>
    <row r="61" spans="1:30" ht="15.5">
      <c r="A61" s="50"/>
      <c r="B61" s="50"/>
      <c r="C61" s="59"/>
      <c r="D61" s="59"/>
      <c r="E61" s="59"/>
      <c r="F61" s="59"/>
      <c r="G61" s="59"/>
      <c r="H61" s="59"/>
      <c r="I61" s="59"/>
      <c r="J61" s="59"/>
      <c r="K61" s="59"/>
      <c r="L61" s="59"/>
      <c r="M61" s="59"/>
      <c r="N61" s="493"/>
      <c r="O61" s="493"/>
      <c r="P61" s="493"/>
      <c r="Q61" s="493"/>
      <c r="R61" s="493"/>
      <c r="S61" s="493"/>
      <c r="T61" s="493"/>
      <c r="U61" s="493"/>
      <c r="V61" s="493"/>
      <c r="W61" s="493"/>
      <c r="X61" s="493"/>
      <c r="Y61" s="493"/>
      <c r="Z61" s="493"/>
      <c r="AA61" s="493"/>
      <c r="AB61" s="493"/>
      <c r="AC61" s="493"/>
      <c r="AD61" s="493"/>
    </row>
    <row r="62" spans="1:30" ht="15.5">
      <c r="A62" s="50"/>
      <c r="B62" s="50"/>
      <c r="C62" s="59"/>
      <c r="D62" s="59"/>
      <c r="E62" s="59"/>
      <c r="F62" s="59"/>
      <c r="G62" s="59"/>
      <c r="H62" s="59"/>
      <c r="I62" s="59"/>
      <c r="J62" s="59"/>
      <c r="K62" s="59"/>
      <c r="L62" s="59"/>
      <c r="M62" s="59"/>
      <c r="N62" s="493"/>
      <c r="O62" s="493"/>
      <c r="P62" s="493"/>
      <c r="Q62" s="493"/>
      <c r="R62" s="493"/>
      <c r="S62" s="493"/>
      <c r="T62" s="493"/>
      <c r="U62" s="493"/>
      <c r="V62" s="493"/>
      <c r="W62" s="493"/>
      <c r="X62" s="493"/>
      <c r="Y62" s="493"/>
      <c r="Z62" s="493"/>
      <c r="AA62" s="493"/>
      <c r="AB62" s="493"/>
      <c r="AC62" s="493"/>
      <c r="AD62" s="493"/>
    </row>
    <row r="63" spans="1:30" ht="15.5">
      <c r="A63" s="50"/>
      <c r="B63" s="50"/>
      <c r="C63" s="59"/>
      <c r="D63" s="59"/>
      <c r="E63" s="59"/>
      <c r="F63" s="59"/>
      <c r="G63" s="59"/>
      <c r="H63" s="59"/>
      <c r="I63" s="59"/>
      <c r="J63" s="59"/>
      <c r="K63" s="59"/>
      <c r="L63" s="59"/>
      <c r="M63" s="59"/>
      <c r="N63" s="493"/>
      <c r="O63" s="493"/>
      <c r="P63" s="493"/>
      <c r="Q63" s="493"/>
      <c r="R63" s="493"/>
      <c r="S63" s="493"/>
      <c r="T63" s="493"/>
      <c r="U63" s="493"/>
      <c r="V63" s="493"/>
      <c r="W63" s="493"/>
      <c r="X63" s="493"/>
      <c r="Y63" s="493"/>
      <c r="Z63" s="493"/>
      <c r="AA63" s="493"/>
      <c r="AB63" s="493"/>
      <c r="AC63" s="493"/>
      <c r="AD63" s="493"/>
    </row>
    <row r="64" spans="1:30" ht="15.5">
      <c r="A64" s="50"/>
      <c r="B64" s="50"/>
      <c r="C64" s="59"/>
      <c r="D64" s="59"/>
      <c r="E64" s="59"/>
      <c r="F64" s="59"/>
      <c r="G64" s="59"/>
      <c r="H64" s="59"/>
      <c r="I64" s="59"/>
      <c r="J64" s="59"/>
      <c r="K64" s="59"/>
      <c r="L64" s="59"/>
      <c r="M64" s="59"/>
      <c r="N64" s="493"/>
      <c r="O64" s="493"/>
      <c r="P64" s="493"/>
      <c r="Q64" s="493"/>
      <c r="R64" s="493"/>
      <c r="S64" s="493"/>
      <c r="T64" s="493"/>
      <c r="U64" s="493"/>
      <c r="V64" s="493"/>
      <c r="W64" s="493"/>
      <c r="X64" s="493"/>
      <c r="Y64" s="493"/>
      <c r="Z64" s="493"/>
      <c r="AA64" s="493"/>
      <c r="AB64" s="493"/>
      <c r="AC64" s="493"/>
      <c r="AD64" s="493"/>
    </row>
    <row r="65" spans="1:30" ht="15.5">
      <c r="A65" s="50"/>
      <c r="B65" s="50"/>
      <c r="C65" s="59"/>
      <c r="D65" s="59"/>
      <c r="E65" s="59"/>
      <c r="F65" s="59"/>
      <c r="G65" s="59"/>
      <c r="H65" s="59"/>
      <c r="I65" s="59"/>
      <c r="J65" s="59"/>
      <c r="K65" s="59"/>
      <c r="L65" s="59"/>
      <c r="M65" s="59"/>
      <c r="N65" s="493"/>
      <c r="O65" s="493"/>
      <c r="P65" s="493"/>
      <c r="Q65" s="493"/>
      <c r="R65" s="493"/>
      <c r="S65" s="493"/>
      <c r="T65" s="493"/>
      <c r="U65" s="493"/>
      <c r="V65" s="493"/>
      <c r="W65" s="493"/>
      <c r="X65" s="493"/>
      <c r="Y65" s="493"/>
      <c r="Z65" s="493"/>
      <c r="AA65" s="493"/>
      <c r="AB65" s="493"/>
      <c r="AC65" s="493"/>
      <c r="AD65" s="493"/>
    </row>
    <row r="66" spans="1:30" ht="29.5" customHeight="1">
      <c r="A66" s="50"/>
      <c r="B66" s="50"/>
      <c r="C66" s="59"/>
      <c r="D66" s="607" t="s">
        <v>85</v>
      </c>
      <c r="E66" s="607"/>
      <c r="F66" s="607"/>
      <c r="G66" s="607"/>
      <c r="H66" s="607"/>
      <c r="I66" s="607"/>
      <c r="J66" s="607"/>
      <c r="K66" s="495"/>
      <c r="L66" s="495"/>
      <c r="M66" s="495"/>
      <c r="N66" s="493"/>
      <c r="O66" s="493"/>
      <c r="P66" s="493"/>
      <c r="Q66" s="493"/>
      <c r="R66" s="493"/>
      <c r="S66" s="493"/>
      <c r="T66" s="493"/>
      <c r="U66" s="493"/>
      <c r="V66" s="493"/>
      <c r="W66" s="493"/>
      <c r="X66" s="493"/>
      <c r="Y66" s="493"/>
      <c r="Z66" s="493"/>
      <c r="AA66" s="493"/>
      <c r="AB66" s="493"/>
      <c r="AC66" s="493"/>
      <c r="AD66" s="493"/>
    </row>
    <row r="67" spans="1:30" ht="15.5">
      <c r="A67" s="50"/>
      <c r="B67" s="50"/>
      <c r="C67" s="59"/>
      <c r="D67" s="59"/>
      <c r="E67" s="59"/>
      <c r="F67" s="59"/>
      <c r="G67" s="59"/>
      <c r="H67" s="59"/>
      <c r="I67" s="59"/>
      <c r="J67" s="59"/>
      <c r="K67" s="59"/>
      <c r="L67" s="59"/>
      <c r="M67" s="59"/>
      <c r="N67" s="493"/>
      <c r="O67" s="493"/>
      <c r="P67" s="493"/>
      <c r="Q67" s="493"/>
      <c r="R67" s="493"/>
      <c r="S67" s="493"/>
      <c r="T67" s="493"/>
      <c r="U67" s="493"/>
      <c r="V67" s="493"/>
      <c r="W67" s="493"/>
      <c r="X67" s="493"/>
      <c r="Y67" s="493"/>
      <c r="Z67" s="493"/>
      <c r="AA67" s="493"/>
      <c r="AB67" s="493"/>
      <c r="AC67" s="493"/>
      <c r="AD67" s="493"/>
    </row>
    <row r="68" spans="1:30" ht="45.65" customHeight="1">
      <c r="A68" s="50"/>
      <c r="B68" s="50"/>
      <c r="C68" s="59"/>
      <c r="D68" s="59"/>
      <c r="E68" s="59"/>
      <c r="F68" s="497" t="s">
        <v>86</v>
      </c>
      <c r="G68" s="498" t="s">
        <v>78</v>
      </c>
      <c r="H68" s="59"/>
      <c r="I68" s="59"/>
      <c r="J68" s="59"/>
      <c r="K68" s="59"/>
      <c r="L68" s="59"/>
      <c r="M68" s="59"/>
      <c r="N68" s="493"/>
      <c r="O68" s="493"/>
      <c r="P68" s="493"/>
      <c r="Q68" s="493"/>
      <c r="R68" s="493"/>
      <c r="S68" s="493"/>
      <c r="T68" s="493"/>
      <c r="U68" s="493"/>
      <c r="V68" s="493"/>
      <c r="W68" s="493"/>
      <c r="X68" s="493"/>
      <c r="Y68" s="493"/>
      <c r="Z68" s="493"/>
      <c r="AA68" s="493"/>
      <c r="AB68" s="493"/>
      <c r="AC68" s="493"/>
      <c r="AD68" s="493"/>
    </row>
    <row r="69" spans="1:30" ht="20.5" customHeight="1">
      <c r="A69" s="50"/>
      <c r="B69" s="50"/>
      <c r="C69" s="59"/>
      <c r="D69" s="59"/>
      <c r="E69" s="59"/>
      <c r="F69" s="59"/>
      <c r="G69" s="59"/>
      <c r="H69" s="59"/>
      <c r="I69" s="59"/>
      <c r="J69" s="59"/>
      <c r="K69" s="59"/>
      <c r="L69" s="59"/>
      <c r="M69" s="59"/>
      <c r="N69" s="493"/>
      <c r="O69" s="493"/>
      <c r="P69" s="493"/>
      <c r="Q69" s="493"/>
      <c r="R69" s="493"/>
      <c r="S69" s="493"/>
      <c r="T69" s="493"/>
      <c r="U69" s="493"/>
      <c r="V69" s="493"/>
      <c r="W69" s="493"/>
      <c r="X69" s="493"/>
      <c r="Y69" s="493"/>
      <c r="Z69" s="493"/>
      <c r="AA69" s="493"/>
      <c r="AB69" s="493"/>
      <c r="AC69" s="493"/>
      <c r="AD69" s="493"/>
    </row>
    <row r="70" spans="1:30" ht="15.5">
      <c r="A70" s="50"/>
      <c r="B70" s="50"/>
      <c r="C70" s="59"/>
      <c r="D70" s="59"/>
      <c r="E70" s="59"/>
      <c r="F70" s="59"/>
      <c r="G70" s="59"/>
      <c r="H70" s="59"/>
      <c r="I70" s="59"/>
      <c r="J70" s="59"/>
      <c r="K70" s="59"/>
      <c r="L70" s="59"/>
      <c r="M70" s="59"/>
      <c r="N70" s="493"/>
      <c r="O70" s="493"/>
      <c r="P70" s="493"/>
      <c r="Q70" s="493"/>
      <c r="R70" s="493"/>
      <c r="S70" s="493"/>
      <c r="T70" s="493"/>
      <c r="U70" s="493"/>
      <c r="V70" s="493"/>
      <c r="W70" s="493"/>
      <c r="X70" s="493"/>
      <c r="Y70" s="493"/>
      <c r="Z70" s="493"/>
      <c r="AA70" s="493"/>
      <c r="AB70" s="493"/>
      <c r="AC70" s="493"/>
      <c r="AD70" s="493"/>
    </row>
    <row r="71" spans="1:30" ht="21">
      <c r="A71" s="50"/>
      <c r="B71" s="50"/>
      <c r="C71" s="59"/>
      <c r="D71" s="59"/>
      <c r="E71" s="608" t="s">
        <v>72</v>
      </c>
      <c r="F71" s="609"/>
      <c r="G71" s="609"/>
      <c r="H71" s="609"/>
      <c r="I71" s="610"/>
      <c r="J71" s="59"/>
      <c r="K71" s="59"/>
      <c r="L71" s="59"/>
      <c r="M71" s="59"/>
      <c r="N71" s="493"/>
      <c r="O71" s="493"/>
      <c r="P71" s="493"/>
      <c r="Q71" s="493"/>
      <c r="R71" s="493"/>
      <c r="S71" s="493"/>
      <c r="T71" s="493"/>
      <c r="U71" s="493"/>
      <c r="V71" s="493"/>
      <c r="W71" s="493"/>
      <c r="X71" s="493"/>
      <c r="Y71" s="493"/>
      <c r="Z71" s="493"/>
      <c r="AA71" s="493"/>
      <c r="AB71" s="493"/>
      <c r="AC71" s="493"/>
      <c r="AD71" s="493"/>
    </row>
    <row r="72" spans="1:30" ht="18.5">
      <c r="A72" s="50"/>
      <c r="B72" s="50"/>
      <c r="C72" s="59"/>
      <c r="D72" s="234"/>
      <c r="E72" s="155" t="s">
        <v>87</v>
      </c>
      <c r="F72" s="144" t="s">
        <v>88</v>
      </c>
      <c r="G72" s="144" t="s">
        <v>89</v>
      </c>
      <c r="H72" s="144" t="s">
        <v>90</v>
      </c>
      <c r="I72" s="147" t="s">
        <v>91</v>
      </c>
      <c r="J72" s="62"/>
      <c r="K72" s="59"/>
      <c r="L72" s="59"/>
      <c r="M72" s="59"/>
      <c r="N72" s="493"/>
      <c r="O72" s="493"/>
      <c r="P72" s="493"/>
      <c r="Q72" s="493"/>
      <c r="R72" s="493"/>
      <c r="S72" s="493"/>
      <c r="T72" s="493"/>
      <c r="U72" s="493"/>
      <c r="V72" s="493"/>
      <c r="W72" s="493"/>
      <c r="X72" s="493"/>
      <c r="Y72" s="493"/>
      <c r="Z72" s="493"/>
      <c r="AA72" s="493"/>
      <c r="AB72" s="493"/>
      <c r="AC72" s="493"/>
      <c r="AD72" s="493"/>
    </row>
    <row r="73" spans="1:30" ht="18.5">
      <c r="A73" s="50"/>
      <c r="B73" s="50"/>
      <c r="C73" s="59"/>
      <c r="D73" s="62"/>
      <c r="E73" s="499">
        <v>30000</v>
      </c>
      <c r="F73" s="145">
        <f>IF(OR(G68="CIMB",G68="ICBC"),0.3%,IF(OR(G68="Standard Chartered",G68="MayBank"),0.48%,IF(G68="DBS",0.4%,IF(G68="UOB",0.5%,IF(G68="OCBC",0.35%,IF(G68="HSBC",0.68%,IF(G68="Bank Of China",0.7%,"Any")))))))</f>
        <v>4.7999999999999996E-3</v>
      </c>
      <c r="G73" s="552">
        <v>6</v>
      </c>
      <c r="H73" s="146">
        <f>Table72726[[#This Row],[Ending Balance]]-Table72726[[#This Row],[Current Balance ]]</f>
        <v>874.43459453772084</v>
      </c>
      <c r="I73" s="148">
        <f>Table72726[[#This Row],[Current Balance ]]*(1+Table72726[[#This Row],[Annual Interest Rate]])^Table72726[[#This Row],[Period]]</f>
        <v>30874.434594537721</v>
      </c>
      <c r="J73" s="62"/>
      <c r="K73" s="59"/>
      <c r="L73" s="59"/>
      <c r="M73" s="59"/>
      <c r="N73" s="493"/>
      <c r="O73" s="493"/>
      <c r="P73" s="493"/>
      <c r="Q73" s="493"/>
      <c r="R73" s="493"/>
      <c r="S73" s="493"/>
      <c r="T73" s="493"/>
      <c r="U73" s="493"/>
      <c r="V73" s="493"/>
      <c r="W73" s="493"/>
      <c r="X73" s="493"/>
      <c r="Y73" s="493"/>
      <c r="Z73" s="493"/>
      <c r="AA73" s="493"/>
      <c r="AB73" s="493"/>
      <c r="AC73" s="493"/>
      <c r="AD73" s="493"/>
    </row>
    <row r="74" spans="1:30" ht="18.5">
      <c r="A74" s="50"/>
      <c r="B74" s="50"/>
      <c r="C74" s="59"/>
      <c r="D74" s="62"/>
      <c r="E74" s="62"/>
      <c r="F74" s="62"/>
      <c r="G74" s="62"/>
      <c r="H74" s="62"/>
      <c r="I74" s="62"/>
      <c r="J74" s="62"/>
      <c r="K74" s="59"/>
      <c r="L74" s="59"/>
      <c r="M74" s="59"/>
      <c r="N74" s="493"/>
      <c r="O74" s="493"/>
      <c r="P74" s="493"/>
      <c r="Q74" s="493"/>
      <c r="R74" s="493"/>
      <c r="S74" s="493"/>
      <c r="T74" s="493"/>
      <c r="U74" s="493"/>
      <c r="V74" s="493"/>
      <c r="W74" s="493"/>
      <c r="X74" s="493"/>
      <c r="Y74" s="493"/>
      <c r="Z74" s="493"/>
      <c r="AA74" s="493"/>
      <c r="AB74" s="493"/>
      <c r="AC74" s="493"/>
      <c r="AD74" s="493"/>
    </row>
    <row r="75" spans="1:30" ht="18.649999999999999" customHeight="1">
      <c r="A75" s="50"/>
      <c r="B75" s="50"/>
      <c r="C75" s="59"/>
      <c r="D75" s="59"/>
      <c r="E75" s="611" t="s">
        <v>92</v>
      </c>
      <c r="F75" s="611"/>
      <c r="G75" s="611"/>
      <c r="H75" s="59"/>
      <c r="I75" s="62"/>
      <c r="J75" s="62"/>
      <c r="K75" s="59"/>
      <c r="L75" s="59"/>
      <c r="M75" s="59"/>
      <c r="N75" s="493"/>
      <c r="O75" s="493"/>
      <c r="P75" s="493"/>
      <c r="Q75" s="493"/>
      <c r="R75" s="493"/>
      <c r="S75" s="493"/>
      <c r="T75" s="493"/>
      <c r="U75" s="493"/>
      <c r="V75" s="493"/>
      <c r="W75" s="493"/>
      <c r="X75" s="493"/>
      <c r="Y75" s="493"/>
      <c r="Z75" s="493"/>
      <c r="AA75" s="493"/>
      <c r="AB75" s="493"/>
      <c r="AC75" s="493"/>
      <c r="AD75" s="493"/>
    </row>
    <row r="76" spans="1:30" ht="18.649999999999999" customHeight="1">
      <c r="A76" s="50"/>
      <c r="B76" s="50"/>
      <c r="C76" s="59"/>
      <c r="D76" s="59"/>
      <c r="E76" s="155" t="s">
        <v>93</v>
      </c>
      <c r="F76" s="155" t="s">
        <v>94</v>
      </c>
      <c r="G76" s="155" t="s">
        <v>95</v>
      </c>
      <c r="H76" s="62"/>
      <c r="I76" s="62"/>
      <c r="J76" s="59"/>
      <c r="K76" s="59"/>
      <c r="L76" s="59"/>
      <c r="M76" s="59"/>
      <c r="N76" s="493"/>
      <c r="O76" s="493"/>
      <c r="P76" s="493"/>
      <c r="Q76" s="493"/>
      <c r="R76" s="493"/>
      <c r="S76" s="493"/>
      <c r="T76" s="493"/>
      <c r="U76" s="493"/>
      <c r="V76" s="493"/>
      <c r="W76" s="493"/>
      <c r="X76" s="493"/>
      <c r="Y76" s="493"/>
      <c r="Z76" s="493"/>
      <c r="AA76" s="493"/>
      <c r="AB76" s="493"/>
      <c r="AC76" s="493"/>
      <c r="AD76" s="493"/>
    </row>
    <row r="77" spans="1:30" ht="18.649999999999999" customHeight="1">
      <c r="A77" s="50"/>
      <c r="B77" s="50"/>
      <c r="C77" s="59"/>
      <c r="D77" s="59"/>
      <c r="E77" s="500" t="s">
        <v>96</v>
      </c>
      <c r="F77" s="316" t="s">
        <v>97</v>
      </c>
      <c r="G77" s="316" t="s">
        <v>98</v>
      </c>
      <c r="H77" s="62"/>
      <c r="I77" s="62"/>
      <c r="J77" s="59"/>
      <c r="K77" s="59"/>
      <c r="L77" s="59"/>
      <c r="M77" s="59"/>
      <c r="N77" s="493"/>
      <c r="O77" s="493"/>
      <c r="P77" s="493"/>
      <c r="Q77" s="493"/>
      <c r="R77" s="493"/>
      <c r="S77" s="493"/>
      <c r="T77" s="493"/>
      <c r="U77" s="493"/>
      <c r="V77" s="493"/>
      <c r="W77" s="493"/>
      <c r="X77" s="493"/>
      <c r="Y77" s="493"/>
      <c r="Z77" s="493"/>
      <c r="AA77" s="493"/>
      <c r="AB77" s="493"/>
      <c r="AC77" s="493"/>
      <c r="AD77" s="493"/>
    </row>
    <row r="78" spans="1:30" ht="18.649999999999999" customHeight="1">
      <c r="A78" s="50"/>
      <c r="B78" s="50"/>
      <c r="C78" s="59"/>
      <c r="D78" s="59"/>
      <c r="E78" s="500" t="s">
        <v>99</v>
      </c>
      <c r="F78" s="316" t="s">
        <v>100</v>
      </c>
      <c r="G78" s="316" t="s">
        <v>101</v>
      </c>
      <c r="H78" s="62"/>
      <c r="I78" s="62"/>
      <c r="J78" s="59"/>
      <c r="K78" s="59"/>
      <c r="L78" s="59"/>
      <c r="M78" s="59"/>
      <c r="N78" s="493"/>
      <c r="O78" s="493"/>
      <c r="P78" s="493"/>
      <c r="Q78" s="493"/>
      <c r="R78" s="493"/>
      <c r="S78" s="493"/>
      <c r="T78" s="493"/>
      <c r="U78" s="493"/>
      <c r="V78" s="493"/>
      <c r="W78" s="493"/>
      <c r="X78" s="493"/>
      <c r="Y78" s="493"/>
      <c r="Z78" s="493"/>
      <c r="AA78" s="493"/>
      <c r="AB78" s="493"/>
      <c r="AC78" s="493"/>
      <c r="AD78" s="493"/>
    </row>
    <row r="79" spans="1:30" ht="18.649999999999999" customHeight="1">
      <c r="A79" s="50"/>
      <c r="B79" s="50"/>
      <c r="C79" s="59"/>
      <c r="D79" s="59"/>
      <c r="E79" s="500" t="s">
        <v>102</v>
      </c>
      <c r="F79" s="316" t="s">
        <v>103</v>
      </c>
      <c r="G79" s="317">
        <v>5.0000000000000001E-3</v>
      </c>
      <c r="H79" s="62"/>
      <c r="I79" s="62"/>
      <c r="J79" s="59"/>
      <c r="K79" s="59"/>
      <c r="L79" s="59"/>
      <c r="M79" s="59"/>
      <c r="N79" s="493"/>
      <c r="O79" s="493"/>
      <c r="P79" s="493"/>
      <c r="Q79" s="493"/>
      <c r="R79" s="493"/>
      <c r="S79" s="493"/>
      <c r="T79" s="493"/>
      <c r="U79" s="493"/>
      <c r="V79" s="493"/>
      <c r="W79" s="493"/>
      <c r="X79" s="493"/>
      <c r="Y79" s="493"/>
      <c r="Z79" s="493"/>
      <c r="AA79" s="493"/>
      <c r="AB79" s="493"/>
      <c r="AC79" s="493"/>
      <c r="AD79" s="493"/>
    </row>
    <row r="80" spans="1:30" ht="18.5">
      <c r="A80" s="50"/>
      <c r="B80" s="50"/>
      <c r="C80" s="59"/>
      <c r="D80" s="59"/>
      <c r="E80" s="500" t="s">
        <v>104</v>
      </c>
      <c r="F80" s="316" t="s">
        <v>105</v>
      </c>
      <c r="G80" s="316" t="s">
        <v>106</v>
      </c>
      <c r="H80" s="62"/>
      <c r="I80" s="62"/>
      <c r="J80" s="59"/>
      <c r="K80" s="59"/>
      <c r="L80" s="59"/>
      <c r="M80" s="59"/>
      <c r="N80" s="493"/>
      <c r="O80" s="493"/>
      <c r="P80" s="493"/>
      <c r="Q80" s="493"/>
      <c r="R80" s="493"/>
      <c r="S80" s="493"/>
      <c r="T80" s="493"/>
      <c r="U80" s="493"/>
      <c r="V80" s="493"/>
      <c r="W80" s="493"/>
      <c r="X80" s="493"/>
      <c r="Y80" s="493"/>
      <c r="Z80" s="493"/>
      <c r="AA80" s="493"/>
      <c r="AB80" s="493"/>
      <c r="AC80" s="493"/>
      <c r="AD80" s="493"/>
    </row>
    <row r="81" spans="1:30" ht="18.5">
      <c r="A81" s="50"/>
      <c r="B81" s="50"/>
      <c r="C81" s="59"/>
      <c r="D81" s="59"/>
      <c r="E81" s="500" t="s">
        <v>107</v>
      </c>
      <c r="F81" s="316" t="s">
        <v>108</v>
      </c>
      <c r="G81" s="316" t="s">
        <v>109</v>
      </c>
      <c r="H81" s="62"/>
      <c r="I81" s="62"/>
      <c r="J81" s="59"/>
      <c r="K81" s="59"/>
      <c r="L81" s="59"/>
      <c r="M81" s="59"/>
      <c r="N81" s="493"/>
      <c r="O81" s="493"/>
      <c r="P81" s="493"/>
      <c r="Q81" s="493"/>
      <c r="R81" s="493"/>
      <c r="S81" s="493"/>
      <c r="T81" s="493"/>
      <c r="U81" s="493"/>
      <c r="V81" s="493"/>
      <c r="W81" s="493"/>
      <c r="X81" s="493"/>
      <c r="Y81" s="493"/>
      <c r="Z81" s="493"/>
      <c r="AA81" s="493"/>
      <c r="AB81" s="493"/>
      <c r="AC81" s="493"/>
      <c r="AD81" s="493"/>
    </row>
    <row r="82" spans="1:30" ht="18.5">
      <c r="A82" s="50"/>
      <c r="B82" s="50"/>
      <c r="C82" s="59"/>
      <c r="D82" s="59"/>
      <c r="E82" s="500" t="s">
        <v>110</v>
      </c>
      <c r="F82" s="316" t="s">
        <v>111</v>
      </c>
      <c r="G82" s="316" t="s">
        <v>112</v>
      </c>
      <c r="H82" s="62"/>
      <c r="I82" s="62"/>
      <c r="J82" s="59"/>
      <c r="K82" s="59"/>
      <c r="L82" s="59"/>
      <c r="M82" s="59"/>
      <c r="N82" s="493"/>
      <c r="O82" s="493"/>
      <c r="P82" s="493"/>
      <c r="Q82" s="493"/>
      <c r="R82" s="493"/>
      <c r="S82" s="493"/>
      <c r="T82" s="493"/>
      <c r="U82" s="493"/>
      <c r="V82" s="493"/>
      <c r="W82" s="493"/>
      <c r="X82" s="493"/>
      <c r="Y82" s="493"/>
      <c r="Z82" s="493"/>
      <c r="AA82" s="493"/>
      <c r="AB82" s="493"/>
      <c r="AC82" s="493"/>
      <c r="AD82" s="493"/>
    </row>
    <row r="83" spans="1:30" ht="18.5">
      <c r="A83" s="50"/>
      <c r="B83" s="50"/>
      <c r="C83" s="59"/>
      <c r="D83" s="59"/>
      <c r="E83" s="500" t="s">
        <v>113</v>
      </c>
      <c r="F83" s="316" t="s">
        <v>114</v>
      </c>
      <c r="G83" s="316" t="s">
        <v>115</v>
      </c>
      <c r="H83" s="62"/>
      <c r="I83" s="62"/>
      <c r="J83" s="59"/>
      <c r="K83" s="59"/>
      <c r="L83" s="59"/>
      <c r="M83" s="59"/>
      <c r="N83" s="493"/>
      <c r="O83" s="493"/>
      <c r="P83" s="493"/>
      <c r="Q83" s="493"/>
      <c r="R83" s="493"/>
      <c r="S83" s="493"/>
      <c r="T83" s="493"/>
      <c r="U83" s="493"/>
      <c r="V83" s="493"/>
      <c r="W83" s="493"/>
      <c r="X83" s="493"/>
      <c r="Y83" s="493"/>
      <c r="Z83" s="493"/>
      <c r="AA83" s="493"/>
      <c r="AB83" s="493"/>
      <c r="AC83" s="493"/>
      <c r="AD83" s="493"/>
    </row>
    <row r="84" spans="1:30" ht="18.5">
      <c r="A84" s="50"/>
      <c r="B84" s="50"/>
      <c r="C84" s="59"/>
      <c r="D84" s="59"/>
      <c r="E84" s="501" t="s">
        <v>116</v>
      </c>
      <c r="F84" s="316" t="s">
        <v>117</v>
      </c>
      <c r="G84" s="316" t="s">
        <v>118</v>
      </c>
      <c r="H84" s="59"/>
      <c r="I84" s="62"/>
      <c r="J84" s="62"/>
      <c r="K84" s="59"/>
      <c r="L84" s="59"/>
      <c r="M84" s="59"/>
      <c r="N84" s="493"/>
      <c r="O84" s="493"/>
      <c r="P84" s="493"/>
      <c r="Q84" s="493"/>
      <c r="R84" s="493"/>
      <c r="S84" s="493"/>
      <c r="T84" s="493"/>
      <c r="U84" s="493"/>
      <c r="V84" s="493"/>
      <c r="W84" s="493"/>
      <c r="X84" s="493"/>
      <c r="Y84" s="493"/>
      <c r="Z84" s="493"/>
      <c r="AA84" s="493"/>
      <c r="AB84" s="493"/>
      <c r="AC84" s="493"/>
      <c r="AD84" s="493"/>
    </row>
    <row r="85" spans="1:30" ht="18.5">
      <c r="A85" s="50"/>
      <c r="B85" s="50"/>
      <c r="C85" s="59"/>
      <c r="D85" s="59"/>
      <c r="E85" s="500" t="s">
        <v>119</v>
      </c>
      <c r="F85" s="316" t="s">
        <v>120</v>
      </c>
      <c r="G85" s="316" t="s">
        <v>121</v>
      </c>
      <c r="H85" s="59"/>
      <c r="I85" s="62"/>
      <c r="J85" s="62"/>
      <c r="K85" s="59"/>
      <c r="L85" s="59"/>
      <c r="M85" s="59"/>
      <c r="N85" s="493"/>
      <c r="O85" s="493"/>
      <c r="P85" s="493"/>
      <c r="Q85" s="493"/>
      <c r="R85" s="493"/>
      <c r="S85" s="493"/>
      <c r="T85" s="493"/>
      <c r="U85" s="493"/>
      <c r="V85" s="493"/>
      <c r="W85" s="493"/>
      <c r="X85" s="493"/>
      <c r="Y85" s="493"/>
      <c r="Z85" s="493"/>
      <c r="AA85" s="493"/>
      <c r="AB85" s="493"/>
      <c r="AC85" s="493"/>
      <c r="AD85" s="493"/>
    </row>
    <row r="86" spans="1:30" ht="18.5">
      <c r="A86" s="50"/>
      <c r="B86" s="50"/>
      <c r="C86" s="59"/>
      <c r="D86" s="59"/>
      <c r="E86" s="59"/>
      <c r="F86" s="59"/>
      <c r="G86" s="59"/>
      <c r="H86" s="59"/>
      <c r="I86" s="62"/>
      <c r="J86" s="62"/>
      <c r="K86" s="59"/>
      <c r="L86" s="59"/>
      <c r="M86" s="59"/>
      <c r="N86" s="493"/>
      <c r="O86" s="493"/>
      <c r="P86" s="493"/>
      <c r="Q86" s="493"/>
      <c r="R86" s="493"/>
      <c r="S86" s="493"/>
      <c r="T86" s="493"/>
      <c r="U86" s="493"/>
      <c r="V86" s="493"/>
      <c r="W86" s="493"/>
      <c r="X86" s="493"/>
      <c r="Y86" s="493"/>
      <c r="Z86" s="493"/>
      <c r="AA86" s="493"/>
      <c r="AB86" s="493"/>
      <c r="AC86" s="493"/>
      <c r="AD86" s="493"/>
    </row>
    <row r="87" spans="1:30" ht="21">
      <c r="A87" s="50"/>
      <c r="B87" s="50"/>
      <c r="C87" s="59"/>
      <c r="D87" s="59"/>
      <c r="E87" s="612" t="s">
        <v>122</v>
      </c>
      <c r="F87" s="613"/>
      <c r="G87" s="613"/>
      <c r="H87" s="614"/>
      <c r="I87" s="62"/>
      <c r="J87" s="62"/>
      <c r="K87" s="59"/>
      <c r="L87" s="59"/>
      <c r="M87" s="59"/>
      <c r="N87" s="493"/>
      <c r="O87" s="493"/>
      <c r="P87" s="493"/>
      <c r="Q87" s="493"/>
      <c r="R87" s="493"/>
      <c r="S87" s="493"/>
      <c r="T87" s="493"/>
      <c r="U87" s="493"/>
      <c r="V87" s="493"/>
      <c r="W87" s="493"/>
      <c r="X87" s="493"/>
      <c r="Y87" s="493"/>
      <c r="Z87" s="493"/>
      <c r="AA87" s="493"/>
      <c r="AB87" s="493"/>
      <c r="AC87" s="493"/>
      <c r="AD87" s="493"/>
    </row>
    <row r="88" spans="1:30" ht="18.5">
      <c r="A88" s="50"/>
      <c r="B88" s="50"/>
      <c r="C88" s="59"/>
      <c r="D88" s="59"/>
      <c r="E88" s="155" t="s">
        <v>123</v>
      </c>
      <c r="F88" s="144" t="s">
        <v>124</v>
      </c>
      <c r="G88" s="144" t="s">
        <v>125</v>
      </c>
      <c r="H88" s="159" t="s">
        <v>95</v>
      </c>
      <c r="I88" s="62"/>
      <c r="J88" s="62"/>
      <c r="K88" s="59"/>
      <c r="L88" s="59"/>
      <c r="M88" s="59"/>
      <c r="N88" s="493"/>
      <c r="O88" s="493"/>
      <c r="P88" s="493"/>
      <c r="Q88" s="493"/>
      <c r="R88" s="493"/>
      <c r="S88" s="493"/>
      <c r="T88" s="493"/>
      <c r="U88" s="493"/>
      <c r="V88" s="493"/>
      <c r="W88" s="493"/>
      <c r="X88" s="493"/>
      <c r="Y88" s="493"/>
      <c r="Z88" s="493"/>
      <c r="AA88" s="493"/>
      <c r="AB88" s="493"/>
      <c r="AC88" s="493"/>
      <c r="AD88" s="493"/>
    </row>
    <row r="89" spans="1:30" ht="18.5">
      <c r="A89" s="50"/>
      <c r="B89" s="50"/>
      <c r="C89" s="59"/>
      <c r="D89" s="59"/>
      <c r="E89" s="318" t="s">
        <v>77</v>
      </c>
      <c r="F89" s="149">
        <v>30000</v>
      </c>
      <c r="G89" s="150" t="s">
        <v>126</v>
      </c>
      <c r="H89" s="160" t="s">
        <v>127</v>
      </c>
      <c r="I89" s="62"/>
      <c r="J89" s="62"/>
      <c r="K89" s="59"/>
      <c r="L89" s="59"/>
      <c r="M89" s="59"/>
      <c r="N89" s="493"/>
      <c r="O89" s="493"/>
      <c r="P89" s="493"/>
      <c r="Q89" s="493"/>
      <c r="R89" s="493"/>
      <c r="S89" s="493"/>
      <c r="T89" s="493"/>
      <c r="U89" s="493"/>
      <c r="V89" s="493"/>
      <c r="W89" s="493"/>
      <c r="X89" s="493"/>
      <c r="Y89" s="493"/>
      <c r="Z89" s="493"/>
      <c r="AA89" s="493"/>
      <c r="AB89" s="493"/>
      <c r="AC89" s="493"/>
      <c r="AD89" s="493"/>
    </row>
    <row r="90" spans="1:30" ht="18.5">
      <c r="A90" s="50"/>
      <c r="B90" s="50"/>
      <c r="C90" s="59"/>
      <c r="D90" s="59"/>
      <c r="E90" s="157" t="s">
        <v>71</v>
      </c>
      <c r="F90" s="151">
        <v>20000</v>
      </c>
      <c r="G90" s="152" t="s">
        <v>128</v>
      </c>
      <c r="H90" s="161" t="s">
        <v>127</v>
      </c>
      <c r="I90" s="62"/>
      <c r="J90" s="62"/>
      <c r="K90" s="59"/>
      <c r="L90" s="59"/>
      <c r="M90" s="59"/>
      <c r="N90" s="493"/>
      <c r="O90" s="493"/>
      <c r="P90" s="493"/>
      <c r="Q90" s="493"/>
      <c r="R90" s="493"/>
      <c r="S90" s="493"/>
      <c r="T90" s="493"/>
      <c r="U90" s="493"/>
      <c r="V90" s="493"/>
      <c r="W90" s="493"/>
      <c r="X90" s="493"/>
      <c r="Y90" s="493"/>
      <c r="Z90" s="493"/>
      <c r="AA90" s="493"/>
      <c r="AB90" s="493"/>
      <c r="AC90" s="493"/>
      <c r="AD90" s="493"/>
    </row>
    <row r="91" spans="1:30" ht="18.5">
      <c r="A91" s="50"/>
      <c r="B91" s="50"/>
      <c r="C91" s="59"/>
      <c r="D91" s="59"/>
      <c r="E91" s="156" t="s">
        <v>78</v>
      </c>
      <c r="F91" s="149">
        <v>25000</v>
      </c>
      <c r="G91" s="150" t="s">
        <v>129</v>
      </c>
      <c r="H91" s="160" t="s">
        <v>130</v>
      </c>
      <c r="I91" s="62"/>
      <c r="J91" s="62"/>
      <c r="K91" s="59"/>
      <c r="L91" s="59"/>
      <c r="M91" s="59"/>
      <c r="N91" s="493"/>
      <c r="O91" s="493"/>
      <c r="P91" s="493"/>
      <c r="Q91" s="493"/>
      <c r="R91" s="493"/>
      <c r="S91" s="493"/>
      <c r="T91" s="493"/>
      <c r="U91" s="493"/>
      <c r="V91" s="493"/>
      <c r="W91" s="493"/>
      <c r="X91" s="493"/>
      <c r="Y91" s="493"/>
      <c r="Z91" s="493"/>
      <c r="AA91" s="493"/>
      <c r="AB91" s="493"/>
      <c r="AC91" s="493"/>
      <c r="AD91" s="493"/>
    </row>
    <row r="92" spans="1:30" ht="18.5">
      <c r="A92" s="50"/>
      <c r="B92" s="50"/>
      <c r="C92" s="59"/>
      <c r="D92" s="59"/>
      <c r="E92" s="157" t="s">
        <v>131</v>
      </c>
      <c r="F92" s="151">
        <v>20000</v>
      </c>
      <c r="G92" s="152" t="s">
        <v>132</v>
      </c>
      <c r="H92" s="161" t="s">
        <v>133</v>
      </c>
      <c r="I92" s="62"/>
      <c r="J92" s="62"/>
      <c r="K92" s="59"/>
      <c r="L92" s="59"/>
      <c r="M92" s="59"/>
      <c r="N92" s="493"/>
      <c r="O92" s="493"/>
      <c r="P92" s="493"/>
      <c r="Q92" s="493"/>
      <c r="R92" s="493"/>
      <c r="S92" s="493"/>
      <c r="T92" s="493"/>
      <c r="U92" s="493"/>
      <c r="V92" s="493"/>
      <c r="W92" s="493"/>
      <c r="X92" s="493"/>
      <c r="Y92" s="493"/>
      <c r="Z92" s="493"/>
      <c r="AA92" s="493"/>
      <c r="AB92" s="493"/>
      <c r="AC92" s="493"/>
      <c r="AD92" s="493"/>
    </row>
    <row r="93" spans="1:30" ht="18.5">
      <c r="A93" s="50"/>
      <c r="B93" s="50"/>
      <c r="C93" s="59"/>
      <c r="D93" s="59"/>
      <c r="E93" s="156" t="s">
        <v>134</v>
      </c>
      <c r="F93" s="149">
        <v>1000</v>
      </c>
      <c r="G93" s="150" t="s">
        <v>129</v>
      </c>
      <c r="H93" s="160" t="s">
        <v>135</v>
      </c>
      <c r="I93" s="62"/>
      <c r="J93" s="62"/>
      <c r="K93" s="59"/>
      <c r="L93" s="59"/>
      <c r="M93" s="59"/>
      <c r="N93" s="493"/>
      <c r="O93" s="493"/>
      <c r="P93" s="493"/>
      <c r="Q93" s="493"/>
      <c r="R93" s="493"/>
      <c r="S93" s="493"/>
      <c r="T93" s="493"/>
      <c r="U93" s="493"/>
      <c r="V93" s="493"/>
      <c r="W93" s="493"/>
      <c r="X93" s="493"/>
      <c r="Y93" s="493"/>
      <c r="Z93" s="493"/>
      <c r="AA93" s="493"/>
      <c r="AB93" s="493"/>
      <c r="AC93" s="493"/>
      <c r="AD93" s="493"/>
    </row>
    <row r="94" spans="1:30" ht="18.5">
      <c r="A94" s="50"/>
      <c r="B94" s="50"/>
      <c r="C94" s="59"/>
      <c r="D94" s="59"/>
      <c r="E94" s="157" t="s">
        <v>76</v>
      </c>
      <c r="F94" s="151">
        <v>500</v>
      </c>
      <c r="G94" s="152" t="s">
        <v>128</v>
      </c>
      <c r="H94" s="161" t="s">
        <v>135</v>
      </c>
      <c r="I94" s="62"/>
      <c r="J94" s="62"/>
      <c r="K94" s="59"/>
      <c r="L94" s="59"/>
      <c r="M94" s="59"/>
      <c r="N94" s="493"/>
      <c r="O94" s="493"/>
      <c r="P94" s="493"/>
      <c r="Q94" s="493"/>
      <c r="R94" s="493"/>
      <c r="S94" s="493"/>
      <c r="T94" s="493"/>
      <c r="U94" s="493"/>
      <c r="V94" s="493"/>
      <c r="W94" s="493"/>
      <c r="X94" s="493"/>
      <c r="Y94" s="493"/>
      <c r="Z94" s="493"/>
      <c r="AA94" s="493"/>
      <c r="AB94" s="493"/>
      <c r="AC94" s="493"/>
      <c r="AD94" s="493"/>
    </row>
    <row r="95" spans="1:30" ht="18.5">
      <c r="A95" s="50"/>
      <c r="B95" s="50"/>
      <c r="C95" s="59"/>
      <c r="D95" s="59"/>
      <c r="E95" s="156" t="s">
        <v>75</v>
      </c>
      <c r="F95" s="149">
        <v>1000</v>
      </c>
      <c r="G95" s="150" t="s">
        <v>136</v>
      </c>
      <c r="H95" s="160" t="s">
        <v>135</v>
      </c>
      <c r="I95" s="62"/>
      <c r="J95" s="62"/>
      <c r="K95" s="59"/>
      <c r="L95" s="59"/>
      <c r="M95" s="59"/>
      <c r="N95" s="493"/>
      <c r="O95" s="493"/>
      <c r="P95" s="493"/>
      <c r="Q95" s="493"/>
      <c r="R95" s="493"/>
      <c r="S95" s="493"/>
      <c r="T95" s="493"/>
      <c r="U95" s="493"/>
      <c r="V95" s="493"/>
      <c r="W95" s="493"/>
      <c r="X95" s="493"/>
      <c r="Y95" s="493"/>
      <c r="Z95" s="493"/>
      <c r="AA95" s="493"/>
      <c r="AB95" s="493"/>
      <c r="AC95" s="493"/>
      <c r="AD95" s="493"/>
    </row>
    <row r="96" spans="1:30" ht="18.5">
      <c r="A96" s="50"/>
      <c r="B96" s="50"/>
      <c r="C96" s="59"/>
      <c r="D96" s="59"/>
      <c r="E96" s="158" t="s">
        <v>137</v>
      </c>
      <c r="F96" s="153">
        <v>10000</v>
      </c>
      <c r="G96" s="154" t="s">
        <v>138</v>
      </c>
      <c r="H96" s="162" t="s">
        <v>139</v>
      </c>
      <c r="I96" s="62"/>
      <c r="J96" s="59"/>
      <c r="K96" s="59"/>
      <c r="L96" s="59"/>
      <c r="M96" s="59"/>
      <c r="N96" s="493"/>
      <c r="O96" s="493"/>
      <c r="P96" s="493"/>
      <c r="Q96" s="493"/>
      <c r="R96" s="493"/>
      <c r="S96" s="493"/>
      <c r="T96" s="493"/>
      <c r="U96" s="493"/>
      <c r="V96" s="493"/>
      <c r="W96" s="493"/>
      <c r="X96" s="493"/>
      <c r="Y96" s="493"/>
      <c r="Z96" s="493"/>
      <c r="AA96" s="493"/>
      <c r="AB96" s="493"/>
      <c r="AC96" s="493"/>
      <c r="AD96" s="493"/>
    </row>
    <row r="97" spans="1:30" ht="18.5">
      <c r="A97" s="50"/>
      <c r="B97" s="50"/>
      <c r="C97" s="59"/>
      <c r="D97" s="59"/>
      <c r="E97" s="59"/>
      <c r="F97" s="59"/>
      <c r="G97" s="59"/>
      <c r="H97" s="59"/>
      <c r="I97" s="62"/>
      <c r="J97" s="62"/>
      <c r="K97" s="59"/>
      <c r="L97" s="59"/>
      <c r="M97" s="59"/>
      <c r="N97" s="493"/>
      <c r="O97" s="493"/>
      <c r="P97" s="493"/>
      <c r="Q97" s="493"/>
      <c r="R97" s="493"/>
      <c r="S97" s="493"/>
      <c r="T97" s="493"/>
      <c r="U97" s="493"/>
      <c r="V97" s="493"/>
      <c r="W97" s="493"/>
      <c r="X97" s="493"/>
      <c r="Y97" s="493"/>
      <c r="Z97" s="493"/>
      <c r="AA97" s="493"/>
      <c r="AB97" s="493"/>
      <c r="AC97" s="493"/>
      <c r="AD97" s="493"/>
    </row>
    <row r="98" spans="1:30" ht="20">
      <c r="A98" s="50"/>
      <c r="B98" s="50"/>
      <c r="C98" s="59"/>
      <c r="D98" s="59"/>
      <c r="E98" s="615" t="s">
        <v>140</v>
      </c>
      <c r="F98" s="616"/>
      <c r="G98" s="616"/>
      <c r="H98" s="616"/>
      <c r="I98" s="616"/>
      <c r="J98" s="617"/>
      <c r="K98" s="59"/>
      <c r="L98" s="59"/>
      <c r="M98" s="59"/>
      <c r="N98" s="493"/>
      <c r="O98" s="493"/>
      <c r="P98" s="493"/>
      <c r="Q98" s="493"/>
      <c r="R98" s="493"/>
      <c r="S98" s="493"/>
      <c r="T98" s="493"/>
      <c r="U98" s="493"/>
      <c r="V98" s="493"/>
      <c r="W98" s="493"/>
      <c r="X98" s="493"/>
      <c r="Y98" s="493"/>
      <c r="Z98" s="493"/>
      <c r="AA98" s="493"/>
      <c r="AB98" s="493"/>
      <c r="AC98" s="493"/>
      <c r="AD98" s="493"/>
    </row>
    <row r="99" spans="1:30" ht="15.5">
      <c r="A99" s="50"/>
      <c r="B99" s="50"/>
      <c r="C99" s="59"/>
      <c r="D99" s="59"/>
      <c r="E99" s="65"/>
      <c r="F99" s="66"/>
      <c r="G99" s="70"/>
      <c r="H99" s="66"/>
      <c r="I99" s="66"/>
      <c r="J99" s="72"/>
      <c r="K99" s="59"/>
      <c r="L99" s="59"/>
      <c r="M99" s="59"/>
      <c r="N99" s="493"/>
      <c r="O99" s="493"/>
      <c r="P99" s="493"/>
      <c r="Q99" s="493"/>
      <c r="R99" s="493"/>
      <c r="S99" s="493"/>
      <c r="T99" s="493"/>
      <c r="U99" s="493"/>
      <c r="V99" s="493"/>
      <c r="W99" s="493"/>
      <c r="X99" s="493"/>
      <c r="Y99" s="493"/>
      <c r="Z99" s="493"/>
      <c r="AA99" s="493"/>
      <c r="AB99" s="493"/>
      <c r="AC99" s="493"/>
      <c r="AD99" s="493"/>
    </row>
    <row r="100" spans="1:30" ht="15.5">
      <c r="A100" s="50"/>
      <c r="B100" s="50"/>
      <c r="C100" s="59"/>
      <c r="D100" s="59"/>
      <c r="E100" s="67"/>
      <c r="F100" s="66"/>
      <c r="G100" s="70"/>
      <c r="H100" s="66"/>
      <c r="I100" s="66"/>
      <c r="J100" s="73"/>
      <c r="K100" s="59"/>
      <c r="L100" s="59"/>
      <c r="M100" s="59"/>
      <c r="N100" s="493"/>
      <c r="O100" s="493"/>
      <c r="P100" s="493"/>
      <c r="Q100" s="493"/>
      <c r="R100" s="493"/>
      <c r="S100" s="493"/>
      <c r="T100" s="493"/>
      <c r="U100" s="493"/>
      <c r="V100" s="493"/>
      <c r="W100" s="493"/>
      <c r="X100" s="493"/>
      <c r="Y100" s="493"/>
      <c r="Z100" s="493"/>
      <c r="AA100" s="493"/>
      <c r="AB100" s="493"/>
      <c r="AC100" s="493"/>
      <c r="AD100" s="493"/>
    </row>
    <row r="101" spans="1:30" ht="21">
      <c r="A101" s="50"/>
      <c r="B101" s="50"/>
      <c r="C101" s="59"/>
      <c r="D101" s="59"/>
      <c r="E101" s="68"/>
      <c r="F101" s="64" t="s">
        <v>141</v>
      </c>
      <c r="G101" s="64" t="s">
        <v>142</v>
      </c>
      <c r="H101" s="94"/>
      <c r="I101" s="69"/>
      <c r="J101" s="74"/>
      <c r="K101" s="59"/>
      <c r="L101" s="59"/>
      <c r="M101" s="59"/>
      <c r="N101" s="493"/>
      <c r="O101" s="493"/>
      <c r="P101" s="493"/>
      <c r="Q101" s="493"/>
      <c r="R101" s="493"/>
      <c r="S101" s="493"/>
      <c r="T101" s="493"/>
      <c r="U101" s="493"/>
      <c r="V101" s="493"/>
      <c r="W101" s="493"/>
      <c r="X101" s="493"/>
      <c r="Y101" s="493"/>
      <c r="Z101" s="493"/>
      <c r="AA101" s="493"/>
      <c r="AB101" s="493"/>
      <c r="AC101" s="493"/>
      <c r="AD101" s="493"/>
    </row>
    <row r="102" spans="1:30" ht="21">
      <c r="A102" s="50"/>
      <c r="B102" s="50"/>
      <c r="C102" s="59"/>
      <c r="D102" s="59"/>
      <c r="E102" s="68"/>
      <c r="F102" s="64"/>
      <c r="G102" s="64"/>
      <c r="H102" s="95"/>
      <c r="I102" s="69"/>
      <c r="J102" s="74"/>
      <c r="K102" s="59"/>
      <c r="L102" s="59"/>
      <c r="M102" s="59"/>
      <c r="N102" s="493"/>
      <c r="O102" s="493"/>
      <c r="P102" s="493"/>
      <c r="Q102" s="493"/>
      <c r="R102" s="493"/>
      <c r="S102" s="493"/>
      <c r="T102" s="493"/>
      <c r="U102" s="493"/>
      <c r="V102" s="493"/>
      <c r="W102" s="493"/>
      <c r="X102" s="493"/>
      <c r="Y102" s="493"/>
      <c r="Z102" s="493"/>
      <c r="AA102" s="493"/>
      <c r="AB102" s="493"/>
      <c r="AC102" s="493"/>
      <c r="AD102" s="493"/>
    </row>
    <row r="103" spans="1:30" ht="21">
      <c r="A103" s="50"/>
      <c r="B103" s="50"/>
      <c r="C103" s="59"/>
      <c r="D103" s="59"/>
      <c r="E103" s="68"/>
      <c r="F103" s="64" t="s">
        <v>143</v>
      </c>
      <c r="G103" s="64" t="s">
        <v>142</v>
      </c>
      <c r="H103" s="96">
        <v>0.7</v>
      </c>
      <c r="I103" s="97" t="s">
        <v>144</v>
      </c>
      <c r="J103" s="75"/>
      <c r="K103" s="59"/>
      <c r="L103" s="59"/>
      <c r="M103" s="59"/>
      <c r="N103" s="493"/>
      <c r="O103" s="493"/>
      <c r="P103" s="493"/>
      <c r="Q103" s="493"/>
      <c r="R103" s="493"/>
      <c r="S103" s="493"/>
      <c r="T103" s="493"/>
      <c r="U103" s="493"/>
      <c r="V103" s="493"/>
      <c r="W103" s="493"/>
      <c r="X103" s="493"/>
      <c r="Y103" s="493"/>
      <c r="Z103" s="493"/>
      <c r="AA103" s="493"/>
      <c r="AB103" s="493"/>
      <c r="AC103" s="493"/>
      <c r="AD103" s="493"/>
    </row>
    <row r="104" spans="1:30" ht="21">
      <c r="A104" s="50"/>
      <c r="B104" s="50"/>
      <c r="C104" s="59"/>
      <c r="D104" s="59"/>
      <c r="E104" s="68"/>
      <c r="F104" s="64"/>
      <c r="G104" s="64"/>
      <c r="H104" s="95"/>
      <c r="I104" s="69"/>
      <c r="J104" s="74"/>
      <c r="K104" s="59"/>
      <c r="L104" s="59"/>
      <c r="M104" s="59"/>
      <c r="N104" s="493"/>
      <c r="O104" s="493"/>
      <c r="P104" s="493"/>
      <c r="Q104" s="493"/>
      <c r="R104" s="493"/>
      <c r="S104" s="493"/>
      <c r="T104" s="493"/>
      <c r="U104" s="493"/>
      <c r="V104" s="493"/>
      <c r="W104" s="493"/>
      <c r="X104" s="493"/>
      <c r="Y104" s="493"/>
      <c r="Z104" s="493"/>
      <c r="AA104" s="493"/>
      <c r="AB104" s="493"/>
      <c r="AC104" s="493"/>
      <c r="AD104" s="493"/>
    </row>
    <row r="105" spans="1:30" ht="21">
      <c r="A105" s="50"/>
      <c r="B105" s="50"/>
      <c r="C105" s="59"/>
      <c r="D105" s="59"/>
      <c r="E105" s="68"/>
      <c r="F105" s="64" t="s">
        <v>145</v>
      </c>
      <c r="G105" s="64" t="s">
        <v>142</v>
      </c>
      <c r="H105" s="96">
        <v>6</v>
      </c>
      <c r="I105" s="96" t="s">
        <v>146</v>
      </c>
      <c r="J105" s="74"/>
      <c r="K105" s="59"/>
      <c r="L105" s="59"/>
      <c r="M105" s="59"/>
      <c r="N105" s="493"/>
      <c r="O105" s="493"/>
      <c r="P105" s="493"/>
      <c r="Q105" s="493"/>
      <c r="R105" s="493"/>
      <c r="S105" s="493"/>
      <c r="T105" s="493"/>
      <c r="U105" s="493"/>
      <c r="V105" s="493"/>
      <c r="W105" s="493"/>
      <c r="X105" s="493"/>
      <c r="Y105" s="493"/>
      <c r="Z105" s="493"/>
      <c r="AA105" s="493"/>
      <c r="AB105" s="493"/>
      <c r="AC105" s="493"/>
      <c r="AD105" s="493"/>
    </row>
    <row r="106" spans="1:30" ht="21">
      <c r="A106" s="50"/>
      <c r="B106" s="50"/>
      <c r="C106" s="59"/>
      <c r="D106" s="59"/>
      <c r="E106" s="68"/>
      <c r="F106" s="64"/>
      <c r="G106" s="64"/>
      <c r="H106" s="95"/>
      <c r="I106" s="69"/>
      <c r="J106" s="74"/>
      <c r="K106" s="59"/>
      <c r="L106" s="59"/>
      <c r="M106" s="59"/>
      <c r="N106" s="493"/>
      <c r="O106" s="493"/>
      <c r="P106" s="493"/>
      <c r="Q106" s="493"/>
      <c r="R106" s="493"/>
      <c r="S106" s="493"/>
      <c r="T106" s="493"/>
      <c r="U106" s="493"/>
      <c r="V106" s="493"/>
      <c r="W106" s="493"/>
      <c r="X106" s="493"/>
      <c r="Y106" s="493"/>
      <c r="Z106" s="493"/>
      <c r="AA106" s="493"/>
      <c r="AB106" s="493"/>
      <c r="AC106" s="493"/>
      <c r="AD106" s="493"/>
    </row>
    <row r="107" spans="1:30" ht="21">
      <c r="A107" s="50"/>
      <c r="B107" s="50"/>
      <c r="C107" s="59"/>
      <c r="D107" s="59"/>
      <c r="E107" s="68"/>
      <c r="F107" s="64" t="s">
        <v>147</v>
      </c>
      <c r="G107" s="64" t="s">
        <v>142</v>
      </c>
      <c r="H107" s="96" t="s">
        <v>148</v>
      </c>
      <c r="I107" s="69"/>
      <c r="J107" s="74"/>
      <c r="K107" s="59"/>
      <c r="L107" s="59"/>
      <c r="M107" s="59"/>
      <c r="N107" s="493"/>
      <c r="O107" s="493"/>
      <c r="P107" s="493"/>
      <c r="Q107" s="493"/>
      <c r="R107" s="493"/>
      <c r="S107" s="493"/>
      <c r="T107" s="493"/>
      <c r="U107" s="493"/>
      <c r="V107" s="493"/>
      <c r="W107" s="493"/>
      <c r="X107" s="493"/>
      <c r="Y107" s="493"/>
      <c r="Z107" s="493"/>
      <c r="AA107" s="493"/>
      <c r="AB107" s="493"/>
      <c r="AC107" s="493"/>
      <c r="AD107" s="493"/>
    </row>
    <row r="108" spans="1:30" ht="15.5">
      <c r="A108" s="50"/>
      <c r="B108" s="50"/>
      <c r="C108" s="59"/>
      <c r="D108" s="59"/>
      <c r="E108" s="68"/>
      <c r="F108" s="69"/>
      <c r="G108" s="71"/>
      <c r="H108" s="69"/>
      <c r="I108" s="69"/>
      <c r="J108" s="74"/>
      <c r="K108" s="59"/>
      <c r="L108" s="59"/>
      <c r="M108" s="59"/>
      <c r="N108" s="493"/>
      <c r="O108" s="493"/>
      <c r="P108" s="493"/>
      <c r="Q108" s="493"/>
      <c r="R108" s="493"/>
      <c r="S108" s="493"/>
      <c r="T108" s="493"/>
      <c r="U108" s="493"/>
      <c r="V108" s="493"/>
      <c r="W108" s="493"/>
      <c r="X108" s="493"/>
      <c r="Y108" s="493"/>
      <c r="Z108" s="493"/>
      <c r="AA108" s="493"/>
      <c r="AB108" s="493"/>
      <c r="AC108" s="493"/>
      <c r="AD108" s="493"/>
    </row>
    <row r="109" spans="1:30" ht="20">
      <c r="A109" s="50"/>
      <c r="B109" s="50"/>
      <c r="C109" s="59"/>
      <c r="D109" s="59"/>
      <c r="E109" s="618" t="s">
        <v>149</v>
      </c>
      <c r="F109" s="618"/>
      <c r="G109" s="618"/>
      <c r="H109" s="618"/>
      <c r="I109" s="618"/>
      <c r="J109" s="618"/>
      <c r="K109" s="59"/>
      <c r="L109" s="59"/>
      <c r="M109" s="59"/>
      <c r="N109" s="493"/>
      <c r="O109" s="493"/>
      <c r="P109" s="493"/>
      <c r="Q109" s="493"/>
      <c r="R109" s="493"/>
      <c r="S109" s="493"/>
      <c r="T109" s="493"/>
      <c r="U109" s="493"/>
      <c r="V109" s="493"/>
      <c r="W109" s="493"/>
      <c r="X109" s="493"/>
      <c r="Y109" s="493"/>
      <c r="Z109" s="493"/>
      <c r="AA109" s="493"/>
      <c r="AB109" s="493"/>
      <c r="AC109" s="493"/>
      <c r="AD109" s="493"/>
    </row>
    <row r="110" spans="1:30" ht="21">
      <c r="A110" s="50"/>
      <c r="B110" s="50"/>
      <c r="C110" s="59"/>
      <c r="D110" s="59"/>
      <c r="E110" s="76"/>
      <c r="F110" s="77"/>
      <c r="G110" s="78"/>
      <c r="H110" s="77"/>
      <c r="I110" s="77"/>
      <c r="J110" s="92"/>
      <c r="K110" s="59"/>
      <c r="L110" s="59"/>
      <c r="M110" s="59"/>
      <c r="N110" s="493"/>
      <c r="O110" s="493"/>
      <c r="P110" s="493"/>
      <c r="Q110" s="493"/>
      <c r="R110" s="493"/>
      <c r="S110" s="493"/>
      <c r="T110" s="493"/>
      <c r="U110" s="493"/>
      <c r="V110" s="493"/>
      <c r="W110" s="493"/>
      <c r="X110" s="493"/>
      <c r="Y110" s="493"/>
      <c r="Z110" s="493"/>
      <c r="AA110" s="493"/>
      <c r="AB110" s="493"/>
      <c r="AC110" s="493"/>
      <c r="AD110" s="493"/>
    </row>
    <row r="111" spans="1:30" ht="21">
      <c r="A111" s="50"/>
      <c r="B111" s="50"/>
      <c r="C111" s="59"/>
      <c r="D111" s="59"/>
      <c r="E111" s="88"/>
      <c r="F111" s="79" t="s">
        <v>150</v>
      </c>
      <c r="G111" s="80" t="s">
        <v>142</v>
      </c>
      <c r="H111" s="502">
        <f>IF(H107="SimpleInterest",(H101*(1+((H103*5)/((IF(I105="years",1,IF(I105="months",12,IF(I105="days",365))))*100)))),IF(H107="Annually",(H101*(1+(H103/100))^(H105*(1/(IF(I105="years",1,IF(I105="months",12,IF(I105="days",365))))))),IF(H107="Halfyearly",(H101*(1+(H103/(100*2)))^(H105*(2/(IF(I105="years",1,IF(I105="months",12,IF(I105="days",365))))))),IF(H107="Quarterly",(H101*(1+(H103/(100*4)))^(H105*(4/(IF(I105="years",1,IF(I105="months",12,IF(I105="days",365))))))),IF(H107="Monthly",(H101*(1+(H103/(100*12)))^(H105*(12/(IF(I105="years",1,IF(I105="months",12,IF(I105="days",365))))))))))))</f>
        <v>0</v>
      </c>
      <c r="I111" s="87"/>
      <c r="J111" s="92"/>
      <c r="K111" s="59"/>
      <c r="L111" s="59"/>
      <c r="M111" s="59"/>
      <c r="N111" s="493"/>
      <c r="O111" s="493"/>
      <c r="P111" s="493"/>
      <c r="Q111" s="493"/>
      <c r="R111" s="493"/>
      <c r="S111" s="493"/>
      <c r="T111" s="493"/>
      <c r="U111" s="493"/>
      <c r="V111" s="493"/>
      <c r="W111" s="493"/>
      <c r="X111" s="493"/>
      <c r="Y111" s="493"/>
      <c r="Z111" s="493"/>
      <c r="AA111" s="493"/>
      <c r="AB111" s="493"/>
      <c r="AC111" s="493"/>
      <c r="AD111" s="493"/>
    </row>
    <row r="112" spans="1:30" ht="21">
      <c r="A112" s="50"/>
      <c r="B112" s="50"/>
      <c r="C112" s="59"/>
      <c r="D112" s="59"/>
      <c r="E112" s="88"/>
      <c r="F112" s="79"/>
      <c r="G112" s="80"/>
      <c r="H112" s="93"/>
      <c r="I112" s="91"/>
      <c r="J112" s="92"/>
      <c r="K112" s="59"/>
      <c r="L112" s="59"/>
      <c r="M112" s="59"/>
      <c r="N112" s="493"/>
      <c r="O112" s="493"/>
      <c r="P112" s="493"/>
      <c r="Q112" s="493"/>
      <c r="R112" s="493"/>
      <c r="S112" s="493"/>
      <c r="T112" s="493"/>
      <c r="U112" s="493"/>
      <c r="V112" s="493"/>
      <c r="W112" s="493"/>
      <c r="X112" s="493"/>
      <c r="Y112" s="493"/>
      <c r="Z112" s="493"/>
      <c r="AA112" s="493"/>
      <c r="AB112" s="493"/>
      <c r="AC112" s="493"/>
      <c r="AD112" s="493"/>
    </row>
    <row r="113" spans="1:30" ht="27" customHeight="1">
      <c r="A113" s="50"/>
      <c r="B113" s="50"/>
      <c r="C113" s="59"/>
      <c r="D113" s="59"/>
      <c r="E113" s="83"/>
      <c r="F113" s="604" t="s">
        <v>151</v>
      </c>
      <c r="G113" s="80" t="s">
        <v>142</v>
      </c>
      <c r="H113" s="503">
        <f>H111-H101</f>
        <v>0</v>
      </c>
      <c r="I113" s="91"/>
      <c r="J113" s="92"/>
      <c r="K113" s="59"/>
      <c r="L113" s="59"/>
      <c r="M113" s="59"/>
      <c r="N113" s="493"/>
      <c r="O113" s="493"/>
      <c r="P113" s="493"/>
      <c r="Q113" s="493"/>
      <c r="R113" s="493"/>
      <c r="S113" s="493"/>
      <c r="T113" s="493"/>
      <c r="U113" s="493"/>
      <c r="V113" s="493"/>
      <c r="W113" s="493"/>
      <c r="X113" s="493"/>
      <c r="Y113" s="493"/>
      <c r="Z113" s="493"/>
      <c r="AA113" s="493"/>
      <c r="AB113" s="493"/>
      <c r="AC113" s="493"/>
      <c r="AD113" s="493"/>
    </row>
    <row r="114" spans="1:30" ht="21">
      <c r="A114" s="50"/>
      <c r="B114" s="50"/>
      <c r="C114" s="59"/>
      <c r="D114" s="59"/>
      <c r="E114" s="84"/>
      <c r="F114" s="604"/>
      <c r="G114" s="81"/>
      <c r="H114" s="88"/>
      <c r="I114" s="88"/>
      <c r="J114" s="89"/>
      <c r="K114" s="59"/>
      <c r="L114" s="59"/>
      <c r="M114" s="59"/>
      <c r="N114" s="493"/>
      <c r="O114" s="493"/>
      <c r="P114" s="493"/>
      <c r="Q114" s="493"/>
      <c r="R114" s="493"/>
      <c r="S114" s="493"/>
      <c r="T114" s="493"/>
      <c r="U114" s="493"/>
      <c r="V114" s="493"/>
      <c r="W114" s="493"/>
      <c r="X114" s="493"/>
      <c r="Y114" s="493"/>
      <c r="Z114" s="493"/>
      <c r="AA114" s="493"/>
      <c r="AB114" s="493"/>
      <c r="AC114" s="493"/>
      <c r="AD114" s="493"/>
    </row>
    <row r="115" spans="1:30" ht="21">
      <c r="A115" s="50"/>
      <c r="B115" s="50"/>
      <c r="C115" s="59"/>
      <c r="D115" s="59"/>
      <c r="E115" s="85"/>
      <c r="F115" s="86"/>
      <c r="G115" s="82"/>
      <c r="H115" s="86"/>
      <c r="I115" s="86"/>
      <c r="J115" s="90"/>
      <c r="K115" s="59"/>
      <c r="L115" s="59"/>
      <c r="M115" s="59"/>
      <c r="N115" s="493"/>
      <c r="O115" s="493"/>
      <c r="P115" s="493"/>
      <c r="Q115" s="493"/>
      <c r="R115" s="493"/>
      <c r="S115" s="493"/>
      <c r="T115" s="493"/>
      <c r="U115" s="493"/>
      <c r="V115" s="493"/>
      <c r="W115" s="493"/>
      <c r="X115" s="493"/>
      <c r="Y115" s="493"/>
      <c r="Z115" s="493"/>
      <c r="AA115" s="493"/>
      <c r="AB115" s="493"/>
      <c r="AC115" s="493"/>
      <c r="AD115" s="493"/>
    </row>
    <row r="116" spans="1:30" ht="15.5">
      <c r="A116" s="50"/>
      <c r="B116" s="50"/>
      <c r="C116" s="59"/>
      <c r="D116" s="59"/>
      <c r="E116" s="59"/>
      <c r="F116" s="59"/>
      <c r="G116" s="59"/>
      <c r="H116" s="59"/>
      <c r="I116" s="59"/>
      <c r="J116" s="59"/>
      <c r="K116" s="59"/>
      <c r="L116" s="59"/>
      <c r="M116" s="59"/>
      <c r="N116" s="493"/>
      <c r="O116" s="493"/>
      <c r="P116" s="493"/>
      <c r="Q116" s="493"/>
      <c r="R116" s="493"/>
      <c r="S116" s="493"/>
      <c r="T116" s="493"/>
      <c r="U116" s="493"/>
      <c r="V116" s="493"/>
      <c r="W116" s="493"/>
      <c r="X116" s="493"/>
      <c r="Y116" s="493"/>
      <c r="Z116" s="493"/>
      <c r="AA116" s="493"/>
      <c r="AB116" s="493"/>
      <c r="AC116" s="493"/>
      <c r="AD116" s="493"/>
    </row>
  </sheetData>
  <mergeCells count="12">
    <mergeCell ref="F113:F114"/>
    <mergeCell ref="D1:M4"/>
    <mergeCell ref="C2:C3"/>
    <mergeCell ref="A6:B6"/>
    <mergeCell ref="D66:J66"/>
    <mergeCell ref="E71:I71"/>
    <mergeCell ref="E75:G75"/>
    <mergeCell ref="E87:H87"/>
    <mergeCell ref="E98:J98"/>
    <mergeCell ref="E109:J109"/>
    <mergeCell ref="D20:M20"/>
    <mergeCell ref="D43:M43"/>
  </mergeCells>
  <dataValidations count="9">
    <dataValidation type="list" allowBlank="1" showInputMessage="1" showErrorMessage="1" sqref="G68 G9:G17" xr:uid="{0751EBAB-7E8D-43FD-85B2-98250A9C263F}">
      <formula1>"OCBC, DBS, UOB, Maybank, ICBC, HSBC, Standard Chartered,CIMB,Bank Of China, Others"</formula1>
    </dataValidation>
    <dataValidation type="whole" allowBlank="1" showInputMessage="1" showErrorMessage="1" errorTitle="Invalid Period" error="Please the number of years(&lt;=10) in integer." promptTitle="Enter the number of years" prompt="Period refers to the number of years in integer._x000a_The maximum years is 10 years." sqref="G73" xr:uid="{DCBE80C9-946E-4104-B15A-2A0754463EDD}">
      <formula1>0</formula1>
      <formula2>10</formula2>
    </dataValidation>
    <dataValidation allowBlank="1" showInputMessage="1" showErrorMessage="1" promptTitle="Select the bank" sqref="H5" xr:uid="{05356AEF-F6AE-405B-99FD-96F061A6B442}"/>
    <dataValidation type="list" errorStyle="warning" operator="equal" showErrorMessage="1" errorTitle="Select List" error="Select List from the Drop Down" sqref="I105" xr:uid="{6F35DEE4-E4C0-4B08-BB94-40CA6F47734A}">
      <formula1>"days,months,years"</formula1>
    </dataValidation>
    <dataValidation type="list" operator="equal" showErrorMessage="1" errorTitle="Select List" error="Select List from the Drop Down" sqref="H107" xr:uid="{D20DCD0F-226A-44C9-996C-C913EF8BE791}">
      <formula1>"SimpleInterest,Monthly,Quarterly,Halfyearly,Annually,"</formula1>
      <formula2>0</formula2>
    </dataValidation>
    <dataValidation type="decimal" operator="notEqual" allowBlank="1" showInputMessage="1" showErrorMessage="1" errorTitle="Invalid Period" error="Enter only numbers" promptTitle="Enter the number of period" prompt="Enter your preferred number of period" sqref="H105" xr:uid="{40283D5B-F2F3-4F0F-8E9F-3BA18BAEAAD7}">
      <formula1>0</formula1>
    </dataValidation>
    <dataValidation operator="notEqual" allowBlank="1" showInputMessage="1" showErrorMessage="1" error="Enter only numbers" promptTitle="Enter the interest rate" prompt="Enter your preferred Interest Rate" sqref="H103" xr:uid="{D58585D1-AF63-4A4C-8E93-12BEAB0352CA}"/>
    <dataValidation type="decimal" operator="notEqual" allowBlank="1" showInputMessage="1" showErrorMessage="1" errorTitle="Invalid Principal Amount" error="Enter only numbers" promptTitle="Enter the principal amount" prompt="Enter your preferred  Principal Amount" sqref="H101" xr:uid="{BFD60F46-7393-4C9F-8805-4ECF677B5E54}">
      <formula1>0</formula1>
    </dataValidation>
    <dataValidation type="list" allowBlank="1" showInputMessage="1" showErrorMessage="1" sqref="F9:F17" xr:uid="{0DDD402E-23DC-4CF7-8D6B-9BA80809631E}">
      <formula1>"Current Account, Savings Account, Fixed Deposit Account"</formula1>
    </dataValidation>
  </dataValidations>
  <hyperlinks>
    <hyperlink ref="E96" r:id="rId3" display="https://www.cimb.com.sg/en/personal/banking-with-us/accounts/fixed-deposit/cimb-sgd-fixed-deposit-account.html" xr:uid="{47F93345-E613-41AF-A759-A12DA87C0902}"/>
    <hyperlink ref="E93" r:id="rId4" display="https://www.dbs.com.sg/personal/rates-online/singapore-dollar-fixed-deposits.page" xr:uid="{4985C350-67E6-498E-B74B-3871A307DC11}"/>
    <hyperlink ref="E94" r:id="rId5" display="http://singapore.icbc.com.cn/ICBC/%E6%B5%B7%E5%A4%96%E5%88%86%E8%A1%8C/%E6%96%B0%E5%8A%A0%E5%9D%A1%E7%BD%91%E7%AB%99/en/CommercialBankBusiness/PersonalBanking/PromotionInfo/latestfixeddepositpromotion.htm" xr:uid="{AE8EAA40-4CE9-4843-B2B1-A16BE619EFE2}"/>
    <hyperlink ref="E95" r:id="rId6" display="https://sslsecure.maybank.com.sg/cgi-bin/mbs/JSPscripts/mbb_rates/deposit_rate.jsp" xr:uid="{F01374E8-388B-4F1B-825E-36903F88FBD8}"/>
    <hyperlink ref="E92" r:id="rId7" display="https://www.uob.com.sg/personal/save/fixed-deposit/singapore-dollar-fixed-deposit.page" xr:uid="{C9C0F138-E19E-4B2B-870E-A304D09F46C8}"/>
    <hyperlink ref="E90" r:id="rId8" display="https://www.ocbc.com/personal-banking/deposits/fixed-deposit-account.page" xr:uid="{053A33F5-D827-4123-8D80-3DF172EBC2CE}"/>
    <hyperlink ref="E91" r:id="rId9" display="https://www.sc.com/sg/save/time-deposits/singapore-dollar-time-deposit/" xr:uid="{8EA0F749-C4D3-43F7-BD4D-EC4C85E45581}"/>
    <hyperlink ref="E89" r:id="rId10" location="promotion" display="https://www.hsbc.com.sg/accounts/products/time-deposit/ - promotion" xr:uid="{FC33789A-3760-4576-BCB8-D8DC1BE383D3}"/>
    <hyperlink ref="A6" location="'Home'!A1" display="Home" xr:uid="{B482E363-F0A6-4F5D-A863-5FBE1ED93A00}"/>
    <hyperlink ref="E84" r:id="rId11" xr:uid="{6584C7A5-4B91-4067-B81B-1471908CF976}"/>
    <hyperlink ref="E85" r:id="rId12" xr:uid="{030E80B6-B090-4CA9-9EFC-B4360E6355EB}"/>
    <hyperlink ref="E83" r:id="rId13" xr:uid="{D8145CD3-0E58-4134-99F3-229823ECDAC4}"/>
    <hyperlink ref="E82" r:id="rId14" xr:uid="{CD6CA585-CFC8-468E-8004-40738DEA1A89}"/>
    <hyperlink ref="E81" r:id="rId15" xr:uid="{5BA260C3-5436-4D11-A300-CDFA00F694D1}"/>
    <hyperlink ref="E80" r:id="rId16" xr:uid="{6035E6D9-4FA6-446E-9EEA-D74D84875BB0}"/>
    <hyperlink ref="E79" r:id="rId17" xr:uid="{50C00470-FAA1-4EFD-B17E-513374FC68BE}"/>
    <hyperlink ref="E78" r:id="rId18" xr:uid="{0D922BF1-0133-494C-A523-06A59C3D216F}"/>
    <hyperlink ref="E77" r:id="rId19" xr:uid="{D2F81F9E-C79D-46D9-9C98-2B2C03B17D65}"/>
  </hyperlinks>
  <pageMargins left="0.7" right="0.7" top="0.75" bottom="0.75" header="0.3" footer="0.3"/>
  <pageSetup orientation="portrait" r:id="rId20"/>
  <drawing r:id="rId21"/>
  <legacyDrawing r:id="rId22"/>
  <controls>
    <mc:AlternateContent xmlns:mc="http://schemas.openxmlformats.org/markup-compatibility/2006">
      <mc:Choice Requires="x14">
        <control shapeId="41986" r:id="rId23" name="CommandButton2">
          <controlPr defaultSize="0" autoLine="0" r:id="rId24">
            <anchor moveWithCells="1">
              <from>
                <xdr:col>8</xdr:col>
                <xdr:colOff>69850</xdr:colOff>
                <xdr:row>5</xdr:row>
                <xdr:rowOff>12700</xdr:rowOff>
              </from>
              <to>
                <xdr:col>9</xdr:col>
                <xdr:colOff>762000</xdr:colOff>
                <xdr:row>6</xdr:row>
                <xdr:rowOff>254000</xdr:rowOff>
              </to>
            </anchor>
          </controlPr>
        </control>
      </mc:Choice>
      <mc:Fallback>
        <control shapeId="41986" r:id="rId23" name="CommandButton2"/>
      </mc:Fallback>
    </mc:AlternateContent>
    <mc:AlternateContent xmlns:mc="http://schemas.openxmlformats.org/markup-compatibility/2006">
      <mc:Choice Requires="x14">
        <control shapeId="41985" r:id="rId25" name="CommandButton1">
          <controlPr defaultSize="0" autoLine="0" r:id="rId26">
            <anchor moveWithCells="1">
              <from>
                <xdr:col>4</xdr:col>
                <xdr:colOff>1079500</xdr:colOff>
                <xdr:row>4</xdr:row>
                <xdr:rowOff>317500</xdr:rowOff>
              </from>
              <to>
                <xdr:col>5</xdr:col>
                <xdr:colOff>679450</xdr:colOff>
                <xdr:row>6</xdr:row>
                <xdr:rowOff>120650</xdr:rowOff>
              </to>
            </anchor>
          </controlPr>
        </control>
      </mc:Choice>
      <mc:Fallback>
        <control shapeId="41985" r:id="rId25" name="CommandButton1"/>
      </mc:Fallback>
    </mc:AlternateContent>
  </controls>
  <tableParts count="4">
    <tablePart r:id="rId27"/>
    <tablePart r:id="rId28"/>
    <tablePart r:id="rId29"/>
    <tablePart r:id="rId30"/>
  </tableParts>
  <extLst>
    <ext xmlns:x14="http://schemas.microsoft.com/office/spreadsheetml/2009/9/main" uri="{A8765BA9-456A-4dab-B4F3-ACF838C121DE}">
      <x14:slicerList>
        <x14:slicer r:id="rId31"/>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DB82B-B9FF-4551-9795-7567EBE38DFF}">
  <sheetPr codeName="Sheet7">
    <tabColor rgb="FF4472C4"/>
    <pageSetUpPr autoPageBreaks="0" fitToPage="1"/>
  </sheetPr>
  <dimension ref="A1:H23"/>
  <sheetViews>
    <sheetView showGridLines="0" zoomScale="86" zoomScaleNormal="86" workbookViewId="0">
      <selection activeCell="K4" sqref="K4"/>
    </sheetView>
  </sheetViews>
  <sheetFormatPr defaultColWidth="8.7265625" defaultRowHeight="30" customHeight="1"/>
  <cols>
    <col min="1" max="1" width="15.1796875" style="25" customWidth="1"/>
    <col min="2" max="2" width="15.54296875" style="25" customWidth="1"/>
    <col min="3" max="3" width="32.7265625" style="25" customWidth="1"/>
    <col min="4" max="8" width="14.81640625" style="25" customWidth="1"/>
    <col min="9" max="9" width="10.26953125" style="25" customWidth="1"/>
    <col min="10" max="16384" width="8.7265625" style="25"/>
  </cols>
  <sheetData>
    <row r="1" spans="1:8" ht="68.25" customHeight="1">
      <c r="A1" s="51"/>
      <c r="B1" s="52" t="s">
        <v>152</v>
      </c>
      <c r="C1" s="620" t="s">
        <v>153</v>
      </c>
      <c r="D1" s="621"/>
      <c r="E1" s="621"/>
      <c r="F1" s="621"/>
      <c r="G1" s="621"/>
      <c r="H1" s="622"/>
    </row>
    <row r="2" spans="1:8" ht="30" customHeight="1">
      <c r="A2" s="53"/>
      <c r="B2" s="54"/>
      <c r="C2" s="36" t="s">
        <v>154</v>
      </c>
      <c r="D2" s="623" t="s">
        <v>155</v>
      </c>
      <c r="E2" s="623"/>
      <c r="F2" s="623" t="s">
        <v>156</v>
      </c>
      <c r="G2" s="623"/>
      <c r="H2" s="37"/>
    </row>
    <row r="3" spans="1:8" ht="30" customHeight="1">
      <c r="A3" s="626" t="s">
        <v>38</v>
      </c>
      <c r="B3" s="628"/>
      <c r="C3" s="514"/>
      <c r="D3" s="624"/>
      <c r="E3" s="624"/>
      <c r="F3" s="625"/>
      <c r="G3" s="625"/>
      <c r="H3" s="38"/>
    </row>
    <row r="4" spans="1:8" ht="45" customHeight="1">
      <c r="A4" s="53"/>
      <c r="B4" s="50"/>
      <c r="C4" s="39" t="s">
        <v>157</v>
      </c>
      <c r="D4" s="634"/>
      <c r="E4" s="634"/>
      <c r="F4" s="635" t="s">
        <v>158</v>
      </c>
      <c r="G4" s="635"/>
      <c r="H4" s="636"/>
    </row>
    <row r="5" spans="1:8" ht="45" customHeight="1">
      <c r="A5" s="53"/>
      <c r="B5" s="50"/>
      <c r="C5" s="40" t="s">
        <v>159</v>
      </c>
      <c r="D5" s="639"/>
      <c r="E5" s="639"/>
      <c r="F5" s="637"/>
      <c r="G5" s="637"/>
      <c r="H5" s="638"/>
    </row>
    <row r="6" spans="1:8" ht="68.150000000000006" customHeight="1">
      <c r="A6" s="626"/>
      <c r="B6" s="627"/>
      <c r="C6" s="39" t="s">
        <v>160</v>
      </c>
      <c r="D6" s="640">
        <f>IFERROR(EventCost-AmountSaved, "")</f>
        <v>0</v>
      </c>
      <c r="E6" s="640"/>
      <c r="F6" s="637"/>
      <c r="G6" s="637"/>
      <c r="H6" s="638"/>
    </row>
    <row r="7" spans="1:8" ht="35.15" customHeight="1">
      <c r="A7" s="53"/>
      <c r="B7" s="55"/>
      <c r="C7" s="641" t="str">
        <f ca="1">IFERROR(IF(SavingsPlanInfo&gt;0,"If I save "&amp;TEXT(SavingsPlanInfo,"$#,##0 ")&amp;PROPER(SavingFrequency)&amp;", as of "&amp;TEXT(TODAY(),"mm.dd.yy"&amp;":"),"Date of Event is Too Close for a "&amp;PROPER(SavingFrequency)&amp;" Savings Plan"), "")</f>
        <v>Date of Event is Too Close for a  Savings Plan</v>
      </c>
      <c r="D7" s="642"/>
      <c r="E7" s="642"/>
      <c r="F7" s="637"/>
      <c r="G7" s="637"/>
      <c r="H7" s="638"/>
    </row>
    <row r="8" spans="1:8" ht="35.15" customHeight="1">
      <c r="A8" s="53"/>
      <c r="B8" s="50"/>
      <c r="C8" s="41" t="s">
        <v>161</v>
      </c>
      <c r="D8" s="629">
        <f ca="1" xml:space="preserve"> IFERROR(IF(SavingsPlanInfo&gt;0,IF(TODAY()&gt;DateSavingsBegin,(TODAY()-DateSavingsBegin)*DailySavings,0)+AmountSaved,AmountSaved), "")</f>
        <v>0</v>
      </c>
      <c r="E8" s="629"/>
      <c r="F8" s="637"/>
      <c r="G8" s="637"/>
      <c r="H8" s="638"/>
    </row>
    <row r="9" spans="1:8" ht="35.15" customHeight="1">
      <c r="A9" s="53"/>
      <c r="B9" s="50"/>
      <c r="C9" s="42" t="s">
        <v>162</v>
      </c>
      <c r="D9" s="630">
        <f ca="1">EventCost-SavingsToDate</f>
        <v>0</v>
      </c>
      <c r="E9" s="630"/>
      <c r="F9" s="637"/>
      <c r="G9" s="637"/>
      <c r="H9" s="638"/>
    </row>
    <row r="10" spans="1:8" ht="15" customHeight="1">
      <c r="A10" s="53"/>
      <c r="B10" s="50"/>
      <c r="C10" s="43"/>
      <c r="D10" s="26"/>
      <c r="E10" s="26"/>
      <c r="F10" s="26"/>
      <c r="G10" s="26"/>
      <c r="H10" s="44"/>
    </row>
    <row r="11" spans="1:8" ht="37.5" customHeight="1">
      <c r="A11" s="53"/>
      <c r="B11" s="50"/>
      <c r="C11" s="631" t="s">
        <v>163</v>
      </c>
      <c r="D11" s="632"/>
      <c r="E11" s="632"/>
      <c r="F11" s="632"/>
      <c r="G11" s="633"/>
      <c r="H11" s="45"/>
    </row>
    <row r="12" spans="1:8" ht="20.149999999999999" customHeight="1">
      <c r="A12" s="53"/>
      <c r="B12" s="50"/>
      <c r="C12" s="169" t="s">
        <v>164</v>
      </c>
      <c r="D12" s="170" t="s">
        <v>165</v>
      </c>
      <c r="E12" s="171" t="s">
        <v>166</v>
      </c>
      <c r="F12" s="171" t="s">
        <v>167</v>
      </c>
      <c r="G12" s="171" t="s">
        <v>168</v>
      </c>
      <c r="H12" s="45"/>
    </row>
    <row r="13" spans="1:8" ht="40" customHeight="1">
      <c r="A13" s="53"/>
      <c r="B13" s="50"/>
      <c r="C13" s="172" t="s">
        <v>169</v>
      </c>
      <c r="D13" s="28">
        <f>IFERROR(MIN(Goal,IF(DaysUntilEvent="",0,Goal/DaysUntilEvent)), "")</f>
        <v>0</v>
      </c>
      <c r="E13" s="29">
        <f>IFERROR(MIN(Goal,IF(WeeksUntilEvent="",0,IF(ROUNDUP(WeeksUntilEvent,0)=0,0,Goal/WeeksUntilEvent))), "")</f>
        <v>0</v>
      </c>
      <c r="F13" s="29">
        <f>IFERROR(MIN(Goal,IF(Goal="",0,IF(OR(MonthsUntilEvent=0,MonthsUntilEvent=""),0,Goal/MonthsUntilEvent))), "")</f>
        <v>0</v>
      </c>
      <c r="G13" s="29">
        <f>IFERROR(IF(OR(Goal="",Goal=0),0,IF(OR(YearsUntilEvent=0,YearsUntilEvent=""),0,Goal/YearsUntilEvent)), "")</f>
        <v>0</v>
      </c>
      <c r="H13" s="45"/>
    </row>
    <row r="14" spans="1:8" ht="20.149999999999999" customHeight="1">
      <c r="A14" s="53"/>
      <c r="B14" s="50"/>
      <c r="C14" s="174" t="s">
        <v>170</v>
      </c>
      <c r="D14" s="30" t="s">
        <v>171</v>
      </c>
      <c r="E14" s="27" t="s">
        <v>172</v>
      </c>
      <c r="F14" s="27" t="s">
        <v>173</v>
      </c>
      <c r="G14" s="31" t="s">
        <v>174</v>
      </c>
      <c r="H14" s="46"/>
    </row>
    <row r="15" spans="1:8" ht="40" customHeight="1">
      <c r="A15" s="56"/>
      <c r="B15" s="57"/>
      <c r="C15" s="173" t="s">
        <v>175</v>
      </c>
      <c r="D15" s="47" t="str">
        <f>IFERROR(IF(DateSavingsBegin&lt;&gt;"",DATEDIF(DateSavingsBegin,EventDate,"D"),""), "")</f>
        <v/>
      </c>
      <c r="E15" s="47" t="str">
        <f>IFERROR(IF(DaysUntilEvent&lt;&gt;"",DaysUntilEvent/7,""), "")</f>
        <v/>
      </c>
      <c r="F15" s="48" t="str">
        <f>IFERROR(IF(DateSavingsBegin&lt;&gt;"",DATEDIF(DateSavingsBegin,EventDate,"M"),""), "")</f>
        <v/>
      </c>
      <c r="G15" s="48" t="str">
        <f>IFERROR(IF(DateSavingsBegin&lt;&gt;"",DATEDIF(DateSavingsBegin,EventDate,"Y"),""), "")</f>
        <v/>
      </c>
      <c r="H15" s="49"/>
    </row>
    <row r="16" spans="1:8" ht="30" customHeight="1">
      <c r="A16" s="35"/>
      <c r="B16" s="35"/>
    </row>
    <row r="17" spans="1:2" ht="30" customHeight="1">
      <c r="A17" s="35"/>
      <c r="B17" s="35"/>
    </row>
    <row r="18" spans="1:2" ht="30" customHeight="1">
      <c r="A18" s="35"/>
      <c r="B18" s="35"/>
    </row>
    <row r="19" spans="1:2" ht="30" customHeight="1">
      <c r="A19" s="35"/>
      <c r="B19" s="35"/>
    </row>
    <row r="20" spans="1:2" ht="30" customHeight="1">
      <c r="A20" s="35"/>
      <c r="B20" s="35"/>
    </row>
    <row r="21" spans="1:2" ht="30" customHeight="1">
      <c r="A21" s="35"/>
      <c r="B21" s="35"/>
    </row>
    <row r="22" spans="1:2" ht="30" customHeight="1">
      <c r="A22" s="35"/>
      <c r="B22" s="35"/>
    </row>
    <row r="23" spans="1:2" ht="30" customHeight="1">
      <c r="A23" s="35"/>
      <c r="B23" s="35"/>
    </row>
  </sheetData>
  <sheetProtection formatColumns="0" formatRows="0" selectLockedCells="1"/>
  <mergeCells count="15">
    <mergeCell ref="A6:B6"/>
    <mergeCell ref="A3:B3"/>
    <mergeCell ref="D8:E8"/>
    <mergeCell ref="D9:E9"/>
    <mergeCell ref="C11:G11"/>
    <mergeCell ref="D4:E4"/>
    <mergeCell ref="F4:H9"/>
    <mergeCell ref="D5:E5"/>
    <mergeCell ref="D6:E6"/>
    <mergeCell ref="C7:E7"/>
    <mergeCell ref="C1:H1"/>
    <mergeCell ref="D2:E2"/>
    <mergeCell ref="F2:G2"/>
    <mergeCell ref="D3:E3"/>
    <mergeCell ref="F3:G3"/>
  </mergeCells>
  <dataValidations count="18">
    <dataValidation type="date" operator="lessThan" allowBlank="1" showInputMessage="1" showErrorMessage="1" errorTitle="Start Date Error" error="Start Date should be before the Finish Date." promptTitle="Enter Saving Start Date" prompt="Enter Start Date in the following format: DD/MM/YYYY" sqref="C3" xr:uid="{EF977E76-D262-4191-8C1A-CDAA4AAB2D8A}">
      <formula1>D3</formula1>
    </dataValidation>
    <dataValidation allowBlank="1" showInputMessage="1" showErrorMessage="1" promptTitle="Enter Title" prompt="Enter the title of what you wish to save for._x000a__x000a_[e.g. Christmas Trip to Australia]" sqref="C1:H1" xr:uid="{B0DCC450-4FBF-481B-A322-8D5010F2F5CD}"/>
    <dataValidation allowBlank="1" showInputMessage="1" showErrorMessage="1" prompt="Enter Saving Start Date in cell below" sqref="C2" xr:uid="{95264326-8E62-4C91-963B-638249DCAB4C}"/>
    <dataValidation type="date" errorStyle="information" operator="greaterThan" allowBlank="1" showInputMessage="1" showErrorMessage="1" errorTitle="Finish Savings Date" error="Finish Savings Date should be after the Start Savings Date." prompt="Enter Saving End Date in cell below" sqref="D2:E2" xr:uid="{B98E51D9-5651-4C76-9E39-252BB1289D85}">
      <formula1>C2</formula1>
    </dataValidation>
    <dataValidation type="date" operator="greaterThan" allowBlank="1" showInputMessage="1" showErrorMessage="1" errorTitle="End Date Error" error="End Date should be after the Start Date." promptTitle="Enter Saving End Date" prompt="Enter Saving End Date in the following format: DD/MM/YYYY" sqref="D3:E3" xr:uid="{9B99D631-A5BC-4520-A2BD-0430C913F7E4}">
      <formula1>C3</formula1>
    </dataValidation>
    <dataValidation allowBlank="1" showInputMessage="1" showErrorMessage="1" prompt="Select Saving period in cell below" sqref="F2:G2" xr:uid="{A64F49D8-9A88-4624-BD63-1F640F2C8613}"/>
    <dataValidation type="list" allowBlank="1" showInputMessage="1" showErrorMessage="1" promptTitle="Enter Saving Interval " prompt="Choose whether you would like to save a fixed amount of money every week, month, or year." sqref="F3:G3" xr:uid="{78FD4405-1FEB-4887-93E2-A1D5779CFF44}">
      <formula1>"WEEKLY,MONTHLY,YEARLY"</formula1>
    </dataValidation>
    <dataValidation allowBlank="1" showInputMessage="1" showErrorMessage="1" promptTitle="Enter Cost" prompt="Total cost of what you wish to save for." sqref="D4:E4" xr:uid="{EE57762D-B656-4E53-B518-588DA6E7364F}"/>
    <dataValidation allowBlank="1" showInputMessage="1" showErrorMessage="1" promptTitle="Enter Prior Savings" prompt="Total amount of savings you currently have." sqref="D5:E5" xr:uid="{E80F690E-FA03-41DA-B3F7-63D80F397EC0}"/>
    <dataValidation allowBlank="1" showInputMessage="1" showErrorMessage="1" prompt="Automatically calculated by subtracting &quot;Prior Savings&quot; from &quot;Cost&quot;." sqref="D6:E6" xr:uid="{E29E875D-6080-4CED-ABEF-98B7AD476AC6}"/>
    <dataValidation allowBlank="1" showInputMessage="1" showErrorMessage="1" prompt="Cell and pie chart is automatically updated." sqref="C7:E7" xr:uid="{E31C9230-D476-4757-9428-926CEDA70E53}"/>
    <dataValidation allowBlank="1" showInputMessage="1" showErrorMessage="1" prompt="Amount saved is automatically updated." sqref="C8:E8" xr:uid="{B628D866-742B-45C8-8423-23F779E685A9}"/>
    <dataValidation allowBlank="1" showInputMessage="1" showErrorMessage="1" prompt="Amount still need to be saved is automatically updated." sqref="C9:E9" xr:uid="{3E5571F7-372E-4840-9E1B-41B063907391}"/>
    <dataValidation allowBlank="1" showInputMessage="1" showErrorMessage="1" prompt="Saving Plan Details are automatically updated in cells B17 through G21" sqref="C11" xr:uid="{C07AD8DA-BE6A-4DEB-9CA3-B0E7E564D0DA}"/>
    <dataValidation allowBlank="1" showInputMessage="1" showErrorMessage="1" prompt="Savings Intervals are in cells at right, from column C through G" sqref="C12" xr:uid="{EB33C535-4E7F-4C8F-B902-81A584FFA441}"/>
    <dataValidation allowBlank="1" showInputMessage="1" showErrorMessage="1" prompt="Amount to save is automatically updated for each Savings Internval in cells at right" sqref="C13" xr:uid="{98EDBF2B-5387-4CFE-97C4-24DF55CA7340}"/>
    <dataValidation allowBlank="1" showInputMessage="1" showErrorMessage="1" prompt="Time Intervals are in cells at right, from column C through G" sqref="C14" xr:uid="{96D82961-E430-4AC8-BE3E-99260DC51E22}"/>
    <dataValidation allowBlank="1" showInputMessage="1" showErrorMessage="1" prompt="Time until goal is reached is automatically updated for each Time Interval in cells at right" sqref="C15" xr:uid="{FFB38F8D-41AA-491D-8A7C-80197FE635C1}"/>
  </dataValidations>
  <hyperlinks>
    <hyperlink ref="A3:B3" location="'Home'!A1" display="Home" xr:uid="{807238DA-ECC6-49CA-AB7E-B3D5E85E178F}"/>
  </hyperlinks>
  <printOptions horizontalCentered="1"/>
  <pageMargins left="0.7" right="0.7" top="0.75" bottom="0.75" header="0.3" footer="0.3"/>
  <pageSetup scale="84" orientation="landscape" r:id="rId1"/>
  <headerFooter differentFirst="1">
    <oddFooter>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420D-3DBE-4E4C-B7AB-3A058594C593}">
  <sheetPr codeName="Sheet8">
    <tabColor rgb="FF92D050"/>
  </sheetPr>
  <dimension ref="A1:M86"/>
  <sheetViews>
    <sheetView zoomScale="70" zoomScaleNormal="70" workbookViewId="0">
      <selection sqref="A1:G2"/>
    </sheetView>
  </sheetViews>
  <sheetFormatPr defaultRowHeight="14.5"/>
  <cols>
    <col min="1" max="1" width="38" customWidth="1"/>
    <col min="2" max="2" width="32" customWidth="1"/>
    <col min="3" max="3" width="35" customWidth="1"/>
    <col min="4" max="4" width="37.81640625" customWidth="1"/>
    <col min="5" max="5" width="34.453125" customWidth="1"/>
    <col min="6" max="6" width="35.453125" customWidth="1"/>
    <col min="7" max="7" width="56" customWidth="1"/>
    <col min="8" max="8" width="25" customWidth="1"/>
    <col min="9" max="9" width="54.453125" customWidth="1"/>
    <col min="10" max="10" width="39.54296875" customWidth="1"/>
    <col min="11" max="11" width="54" customWidth="1"/>
    <col min="12" max="12" width="28.7265625" customWidth="1"/>
  </cols>
  <sheetData>
    <row r="1" spans="1:10" ht="27.75" customHeight="1">
      <c r="A1" s="647" t="s">
        <v>176</v>
      </c>
      <c r="B1" s="648"/>
      <c r="C1" s="648"/>
      <c r="D1" s="648"/>
      <c r="E1" s="648"/>
      <c r="F1" s="648"/>
      <c r="G1" s="649"/>
    </row>
    <row r="2" spans="1:10" ht="23.25" customHeight="1">
      <c r="A2" s="650"/>
      <c r="B2" s="651"/>
      <c r="C2" s="651"/>
      <c r="D2" s="651"/>
      <c r="E2" s="651"/>
      <c r="F2" s="651"/>
      <c r="G2" s="652"/>
    </row>
    <row r="3" spans="1:10" ht="18.5">
      <c r="A3" s="372" t="s">
        <v>177</v>
      </c>
      <c r="B3" s="355" t="s">
        <v>178</v>
      </c>
      <c r="C3" s="355" t="s">
        <v>179</v>
      </c>
      <c r="D3" s="658" t="s">
        <v>180</v>
      </c>
      <c r="E3" s="658"/>
      <c r="F3" s="660" t="s">
        <v>181</v>
      </c>
      <c r="G3" s="661"/>
    </row>
    <row r="4" spans="1:10" ht="18.5">
      <c r="A4" s="373">
        <v>17817</v>
      </c>
      <c r="B4" s="356">
        <f ca="1">IF(A4 = "", "", DATEDIF(A4,TODAY(), "Y"))</f>
        <v>73</v>
      </c>
      <c r="C4" s="355" t="str">
        <f ca="1">IF(B4 = "", "", VLOOKUP(B4,$I$11:$J$17,2))</f>
        <v>Above 65</v>
      </c>
      <c r="D4" s="659">
        <v>5000</v>
      </c>
      <c r="E4" s="659"/>
      <c r="F4" s="662">
        <f ca="1">IF(OR(D4 = "", D7 = ""),"", IF(D4 &gt;750, D4*D7, "Ineligible"))</f>
        <v>625</v>
      </c>
      <c r="G4" s="661"/>
    </row>
    <row r="5" spans="1:10" ht="23.5">
      <c r="A5" s="663" t="s">
        <v>182</v>
      </c>
      <c r="B5" s="664"/>
      <c r="C5" s="664"/>
      <c r="D5" s="664"/>
      <c r="E5" s="664"/>
      <c r="F5" s="664"/>
      <c r="G5" s="665"/>
    </row>
    <row r="6" spans="1:10" ht="31">
      <c r="A6" s="374" t="s">
        <v>183</v>
      </c>
      <c r="B6" s="357" t="s">
        <v>184</v>
      </c>
      <c r="C6" s="358" t="s">
        <v>185</v>
      </c>
      <c r="D6" s="359" t="s">
        <v>186</v>
      </c>
      <c r="E6" s="359" t="s">
        <v>187</v>
      </c>
      <c r="F6" s="359" t="s">
        <v>188</v>
      </c>
      <c r="G6" s="375" t="s">
        <v>189</v>
      </c>
    </row>
    <row r="7" spans="1:10" ht="15.5">
      <c r="A7" s="376" t="str">
        <f ca="1">IF(C4="", "", VLOOKUP($C$4,$A$11:$G$17,COLUMN(A6),FALSE))</f>
        <v>Above 65</v>
      </c>
      <c r="B7" s="360">
        <f ca="1">IF(A7 = "", "",VLOOKUP($C$4,$A$11:$G$17,COLUMN(B6),FALSE))</f>
        <v>7.4999999999999997E-2</v>
      </c>
      <c r="C7" s="360">
        <f ca="1">IF(A7="", "", VLOOKUP($C$4,$A$11:$G$17,COLUMN(C6),FALSE))</f>
        <v>0.05</v>
      </c>
      <c r="D7" s="361">
        <f ca="1">IF(A7="","",VLOOKUP($C$4,$A$11:$G$17,COLUMN(D6),FALSE))</f>
        <v>0.125</v>
      </c>
      <c r="E7" s="361">
        <f ca="1">IF(A7="","",VLOOKUP($C$4,$A$11:$G$17,COLUMN(E6),FALSE))</f>
        <v>0.01</v>
      </c>
      <c r="F7" s="361">
        <f ca="1">IF(A7="","",VLOOKUP($C$4,$A$11:$G$17,COLUMN(F6),FALSE))</f>
        <v>0.01</v>
      </c>
      <c r="G7" s="377">
        <f ca="1">IF(A7="","",VLOOKUP($C$4,$A$11:$G$17,COLUMN(G6),FALSE))</f>
        <v>0.105</v>
      </c>
    </row>
    <row r="8" spans="1:10" ht="30.75" customHeight="1" thickBot="1">
      <c r="A8" s="656" t="s">
        <v>190</v>
      </c>
      <c r="B8" s="657"/>
      <c r="C8" s="657"/>
      <c r="D8" s="657"/>
      <c r="E8" s="657"/>
      <c r="F8" s="657"/>
      <c r="G8" s="643"/>
    </row>
    <row r="9" spans="1:10" ht="30" customHeight="1" thickBot="1">
      <c r="A9" s="653" t="s">
        <v>183</v>
      </c>
      <c r="B9" s="654" t="s">
        <v>191</v>
      </c>
      <c r="C9" s="654"/>
      <c r="D9" s="654"/>
      <c r="E9" s="654" t="s">
        <v>192</v>
      </c>
      <c r="F9" s="654"/>
      <c r="G9" s="655"/>
      <c r="I9" s="667" t="s">
        <v>193</v>
      </c>
      <c r="J9" s="668"/>
    </row>
    <row r="10" spans="1:10" ht="31">
      <c r="A10" s="653"/>
      <c r="B10" s="371" t="s">
        <v>184</v>
      </c>
      <c r="C10" s="371" t="s">
        <v>185</v>
      </c>
      <c r="D10" s="371" t="s">
        <v>186</v>
      </c>
      <c r="E10" s="371" t="s">
        <v>187</v>
      </c>
      <c r="F10" s="371" t="s">
        <v>188</v>
      </c>
      <c r="G10" s="378" t="s">
        <v>189</v>
      </c>
      <c r="I10" s="253" t="s">
        <v>194</v>
      </c>
      <c r="J10" s="254" t="s">
        <v>195</v>
      </c>
    </row>
    <row r="11" spans="1:10" ht="15.5">
      <c r="A11" s="379" t="s">
        <v>196</v>
      </c>
      <c r="B11" s="362" t="s">
        <v>197</v>
      </c>
      <c r="C11" s="362" t="s">
        <v>198</v>
      </c>
      <c r="D11" s="362" t="s">
        <v>199</v>
      </c>
      <c r="E11" s="362" t="s">
        <v>200</v>
      </c>
      <c r="F11" s="362" t="s">
        <v>201</v>
      </c>
      <c r="G11" s="380" t="s">
        <v>202</v>
      </c>
      <c r="I11" s="232">
        <v>0</v>
      </c>
      <c r="J11" s="228" t="s">
        <v>196</v>
      </c>
    </row>
    <row r="12" spans="1:10" ht="15.5">
      <c r="A12" s="381" t="s">
        <v>203</v>
      </c>
      <c r="B12" s="363">
        <v>0.17</v>
      </c>
      <c r="C12" s="363">
        <v>0.2</v>
      </c>
      <c r="D12" s="363">
        <v>0.37</v>
      </c>
      <c r="E12" s="363">
        <v>0.21</v>
      </c>
      <c r="F12" s="363">
        <v>7.0000000000000007E-2</v>
      </c>
      <c r="G12" s="382">
        <v>0.09</v>
      </c>
      <c r="I12" s="232">
        <v>36</v>
      </c>
      <c r="J12" s="229" t="s">
        <v>203</v>
      </c>
    </row>
    <row r="13" spans="1:10" ht="15.5">
      <c r="A13" s="381" t="s">
        <v>204</v>
      </c>
      <c r="B13" s="363">
        <v>0.17</v>
      </c>
      <c r="C13" s="363">
        <v>0.2</v>
      </c>
      <c r="D13" s="363">
        <v>0.37</v>
      </c>
      <c r="E13" s="363">
        <v>0.19</v>
      </c>
      <c r="F13" s="363">
        <v>0.08</v>
      </c>
      <c r="G13" s="382">
        <v>0.1</v>
      </c>
      <c r="I13" s="232">
        <v>46</v>
      </c>
      <c r="J13" s="230" t="s">
        <v>204</v>
      </c>
    </row>
    <row r="14" spans="1:10" ht="15.5">
      <c r="A14" s="381" t="s">
        <v>205</v>
      </c>
      <c r="B14" s="363">
        <v>0.17</v>
      </c>
      <c r="C14" s="363">
        <v>0.2</v>
      </c>
      <c r="D14" s="363">
        <v>0.37</v>
      </c>
      <c r="E14" s="363">
        <v>0.15</v>
      </c>
      <c r="F14" s="363">
        <v>0.115</v>
      </c>
      <c r="G14" s="382">
        <v>0.105</v>
      </c>
      <c r="I14" s="232">
        <v>51</v>
      </c>
      <c r="J14" s="229" t="s">
        <v>205</v>
      </c>
    </row>
    <row r="15" spans="1:10" ht="15.5">
      <c r="A15" s="381" t="s">
        <v>206</v>
      </c>
      <c r="B15" s="363">
        <v>0.13</v>
      </c>
      <c r="C15" s="363">
        <v>0.13</v>
      </c>
      <c r="D15" s="363">
        <v>0.26</v>
      </c>
      <c r="E15" s="363">
        <v>0.12</v>
      </c>
      <c r="F15" s="363">
        <v>3.5000000000000003E-2</v>
      </c>
      <c r="G15" s="382">
        <v>0.105</v>
      </c>
      <c r="I15" s="232">
        <v>56</v>
      </c>
      <c r="J15" s="230" t="s">
        <v>206</v>
      </c>
    </row>
    <row r="16" spans="1:10" ht="15.5">
      <c r="A16" s="381" t="s">
        <v>207</v>
      </c>
      <c r="B16" s="363">
        <v>0.09</v>
      </c>
      <c r="C16" s="363">
        <v>7.4999999999999997E-2</v>
      </c>
      <c r="D16" s="363">
        <v>0.16500000000000001</v>
      </c>
      <c r="E16" s="363">
        <v>3.5000000000000003E-2</v>
      </c>
      <c r="F16" s="363">
        <v>2.5000000000000001E-2</v>
      </c>
      <c r="G16" s="382">
        <v>0.105</v>
      </c>
      <c r="I16" s="232">
        <v>61</v>
      </c>
      <c r="J16" s="229" t="s">
        <v>207</v>
      </c>
    </row>
    <row r="17" spans="1:13" ht="16" thickBot="1">
      <c r="A17" s="381" t="s">
        <v>208</v>
      </c>
      <c r="B17" s="363">
        <v>7.4999999999999997E-2</v>
      </c>
      <c r="C17" s="363">
        <v>0.05</v>
      </c>
      <c r="D17" s="363">
        <v>0.125</v>
      </c>
      <c r="E17" s="363">
        <v>0.01</v>
      </c>
      <c r="F17" s="363">
        <v>0.01</v>
      </c>
      <c r="G17" s="382">
        <v>0.105</v>
      </c>
      <c r="I17" s="233">
        <v>66</v>
      </c>
      <c r="J17" s="231" t="s">
        <v>208</v>
      </c>
    </row>
    <row r="18" spans="1:13" ht="15" customHeight="1">
      <c r="A18" s="669" t="s">
        <v>209</v>
      </c>
      <c r="B18" s="670"/>
      <c r="C18" s="670"/>
      <c r="D18" s="670"/>
      <c r="E18" s="670"/>
      <c r="F18" s="670"/>
      <c r="G18" s="643" t="s">
        <v>210</v>
      </c>
    </row>
    <row r="19" spans="1:13" ht="15.75" customHeight="1" thickBot="1">
      <c r="A19" s="669"/>
      <c r="B19" s="670"/>
      <c r="C19" s="670"/>
      <c r="D19" s="670"/>
      <c r="E19" s="670"/>
      <c r="F19" s="670"/>
      <c r="G19" s="643"/>
    </row>
    <row r="20" spans="1:13" ht="30.75" customHeight="1">
      <c r="A20" s="666" t="s">
        <v>211</v>
      </c>
      <c r="B20" s="658"/>
      <c r="C20" s="658" t="s">
        <v>212</v>
      </c>
      <c r="D20" s="658"/>
      <c r="E20" s="658" t="s">
        <v>213</v>
      </c>
      <c r="F20" s="658"/>
      <c r="G20" s="383"/>
      <c r="I20" s="328" t="s">
        <v>214</v>
      </c>
      <c r="J20" s="329" t="s">
        <v>215</v>
      </c>
      <c r="K20" s="354"/>
    </row>
    <row r="21" spans="1:13" ht="22.5" customHeight="1">
      <c r="A21" s="673">
        <v>4000</v>
      </c>
      <c r="B21" s="674"/>
      <c r="C21" s="674">
        <v>4000</v>
      </c>
      <c r="D21" s="674"/>
      <c r="E21" s="674">
        <v>4000</v>
      </c>
      <c r="F21" s="674"/>
      <c r="G21" s="384"/>
      <c r="I21" s="330" t="s">
        <v>29</v>
      </c>
      <c r="J21" s="331">
        <v>2.5000000000000001E-2</v>
      </c>
      <c r="K21" s="247"/>
      <c r="L21" s="246"/>
    </row>
    <row r="22" spans="1:13" ht="35.25" customHeight="1">
      <c r="A22" s="129"/>
      <c r="G22" s="385"/>
      <c r="I22" s="330" t="s">
        <v>30</v>
      </c>
      <c r="J22" s="331">
        <v>0.04</v>
      </c>
      <c r="K22" s="246"/>
      <c r="L22" s="337"/>
    </row>
    <row r="23" spans="1:13">
      <c r="A23" s="129"/>
      <c r="G23" s="385"/>
      <c r="I23" s="330" t="s">
        <v>31</v>
      </c>
      <c r="J23" s="331">
        <v>0.04</v>
      </c>
      <c r="K23" s="246"/>
      <c r="L23" s="337"/>
    </row>
    <row r="24" spans="1:13" ht="18.5">
      <c r="A24" s="129"/>
      <c r="G24" s="385"/>
      <c r="I24" s="671" t="s">
        <v>216</v>
      </c>
      <c r="J24" s="672"/>
      <c r="K24" s="246"/>
      <c r="L24" s="337"/>
    </row>
    <row r="25" spans="1:13" ht="18.5">
      <c r="A25" s="129"/>
      <c r="G25" s="385"/>
      <c r="I25" s="333" t="s">
        <v>217</v>
      </c>
      <c r="J25" s="334">
        <f t="shared" ref="J25" si="0">$A$21</f>
        <v>4000</v>
      </c>
      <c r="K25" s="246"/>
      <c r="L25" s="337"/>
    </row>
    <row r="26" spans="1:13" ht="18.5">
      <c r="A26" s="129"/>
      <c r="G26" s="385"/>
      <c r="I26" s="333" t="s">
        <v>218</v>
      </c>
      <c r="J26" s="334">
        <f ca="1">$D$4*$E$7</f>
        <v>50</v>
      </c>
      <c r="K26" s="246"/>
      <c r="L26" s="337"/>
    </row>
    <row r="27" spans="1:13" ht="18.5">
      <c r="A27" s="129"/>
      <c r="G27" s="385"/>
      <c r="I27" s="341" t="s">
        <v>219</v>
      </c>
      <c r="J27" s="332" t="s">
        <v>220</v>
      </c>
      <c r="K27" s="341" t="s">
        <v>221</v>
      </c>
      <c r="L27" s="142"/>
      <c r="M27" s="337"/>
    </row>
    <row r="28" spans="1:13">
      <c r="A28" s="129"/>
      <c r="G28" s="385"/>
      <c r="I28" s="342">
        <v>1</v>
      </c>
      <c r="J28" s="339">
        <f t="shared" ref="J28:J42" ca="1" si="1">FV($J$21/12, I28*12,-$J$26,-$J$25)</f>
        <v>4708.076795532128</v>
      </c>
      <c r="K28" s="343">
        <f t="shared" ref="K28:K42" ca="1" si="2">$J$25+(($J$26*12)*I28)</f>
        <v>4600</v>
      </c>
      <c r="L28" s="142"/>
      <c r="M28" s="337"/>
    </row>
    <row r="29" spans="1:13">
      <c r="A29" s="129"/>
      <c r="G29" s="385"/>
      <c r="I29" s="342">
        <v>2</v>
      </c>
      <c r="J29" s="339">
        <f t="shared" ca="1" si="1"/>
        <v>5434.0597606489391</v>
      </c>
      <c r="K29" s="343">
        <f t="shared" ca="1" si="2"/>
        <v>5200</v>
      </c>
      <c r="L29" s="142"/>
      <c r="M29" s="337"/>
    </row>
    <row r="30" spans="1:13">
      <c r="A30" s="129"/>
      <c r="G30" s="385"/>
      <c r="I30" s="342">
        <v>3</v>
      </c>
      <c r="J30" s="339">
        <f t="shared" ca="1" si="1"/>
        <v>6178.4017147497079</v>
      </c>
      <c r="K30" s="343">
        <f t="shared" ca="1" si="2"/>
        <v>5800</v>
      </c>
      <c r="L30" s="142"/>
      <c r="M30" s="337"/>
    </row>
    <row r="31" spans="1:13">
      <c r="A31" s="129"/>
      <c r="G31" s="385"/>
      <c r="I31" s="342">
        <v>4</v>
      </c>
      <c r="J31" s="339">
        <f t="shared" ca="1" si="1"/>
        <v>6941.5669283376083</v>
      </c>
      <c r="K31" s="343">
        <f t="shared" ca="1" si="2"/>
        <v>6400</v>
      </c>
      <c r="L31" s="142"/>
      <c r="M31" s="337"/>
    </row>
    <row r="32" spans="1:13">
      <c r="A32" s="129"/>
      <c r="G32" s="385"/>
      <c r="I32" s="342">
        <v>5</v>
      </c>
      <c r="J32" s="339">
        <f t="shared" ca="1" si="1"/>
        <v>7724.0314126004714</v>
      </c>
      <c r="K32" s="343">
        <f t="shared" ca="1" si="2"/>
        <v>7000</v>
      </c>
      <c r="L32" s="336"/>
    </row>
    <row r="33" spans="1:13">
      <c r="A33" s="129"/>
      <c r="G33" s="385"/>
      <c r="I33" s="342">
        <v>6</v>
      </c>
      <c r="J33" s="339">
        <f t="shared" ca="1" si="1"/>
        <v>8526.2832163145722</v>
      </c>
      <c r="K33" s="343">
        <f t="shared" ca="1" si="2"/>
        <v>7600</v>
      </c>
      <c r="L33" s="247"/>
      <c r="M33" s="142"/>
    </row>
    <row r="34" spans="1:13">
      <c r="A34" s="129"/>
      <c r="G34" s="385"/>
      <c r="I34" s="342">
        <v>7</v>
      </c>
      <c r="J34" s="339">
        <f t="shared" ca="1" si="1"/>
        <v>9348.8227302566556</v>
      </c>
      <c r="K34" s="343">
        <f t="shared" ca="1" si="2"/>
        <v>8200</v>
      </c>
      <c r="L34" s="247"/>
      <c r="M34" s="337"/>
    </row>
    <row r="35" spans="1:13">
      <c r="A35" s="129"/>
      <c r="G35" s="385"/>
      <c r="I35" s="342">
        <v>8</v>
      </c>
      <c r="J35" s="339">
        <f t="shared" ca="1" si="1"/>
        <v>10192.162999314131</v>
      </c>
      <c r="K35" s="343">
        <f t="shared" ca="1" si="2"/>
        <v>8800</v>
      </c>
      <c r="L35" s="247"/>
      <c r="M35" s="337"/>
    </row>
    <row r="36" spans="1:13" ht="15" thickBot="1">
      <c r="A36" s="130"/>
      <c r="B36" s="131"/>
      <c r="C36" s="131"/>
      <c r="D36" s="131"/>
      <c r="E36" s="131"/>
      <c r="F36" s="131"/>
      <c r="G36" s="386"/>
      <c r="I36" s="342">
        <v>9</v>
      </c>
      <c r="J36" s="339">
        <f t="shared" ca="1" si="1"/>
        <v>11056.830042487934</v>
      </c>
      <c r="K36" s="343">
        <f t="shared" ca="1" si="2"/>
        <v>9400</v>
      </c>
      <c r="L36" s="247"/>
      <c r="M36" s="337"/>
    </row>
    <row r="37" spans="1:13">
      <c r="I37" s="342">
        <v>10</v>
      </c>
      <c r="J37" s="339">
        <f t="shared" ca="1" si="1"/>
        <v>11943.363180987908</v>
      </c>
      <c r="K37" s="343">
        <f t="shared" ca="1" si="2"/>
        <v>10000</v>
      </c>
      <c r="L37" s="247"/>
      <c r="M37" s="337"/>
    </row>
    <row r="38" spans="1:13" ht="20.25" customHeight="1">
      <c r="I38" s="342">
        <v>11</v>
      </c>
      <c r="J38" s="338">
        <f t="shared" ca="1" si="1"/>
        <v>12852.315374625101</v>
      </c>
      <c r="K38" s="343">
        <f t="shared" ca="1" si="2"/>
        <v>10600</v>
      </c>
      <c r="L38" s="247"/>
      <c r="M38" s="337"/>
    </row>
    <row r="39" spans="1:13">
      <c r="I39" s="342">
        <v>12</v>
      </c>
      <c r="J39" s="340">
        <f t="shared" ca="1" si="1"/>
        <v>13784.253566710955</v>
      </c>
      <c r="K39" s="343">
        <f t="shared" ca="1" si="2"/>
        <v>11200</v>
      </c>
      <c r="L39" s="247"/>
      <c r="M39" s="337"/>
    </row>
    <row r="40" spans="1:13">
      <c r="I40" s="342">
        <v>13</v>
      </c>
      <c r="J40" s="340">
        <f t="shared" ca="1" si="1"/>
        <v>14739.759037678461</v>
      </c>
      <c r="K40" s="343">
        <f t="shared" ca="1" si="2"/>
        <v>11800</v>
      </c>
      <c r="L40" s="247"/>
      <c r="M40" s="337"/>
    </row>
    <row r="41" spans="1:13">
      <c r="I41" s="342">
        <v>14</v>
      </c>
      <c r="J41" s="340">
        <f t="shared" ca="1" si="1"/>
        <v>15719.427767645824</v>
      </c>
      <c r="K41" s="343">
        <f t="shared" ca="1" si="2"/>
        <v>12400</v>
      </c>
      <c r="L41" s="247"/>
      <c r="M41" s="337"/>
    </row>
    <row r="42" spans="1:13">
      <c r="I42" s="342">
        <v>15</v>
      </c>
      <c r="J42" s="340">
        <f t="shared" ca="1" si="1"/>
        <v>16723.870808148837</v>
      </c>
      <c r="K42" s="343">
        <f t="shared" ca="1" si="2"/>
        <v>13000</v>
      </c>
      <c r="L42" s="247"/>
      <c r="M42" s="337"/>
    </row>
    <row r="43" spans="1:13" ht="18.75" customHeight="1">
      <c r="K43" s="142"/>
      <c r="L43" s="337"/>
    </row>
    <row r="44" spans="1:13" ht="18.5">
      <c r="I44" s="671" t="s">
        <v>222</v>
      </c>
      <c r="J44" s="672"/>
    </row>
    <row r="45" spans="1:13" ht="18.5">
      <c r="I45" s="333" t="s">
        <v>217</v>
      </c>
      <c r="J45" s="334">
        <f>$C$21</f>
        <v>4000</v>
      </c>
      <c r="K45" s="335"/>
    </row>
    <row r="46" spans="1:13" ht="19" thickBot="1">
      <c r="I46" s="333" t="s">
        <v>223</v>
      </c>
      <c r="J46" s="334">
        <f ca="1">$D$4*$F$7</f>
        <v>50</v>
      </c>
      <c r="K46" s="142"/>
    </row>
    <row r="47" spans="1:13" ht="19" thickBot="1">
      <c r="I47" s="344" t="s">
        <v>219</v>
      </c>
      <c r="J47" s="345" t="s">
        <v>224</v>
      </c>
      <c r="K47" s="346" t="s">
        <v>221</v>
      </c>
    </row>
    <row r="48" spans="1:13" ht="15" thickTop="1">
      <c r="I48" s="347">
        <v>1</v>
      </c>
      <c r="J48" s="348">
        <f t="shared" ref="J48:J62" ca="1" si="3">FV($J$22/12, I48*12,-$J$46,-$J$45)</f>
        <v>4774.0893154760251</v>
      </c>
      <c r="K48" s="349">
        <f ca="1">$J$45+(($J$46*12)*I48)</f>
        <v>4600</v>
      </c>
    </row>
    <row r="49" spans="9:11">
      <c r="I49" s="350">
        <v>2</v>
      </c>
      <c r="J49" s="348">
        <f t="shared" ca="1" si="3"/>
        <v>5579.7162240222669</v>
      </c>
      <c r="K49" s="349">
        <f t="shared" ref="K49:K62" ca="1" si="4">$J$45+(($J$46*12)*I49)</f>
        <v>5200</v>
      </c>
    </row>
    <row r="50" spans="9:11">
      <c r="I50" s="347">
        <v>3</v>
      </c>
      <c r="J50" s="348">
        <f t="shared" ca="1" si="3"/>
        <v>6418.165615840383</v>
      </c>
      <c r="K50" s="349">
        <f t="shared" ca="1" si="4"/>
        <v>5800</v>
      </c>
    </row>
    <row r="51" spans="9:11">
      <c r="I51" s="350">
        <v>4</v>
      </c>
      <c r="J51" s="348">
        <f t="shared" ca="1" si="3"/>
        <v>7290.7747295413337</v>
      </c>
      <c r="K51" s="349">
        <f t="shared" ca="1" si="4"/>
        <v>6400</v>
      </c>
    </row>
    <row r="52" spans="9:11">
      <c r="I52" s="347">
        <v>5</v>
      </c>
      <c r="J52" s="348">
        <f t="shared" ca="1" si="3"/>
        <v>8198.935284900328</v>
      </c>
      <c r="K52" s="349">
        <f t="shared" ca="1" si="4"/>
        <v>7000</v>
      </c>
    </row>
    <row r="53" spans="9:11">
      <c r="I53" s="350">
        <v>6</v>
      </c>
      <c r="J53" s="348">
        <f t="shared" ca="1" si="3"/>
        <v>9144.0957025035423</v>
      </c>
      <c r="K53" s="349">
        <f t="shared" ca="1" si="4"/>
        <v>7600</v>
      </c>
    </row>
    <row r="54" spans="9:11">
      <c r="I54" s="347">
        <v>7</v>
      </c>
      <c r="J54" s="348">
        <f t="shared" ca="1" si="3"/>
        <v>10127.763413826628</v>
      </c>
      <c r="K54" s="349">
        <f t="shared" ca="1" si="4"/>
        <v>8200</v>
      </c>
    </row>
    <row r="55" spans="9:11">
      <c r="I55" s="350">
        <v>8</v>
      </c>
      <c r="J55" s="348">
        <f t="shared" ca="1" si="3"/>
        <v>11151.507265429391</v>
      </c>
      <c r="K55" s="349">
        <f t="shared" ca="1" si="4"/>
        <v>8800</v>
      </c>
    </row>
    <row r="56" spans="9:11">
      <c r="I56" s="347">
        <v>9</v>
      </c>
      <c r="J56" s="348">
        <f t="shared" ca="1" si="3"/>
        <v>12216.960021101098</v>
      </c>
      <c r="K56" s="349">
        <f t="shared" ca="1" si="4"/>
        <v>9400</v>
      </c>
    </row>
    <row r="57" spans="9:11">
      <c r="I57" s="350">
        <v>10</v>
      </c>
      <c r="J57" s="348">
        <f t="shared" ca="1" si="3"/>
        <v>13325.820965947019</v>
      </c>
      <c r="K57" s="349">
        <f t="shared" ca="1" si="4"/>
        <v>10000</v>
      </c>
    </row>
    <row r="58" spans="9:11">
      <c r="I58" s="347">
        <v>11</v>
      </c>
      <c r="J58" s="348">
        <f t="shared" ca="1" si="3"/>
        <v>14479.858616569461</v>
      </c>
      <c r="K58" s="349">
        <f t="shared" ca="1" si="4"/>
        <v>10600</v>
      </c>
    </row>
    <row r="59" spans="9:11">
      <c r="I59" s="350">
        <v>12</v>
      </c>
      <c r="J59" s="348">
        <f t="shared" ca="1" si="3"/>
        <v>15680.913541665786</v>
      </c>
      <c r="K59" s="349">
        <f t="shared" ca="1" si="4"/>
        <v>11200</v>
      </c>
    </row>
    <row r="60" spans="9:11">
      <c r="I60" s="347">
        <v>13</v>
      </c>
      <c r="J60" s="348">
        <f t="shared" ca="1" si="3"/>
        <v>16930.901297541957</v>
      </c>
      <c r="K60" s="349">
        <f t="shared" ca="1" si="4"/>
        <v>11800</v>
      </c>
    </row>
    <row r="61" spans="9:11">
      <c r="I61" s="350">
        <v>14</v>
      </c>
      <c r="J61" s="348">
        <f t="shared" ca="1" si="3"/>
        <v>18231.815483223363</v>
      </c>
      <c r="K61" s="349">
        <f t="shared" ca="1" si="4"/>
        <v>12400</v>
      </c>
    </row>
    <row r="62" spans="9:11" ht="15" thickBot="1">
      <c r="I62" s="351">
        <v>15</v>
      </c>
      <c r="J62" s="352">
        <f t="shared" ca="1" si="3"/>
        <v>19585.730920035676</v>
      </c>
      <c r="K62" s="353">
        <f t="shared" ca="1" si="4"/>
        <v>13000</v>
      </c>
    </row>
    <row r="64" spans="9:11" ht="18.5">
      <c r="I64" s="671" t="s">
        <v>225</v>
      </c>
      <c r="J64" s="672"/>
    </row>
    <row r="65" spans="9:11" ht="18.5">
      <c r="I65" s="333" t="s">
        <v>217</v>
      </c>
      <c r="J65" s="334">
        <f>$E$21</f>
        <v>4000</v>
      </c>
    </row>
    <row r="66" spans="9:11" ht="19" thickBot="1">
      <c r="I66" s="333" t="s">
        <v>226</v>
      </c>
      <c r="J66" s="334">
        <f ca="1">$D$4*$G$7</f>
        <v>525</v>
      </c>
    </row>
    <row r="67" spans="9:11" ht="19" thickBot="1">
      <c r="I67" s="344" t="s">
        <v>219</v>
      </c>
      <c r="J67" s="345" t="s">
        <v>227</v>
      </c>
      <c r="K67" s="346" t="s">
        <v>221</v>
      </c>
    </row>
    <row r="68" spans="9:11" ht="15" thickTop="1">
      <c r="I68" s="347">
        <v>1</v>
      </c>
      <c r="J68" s="348">
        <f t="shared" ref="J68:J82" ca="1" si="5">FV($J$23/12, I68*12,-$J$66,-$J$65)</f>
        <v>10579.759181546216</v>
      </c>
      <c r="K68" s="349">
        <f ca="1">$J$65+($J$66*I68)</f>
        <v>4525</v>
      </c>
    </row>
    <row r="69" spans="9:11">
      <c r="I69" s="350">
        <v>2</v>
      </c>
      <c r="J69" s="348">
        <f t="shared" ca="1" si="5"/>
        <v>17427.587904189266</v>
      </c>
      <c r="K69" s="349">
        <f t="shared" ref="K69:K82" ca="1" si="6">$J$65+($J$66*I69)</f>
        <v>5050</v>
      </c>
    </row>
    <row r="70" spans="9:11">
      <c r="I70" s="347">
        <v>3</v>
      </c>
      <c r="J70" s="348">
        <f t="shared" ca="1" si="5"/>
        <v>24554.407734643253</v>
      </c>
      <c r="K70" s="349">
        <f t="shared" ca="1" si="6"/>
        <v>5575</v>
      </c>
    </row>
    <row r="71" spans="9:11">
      <c r="I71" s="350">
        <v>4</v>
      </c>
      <c r="J71" s="348">
        <f t="shared" ca="1" si="5"/>
        <v>31971.585201101334</v>
      </c>
      <c r="K71" s="349">
        <f t="shared" ca="1" si="6"/>
        <v>6100</v>
      </c>
    </row>
    <row r="72" spans="9:11">
      <c r="I72" s="347">
        <v>5</v>
      </c>
      <c r="J72" s="348">
        <f t="shared" ca="1" si="5"/>
        <v>39690.949921652791</v>
      </c>
      <c r="K72" s="349">
        <f t="shared" ca="1" si="6"/>
        <v>6625</v>
      </c>
    </row>
    <row r="73" spans="9:11">
      <c r="I73" s="350">
        <v>6</v>
      </c>
      <c r="J73" s="348">
        <f t="shared" ca="1" si="5"/>
        <v>47724.813471280111</v>
      </c>
      <c r="K73" s="349">
        <f t="shared" ca="1" si="6"/>
        <v>7150</v>
      </c>
    </row>
    <row r="74" spans="9:11">
      <c r="I74" s="347">
        <v>7</v>
      </c>
      <c r="J74" s="348">
        <f t="shared" ca="1" si="5"/>
        <v>56085.989017526328</v>
      </c>
      <c r="K74" s="349">
        <f t="shared" ca="1" si="6"/>
        <v>7675</v>
      </c>
    </row>
    <row r="75" spans="9:11">
      <c r="I75" s="350">
        <v>8</v>
      </c>
      <c r="J75" s="348">
        <f t="shared" ca="1" si="5"/>
        <v>64787.811756149822</v>
      </c>
      <c r="K75" s="349">
        <f t="shared" ca="1" si="6"/>
        <v>8200</v>
      </c>
    </row>
    <row r="76" spans="9:11">
      <c r="I76" s="347">
        <v>9</v>
      </c>
      <c r="J76" s="348">
        <f t="shared" ca="1" si="5"/>
        <v>73844.160179359344</v>
      </c>
      <c r="K76" s="349">
        <f t="shared" ca="1" si="6"/>
        <v>8725</v>
      </c>
    </row>
    <row r="77" spans="9:11">
      <c r="I77" s="350">
        <v>10</v>
      </c>
      <c r="J77" s="348">
        <f t="shared" ca="1" si="5"/>
        <v>83269.478210549671</v>
      </c>
      <c r="K77" s="349">
        <f t="shared" ca="1" si="6"/>
        <v>9250</v>
      </c>
    </row>
    <row r="78" spans="9:11">
      <c r="I78" s="347">
        <v>11</v>
      </c>
      <c r="J78" s="348">
        <f t="shared" ca="1" si="5"/>
        <v>93078.79824084042</v>
      </c>
      <c r="K78" s="349">
        <f t="shared" ca="1" si="6"/>
        <v>9775</v>
      </c>
    </row>
    <row r="79" spans="9:11">
      <c r="I79" s="350">
        <v>12</v>
      </c>
      <c r="J79" s="348">
        <f t="shared" ca="1" si="5"/>
        <v>103287.76510415919</v>
      </c>
      <c r="K79" s="349">
        <f t="shared" ca="1" si="6"/>
        <v>10300</v>
      </c>
    </row>
    <row r="80" spans="9:11">
      <c r="I80" s="347">
        <v>13</v>
      </c>
      <c r="J80" s="348">
        <f t="shared" ca="1" si="5"/>
        <v>113912.66102910665</v>
      </c>
      <c r="K80" s="349">
        <f t="shared" ca="1" si="6"/>
        <v>10825</v>
      </c>
    </row>
    <row r="81" spans="9:11">
      <c r="I81" s="350">
        <v>14</v>
      </c>
      <c r="J81" s="348">
        <f t="shared" ca="1" si="5"/>
        <v>124970.43160739858</v>
      </c>
      <c r="K81" s="349">
        <f t="shared" ca="1" si="6"/>
        <v>11350</v>
      </c>
    </row>
    <row r="82" spans="9:11" ht="15" thickBot="1">
      <c r="I82" s="351">
        <v>15</v>
      </c>
      <c r="J82" s="352">
        <f t="shared" ca="1" si="5"/>
        <v>136478.71282030325</v>
      </c>
      <c r="K82" s="353">
        <f t="shared" ca="1" si="6"/>
        <v>11875</v>
      </c>
    </row>
    <row r="83" spans="9:11" ht="15" thickBot="1"/>
    <row r="84" spans="9:11" ht="18.5">
      <c r="I84" s="644" t="s">
        <v>228</v>
      </c>
      <c r="J84" s="645"/>
      <c r="K84" s="646"/>
    </row>
    <row r="85" spans="9:11">
      <c r="I85" s="364" t="s">
        <v>29</v>
      </c>
      <c r="J85" s="365" t="s">
        <v>30</v>
      </c>
      <c r="K85" s="366" t="s">
        <v>31</v>
      </c>
    </row>
    <row r="86" spans="9:11" ht="15" thickBot="1">
      <c r="I86" s="367">
        <f ca="1">K42</f>
        <v>13000</v>
      </c>
      <c r="J86" s="368">
        <f ca="1">K62</f>
        <v>13000</v>
      </c>
      <c r="K86" s="369">
        <f ca="1">K82</f>
        <v>11875</v>
      </c>
    </row>
  </sheetData>
  <mergeCells count="23">
    <mergeCell ref="I64:J64"/>
    <mergeCell ref="I24:J24"/>
    <mergeCell ref="I44:J44"/>
    <mergeCell ref="A21:B21"/>
    <mergeCell ref="C20:D20"/>
    <mergeCell ref="C21:D21"/>
    <mergeCell ref="E21:F21"/>
    <mergeCell ref="G18:G19"/>
    <mergeCell ref="I84:K84"/>
    <mergeCell ref="A1:G2"/>
    <mergeCell ref="A9:A10"/>
    <mergeCell ref="B9:D9"/>
    <mergeCell ref="E9:G9"/>
    <mergeCell ref="A8:G8"/>
    <mergeCell ref="D3:E3"/>
    <mergeCell ref="D4:E4"/>
    <mergeCell ref="F3:G3"/>
    <mergeCell ref="F4:G4"/>
    <mergeCell ref="A5:G5"/>
    <mergeCell ref="A20:B20"/>
    <mergeCell ref="I9:J9"/>
    <mergeCell ref="E20:F20"/>
    <mergeCell ref="A18:F19"/>
  </mergeCells>
  <phoneticPr fontId="33" type="noConversion"/>
  <pageMargins left="0.7" right="0.7" top="0.75" bottom="0.75" header="0.3" footer="0.3"/>
  <pageSetup orientation="portrait"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770F-2091-4188-9499-221CF3D2ABA1}">
  <sheetPr codeName="Sheet9">
    <tabColor rgb="FF92D050"/>
  </sheetPr>
  <dimension ref="A1:AH345"/>
  <sheetViews>
    <sheetView zoomScale="55" zoomScaleNormal="55" workbookViewId="0"/>
  </sheetViews>
  <sheetFormatPr defaultColWidth="9.1796875" defaultRowHeight="14.5"/>
  <cols>
    <col min="1" max="1" width="15" customWidth="1"/>
    <col min="2" max="2" width="17.453125" style="390" customWidth="1"/>
    <col min="3" max="3" width="10.26953125" style="35" bestFit="1" customWidth="1"/>
    <col min="4" max="4" width="11.7265625" style="35" bestFit="1" customWidth="1"/>
    <col min="5" max="5" width="38.54296875" style="35" bestFit="1" customWidth="1"/>
    <col min="6" max="6" width="38.81640625" style="35" bestFit="1" customWidth="1"/>
    <col min="7" max="7" width="21.81640625" style="35" customWidth="1"/>
    <col min="8" max="8" width="26.54296875" style="35" customWidth="1"/>
    <col min="9" max="9" width="11.7265625" style="35" bestFit="1" customWidth="1"/>
    <col min="10" max="10" width="19.81640625" style="35" bestFit="1" customWidth="1"/>
    <col min="11" max="11" width="18.1796875" style="35" bestFit="1" customWidth="1"/>
    <col min="12" max="12" width="17.1796875" style="35" bestFit="1" customWidth="1"/>
    <col min="13" max="13" width="13.81640625" style="35" bestFit="1" customWidth="1"/>
    <col min="14" max="14" width="18.54296875" style="35" customWidth="1"/>
    <col min="15" max="15" width="14.26953125" style="35" bestFit="1" customWidth="1"/>
    <col min="16" max="16" width="22.453125" style="35" bestFit="1" customWidth="1"/>
    <col min="17" max="17" width="20.7265625" style="35" bestFit="1" customWidth="1"/>
    <col min="18" max="18" width="23.1796875" style="35" customWidth="1"/>
    <col min="19" max="19" width="13.81640625" style="35" bestFit="1" customWidth="1"/>
    <col min="20" max="20" width="21.26953125" style="35" bestFit="1" customWidth="1"/>
    <col min="21" max="21" width="19.7265625" style="35" bestFit="1" customWidth="1"/>
    <col min="22" max="22" width="16.7265625" style="35" customWidth="1"/>
    <col min="23" max="23" width="13.81640625" style="35" bestFit="1" customWidth="1"/>
    <col min="24" max="24" width="18.81640625" style="35" bestFit="1" customWidth="1"/>
    <col min="25" max="25" width="17.26953125" style="35" bestFit="1" customWidth="1"/>
    <col min="26" max="26" width="16.453125" style="35" bestFit="1" customWidth="1"/>
    <col min="27" max="27" width="9.1796875" style="35"/>
    <col min="28" max="28" width="13.81640625" style="35" bestFit="1" customWidth="1"/>
    <col min="29" max="29" width="22.26953125" style="35" bestFit="1" customWidth="1"/>
    <col min="30" max="30" width="19.7265625" style="35" bestFit="1" customWidth="1"/>
    <col min="31" max="31" width="22" style="35" bestFit="1" customWidth="1"/>
    <col min="32" max="32" width="9.1796875" style="35"/>
    <col min="33" max="33" width="9.1796875" style="35" customWidth="1"/>
    <col min="34" max="34" width="27.81640625" style="35" bestFit="1" customWidth="1"/>
    <col min="35" max="16384" width="9.1796875" style="35"/>
  </cols>
  <sheetData>
    <row r="1" spans="1:34">
      <c r="A1" s="138"/>
      <c r="B1" s="688" t="s">
        <v>152</v>
      </c>
      <c r="C1" s="686" t="s">
        <v>229</v>
      </c>
      <c r="D1" s="687"/>
      <c r="E1" s="687"/>
      <c r="F1" s="687"/>
      <c r="G1" s="687"/>
      <c r="H1" s="687"/>
      <c r="I1" s="687"/>
      <c r="J1" s="687"/>
      <c r="K1" s="687"/>
      <c r="L1" s="687"/>
      <c r="M1" s="687"/>
      <c r="N1" s="687"/>
      <c r="O1" s="687"/>
      <c r="P1" s="687"/>
      <c r="Q1" s="687"/>
      <c r="R1" s="687"/>
      <c r="S1" s="687"/>
      <c r="T1" s="687"/>
    </row>
    <row r="2" spans="1:34">
      <c r="A2" s="139"/>
      <c r="B2" s="689"/>
      <c r="C2" s="686"/>
      <c r="D2" s="687"/>
      <c r="E2" s="687"/>
      <c r="F2" s="687"/>
      <c r="G2" s="687"/>
      <c r="H2" s="687"/>
      <c r="I2" s="687"/>
      <c r="J2" s="687"/>
      <c r="K2" s="687"/>
      <c r="L2" s="687"/>
      <c r="M2" s="687"/>
      <c r="N2" s="687"/>
      <c r="O2" s="687"/>
      <c r="P2" s="687"/>
      <c r="Q2" s="687"/>
      <c r="R2" s="687"/>
      <c r="S2" s="687"/>
      <c r="T2" s="687"/>
    </row>
    <row r="3" spans="1:34">
      <c r="A3" s="139"/>
      <c r="B3" s="689"/>
      <c r="C3" s="686"/>
      <c r="D3" s="687"/>
      <c r="E3" s="687"/>
      <c r="F3" s="687"/>
      <c r="G3" s="687"/>
      <c r="H3" s="687"/>
      <c r="I3" s="687"/>
      <c r="J3" s="687"/>
      <c r="K3" s="687"/>
      <c r="L3" s="687"/>
      <c r="M3" s="687"/>
      <c r="N3" s="687"/>
      <c r="O3" s="687"/>
      <c r="P3" s="687"/>
      <c r="Q3" s="687"/>
      <c r="R3" s="687"/>
      <c r="S3" s="687"/>
      <c r="T3" s="687"/>
    </row>
    <row r="4" spans="1:34">
      <c r="A4" s="139"/>
      <c r="B4" s="689"/>
      <c r="C4" s="686"/>
      <c r="D4" s="687"/>
      <c r="E4" s="687"/>
      <c r="F4" s="687"/>
      <c r="G4" s="687"/>
      <c r="H4" s="687"/>
      <c r="I4" s="687"/>
      <c r="J4" s="687"/>
      <c r="K4" s="687"/>
      <c r="L4" s="687"/>
      <c r="M4" s="687"/>
      <c r="N4" s="687"/>
      <c r="O4" s="687"/>
      <c r="P4" s="687"/>
      <c r="Q4" s="687"/>
      <c r="R4" s="687"/>
      <c r="S4" s="687"/>
      <c r="T4" s="687"/>
    </row>
    <row r="5" spans="1:34">
      <c r="A5" s="139"/>
      <c r="B5" s="389"/>
      <c r="C5" s="686"/>
      <c r="D5" s="687"/>
      <c r="E5" s="687"/>
      <c r="F5" s="687"/>
      <c r="G5" s="687"/>
      <c r="H5" s="687"/>
      <c r="I5" s="687"/>
      <c r="J5" s="687"/>
      <c r="K5" s="687"/>
      <c r="L5" s="687"/>
      <c r="M5" s="687"/>
      <c r="N5" s="687"/>
      <c r="O5" s="687"/>
      <c r="P5" s="687"/>
      <c r="Q5" s="687"/>
      <c r="R5" s="687"/>
      <c r="S5" s="687"/>
      <c r="T5" s="687"/>
    </row>
    <row r="6" spans="1:34">
      <c r="A6" s="139"/>
      <c r="B6" s="389"/>
    </row>
    <row r="7" spans="1:34" ht="18.5">
      <c r="A7" s="690" t="s">
        <v>38</v>
      </c>
      <c r="B7" s="691"/>
    </row>
    <row r="8" spans="1:34" ht="16" thickBot="1">
      <c r="A8" s="139"/>
      <c r="B8" s="389"/>
      <c r="D8" s="675" t="s">
        <v>183</v>
      </c>
      <c r="E8" s="677" t="s">
        <v>191</v>
      </c>
      <c r="F8" s="678"/>
      <c r="G8" s="679"/>
      <c r="H8" s="677" t="s">
        <v>192</v>
      </c>
      <c r="I8" s="678"/>
      <c r="J8" s="680"/>
    </row>
    <row r="9" spans="1:34" ht="47.5" customHeight="1" thickBot="1">
      <c r="A9" s="139"/>
      <c r="B9" s="389"/>
      <c r="D9" s="676"/>
      <c r="E9" s="235" t="s">
        <v>184</v>
      </c>
      <c r="F9" s="235" t="s">
        <v>185</v>
      </c>
      <c r="G9" s="235" t="s">
        <v>186</v>
      </c>
      <c r="H9" s="235" t="s">
        <v>187</v>
      </c>
      <c r="I9" s="235" t="s">
        <v>188</v>
      </c>
      <c r="J9" s="236" t="s">
        <v>189</v>
      </c>
      <c r="L9" s="681" t="s">
        <v>230</v>
      </c>
      <c r="M9" s="682"/>
      <c r="U9" s="391" t="s">
        <v>231</v>
      </c>
      <c r="V9" s="391" t="s">
        <v>219</v>
      </c>
      <c r="W9" s="391" t="s">
        <v>232</v>
      </c>
      <c r="X9" s="391" t="s">
        <v>28</v>
      </c>
      <c r="Y9" s="391" t="s">
        <v>233</v>
      </c>
      <c r="Z9" s="391" t="s">
        <v>234</v>
      </c>
      <c r="AA9" s="391" t="s">
        <v>235</v>
      </c>
      <c r="AB9" s="391" t="s">
        <v>236</v>
      </c>
      <c r="AC9" s="391" t="s">
        <v>237</v>
      </c>
      <c r="AD9" s="391" t="s">
        <v>238</v>
      </c>
      <c r="AE9" s="391" t="s">
        <v>173</v>
      </c>
      <c r="AF9" s="391" t="s">
        <v>239</v>
      </c>
      <c r="AG9" s="391" t="s">
        <v>240</v>
      </c>
      <c r="AH9" s="391" t="s">
        <v>241</v>
      </c>
    </row>
    <row r="10" spans="1:34" ht="16" thickBot="1">
      <c r="A10" s="139"/>
      <c r="B10" s="389"/>
      <c r="C10" s="250">
        <v>0</v>
      </c>
      <c r="D10" s="243" t="s">
        <v>196</v>
      </c>
      <c r="E10" s="244" t="s">
        <v>197</v>
      </c>
      <c r="F10" s="244" t="s">
        <v>198</v>
      </c>
      <c r="G10" s="244" t="s">
        <v>199</v>
      </c>
      <c r="H10" s="244" t="s">
        <v>200</v>
      </c>
      <c r="I10" s="244" t="s">
        <v>201</v>
      </c>
      <c r="J10" s="245" t="s">
        <v>202</v>
      </c>
      <c r="L10" s="251" t="s">
        <v>239</v>
      </c>
      <c r="M10" s="252">
        <v>3.5000000000000003E-2</v>
      </c>
      <c r="U10" s="392"/>
      <c r="V10" s="392"/>
      <c r="W10" s="392"/>
      <c r="X10" s="392">
        <v>0</v>
      </c>
      <c r="Y10" s="392">
        <v>0</v>
      </c>
      <c r="Z10" s="392">
        <v>0</v>
      </c>
      <c r="AA10" s="392">
        <v>0</v>
      </c>
      <c r="AB10" s="392">
        <v>0</v>
      </c>
      <c r="AC10" s="392">
        <v>0</v>
      </c>
      <c r="AD10" s="392">
        <v>0</v>
      </c>
      <c r="AE10" s="392">
        <v>0</v>
      </c>
      <c r="AF10" s="393">
        <v>0</v>
      </c>
      <c r="AG10" s="393">
        <v>0</v>
      </c>
      <c r="AH10" s="393">
        <v>0</v>
      </c>
    </row>
    <row r="11" spans="1:34" ht="16" thickBot="1">
      <c r="A11" s="139"/>
      <c r="B11" s="389"/>
      <c r="C11" s="250">
        <v>36</v>
      </c>
      <c r="D11" s="237" t="s">
        <v>203</v>
      </c>
      <c r="E11" s="238">
        <v>0.17</v>
      </c>
      <c r="F11" s="238">
        <v>0.2</v>
      </c>
      <c r="G11" s="238">
        <v>0.37</v>
      </c>
      <c r="H11" s="238">
        <v>0.21</v>
      </c>
      <c r="I11" s="238">
        <v>7.0000000000000007E-2</v>
      </c>
      <c r="J11" s="239">
        <v>0.09</v>
      </c>
      <c r="L11" s="248" t="s">
        <v>240</v>
      </c>
      <c r="M11" s="249">
        <v>0.05</v>
      </c>
      <c r="U11" s="392">
        <f t="shared" ref="U11:U40" si="0">DATEDIF($D$18,W11,"y")</f>
        <v>44</v>
      </c>
      <c r="V11" s="392">
        <f t="shared" ref="V11:V40" si="1">YEAR(W11)</f>
        <v>2019</v>
      </c>
      <c r="W11" s="370">
        <v>43709</v>
      </c>
      <c r="X11" s="392">
        <v>1900</v>
      </c>
      <c r="Y11" s="392" cm="1">
        <f t="array" ref="Y11">_xlfn.XLOOKUP(IF(U11 = "", "", VLOOKUP(U11,AGE_CHECK,2)),AGE_GRP,EmployerContribution)*X11</f>
        <v>323</v>
      </c>
      <c r="Z11" s="392" cm="1">
        <f t="array" ref="Z11">_xlfn.XLOOKUP(IF(U11 = "", "", VLOOKUP(U11,AGE_CHECK,2)),AGE_GRP,EmployeeContribution)*X11</f>
        <v>380</v>
      </c>
      <c r="AA11" s="392">
        <f t="shared" ref="AA11:AA41" si="2">AA10+X11</f>
        <v>1900</v>
      </c>
      <c r="AB11" s="392" cm="1">
        <f t="array" ref="AB11">_xlfn.XLOOKUP(IF(U11 = "", "", VLOOKUP(U11,AGE_CHECK,2)),AGE_GRP,OA_cut)*AA11</f>
        <v>399</v>
      </c>
      <c r="AC11" s="392" cm="1">
        <f t="array" ref="AC11">_xlfn.XLOOKUP(IF(U11 = "", "", VLOOKUP(U11,AGE_CHECK,2)),AGE_GRP,SA_cut)*AA11</f>
        <v>133</v>
      </c>
      <c r="AD11" s="392" cm="1">
        <f t="array" ref="AD11">_xlfn.XLOOKUP(IF(U11 = "", "", VLOOKUP(U11,AGE_CHECK,2)),AGE_GRP,MA_cut)*AA11</f>
        <v>171</v>
      </c>
      <c r="AE11" s="392">
        <v>1</v>
      </c>
      <c r="AF11" s="393">
        <f t="shared" ref="AF11:AF41" si="3">AB11*(1+_xlfn.XLOOKUP($AF$9,ACC_TYPE,ACC_INT)/12)-AB11</f>
        <v>1.1637499999999932</v>
      </c>
      <c r="AG11" s="393">
        <f t="shared" ref="AG11:AG41" si="4">AC11*(1+_xlfn.XLOOKUP($AG$9,ACC_TYPE,ACC_INT)/12)-AC11</f>
        <v>0.55416666666667425</v>
      </c>
      <c r="AH11" s="393">
        <f t="shared" ref="AH11:AH41" si="5">AD11*(1+_xlfn.XLOOKUP($AH$9,ACC_TYPE,ACC_INT)/12)-AD11</f>
        <v>0.71250000000000568</v>
      </c>
    </row>
    <row r="12" spans="1:34" ht="16" thickBot="1">
      <c r="A12" s="139"/>
      <c r="B12" s="389"/>
      <c r="C12" s="250">
        <v>46</v>
      </c>
      <c r="D12" s="237" t="s">
        <v>204</v>
      </c>
      <c r="E12" s="238">
        <v>0.17</v>
      </c>
      <c r="F12" s="238">
        <v>0.2</v>
      </c>
      <c r="G12" s="238">
        <v>0.37</v>
      </c>
      <c r="H12" s="238">
        <v>0.19</v>
      </c>
      <c r="I12" s="238">
        <v>0.08</v>
      </c>
      <c r="J12" s="239">
        <v>0.1</v>
      </c>
      <c r="L12" s="248" t="s">
        <v>241</v>
      </c>
      <c r="M12" s="249">
        <v>0.05</v>
      </c>
      <c r="U12" s="392">
        <f t="shared" si="0"/>
        <v>44</v>
      </c>
      <c r="V12" s="392">
        <f t="shared" si="1"/>
        <v>2019</v>
      </c>
      <c r="W12" s="370">
        <v>43739</v>
      </c>
      <c r="X12" s="392">
        <v>1900</v>
      </c>
      <c r="Y12" s="392" cm="1">
        <f t="array" ref="Y12">_xlfn.XLOOKUP(IF(U12 = "", "", VLOOKUP(U12,AGE_CHECK,2)),AGE_GRP,EmployerContribution)*X12</f>
        <v>323</v>
      </c>
      <c r="Z12" s="392" cm="1">
        <f t="array" ref="Z12">_xlfn.XLOOKUP(IF(U12 = "", "", VLOOKUP(U12,AGE_CHECK,2)),AGE_GRP,EmployeeContribution)*X12</f>
        <v>380</v>
      </c>
      <c r="AA12" s="392">
        <f t="shared" si="2"/>
        <v>3800</v>
      </c>
      <c r="AB12" s="392" cm="1">
        <f t="array" ref="AB12">_xlfn.XLOOKUP(IF(U12 = "", "", VLOOKUP(U12,AGE_CHECK,2)),AGE_GRP,OA_cut)*AA12</f>
        <v>798</v>
      </c>
      <c r="AC12" s="392" cm="1">
        <f t="array" ref="AC12">_xlfn.XLOOKUP(IF(U12 = "", "", VLOOKUP(U12,AGE_CHECK,2)),AGE_GRP,SA_cut)*AA12</f>
        <v>266</v>
      </c>
      <c r="AD12" s="392" cm="1">
        <f t="array" ref="AD12">_xlfn.XLOOKUP(IF(U12 = "", "", VLOOKUP(U12,AGE_CHECK,2)),AGE_GRP,MA_cut)*AA12</f>
        <v>342</v>
      </c>
      <c r="AE12" s="392">
        <v>1</v>
      </c>
      <c r="AF12" s="393">
        <f t="shared" si="3"/>
        <v>2.3274999999999864</v>
      </c>
      <c r="AG12" s="393">
        <f t="shared" si="4"/>
        <v>1.1083333333333485</v>
      </c>
      <c r="AH12" s="393">
        <f t="shared" si="5"/>
        <v>1.4250000000000114</v>
      </c>
    </row>
    <row r="13" spans="1:34" ht="15.5">
      <c r="A13" s="139"/>
      <c r="B13" s="389"/>
      <c r="C13" s="250">
        <v>51</v>
      </c>
      <c r="D13" s="237" t="s">
        <v>205</v>
      </c>
      <c r="E13" s="238">
        <v>0.17</v>
      </c>
      <c r="F13" s="238">
        <v>0.2</v>
      </c>
      <c r="G13" s="238">
        <v>0.37</v>
      </c>
      <c r="H13" s="238">
        <v>0.15</v>
      </c>
      <c r="I13" s="238">
        <v>0.115</v>
      </c>
      <c r="J13" s="239">
        <v>0.105</v>
      </c>
      <c r="U13" s="392">
        <f t="shared" si="0"/>
        <v>44</v>
      </c>
      <c r="V13" s="392">
        <f t="shared" si="1"/>
        <v>2019</v>
      </c>
      <c r="W13" s="370">
        <v>43770</v>
      </c>
      <c r="X13" s="392">
        <v>1900</v>
      </c>
      <c r="Y13" s="392" cm="1">
        <f t="array" ref="Y13">_xlfn.XLOOKUP(IF(U13 = "", "", VLOOKUP(U13,AGE_CHECK,2)),AGE_GRP,EmployerContribution)*X13</f>
        <v>323</v>
      </c>
      <c r="Z13" s="392" cm="1">
        <f t="array" ref="Z13">_xlfn.XLOOKUP(IF(U13 = "", "", VLOOKUP(U13,AGE_CHECK,2)),AGE_GRP,EmployeeContribution)*X13</f>
        <v>380</v>
      </c>
      <c r="AA13" s="392">
        <f t="shared" si="2"/>
        <v>5700</v>
      </c>
      <c r="AB13" s="392" cm="1">
        <f t="array" ref="AB13">_xlfn.XLOOKUP(IF(U13 = "", "", VLOOKUP(U13,AGE_CHECK,2)),AGE_GRP,OA_cut)*AA13</f>
        <v>1197</v>
      </c>
      <c r="AC13" s="392" cm="1">
        <f t="array" ref="AC13">_xlfn.XLOOKUP(IF(U13 = "", "", VLOOKUP(U13,AGE_CHECK,2)),AGE_GRP,SA_cut)*AA13</f>
        <v>399.00000000000006</v>
      </c>
      <c r="AD13" s="392" cm="1">
        <f t="array" ref="AD13">_xlfn.XLOOKUP(IF(U13 = "", "", VLOOKUP(U13,AGE_CHECK,2)),AGE_GRP,MA_cut)*AA13</f>
        <v>513</v>
      </c>
      <c r="AE13" s="392">
        <v>1</v>
      </c>
      <c r="AF13" s="393">
        <f t="shared" si="3"/>
        <v>3.4912500000000364</v>
      </c>
      <c r="AG13" s="393">
        <f t="shared" si="4"/>
        <v>1.6625000000000227</v>
      </c>
      <c r="AH13" s="393">
        <f t="shared" si="5"/>
        <v>2.1375000000000455</v>
      </c>
    </row>
    <row r="14" spans="1:34" ht="15.65" customHeight="1">
      <c r="A14" s="139"/>
      <c r="B14" s="389"/>
      <c r="C14" s="250">
        <v>56</v>
      </c>
      <c r="D14" s="237" t="s">
        <v>206</v>
      </c>
      <c r="E14" s="238">
        <v>0.13</v>
      </c>
      <c r="F14" s="238">
        <v>0.13</v>
      </c>
      <c r="G14" s="238">
        <v>0.26</v>
      </c>
      <c r="H14" s="238">
        <v>0.12</v>
      </c>
      <c r="I14" s="238">
        <v>3.5000000000000003E-2</v>
      </c>
      <c r="J14" s="239">
        <v>0.105</v>
      </c>
      <c r="L14" s="683" t="s">
        <v>28</v>
      </c>
      <c r="M14" s="683"/>
      <c r="U14" s="392">
        <f t="shared" si="0"/>
        <v>44</v>
      </c>
      <c r="V14" s="392">
        <f t="shared" si="1"/>
        <v>2019</v>
      </c>
      <c r="W14" s="370">
        <v>43800</v>
      </c>
      <c r="X14" s="392">
        <v>1900</v>
      </c>
      <c r="Y14" s="392" cm="1">
        <f t="array" ref="Y14">_xlfn.XLOOKUP(IF(U14 = "", "", VLOOKUP(U14,AGE_CHECK,2)),AGE_GRP,EmployerContribution)*X14</f>
        <v>323</v>
      </c>
      <c r="Z14" s="392" cm="1">
        <f t="array" ref="Z14">_xlfn.XLOOKUP(IF(U14 = "", "", VLOOKUP(U14,AGE_CHECK,2)),AGE_GRP,EmployeeContribution)*X14</f>
        <v>380</v>
      </c>
      <c r="AA14" s="392">
        <f t="shared" si="2"/>
        <v>7600</v>
      </c>
      <c r="AB14" s="392" cm="1">
        <f t="array" ref="AB14">_xlfn.XLOOKUP(IF(U14 = "", "", VLOOKUP(U14,AGE_CHECK,2)),AGE_GRP,OA_cut)*AA14</f>
        <v>1596</v>
      </c>
      <c r="AC14" s="392" cm="1">
        <f t="array" ref="AC14">_xlfn.XLOOKUP(IF(U14 = "", "", VLOOKUP(U14,AGE_CHECK,2)),AGE_GRP,SA_cut)*AA14</f>
        <v>532</v>
      </c>
      <c r="AD14" s="392" cm="1">
        <f t="array" ref="AD14">_xlfn.XLOOKUP(IF(U14 = "", "", VLOOKUP(U14,AGE_CHECK,2)),AGE_GRP,MA_cut)*AA14</f>
        <v>684</v>
      </c>
      <c r="AE14" s="392">
        <v>1</v>
      </c>
      <c r="AF14" s="393">
        <f t="shared" si="3"/>
        <v>4.6549999999999727</v>
      </c>
      <c r="AG14" s="393">
        <f t="shared" si="4"/>
        <v>2.216666666666697</v>
      </c>
      <c r="AH14" s="393">
        <f t="shared" si="5"/>
        <v>2.8500000000000227</v>
      </c>
    </row>
    <row r="15" spans="1:34" ht="15.5">
      <c r="A15" s="139"/>
      <c r="B15" s="389"/>
      <c r="C15" s="250">
        <v>61</v>
      </c>
      <c r="D15" s="237" t="s">
        <v>207</v>
      </c>
      <c r="E15" s="238">
        <v>0.09</v>
      </c>
      <c r="F15" s="238">
        <v>7.4999999999999997E-2</v>
      </c>
      <c r="G15" s="238">
        <v>0.16500000000000001</v>
      </c>
      <c r="H15" s="238">
        <v>3.5000000000000003E-2</v>
      </c>
      <c r="I15" s="238">
        <v>2.5000000000000001E-2</v>
      </c>
      <c r="J15" s="239">
        <v>0.105</v>
      </c>
      <c r="L15" s="313" t="s">
        <v>242</v>
      </c>
      <c r="M15" s="312"/>
      <c r="U15" s="392">
        <f t="shared" si="0"/>
        <v>45</v>
      </c>
      <c r="V15" s="392">
        <f t="shared" si="1"/>
        <v>2020</v>
      </c>
      <c r="W15" s="370">
        <v>43831</v>
      </c>
      <c r="X15" s="392">
        <v>1900</v>
      </c>
      <c r="Y15" s="392" cm="1">
        <f t="array" ref="Y15">_xlfn.XLOOKUP(IF(U15 = "", "", VLOOKUP(U15,AGE_CHECK,2)),AGE_GRP,EmployerContribution)*X15</f>
        <v>323</v>
      </c>
      <c r="Z15" s="392" cm="1">
        <f t="array" ref="Z15">_xlfn.XLOOKUP(IF(U15 = "", "", VLOOKUP(U15,AGE_CHECK,2)),AGE_GRP,EmployeeContribution)*X15</f>
        <v>380</v>
      </c>
      <c r="AA15" s="392">
        <f t="shared" si="2"/>
        <v>9500</v>
      </c>
      <c r="AB15" s="392" cm="1">
        <f t="array" ref="AB15">_xlfn.XLOOKUP(IF(U15 = "", "", VLOOKUP(U15,AGE_CHECK,2)),AGE_GRP,OA_cut)*AA15</f>
        <v>1995</v>
      </c>
      <c r="AC15" s="392" cm="1">
        <f t="array" ref="AC15">_xlfn.XLOOKUP(IF(U15 = "", "", VLOOKUP(U15,AGE_CHECK,2)),AGE_GRP,SA_cut)*AA15</f>
        <v>665.00000000000011</v>
      </c>
      <c r="AD15" s="392" cm="1">
        <f t="array" ref="AD15">_xlfn.XLOOKUP(IF(U15 = "", "", VLOOKUP(U15,AGE_CHECK,2)),AGE_GRP,MA_cut)*AA15</f>
        <v>855</v>
      </c>
      <c r="AE15" s="392">
        <v>1</v>
      </c>
      <c r="AF15" s="393">
        <f t="shared" si="3"/>
        <v>5.8187500000001364</v>
      </c>
      <c r="AG15" s="393">
        <f t="shared" si="4"/>
        <v>2.7708333333333712</v>
      </c>
      <c r="AH15" s="393">
        <f t="shared" si="5"/>
        <v>3.5625</v>
      </c>
    </row>
    <row r="16" spans="1:34" ht="16" thickBot="1">
      <c r="A16" s="139"/>
      <c r="B16" s="389"/>
      <c r="C16" s="250">
        <v>66</v>
      </c>
      <c r="D16" s="240" t="s">
        <v>208</v>
      </c>
      <c r="E16" s="241">
        <v>7.4999999999999997E-2</v>
      </c>
      <c r="F16" s="241">
        <v>0.05</v>
      </c>
      <c r="G16" s="241">
        <v>0.125</v>
      </c>
      <c r="H16" s="241">
        <v>0.01</v>
      </c>
      <c r="I16" s="241">
        <v>0.01</v>
      </c>
      <c r="J16" s="242">
        <v>0.105</v>
      </c>
      <c r="L16" s="313" t="s">
        <v>243</v>
      </c>
      <c r="M16" s="312"/>
      <c r="U16" s="392">
        <f t="shared" si="0"/>
        <v>45</v>
      </c>
      <c r="V16" s="392">
        <f t="shared" si="1"/>
        <v>2020</v>
      </c>
      <c r="W16" s="370">
        <v>43862</v>
      </c>
      <c r="X16" s="392">
        <v>1900</v>
      </c>
      <c r="Y16" s="392" cm="1">
        <f t="array" ref="Y16">_xlfn.XLOOKUP(IF(U16 = "", "", VLOOKUP(U16,AGE_CHECK,2)),AGE_GRP,EmployerContribution)*X16</f>
        <v>323</v>
      </c>
      <c r="Z16" s="392" cm="1">
        <f t="array" ref="Z16">_xlfn.XLOOKUP(IF(U16 = "", "", VLOOKUP(U16,AGE_CHECK,2)),AGE_GRP,EmployeeContribution)*X16</f>
        <v>380</v>
      </c>
      <c r="AA16" s="392">
        <f t="shared" si="2"/>
        <v>11400</v>
      </c>
      <c r="AB16" s="392" cm="1">
        <f t="array" ref="AB16">_xlfn.XLOOKUP(IF(U16 = "", "", VLOOKUP(U16,AGE_CHECK,2)),AGE_GRP,OA_cut)*AA16</f>
        <v>2394</v>
      </c>
      <c r="AC16" s="392" cm="1">
        <f t="array" ref="AC16">_xlfn.XLOOKUP(IF(U16 = "", "", VLOOKUP(U16,AGE_CHECK,2)),AGE_GRP,SA_cut)*AA16</f>
        <v>798.00000000000011</v>
      </c>
      <c r="AD16" s="392" cm="1">
        <f t="array" ref="AD16">_xlfn.XLOOKUP(IF(U16 = "", "", VLOOKUP(U16,AGE_CHECK,2)),AGE_GRP,MA_cut)*AA16</f>
        <v>1026</v>
      </c>
      <c r="AE16" s="392">
        <v>1</v>
      </c>
      <c r="AF16" s="393">
        <f t="shared" si="3"/>
        <v>6.9825000000000728</v>
      </c>
      <c r="AG16" s="393">
        <f t="shared" si="4"/>
        <v>3.3250000000000455</v>
      </c>
      <c r="AH16" s="393">
        <f t="shared" si="5"/>
        <v>4.2750000000000909</v>
      </c>
    </row>
    <row r="17" spans="1:34">
      <c r="A17" s="139"/>
      <c r="B17" s="389"/>
      <c r="U17" s="392">
        <f t="shared" si="0"/>
        <v>45</v>
      </c>
      <c r="V17" s="392">
        <f t="shared" si="1"/>
        <v>2020</v>
      </c>
      <c r="W17" s="370">
        <v>43891</v>
      </c>
      <c r="X17" s="392">
        <v>1900</v>
      </c>
      <c r="Y17" s="392" cm="1">
        <f t="array" ref="Y17">_xlfn.XLOOKUP(IF(U17 = "", "", VLOOKUP(U17,AGE_CHECK,2)),AGE_GRP,EmployerContribution)*X17</f>
        <v>323</v>
      </c>
      <c r="Z17" s="392" cm="1">
        <f t="array" ref="Z17">_xlfn.XLOOKUP(IF(U17 = "", "", VLOOKUP(U17,AGE_CHECK,2)),AGE_GRP,EmployeeContribution)*X17</f>
        <v>380</v>
      </c>
      <c r="AA17" s="392">
        <f t="shared" si="2"/>
        <v>13300</v>
      </c>
      <c r="AB17" s="392" cm="1">
        <f t="array" ref="AB17">_xlfn.XLOOKUP(IF(U17 = "", "", VLOOKUP(U17,AGE_CHECK,2)),AGE_GRP,OA_cut)*AA17</f>
        <v>2793</v>
      </c>
      <c r="AC17" s="392" cm="1">
        <f t="array" ref="AC17">_xlfn.XLOOKUP(IF(U17 = "", "", VLOOKUP(U17,AGE_CHECK,2)),AGE_GRP,SA_cut)*AA17</f>
        <v>931.00000000000011</v>
      </c>
      <c r="AD17" s="392" cm="1">
        <f t="array" ref="AD17">_xlfn.XLOOKUP(IF(U17 = "", "", VLOOKUP(U17,AGE_CHECK,2)),AGE_GRP,MA_cut)*AA17</f>
        <v>1197</v>
      </c>
      <c r="AE17" s="392">
        <v>1</v>
      </c>
      <c r="AF17" s="393">
        <f t="shared" si="3"/>
        <v>8.1462500000002365</v>
      </c>
      <c r="AG17" s="393">
        <f t="shared" si="4"/>
        <v>3.879166666666606</v>
      </c>
      <c r="AH17" s="393">
        <f t="shared" si="5"/>
        <v>4.9874999999999545</v>
      </c>
    </row>
    <row r="18" spans="1:34">
      <c r="A18" s="139"/>
      <c r="B18" s="389"/>
      <c r="C18" s="35" t="s">
        <v>244</v>
      </c>
      <c r="D18" s="370">
        <v>27395</v>
      </c>
      <c r="U18" s="392">
        <f t="shared" si="0"/>
        <v>45</v>
      </c>
      <c r="V18" s="392">
        <f t="shared" si="1"/>
        <v>2020</v>
      </c>
      <c r="W18" s="370">
        <v>43922</v>
      </c>
      <c r="X18" s="392">
        <v>1900</v>
      </c>
      <c r="Y18" s="392" cm="1">
        <f t="array" ref="Y18">_xlfn.XLOOKUP(IF(U18 = "", "", VLOOKUP(U18,AGE_CHECK,2)),AGE_GRP,EmployerContribution)*X18</f>
        <v>323</v>
      </c>
      <c r="Z18" s="392" cm="1">
        <f t="array" ref="Z18">_xlfn.XLOOKUP(IF(U18 = "", "", VLOOKUP(U18,AGE_CHECK,2)),AGE_GRP,EmployeeContribution)*X18</f>
        <v>380</v>
      </c>
      <c r="AA18" s="392">
        <f t="shared" si="2"/>
        <v>15200</v>
      </c>
      <c r="AB18" s="392" cm="1">
        <f t="array" ref="AB18">_xlfn.XLOOKUP(IF(U18 = "", "", VLOOKUP(U18,AGE_CHECK,2)),AGE_GRP,OA_cut)*AA18</f>
        <v>3192</v>
      </c>
      <c r="AC18" s="392" cm="1">
        <f t="array" ref="AC18">_xlfn.XLOOKUP(IF(U18 = "", "", VLOOKUP(U18,AGE_CHECK,2)),AGE_GRP,SA_cut)*AA18</f>
        <v>1064</v>
      </c>
      <c r="AD18" s="392" cm="1">
        <f t="array" ref="AD18">_xlfn.XLOOKUP(IF(U18 = "", "", VLOOKUP(U18,AGE_CHECK,2)),AGE_GRP,MA_cut)*AA18</f>
        <v>1368</v>
      </c>
      <c r="AE18" s="392">
        <v>1</v>
      </c>
      <c r="AF18" s="393">
        <f t="shared" si="3"/>
        <v>9.3099999999999454</v>
      </c>
      <c r="AG18" s="393">
        <f t="shared" si="4"/>
        <v>4.433333333333394</v>
      </c>
      <c r="AH18" s="393">
        <f t="shared" si="5"/>
        <v>5.7000000000000455</v>
      </c>
    </row>
    <row r="19" spans="1:34">
      <c r="A19" s="139"/>
      <c r="B19" s="389"/>
      <c r="U19" s="392">
        <f t="shared" si="0"/>
        <v>45</v>
      </c>
      <c r="V19" s="392">
        <f t="shared" si="1"/>
        <v>2020</v>
      </c>
      <c r="W19" s="370">
        <v>43952</v>
      </c>
      <c r="X19" s="392">
        <v>1900</v>
      </c>
      <c r="Y19" s="392" cm="1">
        <f t="array" ref="Y19">_xlfn.XLOOKUP(IF(U19 = "", "", VLOOKUP(U19,AGE_CHECK,2)),AGE_GRP,EmployerContribution)*X19</f>
        <v>323</v>
      </c>
      <c r="Z19" s="392" cm="1">
        <f t="array" ref="Z19">_xlfn.XLOOKUP(IF(U19 = "", "", VLOOKUP(U19,AGE_CHECK,2)),AGE_GRP,EmployeeContribution)*X19</f>
        <v>380</v>
      </c>
      <c r="AA19" s="392">
        <f t="shared" si="2"/>
        <v>17100</v>
      </c>
      <c r="AB19" s="392" cm="1">
        <f t="array" ref="AB19">_xlfn.XLOOKUP(IF(U19 = "", "", VLOOKUP(U19,AGE_CHECK,2)),AGE_GRP,OA_cut)*AA19</f>
        <v>3591</v>
      </c>
      <c r="AC19" s="392" cm="1">
        <f t="array" ref="AC19">_xlfn.XLOOKUP(IF(U19 = "", "", VLOOKUP(U19,AGE_CHECK,2)),AGE_GRP,SA_cut)*AA19</f>
        <v>1197.0000000000002</v>
      </c>
      <c r="AD19" s="392" cm="1">
        <f t="array" ref="AD19">_xlfn.XLOOKUP(IF(U19 = "", "", VLOOKUP(U19,AGE_CHECK,2)),AGE_GRP,MA_cut)*AA19</f>
        <v>1539</v>
      </c>
      <c r="AE19" s="392">
        <v>1</v>
      </c>
      <c r="AF19" s="393">
        <f t="shared" si="3"/>
        <v>10.473750000000109</v>
      </c>
      <c r="AG19" s="393">
        <f t="shared" si="4"/>
        <v>4.9874999999999545</v>
      </c>
      <c r="AH19" s="393">
        <f t="shared" si="5"/>
        <v>6.4124999999999091</v>
      </c>
    </row>
    <row r="20" spans="1:34">
      <c r="A20" s="139"/>
      <c r="B20" s="389"/>
      <c r="U20" s="392">
        <f t="shared" si="0"/>
        <v>45</v>
      </c>
      <c r="V20" s="392">
        <f t="shared" si="1"/>
        <v>2020</v>
      </c>
      <c r="W20" s="370">
        <v>43983</v>
      </c>
      <c r="X20" s="392">
        <v>1900</v>
      </c>
      <c r="Y20" s="392" cm="1">
        <f t="array" ref="Y20">_xlfn.XLOOKUP(IF(U20 = "", "", VLOOKUP(U20,AGE_CHECK,2)),AGE_GRP,EmployerContribution)*X20</f>
        <v>323</v>
      </c>
      <c r="Z20" s="392" cm="1">
        <f t="array" ref="Z20">_xlfn.XLOOKUP(IF(U20 = "", "", VLOOKUP(U20,AGE_CHECK,2)),AGE_GRP,EmployeeContribution)*X20</f>
        <v>380</v>
      </c>
      <c r="AA20" s="392">
        <f t="shared" si="2"/>
        <v>19000</v>
      </c>
      <c r="AB20" s="392" cm="1">
        <f t="array" ref="AB20">_xlfn.XLOOKUP(IF(U20 = "", "", VLOOKUP(U20,AGE_CHECK,2)),AGE_GRP,OA_cut)*AA20</f>
        <v>3990</v>
      </c>
      <c r="AC20" s="392" cm="1">
        <f t="array" ref="AC20">_xlfn.XLOOKUP(IF(U20 = "", "", VLOOKUP(U20,AGE_CHECK,2)),AGE_GRP,SA_cut)*AA20</f>
        <v>1330.0000000000002</v>
      </c>
      <c r="AD20" s="392" cm="1">
        <f t="array" ref="AD20">_xlfn.XLOOKUP(IF(U20 = "", "", VLOOKUP(U20,AGE_CHECK,2)),AGE_GRP,MA_cut)*AA20</f>
        <v>1710</v>
      </c>
      <c r="AE20" s="392">
        <v>1</v>
      </c>
      <c r="AF20" s="393">
        <f t="shared" si="3"/>
        <v>11.637500000000273</v>
      </c>
      <c r="AG20" s="393">
        <f t="shared" si="4"/>
        <v>5.5416666666667425</v>
      </c>
      <c r="AH20" s="393">
        <f t="shared" si="5"/>
        <v>7.125</v>
      </c>
    </row>
    <row r="21" spans="1:34">
      <c r="A21" s="139"/>
      <c r="B21" s="389"/>
      <c r="U21" s="392">
        <f t="shared" si="0"/>
        <v>45</v>
      </c>
      <c r="V21" s="392">
        <f t="shared" si="1"/>
        <v>2020</v>
      </c>
      <c r="W21" s="370">
        <v>44013</v>
      </c>
      <c r="X21" s="392">
        <v>1900</v>
      </c>
      <c r="Y21" s="392" cm="1">
        <f t="array" ref="Y21">_xlfn.XLOOKUP(IF(U21 = "", "", VLOOKUP(U21,AGE_CHECK,2)),AGE_GRP,EmployerContribution)*X21</f>
        <v>323</v>
      </c>
      <c r="Z21" s="392" cm="1">
        <f t="array" ref="Z21">_xlfn.XLOOKUP(IF(U21 = "", "", VLOOKUP(U21,AGE_CHECK,2)),AGE_GRP,EmployeeContribution)*X21</f>
        <v>380</v>
      </c>
      <c r="AA21" s="392">
        <f t="shared" si="2"/>
        <v>20900</v>
      </c>
      <c r="AB21" s="392" cm="1">
        <f t="array" ref="AB21">_xlfn.XLOOKUP(IF(U21 = "", "", VLOOKUP(U21,AGE_CHECK,2)),AGE_GRP,OA_cut)*AA21</f>
        <v>4389</v>
      </c>
      <c r="AC21" s="392" cm="1">
        <f t="array" ref="AC21">_xlfn.XLOOKUP(IF(U21 = "", "", VLOOKUP(U21,AGE_CHECK,2)),AGE_GRP,SA_cut)*AA21</f>
        <v>1463.0000000000002</v>
      </c>
      <c r="AD21" s="392" cm="1">
        <f t="array" ref="AD21">_xlfn.XLOOKUP(IF(U21 = "", "", VLOOKUP(U21,AGE_CHECK,2)),AGE_GRP,MA_cut)*AA21</f>
        <v>1881</v>
      </c>
      <c r="AE21" s="392">
        <v>1</v>
      </c>
      <c r="AF21" s="393">
        <f t="shared" si="3"/>
        <v>12.801250000000437</v>
      </c>
      <c r="AG21" s="393">
        <f t="shared" si="4"/>
        <v>6.095833333333303</v>
      </c>
      <c r="AH21" s="393">
        <f t="shared" si="5"/>
        <v>7.8374999999998636</v>
      </c>
    </row>
    <row r="22" spans="1:34">
      <c r="A22" s="139"/>
      <c r="B22" s="389"/>
      <c r="U22" s="392">
        <f t="shared" si="0"/>
        <v>45</v>
      </c>
      <c r="V22" s="392">
        <f t="shared" si="1"/>
        <v>2020</v>
      </c>
      <c r="W22" s="370">
        <v>44044</v>
      </c>
      <c r="X22" s="392">
        <v>1900</v>
      </c>
      <c r="Y22" s="392" cm="1">
        <f t="array" ref="Y22">_xlfn.XLOOKUP(IF(U22 = "", "", VLOOKUP(U22,AGE_CHECK,2)),AGE_GRP,EmployerContribution)*X22</f>
        <v>323</v>
      </c>
      <c r="Z22" s="392" cm="1">
        <f t="array" ref="Z22">_xlfn.XLOOKUP(IF(U22 = "", "", VLOOKUP(U22,AGE_CHECK,2)),AGE_GRP,EmployeeContribution)*X22</f>
        <v>380</v>
      </c>
      <c r="AA22" s="392">
        <f t="shared" si="2"/>
        <v>22800</v>
      </c>
      <c r="AB22" s="392" cm="1">
        <f t="array" ref="AB22">_xlfn.XLOOKUP(IF(U22 = "", "", VLOOKUP(U22,AGE_CHECK,2)),AGE_GRP,OA_cut)*AA22</f>
        <v>4788</v>
      </c>
      <c r="AC22" s="392" cm="1">
        <f t="array" ref="AC22">_xlfn.XLOOKUP(IF(U22 = "", "", VLOOKUP(U22,AGE_CHECK,2)),AGE_GRP,SA_cut)*AA22</f>
        <v>1596.0000000000002</v>
      </c>
      <c r="AD22" s="392" cm="1">
        <f t="array" ref="AD22">_xlfn.XLOOKUP(IF(U22 = "", "", VLOOKUP(U22,AGE_CHECK,2)),AGE_GRP,MA_cut)*AA22</f>
        <v>2052</v>
      </c>
      <c r="AE22" s="392">
        <v>1</v>
      </c>
      <c r="AF22" s="393">
        <f t="shared" si="3"/>
        <v>13.965000000000146</v>
      </c>
      <c r="AG22" s="393">
        <f t="shared" si="4"/>
        <v>6.6500000000000909</v>
      </c>
      <c r="AH22" s="393">
        <f t="shared" si="5"/>
        <v>8.5500000000001819</v>
      </c>
    </row>
    <row r="23" spans="1:34">
      <c r="A23" s="139"/>
      <c r="B23" s="389"/>
      <c r="U23" s="392">
        <f t="shared" si="0"/>
        <v>45</v>
      </c>
      <c r="V23" s="392">
        <f t="shared" si="1"/>
        <v>2020</v>
      </c>
      <c r="W23" s="370">
        <v>44075</v>
      </c>
      <c r="X23" s="392">
        <v>1900</v>
      </c>
      <c r="Y23" s="392" cm="1">
        <f t="array" ref="Y23">_xlfn.XLOOKUP(IF(U23 = "", "", VLOOKUP(U23,AGE_CHECK,2)),AGE_GRP,EmployerContribution)*X23</f>
        <v>323</v>
      </c>
      <c r="Z23" s="392" cm="1">
        <f t="array" ref="Z23">_xlfn.XLOOKUP(IF(U23 = "", "", VLOOKUP(U23,AGE_CHECK,2)),AGE_GRP,EmployeeContribution)*X23</f>
        <v>380</v>
      </c>
      <c r="AA23" s="392">
        <f t="shared" si="2"/>
        <v>24700</v>
      </c>
      <c r="AB23" s="392" cm="1">
        <f t="array" ref="AB23">_xlfn.XLOOKUP(IF(U23 = "", "", VLOOKUP(U23,AGE_CHECK,2)),AGE_GRP,OA_cut)*AA23</f>
        <v>5187</v>
      </c>
      <c r="AC23" s="392" cm="1">
        <f t="array" ref="AC23">_xlfn.XLOOKUP(IF(U23 = "", "", VLOOKUP(U23,AGE_CHECK,2)),AGE_GRP,SA_cut)*AA23</f>
        <v>1729.0000000000002</v>
      </c>
      <c r="AD23" s="392" cm="1">
        <f t="array" ref="AD23">_xlfn.XLOOKUP(IF(U23 = "", "", VLOOKUP(U23,AGE_CHECK,2)),AGE_GRP,MA_cut)*AA23</f>
        <v>2223</v>
      </c>
      <c r="AE23" s="392">
        <v>1</v>
      </c>
      <c r="AF23" s="393">
        <f t="shared" si="3"/>
        <v>15.128749999999854</v>
      </c>
      <c r="AG23" s="393">
        <f t="shared" si="4"/>
        <v>7.2041666666666515</v>
      </c>
      <c r="AH23" s="393">
        <f t="shared" si="5"/>
        <v>9.2624999999998181</v>
      </c>
    </row>
    <row r="24" spans="1:34">
      <c r="A24" s="139"/>
      <c r="B24" s="389"/>
      <c r="U24" s="392">
        <f t="shared" si="0"/>
        <v>45</v>
      </c>
      <c r="V24" s="392">
        <f t="shared" si="1"/>
        <v>2020</v>
      </c>
      <c r="W24" s="370">
        <v>44105</v>
      </c>
      <c r="X24" s="392">
        <v>1900</v>
      </c>
      <c r="Y24" s="392" cm="1">
        <f t="array" ref="Y24">_xlfn.XLOOKUP(IF(U24 = "", "", VLOOKUP(U24,AGE_CHECK,2)),AGE_GRP,EmployerContribution)*X24</f>
        <v>323</v>
      </c>
      <c r="Z24" s="392" cm="1">
        <f t="array" ref="Z24">_xlfn.XLOOKUP(IF(U24 = "", "", VLOOKUP(U24,AGE_CHECK,2)),AGE_GRP,EmployeeContribution)*X24</f>
        <v>380</v>
      </c>
      <c r="AA24" s="392">
        <f t="shared" si="2"/>
        <v>26600</v>
      </c>
      <c r="AB24" s="392" cm="1">
        <f t="array" ref="AB24">_xlfn.XLOOKUP(IF(U24 = "", "", VLOOKUP(U24,AGE_CHECK,2)),AGE_GRP,OA_cut)*AA24</f>
        <v>5586</v>
      </c>
      <c r="AC24" s="392" cm="1">
        <f t="array" ref="AC24">_xlfn.XLOOKUP(IF(U24 = "", "", VLOOKUP(U24,AGE_CHECK,2)),AGE_GRP,SA_cut)*AA24</f>
        <v>1862.0000000000002</v>
      </c>
      <c r="AD24" s="392" cm="1">
        <f t="array" ref="AD24">_xlfn.XLOOKUP(IF(U24 = "", "", VLOOKUP(U24,AGE_CHECK,2)),AGE_GRP,MA_cut)*AA24</f>
        <v>2394</v>
      </c>
      <c r="AE24" s="392">
        <v>1</v>
      </c>
      <c r="AF24" s="393">
        <f t="shared" si="3"/>
        <v>16.292500000000473</v>
      </c>
      <c r="AG24" s="393">
        <f t="shared" si="4"/>
        <v>7.7583333333332121</v>
      </c>
      <c r="AH24" s="393">
        <f t="shared" si="5"/>
        <v>9.9749999999999091</v>
      </c>
    </row>
    <row r="25" spans="1:34">
      <c r="A25" s="139"/>
      <c r="B25" s="389"/>
      <c r="U25" s="392">
        <f t="shared" si="0"/>
        <v>45</v>
      </c>
      <c r="V25" s="392">
        <f t="shared" si="1"/>
        <v>2020</v>
      </c>
      <c r="W25" s="370">
        <v>44136</v>
      </c>
      <c r="X25" s="392">
        <v>1900</v>
      </c>
      <c r="Y25" s="392" cm="1">
        <f t="array" ref="Y25">_xlfn.XLOOKUP(IF(U25 = "", "", VLOOKUP(U25,AGE_CHECK,2)),AGE_GRP,EmployerContribution)*X25</f>
        <v>323</v>
      </c>
      <c r="Z25" s="392" cm="1">
        <f t="array" ref="Z25">_xlfn.XLOOKUP(IF(U25 = "", "", VLOOKUP(U25,AGE_CHECK,2)),AGE_GRP,EmployeeContribution)*X25</f>
        <v>380</v>
      </c>
      <c r="AA25" s="392">
        <f t="shared" si="2"/>
        <v>28500</v>
      </c>
      <c r="AB25" s="392" cm="1">
        <f t="array" ref="AB25">_xlfn.XLOOKUP(IF(U25 = "", "", VLOOKUP(U25,AGE_CHECK,2)),AGE_GRP,OA_cut)*AA25</f>
        <v>5985</v>
      </c>
      <c r="AC25" s="392" cm="1">
        <f t="array" ref="AC25">_xlfn.XLOOKUP(IF(U25 = "", "", VLOOKUP(U25,AGE_CHECK,2)),AGE_GRP,SA_cut)*AA25</f>
        <v>1995.0000000000002</v>
      </c>
      <c r="AD25" s="392" cm="1">
        <f t="array" ref="AD25">_xlfn.XLOOKUP(IF(U25 = "", "", VLOOKUP(U25,AGE_CHECK,2)),AGE_GRP,MA_cut)*AA25</f>
        <v>2565</v>
      </c>
      <c r="AE25" s="392">
        <v>1</v>
      </c>
      <c r="AF25" s="393">
        <f t="shared" si="3"/>
        <v>17.456250000000182</v>
      </c>
      <c r="AG25" s="393">
        <f t="shared" si="4"/>
        <v>8.3125</v>
      </c>
      <c r="AH25" s="393">
        <f t="shared" si="5"/>
        <v>10.6875</v>
      </c>
    </row>
    <row r="26" spans="1:34">
      <c r="A26" s="139"/>
      <c r="B26" s="389"/>
      <c r="U26" s="392">
        <f t="shared" si="0"/>
        <v>45</v>
      </c>
      <c r="V26" s="392">
        <f t="shared" si="1"/>
        <v>2020</v>
      </c>
      <c r="W26" s="370">
        <v>44166</v>
      </c>
      <c r="X26" s="392">
        <v>1900</v>
      </c>
      <c r="Y26" s="392" cm="1">
        <f t="array" ref="Y26">_xlfn.XLOOKUP(IF(U26 = "", "", VLOOKUP(U26,AGE_CHECK,2)),AGE_GRP,EmployerContribution)*X26</f>
        <v>323</v>
      </c>
      <c r="Z26" s="392" cm="1">
        <f t="array" ref="Z26">_xlfn.XLOOKUP(IF(U26 = "", "", VLOOKUP(U26,AGE_CHECK,2)),AGE_GRP,EmployeeContribution)*X26</f>
        <v>380</v>
      </c>
      <c r="AA26" s="392">
        <f t="shared" si="2"/>
        <v>30400</v>
      </c>
      <c r="AB26" s="392" cm="1">
        <f t="array" ref="AB26">_xlfn.XLOOKUP(IF(U26 = "", "", VLOOKUP(U26,AGE_CHECK,2)),AGE_GRP,OA_cut)*AA26</f>
        <v>6384</v>
      </c>
      <c r="AC26" s="392" cm="1">
        <f t="array" ref="AC26">_xlfn.XLOOKUP(IF(U26 = "", "", VLOOKUP(U26,AGE_CHECK,2)),AGE_GRP,SA_cut)*AA26</f>
        <v>2128</v>
      </c>
      <c r="AD26" s="392" cm="1">
        <f t="array" ref="AD26">_xlfn.XLOOKUP(IF(U26 = "", "", VLOOKUP(U26,AGE_CHECK,2)),AGE_GRP,MA_cut)*AA26</f>
        <v>2736</v>
      </c>
      <c r="AE26" s="392">
        <v>1</v>
      </c>
      <c r="AF26" s="393">
        <f t="shared" si="3"/>
        <v>18.619999999999891</v>
      </c>
      <c r="AG26" s="393">
        <f t="shared" si="4"/>
        <v>8.8666666666667879</v>
      </c>
      <c r="AH26" s="393">
        <f t="shared" si="5"/>
        <v>11.400000000000091</v>
      </c>
    </row>
    <row r="27" spans="1:34">
      <c r="A27" s="139"/>
      <c r="B27" s="389"/>
      <c r="U27" s="392">
        <f t="shared" si="0"/>
        <v>46</v>
      </c>
      <c r="V27" s="392">
        <f t="shared" si="1"/>
        <v>2021</v>
      </c>
      <c r="W27" s="370">
        <v>44197</v>
      </c>
      <c r="X27" s="392">
        <v>1900</v>
      </c>
      <c r="Y27" s="392" cm="1">
        <f t="array" ref="Y27">_xlfn.XLOOKUP(IF(U27 = "", "", VLOOKUP(U27,AGE_CHECK,2)),AGE_GRP,EmployerContribution)*X27</f>
        <v>323</v>
      </c>
      <c r="Z27" s="392" cm="1">
        <f t="array" ref="Z27">_xlfn.XLOOKUP(IF(U27 = "", "", VLOOKUP(U27,AGE_CHECK,2)),AGE_GRP,EmployeeContribution)*X27</f>
        <v>380</v>
      </c>
      <c r="AA27" s="392">
        <f t="shared" si="2"/>
        <v>32300</v>
      </c>
      <c r="AB27" s="392" cm="1">
        <f t="array" ref="AB27">_xlfn.XLOOKUP(IF(U27 = "", "", VLOOKUP(U27,AGE_CHECK,2)),AGE_GRP,OA_cut)*AA27</f>
        <v>6137</v>
      </c>
      <c r="AC27" s="392" cm="1">
        <f t="array" ref="AC27">_xlfn.XLOOKUP(IF(U27 = "", "", VLOOKUP(U27,AGE_CHECK,2)),AGE_GRP,SA_cut)*AA27</f>
        <v>2584</v>
      </c>
      <c r="AD27" s="392" cm="1">
        <f t="array" ref="AD27">_xlfn.XLOOKUP(IF(U27 = "", "", VLOOKUP(U27,AGE_CHECK,2)),AGE_GRP,MA_cut)*AA27</f>
        <v>3230</v>
      </c>
      <c r="AE27" s="392">
        <v>1</v>
      </c>
      <c r="AF27" s="393">
        <f t="shared" si="3"/>
        <v>17.899583333333794</v>
      </c>
      <c r="AG27" s="393">
        <f t="shared" si="4"/>
        <v>10.766666666666424</v>
      </c>
      <c r="AH27" s="393">
        <f t="shared" si="5"/>
        <v>13.458333333333485</v>
      </c>
    </row>
    <row r="28" spans="1:34">
      <c r="A28" s="139"/>
      <c r="B28" s="389"/>
      <c r="U28" s="392">
        <f t="shared" si="0"/>
        <v>46</v>
      </c>
      <c r="V28" s="392">
        <f t="shared" si="1"/>
        <v>2021</v>
      </c>
      <c r="W28" s="370">
        <v>44228</v>
      </c>
      <c r="X28" s="392">
        <v>1900</v>
      </c>
      <c r="Y28" s="392" cm="1">
        <f t="array" ref="Y28">_xlfn.XLOOKUP(IF(U28 = "", "", VLOOKUP(U28,AGE_CHECK,2)),AGE_GRP,EmployerContribution)*X28</f>
        <v>323</v>
      </c>
      <c r="Z28" s="392" cm="1">
        <f t="array" ref="Z28">_xlfn.XLOOKUP(IF(U28 = "", "", VLOOKUP(U28,AGE_CHECK,2)),AGE_GRP,EmployeeContribution)*X28</f>
        <v>380</v>
      </c>
      <c r="AA28" s="392">
        <f t="shared" si="2"/>
        <v>34200</v>
      </c>
      <c r="AB28" s="392" cm="1">
        <f t="array" ref="AB28">_xlfn.XLOOKUP(IF(U28 = "", "", VLOOKUP(U28,AGE_CHECK,2)),AGE_GRP,OA_cut)*AA28</f>
        <v>6498</v>
      </c>
      <c r="AC28" s="392" cm="1">
        <f t="array" ref="AC28">_xlfn.XLOOKUP(IF(U28 = "", "", VLOOKUP(U28,AGE_CHECK,2)),AGE_GRP,SA_cut)*AA28</f>
        <v>2736</v>
      </c>
      <c r="AD28" s="392" cm="1">
        <f t="array" ref="AD28">_xlfn.XLOOKUP(IF(U28 = "", "", VLOOKUP(U28,AGE_CHECK,2)),AGE_GRP,MA_cut)*AA28</f>
        <v>3420</v>
      </c>
      <c r="AE28" s="392">
        <v>1</v>
      </c>
      <c r="AF28" s="393">
        <f t="shared" si="3"/>
        <v>18.952500000000327</v>
      </c>
      <c r="AG28" s="393">
        <f t="shared" si="4"/>
        <v>11.400000000000091</v>
      </c>
      <c r="AH28" s="393">
        <f t="shared" si="5"/>
        <v>14.25</v>
      </c>
    </row>
    <row r="29" spans="1:34">
      <c r="A29" s="139"/>
      <c r="B29" s="389"/>
      <c r="U29" s="392">
        <f t="shared" si="0"/>
        <v>46</v>
      </c>
      <c r="V29" s="392">
        <f t="shared" si="1"/>
        <v>2021</v>
      </c>
      <c r="W29" s="370">
        <v>44256</v>
      </c>
      <c r="X29" s="392">
        <v>1900</v>
      </c>
      <c r="Y29" s="392" cm="1">
        <f t="array" ref="Y29">_xlfn.XLOOKUP(IF(U29 = "", "", VLOOKUP(U29,AGE_CHECK,2)),AGE_GRP,EmployerContribution)*X29</f>
        <v>323</v>
      </c>
      <c r="Z29" s="392" cm="1">
        <f t="array" ref="Z29">_xlfn.XLOOKUP(IF(U29 = "", "", VLOOKUP(U29,AGE_CHECK,2)),AGE_GRP,EmployeeContribution)*X29</f>
        <v>380</v>
      </c>
      <c r="AA29" s="392">
        <f t="shared" si="2"/>
        <v>36100</v>
      </c>
      <c r="AB29" s="392" cm="1">
        <f t="array" ref="AB29">_xlfn.XLOOKUP(IF(U29 = "", "", VLOOKUP(U29,AGE_CHECK,2)),AGE_GRP,OA_cut)*AA29</f>
        <v>6859</v>
      </c>
      <c r="AC29" s="392" cm="1">
        <f t="array" ref="AC29">_xlfn.XLOOKUP(IF(U29 = "", "", VLOOKUP(U29,AGE_CHECK,2)),AGE_GRP,SA_cut)*AA29</f>
        <v>2888</v>
      </c>
      <c r="AD29" s="392" cm="1">
        <f t="array" ref="AD29">_xlfn.XLOOKUP(IF(U29 = "", "", VLOOKUP(U29,AGE_CHECK,2)),AGE_GRP,MA_cut)*AA29</f>
        <v>3610</v>
      </c>
      <c r="AE29" s="392">
        <v>1</v>
      </c>
      <c r="AF29" s="393">
        <f t="shared" si="3"/>
        <v>20.005416666666861</v>
      </c>
      <c r="AG29" s="393">
        <f t="shared" si="4"/>
        <v>12.033333333333303</v>
      </c>
      <c r="AH29" s="393">
        <f t="shared" si="5"/>
        <v>15.041666666666515</v>
      </c>
    </row>
    <row r="30" spans="1:34">
      <c r="A30" s="684"/>
      <c r="B30" s="685"/>
      <c r="U30" s="392">
        <f t="shared" si="0"/>
        <v>46</v>
      </c>
      <c r="V30" s="392">
        <f t="shared" si="1"/>
        <v>2021</v>
      </c>
      <c r="W30" s="370">
        <v>44287</v>
      </c>
      <c r="X30" s="392">
        <v>2400</v>
      </c>
      <c r="Y30" s="392" cm="1">
        <f t="array" ref="Y30">_xlfn.XLOOKUP(IF(U30 = "", "", VLOOKUP(U30,AGE_CHECK,2)),AGE_GRP,EmployerContribution)*X30</f>
        <v>408.00000000000006</v>
      </c>
      <c r="Z30" s="392" cm="1">
        <f t="array" ref="Z30">_xlfn.XLOOKUP(IF(U30 = "", "", VLOOKUP(U30,AGE_CHECK,2)),AGE_GRP,EmployeeContribution)*X30</f>
        <v>480</v>
      </c>
      <c r="AA30" s="392">
        <f t="shared" si="2"/>
        <v>38500</v>
      </c>
      <c r="AB30" s="392" cm="1">
        <f t="array" ref="AB30">_xlfn.XLOOKUP(IF(U30 = "", "", VLOOKUP(U30,AGE_CHECK,2)),AGE_GRP,OA_cut)*AA30</f>
        <v>7315</v>
      </c>
      <c r="AC30" s="392" cm="1">
        <f t="array" ref="AC30">_xlfn.XLOOKUP(IF(U30 = "", "", VLOOKUP(U30,AGE_CHECK,2)),AGE_GRP,SA_cut)*AA30</f>
        <v>3080</v>
      </c>
      <c r="AD30" s="392" cm="1">
        <f t="array" ref="AD30">_xlfn.XLOOKUP(IF(U30 = "", "", VLOOKUP(U30,AGE_CHECK,2)),AGE_GRP,MA_cut)*AA30</f>
        <v>3850</v>
      </c>
      <c r="AE30" s="392">
        <v>2</v>
      </c>
      <c r="AF30" s="393">
        <f t="shared" si="3"/>
        <v>21.335416666666788</v>
      </c>
      <c r="AG30" s="393">
        <f t="shared" si="4"/>
        <v>12.833333333333485</v>
      </c>
      <c r="AH30" s="393">
        <f t="shared" si="5"/>
        <v>16.041666666666515</v>
      </c>
    </row>
    <row r="31" spans="1:34">
      <c r="A31" s="684"/>
      <c r="B31" s="685"/>
      <c r="U31" s="392">
        <f t="shared" si="0"/>
        <v>46</v>
      </c>
      <c r="V31" s="392">
        <f t="shared" si="1"/>
        <v>2021</v>
      </c>
      <c r="W31" s="370">
        <v>44317</v>
      </c>
      <c r="X31" s="392">
        <v>2400</v>
      </c>
      <c r="Y31" s="392" cm="1">
        <f t="array" ref="Y31">_xlfn.XLOOKUP(IF(U31 = "", "", VLOOKUP(U31,AGE_CHECK,2)),AGE_GRP,EmployerContribution)*X31</f>
        <v>408.00000000000006</v>
      </c>
      <c r="Z31" s="392" cm="1">
        <f t="array" ref="Z31">_xlfn.XLOOKUP(IF(U31 = "", "", VLOOKUP(U31,AGE_CHECK,2)),AGE_GRP,EmployeeContribution)*X31</f>
        <v>480</v>
      </c>
      <c r="AA31" s="392">
        <f t="shared" si="2"/>
        <v>40900</v>
      </c>
      <c r="AB31" s="392" cm="1">
        <f t="array" ref="AB31">_xlfn.XLOOKUP(IF(U31 = "", "", VLOOKUP(U31,AGE_CHECK,2)),AGE_GRP,OA_cut)*AA31</f>
        <v>7771</v>
      </c>
      <c r="AC31" s="392" cm="1">
        <f t="array" ref="AC31">_xlfn.XLOOKUP(IF(U31 = "", "", VLOOKUP(U31,AGE_CHECK,2)),AGE_GRP,SA_cut)*AA31</f>
        <v>3272</v>
      </c>
      <c r="AD31" s="392" cm="1">
        <f t="array" ref="AD31">_xlfn.XLOOKUP(IF(U31 = "", "", VLOOKUP(U31,AGE_CHECK,2)),AGE_GRP,MA_cut)*AA31</f>
        <v>4090</v>
      </c>
      <c r="AE31" s="392">
        <v>3</v>
      </c>
      <c r="AF31" s="393">
        <f t="shared" si="3"/>
        <v>22.665416666666715</v>
      </c>
      <c r="AG31" s="393">
        <f t="shared" si="4"/>
        <v>13.633333333333212</v>
      </c>
      <c r="AH31" s="393">
        <f t="shared" si="5"/>
        <v>17.04166666666697</v>
      </c>
    </row>
    <row r="32" spans="1:34">
      <c r="A32" s="684"/>
      <c r="B32" s="685"/>
      <c r="U32" s="392">
        <f t="shared" si="0"/>
        <v>46</v>
      </c>
      <c r="V32" s="392">
        <f t="shared" si="1"/>
        <v>2021</v>
      </c>
      <c r="W32" s="370">
        <v>44348</v>
      </c>
      <c r="X32" s="392">
        <v>2400</v>
      </c>
      <c r="Y32" s="392" cm="1">
        <f t="array" ref="Y32">_xlfn.XLOOKUP(IF(U32 = "", "", VLOOKUP(U32,AGE_CHECK,2)),AGE_GRP,EmployerContribution)*X32</f>
        <v>408.00000000000006</v>
      </c>
      <c r="Z32" s="392" cm="1">
        <f t="array" ref="Z32">_xlfn.XLOOKUP(IF(U32 = "", "", VLOOKUP(U32,AGE_CHECK,2)),AGE_GRP,EmployeeContribution)*X32</f>
        <v>480</v>
      </c>
      <c r="AA32" s="392">
        <f t="shared" si="2"/>
        <v>43300</v>
      </c>
      <c r="AB32" s="392" cm="1">
        <f t="array" ref="AB32">_xlfn.XLOOKUP(IF(U32 = "", "", VLOOKUP(U32,AGE_CHECK,2)),AGE_GRP,OA_cut)*AA32</f>
        <v>8227</v>
      </c>
      <c r="AC32" s="392" cm="1">
        <f t="array" ref="AC32">_xlfn.XLOOKUP(IF(U32 = "", "", VLOOKUP(U32,AGE_CHECK,2)),AGE_GRP,SA_cut)*AA32</f>
        <v>3464</v>
      </c>
      <c r="AD32" s="392" cm="1">
        <f t="array" ref="AD32">_xlfn.XLOOKUP(IF(U32 = "", "", VLOOKUP(U32,AGE_CHECK,2)),AGE_GRP,MA_cut)*AA32</f>
        <v>4330</v>
      </c>
      <c r="AE32" s="392">
        <v>4</v>
      </c>
      <c r="AF32" s="393">
        <f t="shared" si="3"/>
        <v>23.995416666666642</v>
      </c>
      <c r="AG32" s="393">
        <f t="shared" si="4"/>
        <v>14.433333333333394</v>
      </c>
      <c r="AH32" s="393">
        <f t="shared" si="5"/>
        <v>18.04166666666697</v>
      </c>
    </row>
    <row r="33" spans="1:34">
      <c r="A33" s="684"/>
      <c r="B33" s="685"/>
      <c r="U33" s="392">
        <f t="shared" si="0"/>
        <v>46</v>
      </c>
      <c r="V33" s="392">
        <f t="shared" si="1"/>
        <v>2021</v>
      </c>
      <c r="W33" s="370">
        <v>44378</v>
      </c>
      <c r="X33" s="392">
        <v>2400</v>
      </c>
      <c r="Y33" s="392" cm="1">
        <f t="array" ref="Y33">_xlfn.XLOOKUP(IF(U33 = "", "", VLOOKUP(U33,AGE_CHECK,2)),AGE_GRP,EmployerContribution)*X33</f>
        <v>408.00000000000006</v>
      </c>
      <c r="Z33" s="392" cm="1">
        <f t="array" ref="Z33">_xlfn.XLOOKUP(IF(U33 = "", "", VLOOKUP(U33,AGE_CHECK,2)),AGE_GRP,EmployeeContribution)*X33</f>
        <v>480</v>
      </c>
      <c r="AA33" s="392">
        <f t="shared" si="2"/>
        <v>45700</v>
      </c>
      <c r="AB33" s="392" cm="1">
        <f t="array" ref="AB33">_xlfn.XLOOKUP(IF(U33 = "", "", VLOOKUP(U33,AGE_CHECK,2)),AGE_GRP,OA_cut)*AA33</f>
        <v>8683</v>
      </c>
      <c r="AC33" s="392" cm="1">
        <f t="array" ref="AC33">_xlfn.XLOOKUP(IF(U33 = "", "", VLOOKUP(U33,AGE_CHECK,2)),AGE_GRP,SA_cut)*AA33</f>
        <v>3656</v>
      </c>
      <c r="AD33" s="392" cm="1">
        <f t="array" ref="AD33">_xlfn.XLOOKUP(IF(U33 = "", "", VLOOKUP(U33,AGE_CHECK,2)),AGE_GRP,MA_cut)*AA33</f>
        <v>4570</v>
      </c>
      <c r="AE33" s="392">
        <v>5</v>
      </c>
      <c r="AF33" s="393">
        <f t="shared" si="3"/>
        <v>25.32541666666657</v>
      </c>
      <c r="AG33" s="393">
        <f t="shared" si="4"/>
        <v>15.233333333333121</v>
      </c>
      <c r="AH33" s="393">
        <f t="shared" si="5"/>
        <v>19.04166666666697</v>
      </c>
    </row>
    <row r="34" spans="1:34">
      <c r="A34" s="684"/>
      <c r="B34" s="685"/>
      <c r="U34" s="392">
        <f t="shared" si="0"/>
        <v>46</v>
      </c>
      <c r="V34" s="392">
        <f t="shared" si="1"/>
        <v>2021</v>
      </c>
      <c r="W34" s="370">
        <v>44409</v>
      </c>
      <c r="X34" s="392"/>
      <c r="Y34" s="392" cm="1">
        <f t="array" ref="Y34">_xlfn.XLOOKUP(IF(U34 = "", "", VLOOKUP(U34,AGE_CHECK,2)),AGE_GRP,EmployerContribution)*X34</f>
        <v>0</v>
      </c>
      <c r="Z34" s="392" cm="1">
        <f t="array" ref="Z34">_xlfn.XLOOKUP(IF(U34 = "", "", VLOOKUP(U34,AGE_CHECK,2)),AGE_GRP,EmployeeContribution)*X34</f>
        <v>0</v>
      </c>
      <c r="AA34" s="392">
        <f t="shared" si="2"/>
        <v>45700</v>
      </c>
      <c r="AB34" s="392" cm="1">
        <f t="array" ref="AB34">_xlfn.XLOOKUP(IF(U34 = "", "", VLOOKUP(U34,AGE_CHECK,2)),AGE_GRP,OA_cut)*AA34</f>
        <v>8683</v>
      </c>
      <c r="AC34" s="392" cm="1">
        <f t="array" ref="AC34">_xlfn.XLOOKUP(IF(U34 = "", "", VLOOKUP(U34,AGE_CHECK,2)),AGE_GRP,SA_cut)*AA34</f>
        <v>3656</v>
      </c>
      <c r="AD34" s="392" cm="1">
        <f t="array" ref="AD34">_xlfn.XLOOKUP(IF(U34 = "", "", VLOOKUP(U34,AGE_CHECK,2)),AGE_GRP,MA_cut)*AA34</f>
        <v>4570</v>
      </c>
      <c r="AE34" s="392">
        <v>6</v>
      </c>
      <c r="AF34" s="393">
        <f t="shared" si="3"/>
        <v>25.32541666666657</v>
      </c>
      <c r="AG34" s="393">
        <f t="shared" si="4"/>
        <v>15.233333333333121</v>
      </c>
      <c r="AH34" s="393">
        <f t="shared" si="5"/>
        <v>19.04166666666697</v>
      </c>
    </row>
    <row r="35" spans="1:34">
      <c r="A35" s="684"/>
      <c r="B35" s="685"/>
      <c r="U35" s="392">
        <f t="shared" si="0"/>
        <v>46</v>
      </c>
      <c r="V35" s="392">
        <f t="shared" si="1"/>
        <v>2021</v>
      </c>
      <c r="W35" s="370">
        <v>44440</v>
      </c>
      <c r="X35" s="392"/>
      <c r="Y35" s="392" cm="1">
        <f t="array" ref="Y35">_xlfn.XLOOKUP(IF(U35 = "", "", VLOOKUP(U35,AGE_CHECK,2)),AGE_GRP,EmployerContribution)*X35</f>
        <v>0</v>
      </c>
      <c r="Z35" s="392" cm="1">
        <f t="array" ref="Z35">_xlfn.XLOOKUP(IF(U35 = "", "", VLOOKUP(U35,AGE_CHECK,2)),AGE_GRP,EmployeeContribution)*X35</f>
        <v>0</v>
      </c>
      <c r="AA35" s="392">
        <f t="shared" si="2"/>
        <v>45700</v>
      </c>
      <c r="AB35" s="392" cm="1">
        <f t="array" ref="AB35">_xlfn.XLOOKUP(IF(U35 = "", "", VLOOKUP(U35,AGE_CHECK,2)),AGE_GRP,OA_cut)*AA35</f>
        <v>8683</v>
      </c>
      <c r="AC35" s="392" cm="1">
        <f t="array" ref="AC35">_xlfn.XLOOKUP(IF(U35 = "", "", VLOOKUP(U35,AGE_CHECK,2)),AGE_GRP,SA_cut)*AA35</f>
        <v>3656</v>
      </c>
      <c r="AD35" s="392" cm="1">
        <f t="array" ref="AD35">_xlfn.XLOOKUP(IF(U35 = "", "", VLOOKUP(U35,AGE_CHECK,2)),AGE_GRP,MA_cut)*AA35</f>
        <v>4570</v>
      </c>
      <c r="AE35" s="392">
        <v>7</v>
      </c>
      <c r="AF35" s="393">
        <f t="shared" si="3"/>
        <v>25.32541666666657</v>
      </c>
      <c r="AG35" s="393">
        <f t="shared" si="4"/>
        <v>15.233333333333121</v>
      </c>
      <c r="AH35" s="393">
        <f t="shared" si="5"/>
        <v>19.04166666666697</v>
      </c>
    </row>
    <row r="36" spans="1:34">
      <c r="A36" s="684"/>
      <c r="B36" s="685"/>
      <c r="U36" s="392">
        <f t="shared" si="0"/>
        <v>46</v>
      </c>
      <c r="V36" s="392">
        <f t="shared" si="1"/>
        <v>2021</v>
      </c>
      <c r="W36" s="370">
        <v>44470</v>
      </c>
      <c r="X36" s="392"/>
      <c r="Y36" s="392" cm="1">
        <f t="array" ref="Y36">_xlfn.XLOOKUP(IF(U36 = "", "", VLOOKUP(U36,AGE_CHECK,2)),AGE_GRP,EmployerContribution)*X36</f>
        <v>0</v>
      </c>
      <c r="Z36" s="392" cm="1">
        <f t="array" ref="Z36">_xlfn.XLOOKUP(IF(U36 = "", "", VLOOKUP(U36,AGE_CHECK,2)),AGE_GRP,EmployeeContribution)*X36</f>
        <v>0</v>
      </c>
      <c r="AA36" s="392">
        <f t="shared" si="2"/>
        <v>45700</v>
      </c>
      <c r="AB36" s="392" cm="1">
        <f t="array" ref="AB36">_xlfn.XLOOKUP(IF(U36 = "", "", VLOOKUP(U36,AGE_CHECK,2)),AGE_GRP,OA_cut)*AA36</f>
        <v>8683</v>
      </c>
      <c r="AC36" s="392" cm="1">
        <f t="array" ref="AC36">_xlfn.XLOOKUP(IF(U36 = "", "", VLOOKUP(U36,AGE_CHECK,2)),AGE_GRP,SA_cut)*AA36</f>
        <v>3656</v>
      </c>
      <c r="AD36" s="392" cm="1">
        <f t="array" ref="AD36">_xlfn.XLOOKUP(IF(U36 = "", "", VLOOKUP(U36,AGE_CHECK,2)),AGE_GRP,MA_cut)*AA36</f>
        <v>4570</v>
      </c>
      <c r="AE36" s="392">
        <v>8</v>
      </c>
      <c r="AF36" s="393">
        <f t="shared" si="3"/>
        <v>25.32541666666657</v>
      </c>
      <c r="AG36" s="393">
        <f t="shared" si="4"/>
        <v>15.233333333333121</v>
      </c>
      <c r="AH36" s="393">
        <f t="shared" si="5"/>
        <v>19.04166666666697</v>
      </c>
    </row>
    <row r="37" spans="1:34">
      <c r="A37" s="684"/>
      <c r="B37" s="685"/>
      <c r="U37" s="392">
        <f t="shared" si="0"/>
        <v>46</v>
      </c>
      <c r="V37" s="392">
        <f t="shared" si="1"/>
        <v>2021</v>
      </c>
      <c r="W37" s="370">
        <v>44501</v>
      </c>
      <c r="X37" s="392"/>
      <c r="Y37" s="392" cm="1">
        <f t="array" ref="Y37">_xlfn.XLOOKUP(IF(U37 = "", "", VLOOKUP(U37,AGE_CHECK,2)),AGE_GRP,EmployerContribution)*X37</f>
        <v>0</v>
      </c>
      <c r="Z37" s="392" cm="1">
        <f t="array" ref="Z37">_xlfn.XLOOKUP(IF(U37 = "", "", VLOOKUP(U37,AGE_CHECK,2)),AGE_GRP,EmployeeContribution)*X37</f>
        <v>0</v>
      </c>
      <c r="AA37" s="392">
        <f t="shared" si="2"/>
        <v>45700</v>
      </c>
      <c r="AB37" s="392" cm="1">
        <f t="array" ref="AB37">_xlfn.XLOOKUP(IF(U37 = "", "", VLOOKUP(U37,AGE_CHECK,2)),AGE_GRP,OA_cut)*AA37</f>
        <v>8683</v>
      </c>
      <c r="AC37" s="392" cm="1">
        <f t="array" ref="AC37">_xlfn.XLOOKUP(IF(U37 = "", "", VLOOKUP(U37,AGE_CHECK,2)),AGE_GRP,SA_cut)*AA37</f>
        <v>3656</v>
      </c>
      <c r="AD37" s="392" cm="1">
        <f t="array" ref="AD37">_xlfn.XLOOKUP(IF(U37 = "", "", VLOOKUP(U37,AGE_CHECK,2)),AGE_GRP,MA_cut)*AA37</f>
        <v>4570</v>
      </c>
      <c r="AE37" s="392">
        <v>9</v>
      </c>
      <c r="AF37" s="393">
        <f t="shared" si="3"/>
        <v>25.32541666666657</v>
      </c>
      <c r="AG37" s="393">
        <f t="shared" si="4"/>
        <v>15.233333333333121</v>
      </c>
      <c r="AH37" s="393">
        <f t="shared" si="5"/>
        <v>19.04166666666697</v>
      </c>
    </row>
    <row r="38" spans="1:34">
      <c r="A38" s="684"/>
      <c r="B38" s="685"/>
      <c r="U38" s="392">
        <f t="shared" si="0"/>
        <v>46</v>
      </c>
      <c r="V38" s="392">
        <f t="shared" si="1"/>
        <v>2021</v>
      </c>
      <c r="W38" s="370">
        <v>44531</v>
      </c>
      <c r="X38" s="392"/>
      <c r="Y38" s="392" cm="1">
        <f t="array" ref="Y38">_xlfn.XLOOKUP(IF(U38 = "", "", VLOOKUP(U38,AGE_CHECK,2)),AGE_GRP,EmployerContribution)*X38</f>
        <v>0</v>
      </c>
      <c r="Z38" s="392" cm="1">
        <f t="array" ref="Z38">_xlfn.XLOOKUP(IF(U38 = "", "", VLOOKUP(U38,AGE_CHECK,2)),AGE_GRP,EmployeeContribution)*X38</f>
        <v>0</v>
      </c>
      <c r="AA38" s="392">
        <f t="shared" si="2"/>
        <v>45700</v>
      </c>
      <c r="AB38" s="392" cm="1">
        <f t="array" ref="AB38">_xlfn.XLOOKUP(IF(U38 = "", "", VLOOKUP(U38,AGE_CHECK,2)),AGE_GRP,OA_cut)*AA38</f>
        <v>8683</v>
      </c>
      <c r="AC38" s="392" cm="1">
        <f t="array" ref="AC38">_xlfn.XLOOKUP(IF(U38 = "", "", VLOOKUP(U38,AGE_CHECK,2)),AGE_GRP,SA_cut)*AA38</f>
        <v>3656</v>
      </c>
      <c r="AD38" s="392" cm="1">
        <f t="array" ref="AD38">_xlfn.XLOOKUP(IF(U38 = "", "", VLOOKUP(U38,AGE_CHECK,2)),AGE_GRP,MA_cut)*AA38</f>
        <v>4570</v>
      </c>
      <c r="AE38" s="392">
        <v>10</v>
      </c>
      <c r="AF38" s="393">
        <f t="shared" si="3"/>
        <v>25.32541666666657</v>
      </c>
      <c r="AG38" s="393">
        <f t="shared" si="4"/>
        <v>15.233333333333121</v>
      </c>
      <c r="AH38" s="393">
        <f t="shared" si="5"/>
        <v>19.04166666666697</v>
      </c>
    </row>
    <row r="39" spans="1:34">
      <c r="A39" s="684"/>
      <c r="B39" s="685"/>
      <c r="U39" s="392">
        <f t="shared" si="0"/>
        <v>47</v>
      </c>
      <c r="V39" s="392">
        <f t="shared" si="1"/>
        <v>2022</v>
      </c>
      <c r="W39" s="370">
        <v>44562</v>
      </c>
      <c r="X39" s="392">
        <v>2400</v>
      </c>
      <c r="Y39" s="392" cm="1">
        <f t="array" ref="Y39">_xlfn.XLOOKUP(IF(U39 = "", "", VLOOKUP(U39,AGE_CHECK,2)),AGE_GRP,EmployerContribution)*X39</f>
        <v>408.00000000000006</v>
      </c>
      <c r="Z39" s="392" cm="1">
        <f t="array" ref="Z39">_xlfn.XLOOKUP(IF(U39 = "", "", VLOOKUP(U39,AGE_CHECK,2)),AGE_GRP,EmployeeContribution)*X39</f>
        <v>480</v>
      </c>
      <c r="AA39" s="392">
        <f t="shared" si="2"/>
        <v>48100</v>
      </c>
      <c r="AB39" s="392" cm="1">
        <f t="array" ref="AB39">_xlfn.XLOOKUP(IF(U39 = "", "", VLOOKUP(U39,AGE_CHECK,2)),AGE_GRP,OA_cut)*AA39</f>
        <v>9139</v>
      </c>
      <c r="AC39" s="392" cm="1">
        <f t="array" ref="AC39">_xlfn.XLOOKUP(IF(U39 = "", "", VLOOKUP(U39,AGE_CHECK,2)),AGE_GRP,SA_cut)*AA39</f>
        <v>3848</v>
      </c>
      <c r="AD39" s="392" cm="1">
        <f t="array" ref="AD39">_xlfn.XLOOKUP(IF(U39 = "", "", VLOOKUP(U39,AGE_CHECK,2)),AGE_GRP,MA_cut)*AA39</f>
        <v>4810</v>
      </c>
      <c r="AE39" s="392">
        <v>11</v>
      </c>
      <c r="AF39" s="393">
        <f t="shared" si="3"/>
        <v>26.655416666666497</v>
      </c>
      <c r="AG39" s="393">
        <f t="shared" si="4"/>
        <v>16.033333333333303</v>
      </c>
      <c r="AH39" s="393">
        <f t="shared" si="5"/>
        <v>20.04166666666697</v>
      </c>
    </row>
    <row r="40" spans="1:34">
      <c r="A40" s="684"/>
      <c r="B40" s="685"/>
      <c r="U40" s="392">
        <f t="shared" si="0"/>
        <v>47</v>
      </c>
      <c r="V40" s="392">
        <f t="shared" si="1"/>
        <v>2022</v>
      </c>
      <c r="W40" s="370">
        <v>44593</v>
      </c>
      <c r="X40" s="392">
        <v>2400</v>
      </c>
      <c r="Y40" s="392" cm="1">
        <f t="array" ref="Y40">_xlfn.XLOOKUP(IF(U40 = "", "", VLOOKUP(U40,AGE_CHECK,2)),AGE_GRP,EmployerContribution)*X40</f>
        <v>408.00000000000006</v>
      </c>
      <c r="Z40" s="392" cm="1">
        <f t="array" ref="Z40">_xlfn.XLOOKUP(IF(U40 = "", "", VLOOKUP(U40,AGE_CHECK,2)),AGE_GRP,EmployeeContribution)*X40</f>
        <v>480</v>
      </c>
      <c r="AA40" s="392">
        <f t="shared" si="2"/>
        <v>50500</v>
      </c>
      <c r="AB40" s="392" cm="1">
        <f t="array" ref="AB40">_xlfn.XLOOKUP(IF(U40 = "", "", VLOOKUP(U40,AGE_CHECK,2)),AGE_GRP,OA_cut)*AA40</f>
        <v>9595</v>
      </c>
      <c r="AC40" s="392" cm="1">
        <f t="array" ref="AC40">_xlfn.XLOOKUP(IF(U40 = "", "", VLOOKUP(U40,AGE_CHECK,2)),AGE_GRP,SA_cut)*AA40</f>
        <v>4040</v>
      </c>
      <c r="AD40" s="392" cm="1">
        <f t="array" ref="AD40">_xlfn.XLOOKUP(IF(U40 = "", "", VLOOKUP(U40,AGE_CHECK,2)),AGE_GRP,MA_cut)*AA40</f>
        <v>5050</v>
      </c>
      <c r="AE40" s="392">
        <v>12</v>
      </c>
      <c r="AF40" s="393">
        <f t="shared" si="3"/>
        <v>27.985416666666424</v>
      </c>
      <c r="AG40" s="393">
        <f t="shared" si="4"/>
        <v>16.833333333333485</v>
      </c>
      <c r="AH40" s="393">
        <f t="shared" si="5"/>
        <v>21.04166666666697</v>
      </c>
    </row>
    <row r="41" spans="1:34">
      <c r="A41" s="684"/>
      <c r="B41" s="685"/>
      <c r="U41" s="392">
        <f t="shared" ref="U41" si="6">DATEDIF($D$18,W41,"y")</f>
        <v>47</v>
      </c>
      <c r="V41" s="392">
        <f t="shared" ref="V41" si="7">YEAR(W41)</f>
        <v>2022</v>
      </c>
      <c r="W41" s="370">
        <v>44621</v>
      </c>
      <c r="X41" s="392">
        <v>2400</v>
      </c>
      <c r="Y41" s="392" cm="1">
        <f t="array" ref="Y41">_xlfn.XLOOKUP(IF(U41 = "", "", VLOOKUP(U41,AGE_CHECK,2)),AGE_GRP,EmployerContribution)*X41</f>
        <v>408.00000000000006</v>
      </c>
      <c r="Z41" s="392" cm="1">
        <f t="array" ref="Z41">_xlfn.XLOOKUP(IF(U41 = "", "", VLOOKUP(U41,AGE_CHECK,2)),AGE_GRP,EmployeeContribution)*X41</f>
        <v>480</v>
      </c>
      <c r="AA41" s="392">
        <f t="shared" si="2"/>
        <v>52900</v>
      </c>
      <c r="AB41" s="392" cm="1">
        <f t="array" ref="AB41">_xlfn.XLOOKUP(IF(U41 = "", "", VLOOKUP(U41,AGE_CHECK,2)),AGE_GRP,OA_cut)*AA41</f>
        <v>10051</v>
      </c>
      <c r="AC41" s="392" cm="1">
        <f t="array" ref="AC41">_xlfn.XLOOKUP(IF(U41 = "", "", VLOOKUP(U41,AGE_CHECK,2)),AGE_GRP,SA_cut)*AA41</f>
        <v>4232</v>
      </c>
      <c r="AD41" s="392" cm="1">
        <f t="array" ref="AD41">_xlfn.XLOOKUP(IF(U41 = "", "", VLOOKUP(U41,AGE_CHECK,2)),AGE_GRP,MA_cut)*AA41</f>
        <v>5290</v>
      </c>
      <c r="AE41" s="392">
        <v>13</v>
      </c>
      <c r="AF41" s="393">
        <f t="shared" si="3"/>
        <v>29.315416666666351</v>
      </c>
      <c r="AG41" s="393">
        <f t="shared" si="4"/>
        <v>17.633333333333212</v>
      </c>
      <c r="AH41" s="393">
        <f t="shared" si="5"/>
        <v>22.04166666666697</v>
      </c>
    </row>
    <row r="42" spans="1:34">
      <c r="A42" s="684"/>
      <c r="B42" s="685"/>
    </row>
    <row r="43" spans="1:34">
      <c r="A43" s="684"/>
      <c r="B43" s="685"/>
    </row>
    <row r="44" spans="1:34">
      <c r="A44" s="684"/>
      <c r="B44" s="685"/>
    </row>
    <row r="45" spans="1:34">
      <c r="A45" s="684"/>
      <c r="B45" s="685"/>
      <c r="D45" s="134" t="s">
        <v>27</v>
      </c>
      <c r="E45" t="s">
        <v>245</v>
      </c>
      <c r="F45" t="s">
        <v>246</v>
      </c>
      <c r="G45" t="s">
        <v>247</v>
      </c>
      <c r="I45" s="134" t="s">
        <v>27</v>
      </c>
      <c r="J45" t="s">
        <v>248</v>
      </c>
      <c r="K45" t="s">
        <v>249</v>
      </c>
      <c r="L45" t="s">
        <v>250</v>
      </c>
      <c r="O45" s="134" t="s">
        <v>251</v>
      </c>
      <c r="P45" t="s">
        <v>252</v>
      </c>
      <c r="Q45" t="s">
        <v>253</v>
      </c>
      <c r="R45" t="s">
        <v>254</v>
      </c>
    </row>
    <row r="46" spans="1:34">
      <c r="A46" s="684"/>
      <c r="B46" s="685"/>
      <c r="D46" s="176" t="s">
        <v>255</v>
      </c>
      <c r="E46">
        <v>1292</v>
      </c>
      <c r="F46">
        <v>1520</v>
      </c>
      <c r="G46">
        <v>7600</v>
      </c>
      <c r="I46" s="176" t="s">
        <v>255</v>
      </c>
      <c r="J46"/>
      <c r="K46"/>
      <c r="L46"/>
      <c r="O46" s="176" t="s">
        <v>255</v>
      </c>
      <c r="P46"/>
      <c r="Q46"/>
      <c r="R46"/>
    </row>
    <row r="47" spans="1:34">
      <c r="A47" s="684"/>
      <c r="B47" s="685"/>
      <c r="D47" s="176" t="s">
        <v>256</v>
      </c>
      <c r="E47">
        <v>3876</v>
      </c>
      <c r="F47">
        <v>4560</v>
      </c>
      <c r="G47">
        <v>22800</v>
      </c>
      <c r="I47" s="387" t="s">
        <v>257</v>
      </c>
      <c r="J47">
        <v>399</v>
      </c>
      <c r="K47">
        <v>133</v>
      </c>
      <c r="L47">
        <v>171</v>
      </c>
      <c r="O47" s="387" t="s">
        <v>257</v>
      </c>
      <c r="P47" s="388">
        <v>1.1637499999999932</v>
      </c>
      <c r="Q47" s="388">
        <v>0.55416666666667425</v>
      </c>
      <c r="R47" s="388">
        <v>0.71250000000000568</v>
      </c>
    </row>
    <row r="48" spans="1:34">
      <c r="A48" s="684"/>
      <c r="B48" s="685"/>
      <c r="D48" s="176" t="s">
        <v>258</v>
      </c>
      <c r="E48">
        <v>2601</v>
      </c>
      <c r="F48">
        <v>3060</v>
      </c>
      <c r="G48">
        <v>15300</v>
      </c>
      <c r="I48" s="387" t="s">
        <v>259</v>
      </c>
      <c r="J48">
        <v>798</v>
      </c>
      <c r="K48">
        <v>266</v>
      </c>
      <c r="L48">
        <v>342</v>
      </c>
      <c r="O48" s="387" t="s">
        <v>259</v>
      </c>
      <c r="P48" s="388">
        <v>2.3274999999999864</v>
      </c>
      <c r="Q48" s="388">
        <v>1.1083333333333485</v>
      </c>
      <c r="R48" s="388">
        <v>1.4250000000000114</v>
      </c>
    </row>
    <row r="49" spans="1:18">
      <c r="A49" s="684"/>
      <c r="B49" s="685"/>
      <c r="D49" s="176" t="s">
        <v>260</v>
      </c>
      <c r="E49">
        <v>1224.0000000000002</v>
      </c>
      <c r="F49">
        <v>1440</v>
      </c>
      <c r="G49">
        <v>7200</v>
      </c>
      <c r="I49" s="387" t="s">
        <v>261</v>
      </c>
      <c r="J49">
        <v>1197</v>
      </c>
      <c r="K49">
        <v>399.00000000000006</v>
      </c>
      <c r="L49">
        <v>513</v>
      </c>
      <c r="O49" s="387" t="s">
        <v>261</v>
      </c>
      <c r="P49" s="388">
        <v>3.4912500000000364</v>
      </c>
      <c r="Q49" s="388">
        <v>1.6625000000000227</v>
      </c>
      <c r="R49" s="388">
        <v>2.1375000000000455</v>
      </c>
    </row>
    <row r="50" spans="1:18">
      <c r="A50" s="684"/>
      <c r="B50" s="685"/>
      <c r="D50" s="176" t="s">
        <v>83</v>
      </c>
      <c r="E50">
        <v>8993</v>
      </c>
      <c r="F50">
        <v>10580</v>
      </c>
      <c r="G50">
        <v>52900</v>
      </c>
      <c r="I50" s="387" t="s">
        <v>262</v>
      </c>
      <c r="J50">
        <v>1596</v>
      </c>
      <c r="K50">
        <v>532</v>
      </c>
      <c r="L50">
        <v>684</v>
      </c>
      <c r="O50" s="387" t="s">
        <v>262</v>
      </c>
      <c r="P50" s="388">
        <v>4.6549999999999727</v>
      </c>
      <c r="Q50" s="388">
        <v>2.216666666666697</v>
      </c>
      <c r="R50" s="388">
        <v>2.8500000000000227</v>
      </c>
    </row>
    <row r="51" spans="1:18">
      <c r="A51" s="684"/>
      <c r="B51" s="685"/>
      <c r="D51" s="250"/>
      <c r="E51" s="250"/>
      <c r="F51" s="250"/>
      <c r="I51" s="176" t="s">
        <v>256</v>
      </c>
      <c r="J51"/>
      <c r="K51"/>
      <c r="L51"/>
      <c r="O51" s="176" t="s">
        <v>256</v>
      </c>
      <c r="P51" s="388"/>
      <c r="Q51" s="388"/>
      <c r="R51" s="388"/>
    </row>
    <row r="52" spans="1:18">
      <c r="A52" s="684"/>
      <c r="B52" s="685"/>
      <c r="D52" s="250"/>
      <c r="E52" s="250"/>
      <c r="F52" s="250"/>
      <c r="I52" s="387" t="s">
        <v>263</v>
      </c>
      <c r="J52">
        <v>1995</v>
      </c>
      <c r="K52">
        <v>665.00000000000011</v>
      </c>
      <c r="L52">
        <v>855</v>
      </c>
      <c r="O52" s="387" t="s">
        <v>263</v>
      </c>
      <c r="P52" s="388">
        <v>5.8187500000001364</v>
      </c>
      <c r="Q52" s="388">
        <v>2.7708333333333712</v>
      </c>
      <c r="R52" s="388">
        <v>3.5625</v>
      </c>
    </row>
    <row r="53" spans="1:18">
      <c r="A53" s="684"/>
      <c r="B53" s="685"/>
      <c r="I53" s="387" t="s">
        <v>264</v>
      </c>
      <c r="J53">
        <v>2394</v>
      </c>
      <c r="K53">
        <v>798.00000000000011</v>
      </c>
      <c r="L53">
        <v>1026</v>
      </c>
      <c r="O53" s="387" t="s">
        <v>264</v>
      </c>
      <c r="P53" s="388">
        <v>6.9825000000000728</v>
      </c>
      <c r="Q53" s="388">
        <v>3.3250000000000455</v>
      </c>
      <c r="R53" s="388">
        <v>4.2750000000000909</v>
      </c>
    </row>
    <row r="54" spans="1:18">
      <c r="A54" s="684"/>
      <c r="B54" s="685"/>
      <c r="I54" s="387" t="s">
        <v>265</v>
      </c>
      <c r="J54">
        <v>2793</v>
      </c>
      <c r="K54">
        <v>931.00000000000011</v>
      </c>
      <c r="L54">
        <v>1197</v>
      </c>
      <c r="O54" s="387" t="s">
        <v>265</v>
      </c>
      <c r="P54" s="388">
        <v>8.1462500000002365</v>
      </c>
      <c r="Q54" s="388">
        <v>3.879166666666606</v>
      </c>
      <c r="R54" s="388">
        <v>4.9874999999999545</v>
      </c>
    </row>
    <row r="55" spans="1:18">
      <c r="A55" s="684"/>
      <c r="B55" s="685"/>
      <c r="I55" s="387" t="s">
        <v>266</v>
      </c>
      <c r="J55">
        <v>3192</v>
      </c>
      <c r="K55">
        <v>1064</v>
      </c>
      <c r="L55">
        <v>1368</v>
      </c>
      <c r="O55" s="387" t="s">
        <v>266</v>
      </c>
      <c r="P55" s="388">
        <v>9.3099999999999454</v>
      </c>
      <c r="Q55" s="388">
        <v>4.433333333333394</v>
      </c>
      <c r="R55" s="388">
        <v>5.7000000000000455</v>
      </c>
    </row>
    <row r="56" spans="1:18">
      <c r="A56" s="684"/>
      <c r="B56" s="685"/>
      <c r="I56" s="387" t="s">
        <v>267</v>
      </c>
      <c r="J56">
        <v>3591</v>
      </c>
      <c r="K56">
        <v>1197.0000000000002</v>
      </c>
      <c r="L56">
        <v>1539</v>
      </c>
      <c r="O56" s="387" t="s">
        <v>267</v>
      </c>
      <c r="P56" s="388">
        <v>10.473750000000109</v>
      </c>
      <c r="Q56" s="388">
        <v>4.9874999999999545</v>
      </c>
      <c r="R56" s="388">
        <v>6.4124999999999091</v>
      </c>
    </row>
    <row r="57" spans="1:18">
      <c r="A57" s="684"/>
      <c r="B57" s="685"/>
      <c r="I57" s="387" t="s">
        <v>268</v>
      </c>
      <c r="J57">
        <v>3990</v>
      </c>
      <c r="K57">
        <v>1330.0000000000002</v>
      </c>
      <c r="L57">
        <v>1710</v>
      </c>
      <c r="O57" s="387" t="s">
        <v>268</v>
      </c>
      <c r="P57" s="388">
        <v>11.637500000000273</v>
      </c>
      <c r="Q57" s="388">
        <v>5.5416666666667425</v>
      </c>
      <c r="R57" s="388">
        <v>7.125</v>
      </c>
    </row>
    <row r="58" spans="1:18">
      <c r="A58" s="684"/>
      <c r="B58" s="685"/>
      <c r="I58" s="387" t="s">
        <v>269</v>
      </c>
      <c r="J58">
        <v>4389</v>
      </c>
      <c r="K58">
        <v>1463.0000000000002</v>
      </c>
      <c r="L58">
        <v>1881</v>
      </c>
      <c r="O58" s="387" t="s">
        <v>269</v>
      </c>
      <c r="P58" s="388">
        <v>12.801250000000437</v>
      </c>
      <c r="Q58" s="388">
        <v>6.095833333333303</v>
      </c>
      <c r="R58" s="388">
        <v>7.8374999999998636</v>
      </c>
    </row>
    <row r="59" spans="1:18">
      <c r="A59" s="684"/>
      <c r="B59" s="685"/>
      <c r="I59" s="387" t="s">
        <v>270</v>
      </c>
      <c r="J59">
        <v>4788</v>
      </c>
      <c r="K59">
        <v>1596.0000000000002</v>
      </c>
      <c r="L59">
        <v>2052</v>
      </c>
      <c r="O59" s="387" t="s">
        <v>270</v>
      </c>
      <c r="P59" s="388">
        <v>13.965000000000146</v>
      </c>
      <c r="Q59" s="388">
        <v>6.6500000000000909</v>
      </c>
      <c r="R59" s="388">
        <v>8.5500000000001819</v>
      </c>
    </row>
    <row r="60" spans="1:18">
      <c r="A60" s="684"/>
      <c r="B60" s="685"/>
      <c r="I60" s="387" t="s">
        <v>257</v>
      </c>
      <c r="J60">
        <v>5187</v>
      </c>
      <c r="K60">
        <v>1729.0000000000002</v>
      </c>
      <c r="L60">
        <v>2223</v>
      </c>
      <c r="O60" s="387" t="s">
        <v>257</v>
      </c>
      <c r="P60" s="388">
        <v>15.128749999999854</v>
      </c>
      <c r="Q60" s="388">
        <v>7.2041666666666515</v>
      </c>
      <c r="R60" s="388">
        <v>9.2624999999998181</v>
      </c>
    </row>
    <row r="61" spans="1:18">
      <c r="A61" s="684"/>
      <c r="B61" s="685"/>
      <c r="I61" s="387" t="s">
        <v>259</v>
      </c>
      <c r="J61">
        <v>5586</v>
      </c>
      <c r="K61">
        <v>1862.0000000000002</v>
      </c>
      <c r="L61">
        <v>2394</v>
      </c>
      <c r="O61" s="387" t="s">
        <v>259</v>
      </c>
      <c r="P61" s="388">
        <v>16.292500000000473</v>
      </c>
      <c r="Q61" s="388">
        <v>7.7583333333332121</v>
      </c>
      <c r="R61" s="388">
        <v>9.9749999999999091</v>
      </c>
    </row>
    <row r="62" spans="1:18">
      <c r="A62" s="684"/>
      <c r="B62" s="685"/>
      <c r="I62" s="387" t="s">
        <v>261</v>
      </c>
      <c r="J62">
        <v>5985</v>
      </c>
      <c r="K62">
        <v>1995.0000000000002</v>
      </c>
      <c r="L62">
        <v>2565</v>
      </c>
      <c r="O62" s="387" t="s">
        <v>261</v>
      </c>
      <c r="P62" s="388">
        <v>17.456250000000182</v>
      </c>
      <c r="Q62" s="388">
        <v>8.3125</v>
      </c>
      <c r="R62" s="388">
        <v>10.6875</v>
      </c>
    </row>
    <row r="63" spans="1:18">
      <c r="A63" s="684"/>
      <c r="B63" s="685"/>
      <c r="I63" s="387" t="s">
        <v>262</v>
      </c>
      <c r="J63">
        <v>6384</v>
      </c>
      <c r="K63">
        <v>2128</v>
      </c>
      <c r="L63">
        <v>2736</v>
      </c>
      <c r="O63" s="387" t="s">
        <v>262</v>
      </c>
      <c r="P63" s="388">
        <v>18.619999999999891</v>
      </c>
      <c r="Q63" s="388">
        <v>8.8666666666667879</v>
      </c>
      <c r="R63" s="388">
        <v>11.400000000000091</v>
      </c>
    </row>
    <row r="64" spans="1:18">
      <c r="A64" s="684"/>
      <c r="B64" s="685"/>
      <c r="I64" s="176" t="s">
        <v>258</v>
      </c>
      <c r="J64"/>
      <c r="K64"/>
      <c r="L64"/>
      <c r="O64" s="176" t="s">
        <v>258</v>
      </c>
      <c r="P64" s="388"/>
      <c r="Q64" s="388"/>
      <c r="R64" s="388"/>
    </row>
    <row r="65" spans="1:18">
      <c r="A65" s="684"/>
      <c r="B65" s="685"/>
      <c r="I65" s="387" t="s">
        <v>263</v>
      </c>
      <c r="J65">
        <v>6137</v>
      </c>
      <c r="K65">
        <v>2584</v>
      </c>
      <c r="L65">
        <v>3230</v>
      </c>
      <c r="O65" s="387" t="s">
        <v>263</v>
      </c>
      <c r="P65" s="388">
        <v>17.899583333333794</v>
      </c>
      <c r="Q65" s="388">
        <v>10.766666666666424</v>
      </c>
      <c r="R65" s="388">
        <v>13.458333333333485</v>
      </c>
    </row>
    <row r="66" spans="1:18">
      <c r="A66" s="684"/>
      <c r="B66" s="685"/>
      <c r="I66" s="387" t="s">
        <v>264</v>
      </c>
      <c r="J66">
        <v>6498</v>
      </c>
      <c r="K66">
        <v>2736</v>
      </c>
      <c r="L66">
        <v>3420</v>
      </c>
      <c r="O66" s="387" t="s">
        <v>264</v>
      </c>
      <c r="P66" s="388">
        <v>18.952500000000327</v>
      </c>
      <c r="Q66" s="388">
        <v>11.400000000000091</v>
      </c>
      <c r="R66" s="388">
        <v>14.25</v>
      </c>
    </row>
    <row r="67" spans="1:18">
      <c r="A67" s="684"/>
      <c r="B67" s="685"/>
      <c r="I67" s="387" t="s">
        <v>265</v>
      </c>
      <c r="J67">
        <v>6859</v>
      </c>
      <c r="K67">
        <v>2888</v>
      </c>
      <c r="L67">
        <v>3610</v>
      </c>
      <c r="O67" s="387" t="s">
        <v>265</v>
      </c>
      <c r="P67" s="388">
        <v>20.005416666666861</v>
      </c>
      <c r="Q67" s="388">
        <v>12.033333333333303</v>
      </c>
      <c r="R67" s="388">
        <v>15.041666666666515</v>
      </c>
    </row>
    <row r="68" spans="1:18">
      <c r="A68" s="684"/>
      <c r="B68" s="685"/>
      <c r="I68" s="387" t="s">
        <v>266</v>
      </c>
      <c r="J68">
        <v>7315</v>
      </c>
      <c r="K68">
        <v>3080</v>
      </c>
      <c r="L68">
        <v>3850</v>
      </c>
      <c r="O68" s="387" t="s">
        <v>266</v>
      </c>
      <c r="P68" s="388">
        <v>21.335416666666788</v>
      </c>
      <c r="Q68" s="388">
        <v>12.833333333333485</v>
      </c>
      <c r="R68" s="388">
        <v>16.041666666666515</v>
      </c>
    </row>
    <row r="69" spans="1:18">
      <c r="A69" s="684"/>
      <c r="B69" s="685"/>
      <c r="I69" s="387" t="s">
        <v>267</v>
      </c>
      <c r="J69">
        <v>7771</v>
      </c>
      <c r="K69">
        <v>3272</v>
      </c>
      <c r="L69">
        <v>4090</v>
      </c>
      <c r="O69" s="387" t="s">
        <v>267</v>
      </c>
      <c r="P69" s="388">
        <v>22.665416666666715</v>
      </c>
      <c r="Q69" s="388">
        <v>13.633333333333212</v>
      </c>
      <c r="R69" s="388">
        <v>17.04166666666697</v>
      </c>
    </row>
    <row r="70" spans="1:18">
      <c r="A70" s="684"/>
      <c r="B70" s="685"/>
      <c r="I70" s="387" t="s">
        <v>268</v>
      </c>
      <c r="J70">
        <v>8227</v>
      </c>
      <c r="K70">
        <v>3464</v>
      </c>
      <c r="L70">
        <v>4330</v>
      </c>
      <c r="O70" s="387" t="s">
        <v>268</v>
      </c>
      <c r="P70" s="388">
        <v>23.995416666666642</v>
      </c>
      <c r="Q70" s="388">
        <v>14.433333333333394</v>
      </c>
      <c r="R70" s="388">
        <v>18.04166666666697</v>
      </c>
    </row>
    <row r="71" spans="1:18">
      <c r="A71" s="684"/>
      <c r="B71" s="685"/>
      <c r="I71" s="387" t="s">
        <v>269</v>
      </c>
      <c r="J71">
        <v>8683</v>
      </c>
      <c r="K71">
        <v>3656</v>
      </c>
      <c r="L71">
        <v>4570</v>
      </c>
      <c r="O71" s="387" t="s">
        <v>269</v>
      </c>
      <c r="P71" s="388">
        <v>25.32541666666657</v>
      </c>
      <c r="Q71" s="388">
        <v>15.233333333333121</v>
      </c>
      <c r="R71" s="388">
        <v>19.04166666666697</v>
      </c>
    </row>
    <row r="72" spans="1:18">
      <c r="A72" s="684"/>
      <c r="B72" s="685"/>
      <c r="I72" s="387" t="s">
        <v>270</v>
      </c>
      <c r="J72">
        <v>8683</v>
      </c>
      <c r="K72">
        <v>3656</v>
      </c>
      <c r="L72">
        <v>4570</v>
      </c>
      <c r="O72" s="387" t="s">
        <v>270</v>
      </c>
      <c r="P72" s="388">
        <v>25.32541666666657</v>
      </c>
      <c r="Q72" s="388">
        <v>15.233333333333121</v>
      </c>
      <c r="R72" s="388">
        <v>19.04166666666697</v>
      </c>
    </row>
    <row r="73" spans="1:18">
      <c r="A73" s="684"/>
      <c r="B73" s="685"/>
      <c r="I73" s="387" t="s">
        <v>257</v>
      </c>
      <c r="J73">
        <v>8683</v>
      </c>
      <c r="K73">
        <v>3656</v>
      </c>
      <c r="L73">
        <v>4570</v>
      </c>
      <c r="O73" s="387" t="s">
        <v>257</v>
      </c>
      <c r="P73" s="388">
        <v>25.32541666666657</v>
      </c>
      <c r="Q73" s="388">
        <v>15.233333333333121</v>
      </c>
      <c r="R73" s="388">
        <v>19.04166666666697</v>
      </c>
    </row>
    <row r="74" spans="1:18">
      <c r="A74" s="684"/>
      <c r="B74" s="685"/>
      <c r="I74" s="387" t="s">
        <v>259</v>
      </c>
      <c r="J74">
        <v>8683</v>
      </c>
      <c r="K74">
        <v>3656</v>
      </c>
      <c r="L74">
        <v>4570</v>
      </c>
      <c r="O74" s="387" t="s">
        <v>259</v>
      </c>
      <c r="P74" s="388">
        <v>25.32541666666657</v>
      </c>
      <c r="Q74" s="388">
        <v>15.233333333333121</v>
      </c>
      <c r="R74" s="388">
        <v>19.04166666666697</v>
      </c>
    </row>
    <row r="75" spans="1:18">
      <c r="A75" s="684"/>
      <c r="B75" s="685"/>
      <c r="I75" s="387" t="s">
        <v>261</v>
      </c>
      <c r="J75">
        <v>8683</v>
      </c>
      <c r="K75">
        <v>3656</v>
      </c>
      <c r="L75">
        <v>4570</v>
      </c>
      <c r="O75" s="387" t="s">
        <v>261</v>
      </c>
      <c r="P75" s="388">
        <v>25.32541666666657</v>
      </c>
      <c r="Q75" s="388">
        <v>15.233333333333121</v>
      </c>
      <c r="R75" s="388">
        <v>19.04166666666697</v>
      </c>
    </row>
    <row r="76" spans="1:18">
      <c r="A76" s="684"/>
      <c r="B76" s="685"/>
      <c r="I76" s="387" t="s">
        <v>262</v>
      </c>
      <c r="J76">
        <v>8683</v>
      </c>
      <c r="K76">
        <v>3656</v>
      </c>
      <c r="L76">
        <v>4570</v>
      </c>
      <c r="O76" s="387" t="s">
        <v>262</v>
      </c>
      <c r="P76" s="388">
        <v>25.32541666666657</v>
      </c>
      <c r="Q76" s="388">
        <v>15.233333333333121</v>
      </c>
      <c r="R76" s="388">
        <v>19.04166666666697</v>
      </c>
    </row>
    <row r="77" spans="1:18">
      <c r="A77" s="684"/>
      <c r="B77" s="685"/>
      <c r="I77" s="176" t="s">
        <v>260</v>
      </c>
      <c r="J77"/>
      <c r="K77"/>
      <c r="L77"/>
      <c r="O77" s="176" t="s">
        <v>260</v>
      </c>
      <c r="P77" s="388"/>
      <c r="Q77" s="388"/>
      <c r="R77" s="388"/>
    </row>
    <row r="78" spans="1:18">
      <c r="A78" s="684"/>
      <c r="B78" s="685"/>
      <c r="I78" s="387" t="s">
        <v>263</v>
      </c>
      <c r="J78">
        <v>9139</v>
      </c>
      <c r="K78">
        <v>3848</v>
      </c>
      <c r="L78">
        <v>4810</v>
      </c>
      <c r="O78" s="387" t="s">
        <v>263</v>
      </c>
      <c r="P78" s="388">
        <v>26.655416666666497</v>
      </c>
      <c r="Q78" s="388">
        <v>16.033333333333303</v>
      </c>
      <c r="R78" s="388">
        <v>20.04166666666697</v>
      </c>
    </row>
    <row r="79" spans="1:18">
      <c r="A79" s="684"/>
      <c r="B79" s="685"/>
      <c r="I79" s="387" t="s">
        <v>264</v>
      </c>
      <c r="J79">
        <v>9595</v>
      </c>
      <c r="K79">
        <v>4040</v>
      </c>
      <c r="L79">
        <v>5050</v>
      </c>
      <c r="O79" s="387" t="s">
        <v>264</v>
      </c>
      <c r="P79" s="388">
        <v>27.985416666666424</v>
      </c>
      <c r="Q79" s="388">
        <v>16.833333333333485</v>
      </c>
      <c r="R79" s="388">
        <v>21.04166666666697</v>
      </c>
    </row>
    <row r="80" spans="1:18">
      <c r="A80" s="684"/>
      <c r="B80" s="685"/>
      <c r="I80" s="387" t="s">
        <v>265</v>
      </c>
      <c r="J80">
        <v>10051</v>
      </c>
      <c r="K80">
        <v>4232</v>
      </c>
      <c r="L80">
        <v>5290</v>
      </c>
      <c r="O80" s="387" t="s">
        <v>265</v>
      </c>
      <c r="P80" s="388">
        <v>29.315416666666351</v>
      </c>
      <c r="Q80" s="388">
        <v>17.633333333333212</v>
      </c>
      <c r="R80" s="388">
        <v>22.04166666666697</v>
      </c>
    </row>
    <row r="81" spans="1:18">
      <c r="A81" s="684"/>
      <c r="B81" s="685"/>
      <c r="I81" s="176" t="s">
        <v>83</v>
      </c>
      <c r="J81">
        <v>177954</v>
      </c>
      <c r="K81">
        <v>70168</v>
      </c>
      <c r="L81">
        <v>88356</v>
      </c>
      <c r="O81" s="176" t="s">
        <v>83</v>
      </c>
      <c r="P81" s="388">
        <v>519.03250000000162</v>
      </c>
      <c r="Q81" s="388">
        <v>292.36666666666554</v>
      </c>
      <c r="R81" s="388">
        <v>368.15000000000316</v>
      </c>
    </row>
    <row r="82" spans="1:18">
      <c r="A82" s="684"/>
      <c r="B82" s="685"/>
    </row>
    <row r="83" spans="1:18">
      <c r="A83" s="684"/>
      <c r="B83" s="685"/>
    </row>
    <row r="84" spans="1:18">
      <c r="A84" s="684"/>
      <c r="B84" s="685"/>
    </row>
    <row r="85" spans="1:18">
      <c r="A85" s="684"/>
      <c r="B85" s="685"/>
    </row>
    <row r="86" spans="1:18">
      <c r="A86" s="684"/>
      <c r="B86" s="685"/>
    </row>
    <row r="87" spans="1:18">
      <c r="A87" s="684"/>
      <c r="B87" s="685"/>
    </row>
    <row r="88" spans="1:18">
      <c r="A88" s="684"/>
      <c r="B88" s="685"/>
    </row>
    <row r="89" spans="1:18">
      <c r="A89" s="684"/>
      <c r="B89" s="685"/>
    </row>
    <row r="90" spans="1:18">
      <c r="A90" s="684"/>
      <c r="B90" s="685"/>
    </row>
    <row r="91" spans="1:18">
      <c r="A91" s="684"/>
      <c r="B91" s="685"/>
    </row>
    <row r="92" spans="1:18">
      <c r="A92" s="684"/>
      <c r="B92" s="685"/>
    </row>
    <row r="93" spans="1:18">
      <c r="A93" s="684"/>
      <c r="B93" s="685"/>
    </row>
    <row r="94" spans="1:18">
      <c r="A94" s="684"/>
      <c r="B94" s="685"/>
    </row>
    <row r="95" spans="1:18">
      <c r="A95" s="684"/>
      <c r="B95" s="685"/>
    </row>
    <row r="96" spans="1:18">
      <c r="A96" s="684"/>
      <c r="B96" s="685"/>
    </row>
    <row r="97" spans="1:2">
      <c r="A97" s="684"/>
      <c r="B97" s="685"/>
    </row>
    <row r="98" spans="1:2">
      <c r="A98" s="684"/>
      <c r="B98" s="685"/>
    </row>
    <row r="99" spans="1:2">
      <c r="A99" s="684"/>
      <c r="B99" s="685"/>
    </row>
    <row r="100" spans="1:2">
      <c r="A100" s="684"/>
      <c r="B100" s="685"/>
    </row>
    <row r="101" spans="1:2">
      <c r="A101" s="684"/>
      <c r="B101" s="685"/>
    </row>
    <row r="102" spans="1:2">
      <c r="A102" s="684"/>
      <c r="B102" s="685"/>
    </row>
    <row r="103" spans="1:2">
      <c r="A103" s="684"/>
      <c r="B103" s="685"/>
    </row>
    <row r="104" spans="1:2">
      <c r="A104" s="684"/>
      <c r="B104" s="685"/>
    </row>
    <row r="105" spans="1:2">
      <c r="A105" s="684"/>
      <c r="B105" s="685"/>
    </row>
    <row r="106" spans="1:2">
      <c r="A106" s="684"/>
      <c r="B106" s="685"/>
    </row>
    <row r="107" spans="1:2">
      <c r="A107" s="684"/>
      <c r="B107" s="685"/>
    </row>
    <row r="108" spans="1:2">
      <c r="A108" s="684"/>
      <c r="B108" s="685"/>
    </row>
    <row r="109" spans="1:2">
      <c r="A109" s="684"/>
      <c r="B109" s="685"/>
    </row>
    <row r="110" spans="1:2">
      <c r="A110" s="684"/>
      <c r="B110" s="685"/>
    </row>
    <row r="111" spans="1:2">
      <c r="A111" s="684"/>
      <c r="B111" s="685"/>
    </row>
    <row r="112" spans="1:2">
      <c r="A112" s="684"/>
      <c r="B112" s="685"/>
    </row>
    <row r="113" spans="1:19">
      <c r="A113" s="684"/>
      <c r="B113" s="685"/>
      <c r="S113"/>
    </row>
    <row r="114" spans="1:19">
      <c r="A114" s="684"/>
      <c r="B114" s="685"/>
      <c r="S114"/>
    </row>
    <row r="115" spans="1:19">
      <c r="A115" s="684"/>
      <c r="B115" s="685"/>
      <c r="S115"/>
    </row>
    <row r="116" spans="1:19">
      <c r="A116" s="684"/>
      <c r="B116" s="685"/>
      <c r="S116"/>
    </row>
    <row r="117" spans="1:19">
      <c r="A117" s="684"/>
      <c r="B117" s="685"/>
      <c r="S117"/>
    </row>
    <row r="118" spans="1:19">
      <c r="A118" s="684"/>
      <c r="B118" s="685"/>
      <c r="S118"/>
    </row>
    <row r="119" spans="1:19">
      <c r="A119" s="684"/>
      <c r="B119" s="685"/>
      <c r="S119"/>
    </row>
    <row r="120" spans="1:19">
      <c r="A120" s="684"/>
      <c r="B120" s="685"/>
      <c r="S120"/>
    </row>
    <row r="121" spans="1:19">
      <c r="A121" s="684"/>
      <c r="B121" s="685"/>
      <c r="S121"/>
    </row>
    <row r="122" spans="1:19">
      <c r="A122" s="684"/>
      <c r="B122" s="685"/>
      <c r="S122"/>
    </row>
    <row r="123" spans="1:19">
      <c r="A123" s="684"/>
      <c r="B123" s="685"/>
      <c r="S123"/>
    </row>
    <row r="124" spans="1:19">
      <c r="A124" s="684"/>
      <c r="B124" s="685"/>
      <c r="S124"/>
    </row>
    <row r="125" spans="1:19">
      <c r="A125" s="684"/>
      <c r="B125" s="685"/>
      <c r="S125"/>
    </row>
    <row r="126" spans="1:19">
      <c r="A126" s="684"/>
      <c r="B126" s="685"/>
      <c r="S126"/>
    </row>
    <row r="127" spans="1:19">
      <c r="A127" s="684"/>
      <c r="B127" s="685"/>
    </row>
    <row r="128" spans="1:19">
      <c r="A128" s="684"/>
      <c r="B128" s="685"/>
    </row>
    <row r="129" spans="1:2">
      <c r="A129" s="684"/>
      <c r="B129" s="685"/>
    </row>
    <row r="130" spans="1:2">
      <c r="A130" s="684"/>
      <c r="B130" s="685"/>
    </row>
    <row r="131" spans="1:2">
      <c r="A131" s="684"/>
      <c r="B131" s="685"/>
    </row>
    <row r="132" spans="1:2">
      <c r="A132" s="684"/>
      <c r="B132" s="685"/>
    </row>
    <row r="133" spans="1:2">
      <c r="A133" s="684"/>
      <c r="B133" s="685"/>
    </row>
    <row r="134" spans="1:2">
      <c r="A134" s="684"/>
      <c r="B134" s="685"/>
    </row>
    <row r="135" spans="1:2">
      <c r="A135" s="684"/>
      <c r="B135" s="685"/>
    </row>
    <row r="136" spans="1:2">
      <c r="A136" s="684"/>
      <c r="B136" s="685"/>
    </row>
    <row r="137" spans="1:2">
      <c r="A137" s="684"/>
      <c r="B137" s="685"/>
    </row>
    <row r="138" spans="1:2">
      <c r="A138" s="684"/>
      <c r="B138" s="685"/>
    </row>
    <row r="139" spans="1:2">
      <c r="A139" s="684"/>
      <c r="B139" s="685"/>
    </row>
    <row r="140" spans="1:2">
      <c r="A140" s="684"/>
      <c r="B140" s="685"/>
    </row>
    <row r="141" spans="1:2">
      <c r="A141" s="684"/>
      <c r="B141" s="685"/>
    </row>
    <row r="142" spans="1:2">
      <c r="A142" s="684"/>
      <c r="B142" s="685"/>
    </row>
    <row r="143" spans="1:2">
      <c r="A143" s="684"/>
      <c r="B143" s="685"/>
    </row>
    <row r="144" spans="1:2">
      <c r="A144" s="684"/>
      <c r="B144" s="685"/>
    </row>
    <row r="145" spans="1:2">
      <c r="A145" s="684"/>
      <c r="B145" s="685"/>
    </row>
    <row r="146" spans="1:2">
      <c r="A146" s="684"/>
      <c r="B146" s="685"/>
    </row>
    <row r="147" spans="1:2">
      <c r="A147" s="684"/>
      <c r="B147" s="685"/>
    </row>
    <row r="148" spans="1:2">
      <c r="A148" s="684"/>
      <c r="B148" s="685"/>
    </row>
    <row r="149" spans="1:2">
      <c r="A149" s="684"/>
      <c r="B149" s="685"/>
    </row>
    <row r="150" spans="1:2">
      <c r="A150" s="684"/>
      <c r="B150" s="685"/>
    </row>
    <row r="151" spans="1:2">
      <c r="A151" s="684"/>
      <c r="B151" s="685"/>
    </row>
    <row r="152" spans="1:2">
      <c r="A152" s="684"/>
      <c r="B152" s="685"/>
    </row>
    <row r="153" spans="1:2">
      <c r="A153" s="684"/>
      <c r="B153" s="685"/>
    </row>
    <row r="154" spans="1:2">
      <c r="A154" s="684"/>
      <c r="B154" s="685"/>
    </row>
    <row r="155" spans="1:2">
      <c r="A155" s="684"/>
      <c r="B155" s="685"/>
    </row>
    <row r="156" spans="1:2">
      <c r="A156" s="684"/>
      <c r="B156" s="685"/>
    </row>
    <row r="157" spans="1:2">
      <c r="A157" s="684"/>
      <c r="B157" s="685"/>
    </row>
    <row r="158" spans="1:2">
      <c r="A158" s="684"/>
      <c r="B158" s="685"/>
    </row>
    <row r="159" spans="1:2">
      <c r="A159" s="684"/>
      <c r="B159" s="685"/>
    </row>
    <row r="160" spans="1:2">
      <c r="A160" s="684"/>
      <c r="B160" s="685"/>
    </row>
    <row r="161" spans="1:2">
      <c r="A161" s="684"/>
      <c r="B161" s="685"/>
    </row>
    <row r="162" spans="1:2">
      <c r="A162" s="684"/>
      <c r="B162" s="685"/>
    </row>
    <row r="163" spans="1:2">
      <c r="A163" s="684"/>
      <c r="B163" s="685"/>
    </row>
    <row r="164" spans="1:2">
      <c r="A164" s="684"/>
      <c r="B164" s="685"/>
    </row>
    <row r="165" spans="1:2">
      <c r="A165" s="684"/>
      <c r="B165" s="685"/>
    </row>
    <row r="166" spans="1:2">
      <c r="A166" s="684"/>
      <c r="B166" s="685"/>
    </row>
    <row r="167" spans="1:2">
      <c r="A167" s="684"/>
      <c r="B167" s="685"/>
    </row>
    <row r="168" spans="1:2">
      <c r="A168" s="684"/>
      <c r="B168" s="685"/>
    </row>
    <row r="169" spans="1:2">
      <c r="A169" s="684"/>
      <c r="B169" s="685"/>
    </row>
    <row r="170" spans="1:2">
      <c r="A170" s="684"/>
      <c r="B170" s="685"/>
    </row>
    <row r="171" spans="1:2">
      <c r="A171" s="684"/>
      <c r="B171" s="685"/>
    </row>
    <row r="172" spans="1:2">
      <c r="A172" s="684"/>
      <c r="B172" s="685"/>
    </row>
    <row r="173" spans="1:2">
      <c r="A173" s="684"/>
      <c r="B173" s="685"/>
    </row>
    <row r="174" spans="1:2">
      <c r="A174" s="684"/>
      <c r="B174" s="685"/>
    </row>
    <row r="175" spans="1:2">
      <c r="A175" s="684"/>
      <c r="B175" s="685"/>
    </row>
    <row r="176" spans="1:2">
      <c r="A176" s="684"/>
      <c r="B176" s="685"/>
    </row>
    <row r="177" spans="1:2">
      <c r="A177" s="684"/>
      <c r="B177" s="685"/>
    </row>
    <row r="178" spans="1:2">
      <c r="A178" s="684"/>
      <c r="B178" s="685"/>
    </row>
    <row r="179" spans="1:2">
      <c r="A179" s="684"/>
      <c r="B179" s="685"/>
    </row>
    <row r="180" spans="1:2">
      <c r="A180" s="684"/>
      <c r="B180" s="685"/>
    </row>
    <row r="181" spans="1:2">
      <c r="A181" s="684"/>
      <c r="B181" s="685"/>
    </row>
    <row r="182" spans="1:2">
      <c r="A182" s="684"/>
      <c r="B182" s="685"/>
    </row>
    <row r="183" spans="1:2">
      <c r="A183" s="684"/>
      <c r="B183" s="685"/>
    </row>
    <row r="184" spans="1:2">
      <c r="A184" s="684"/>
      <c r="B184" s="685"/>
    </row>
    <row r="185" spans="1:2">
      <c r="A185" s="684"/>
      <c r="B185" s="685"/>
    </row>
    <row r="186" spans="1:2">
      <c r="A186" s="684"/>
      <c r="B186" s="685"/>
    </row>
    <row r="187" spans="1:2">
      <c r="A187" s="684"/>
      <c r="B187" s="685"/>
    </row>
    <row r="188" spans="1:2">
      <c r="A188" s="684"/>
      <c r="B188" s="685"/>
    </row>
    <row r="189" spans="1:2">
      <c r="A189" s="684"/>
      <c r="B189" s="685"/>
    </row>
    <row r="190" spans="1:2">
      <c r="A190" s="684"/>
      <c r="B190" s="685"/>
    </row>
    <row r="191" spans="1:2">
      <c r="A191" s="684"/>
      <c r="B191" s="685"/>
    </row>
    <row r="192" spans="1:2">
      <c r="A192" s="684"/>
      <c r="B192" s="685"/>
    </row>
    <row r="193" spans="1:2">
      <c r="A193" s="684"/>
      <c r="B193" s="685"/>
    </row>
    <row r="194" spans="1:2">
      <c r="A194" s="684"/>
      <c r="B194" s="685"/>
    </row>
    <row r="195" spans="1:2">
      <c r="A195" s="684"/>
      <c r="B195" s="685"/>
    </row>
    <row r="196" spans="1:2">
      <c r="A196" s="684"/>
      <c r="B196" s="685"/>
    </row>
    <row r="197" spans="1:2">
      <c r="A197" s="684"/>
      <c r="B197" s="685"/>
    </row>
    <row r="198" spans="1:2">
      <c r="A198" s="684"/>
      <c r="B198" s="685"/>
    </row>
    <row r="199" spans="1:2">
      <c r="A199" s="684"/>
      <c r="B199" s="685"/>
    </row>
    <row r="200" spans="1:2">
      <c r="A200" s="684"/>
      <c r="B200" s="685"/>
    </row>
    <row r="201" spans="1:2">
      <c r="A201" s="684"/>
      <c r="B201" s="685"/>
    </row>
    <row r="202" spans="1:2">
      <c r="A202" s="684"/>
      <c r="B202" s="685"/>
    </row>
    <row r="203" spans="1:2">
      <c r="A203" s="684"/>
      <c r="B203" s="685"/>
    </row>
    <row r="204" spans="1:2">
      <c r="A204" s="684"/>
      <c r="B204" s="685"/>
    </row>
    <row r="205" spans="1:2">
      <c r="A205" s="684"/>
      <c r="B205" s="685"/>
    </row>
    <row r="206" spans="1:2">
      <c r="A206" s="684"/>
      <c r="B206" s="685"/>
    </row>
    <row r="207" spans="1:2">
      <c r="A207" s="684"/>
      <c r="B207" s="685"/>
    </row>
    <row r="208" spans="1:2">
      <c r="A208" s="684"/>
      <c r="B208" s="685"/>
    </row>
    <row r="209" spans="1:2">
      <c r="A209" s="684"/>
      <c r="B209" s="685"/>
    </row>
    <row r="210" spans="1:2">
      <c r="A210" s="684"/>
      <c r="B210" s="685"/>
    </row>
    <row r="211" spans="1:2">
      <c r="A211" s="684"/>
      <c r="B211" s="685"/>
    </row>
    <row r="212" spans="1:2">
      <c r="A212" s="684"/>
      <c r="B212" s="685"/>
    </row>
    <row r="213" spans="1:2">
      <c r="A213" s="684"/>
      <c r="B213" s="685"/>
    </row>
    <row r="214" spans="1:2">
      <c r="A214" s="684"/>
      <c r="B214" s="685"/>
    </row>
    <row r="215" spans="1:2">
      <c r="A215" s="684"/>
      <c r="B215" s="685"/>
    </row>
    <row r="216" spans="1:2">
      <c r="A216" s="684"/>
      <c r="B216" s="685"/>
    </row>
    <row r="217" spans="1:2">
      <c r="A217" s="684"/>
      <c r="B217" s="685"/>
    </row>
    <row r="218" spans="1:2">
      <c r="A218" s="684"/>
      <c r="B218" s="685"/>
    </row>
    <row r="219" spans="1:2">
      <c r="A219" s="684"/>
      <c r="B219" s="685"/>
    </row>
    <row r="220" spans="1:2">
      <c r="A220" s="684"/>
      <c r="B220" s="685"/>
    </row>
    <row r="221" spans="1:2">
      <c r="A221" s="684"/>
      <c r="B221" s="685"/>
    </row>
    <row r="222" spans="1:2">
      <c r="A222" s="684"/>
      <c r="B222" s="685"/>
    </row>
    <row r="223" spans="1:2">
      <c r="A223" s="684"/>
      <c r="B223" s="685"/>
    </row>
    <row r="224" spans="1:2">
      <c r="A224" s="684"/>
      <c r="B224" s="685"/>
    </row>
    <row r="225" spans="1:2">
      <c r="A225" s="684"/>
      <c r="B225" s="685"/>
    </row>
    <row r="226" spans="1:2">
      <c r="A226" s="684"/>
      <c r="B226" s="685"/>
    </row>
    <row r="227" spans="1:2">
      <c r="A227" s="684"/>
      <c r="B227" s="685"/>
    </row>
    <row r="228" spans="1:2">
      <c r="A228" s="684"/>
      <c r="B228" s="685"/>
    </row>
    <row r="229" spans="1:2">
      <c r="A229" s="684"/>
      <c r="B229" s="685"/>
    </row>
    <row r="230" spans="1:2">
      <c r="A230" s="684"/>
      <c r="B230" s="685"/>
    </row>
    <row r="231" spans="1:2">
      <c r="A231" s="684"/>
      <c r="B231" s="685"/>
    </row>
    <row r="232" spans="1:2">
      <c r="A232" s="684"/>
      <c r="B232" s="685"/>
    </row>
    <row r="233" spans="1:2">
      <c r="A233" s="684"/>
      <c r="B233" s="685"/>
    </row>
    <row r="234" spans="1:2">
      <c r="A234" s="684"/>
      <c r="B234" s="685"/>
    </row>
    <row r="235" spans="1:2">
      <c r="A235" s="684"/>
      <c r="B235" s="685"/>
    </row>
    <row r="236" spans="1:2">
      <c r="A236" s="684"/>
      <c r="B236" s="685"/>
    </row>
    <row r="237" spans="1:2">
      <c r="A237" s="684"/>
      <c r="B237" s="685"/>
    </row>
    <row r="238" spans="1:2">
      <c r="A238" s="684"/>
      <c r="B238" s="685"/>
    </row>
    <row r="239" spans="1:2">
      <c r="A239" s="684"/>
      <c r="B239" s="685"/>
    </row>
    <row r="240" spans="1:2">
      <c r="A240" s="684"/>
      <c r="B240" s="685"/>
    </row>
    <row r="241" spans="1:2">
      <c r="A241" s="684"/>
      <c r="B241" s="685"/>
    </row>
    <row r="242" spans="1:2">
      <c r="A242" s="684"/>
      <c r="B242" s="685"/>
    </row>
    <row r="243" spans="1:2">
      <c r="A243" s="684"/>
      <c r="B243" s="685"/>
    </row>
    <row r="244" spans="1:2">
      <c r="A244" s="684"/>
      <c r="B244" s="685"/>
    </row>
    <row r="245" spans="1:2">
      <c r="A245" s="684"/>
      <c r="B245" s="685"/>
    </row>
    <row r="246" spans="1:2">
      <c r="A246" s="684"/>
      <c r="B246" s="685"/>
    </row>
    <row r="247" spans="1:2">
      <c r="A247" s="684"/>
      <c r="B247" s="685"/>
    </row>
    <row r="248" spans="1:2">
      <c r="A248" s="684"/>
      <c r="B248" s="685"/>
    </row>
    <row r="249" spans="1:2">
      <c r="A249" s="684"/>
      <c r="B249" s="685"/>
    </row>
    <row r="250" spans="1:2">
      <c r="A250" s="684"/>
      <c r="B250" s="685"/>
    </row>
    <row r="251" spans="1:2">
      <c r="A251" s="684"/>
      <c r="B251" s="685"/>
    </row>
    <row r="252" spans="1:2">
      <c r="A252" s="684"/>
      <c r="B252" s="685"/>
    </row>
    <row r="253" spans="1:2">
      <c r="A253" s="684"/>
      <c r="B253" s="685"/>
    </row>
    <row r="254" spans="1:2">
      <c r="A254" s="684"/>
      <c r="B254" s="685"/>
    </row>
    <row r="255" spans="1:2">
      <c r="A255" s="684"/>
      <c r="B255" s="685"/>
    </row>
    <row r="256" spans="1:2">
      <c r="A256" s="684"/>
      <c r="B256" s="685"/>
    </row>
    <row r="257" spans="1:2">
      <c r="A257" s="684"/>
      <c r="B257" s="685"/>
    </row>
    <row r="258" spans="1:2">
      <c r="A258" s="684"/>
      <c r="B258" s="685"/>
    </row>
    <row r="259" spans="1:2">
      <c r="A259" s="684"/>
      <c r="B259" s="685"/>
    </row>
    <row r="260" spans="1:2">
      <c r="A260" s="684"/>
      <c r="B260" s="685"/>
    </row>
    <row r="261" spans="1:2">
      <c r="A261" s="684"/>
      <c r="B261" s="685"/>
    </row>
    <row r="262" spans="1:2">
      <c r="A262" s="684"/>
      <c r="B262" s="685"/>
    </row>
    <row r="263" spans="1:2">
      <c r="A263" s="684"/>
      <c r="B263" s="685"/>
    </row>
    <row r="264" spans="1:2">
      <c r="A264" s="684"/>
      <c r="B264" s="685"/>
    </row>
    <row r="265" spans="1:2">
      <c r="A265" s="684"/>
      <c r="B265" s="685"/>
    </row>
    <row r="266" spans="1:2">
      <c r="A266" s="684"/>
      <c r="B266" s="685"/>
    </row>
    <row r="267" spans="1:2">
      <c r="A267" s="684"/>
      <c r="B267" s="685"/>
    </row>
    <row r="268" spans="1:2">
      <c r="A268" s="684"/>
      <c r="B268" s="685"/>
    </row>
    <row r="269" spans="1:2">
      <c r="A269" s="684"/>
      <c r="B269" s="685"/>
    </row>
    <row r="270" spans="1:2">
      <c r="A270" s="684"/>
      <c r="B270" s="685"/>
    </row>
    <row r="271" spans="1:2">
      <c r="A271" s="684"/>
      <c r="B271" s="685"/>
    </row>
    <row r="272" spans="1:2">
      <c r="A272" s="684"/>
      <c r="B272" s="685"/>
    </row>
    <row r="273" spans="1:2">
      <c r="A273" s="684"/>
      <c r="B273" s="685"/>
    </row>
    <row r="274" spans="1:2">
      <c r="A274" s="684"/>
      <c r="B274" s="685"/>
    </row>
    <row r="275" spans="1:2">
      <c r="A275" s="684"/>
      <c r="B275" s="685"/>
    </row>
    <row r="276" spans="1:2">
      <c r="A276" s="684"/>
      <c r="B276" s="685"/>
    </row>
    <row r="277" spans="1:2">
      <c r="A277" s="684"/>
      <c r="B277" s="685"/>
    </row>
    <row r="278" spans="1:2">
      <c r="A278" s="684"/>
      <c r="B278" s="685"/>
    </row>
    <row r="279" spans="1:2">
      <c r="A279" s="684"/>
      <c r="B279" s="685"/>
    </row>
    <row r="280" spans="1:2">
      <c r="A280" s="684"/>
      <c r="B280" s="685"/>
    </row>
    <row r="281" spans="1:2">
      <c r="A281" s="684"/>
      <c r="B281" s="685"/>
    </row>
    <row r="282" spans="1:2">
      <c r="A282" s="684"/>
      <c r="B282" s="685"/>
    </row>
    <row r="283" spans="1:2">
      <c r="A283" s="684"/>
      <c r="B283" s="685"/>
    </row>
    <row r="284" spans="1:2">
      <c r="A284" s="684"/>
      <c r="B284" s="685"/>
    </row>
    <row r="285" spans="1:2">
      <c r="A285" s="684"/>
      <c r="B285" s="685"/>
    </row>
    <row r="286" spans="1:2">
      <c r="A286" s="684"/>
      <c r="B286" s="685"/>
    </row>
    <row r="287" spans="1:2">
      <c r="A287" s="684"/>
      <c r="B287" s="685"/>
    </row>
    <row r="288" spans="1:2">
      <c r="A288" s="684"/>
      <c r="B288" s="685"/>
    </row>
    <row r="289" spans="1:2">
      <c r="A289" s="684"/>
      <c r="B289" s="685"/>
    </row>
    <row r="290" spans="1:2">
      <c r="A290" s="684"/>
      <c r="B290" s="685"/>
    </row>
    <row r="291" spans="1:2">
      <c r="A291" s="684"/>
      <c r="B291" s="685"/>
    </row>
    <row r="292" spans="1:2">
      <c r="A292" s="684"/>
      <c r="B292" s="685"/>
    </row>
    <row r="293" spans="1:2">
      <c r="A293" s="684"/>
      <c r="B293" s="685"/>
    </row>
    <row r="294" spans="1:2">
      <c r="A294" s="684"/>
      <c r="B294" s="685"/>
    </row>
    <row r="295" spans="1:2">
      <c r="A295" s="684"/>
      <c r="B295" s="685"/>
    </row>
    <row r="296" spans="1:2">
      <c r="A296" s="684"/>
      <c r="B296" s="685"/>
    </row>
    <row r="297" spans="1:2">
      <c r="A297" s="684"/>
      <c r="B297" s="685"/>
    </row>
    <row r="298" spans="1:2">
      <c r="A298" s="684"/>
      <c r="B298" s="685"/>
    </row>
    <row r="299" spans="1:2">
      <c r="A299" s="684"/>
      <c r="B299" s="685"/>
    </row>
    <row r="300" spans="1:2">
      <c r="A300" s="684"/>
      <c r="B300" s="685"/>
    </row>
    <row r="301" spans="1:2">
      <c r="A301" s="684"/>
      <c r="B301" s="685"/>
    </row>
    <row r="302" spans="1:2">
      <c r="A302" s="684"/>
      <c r="B302" s="685"/>
    </row>
    <row r="303" spans="1:2">
      <c r="A303" s="684"/>
      <c r="B303" s="685"/>
    </row>
    <row r="304" spans="1:2">
      <c r="A304" s="684"/>
      <c r="B304" s="685"/>
    </row>
    <row r="305" spans="1:2">
      <c r="A305" s="684"/>
      <c r="B305" s="685"/>
    </row>
    <row r="306" spans="1:2">
      <c r="A306" s="684"/>
      <c r="B306" s="685"/>
    </row>
    <row r="307" spans="1:2">
      <c r="A307" s="684"/>
      <c r="B307" s="685"/>
    </row>
    <row r="308" spans="1:2">
      <c r="A308" s="684"/>
      <c r="B308" s="685"/>
    </row>
    <row r="309" spans="1:2">
      <c r="A309" s="684"/>
      <c r="B309" s="685"/>
    </row>
    <row r="310" spans="1:2">
      <c r="A310" s="684"/>
      <c r="B310" s="685"/>
    </row>
    <row r="311" spans="1:2">
      <c r="A311" s="684"/>
      <c r="B311" s="685"/>
    </row>
    <row r="312" spans="1:2">
      <c r="A312" s="684"/>
      <c r="B312" s="685"/>
    </row>
    <row r="313" spans="1:2">
      <c r="A313" s="684"/>
      <c r="B313" s="685"/>
    </row>
    <row r="314" spans="1:2">
      <c r="A314" s="684"/>
      <c r="B314" s="685"/>
    </row>
    <row r="315" spans="1:2">
      <c r="A315" s="684"/>
      <c r="B315" s="685"/>
    </row>
    <row r="316" spans="1:2">
      <c r="A316" s="684"/>
      <c r="B316" s="685"/>
    </row>
    <row r="317" spans="1:2">
      <c r="A317" s="684"/>
      <c r="B317" s="685"/>
    </row>
    <row r="318" spans="1:2">
      <c r="A318" s="684"/>
      <c r="B318" s="685"/>
    </row>
    <row r="319" spans="1:2">
      <c r="A319" s="684"/>
      <c r="B319" s="685"/>
    </row>
    <row r="320" spans="1:2">
      <c r="A320" s="684"/>
      <c r="B320" s="685"/>
    </row>
    <row r="321" spans="1:2">
      <c r="A321" s="684"/>
      <c r="B321" s="685"/>
    </row>
    <row r="322" spans="1:2">
      <c r="A322" s="684"/>
      <c r="B322" s="685"/>
    </row>
    <row r="323" spans="1:2">
      <c r="A323" s="684"/>
      <c r="B323" s="685"/>
    </row>
    <row r="324" spans="1:2">
      <c r="A324" s="684"/>
      <c r="B324" s="685"/>
    </row>
    <row r="325" spans="1:2">
      <c r="A325" s="684"/>
      <c r="B325" s="685"/>
    </row>
    <row r="326" spans="1:2">
      <c r="A326" s="684"/>
      <c r="B326" s="685"/>
    </row>
    <row r="327" spans="1:2">
      <c r="A327" s="684"/>
      <c r="B327" s="685"/>
    </row>
    <row r="328" spans="1:2">
      <c r="A328" s="684"/>
      <c r="B328" s="685"/>
    </row>
    <row r="329" spans="1:2">
      <c r="A329" s="684"/>
      <c r="B329" s="685"/>
    </row>
    <row r="330" spans="1:2">
      <c r="A330" s="684"/>
      <c r="B330" s="685"/>
    </row>
    <row r="331" spans="1:2">
      <c r="A331" s="684"/>
      <c r="B331" s="685"/>
    </row>
    <row r="332" spans="1:2">
      <c r="A332" s="684"/>
      <c r="B332" s="685"/>
    </row>
    <row r="333" spans="1:2">
      <c r="A333" s="684"/>
      <c r="B333" s="685"/>
    </row>
    <row r="334" spans="1:2">
      <c r="A334" s="684"/>
      <c r="B334" s="685"/>
    </row>
    <row r="335" spans="1:2">
      <c r="A335" s="684"/>
      <c r="B335" s="685"/>
    </row>
    <row r="336" spans="1:2">
      <c r="A336" s="684"/>
      <c r="B336" s="685"/>
    </row>
    <row r="337" spans="1:2">
      <c r="A337" s="684"/>
      <c r="B337" s="685"/>
    </row>
    <row r="338" spans="1:2">
      <c r="A338" s="684"/>
      <c r="B338" s="685"/>
    </row>
    <row r="339" spans="1:2">
      <c r="A339" s="684"/>
      <c r="B339" s="685"/>
    </row>
    <row r="340" spans="1:2">
      <c r="A340" s="684"/>
      <c r="B340" s="685"/>
    </row>
    <row r="341" spans="1:2">
      <c r="A341" s="684"/>
      <c r="B341" s="685"/>
    </row>
    <row r="342" spans="1:2">
      <c r="A342" s="684"/>
      <c r="B342" s="685"/>
    </row>
    <row r="343" spans="1:2">
      <c r="A343" s="684"/>
      <c r="B343" s="685"/>
    </row>
    <row r="344" spans="1:2">
      <c r="A344" s="684"/>
      <c r="B344" s="685"/>
    </row>
    <row r="345" spans="1:2">
      <c r="A345" s="684"/>
      <c r="B345" s="685"/>
    </row>
  </sheetData>
  <mergeCells count="87">
    <mergeCell ref="B1:B4"/>
    <mergeCell ref="A7:B7"/>
    <mergeCell ref="A30:B33"/>
    <mergeCell ref="A34:B37"/>
    <mergeCell ref="A38:B41"/>
    <mergeCell ref="A42:B45"/>
    <mergeCell ref="A46:B49"/>
    <mergeCell ref="A50:B53"/>
    <mergeCell ref="A54:B57"/>
    <mergeCell ref="A58:B61"/>
    <mergeCell ref="A62:B65"/>
    <mergeCell ref="A66:B69"/>
    <mergeCell ref="A70:B73"/>
    <mergeCell ref="A74:B77"/>
    <mergeCell ref="A78:B81"/>
    <mergeCell ref="A82:B85"/>
    <mergeCell ref="A86:B89"/>
    <mergeCell ref="A90:B93"/>
    <mergeCell ref="A94:B97"/>
    <mergeCell ref="A98:B101"/>
    <mergeCell ref="A102:B105"/>
    <mergeCell ref="A106:B109"/>
    <mergeCell ref="A110:B113"/>
    <mergeCell ref="A114:B117"/>
    <mergeCell ref="A118:B121"/>
    <mergeCell ref="A122:B125"/>
    <mergeCell ref="A126:B129"/>
    <mergeCell ref="A130:B133"/>
    <mergeCell ref="A134:B137"/>
    <mergeCell ref="A138:B141"/>
    <mergeCell ref="A142:B145"/>
    <mergeCell ref="A146:B149"/>
    <mergeCell ref="A150:B153"/>
    <mergeCell ref="A154:B157"/>
    <mergeCell ref="A158:B161"/>
    <mergeCell ref="A162:B165"/>
    <mergeCell ref="A166:B169"/>
    <mergeCell ref="A170:B173"/>
    <mergeCell ref="A174:B177"/>
    <mergeCell ref="A178:B181"/>
    <mergeCell ref="A182:B185"/>
    <mergeCell ref="A186:B189"/>
    <mergeCell ref="A190:B193"/>
    <mergeCell ref="A194:B197"/>
    <mergeCell ref="A198:B201"/>
    <mergeCell ref="A202:B205"/>
    <mergeCell ref="A206:B209"/>
    <mergeCell ref="A210:B213"/>
    <mergeCell ref="A214:B217"/>
    <mergeCell ref="A218:B221"/>
    <mergeCell ref="A222:B225"/>
    <mergeCell ref="A226:B229"/>
    <mergeCell ref="A230:B233"/>
    <mergeCell ref="A234:B237"/>
    <mergeCell ref="A238:B241"/>
    <mergeCell ref="A242:B245"/>
    <mergeCell ref="A246:B249"/>
    <mergeCell ref="A274:B277"/>
    <mergeCell ref="A278:B281"/>
    <mergeCell ref="A282:B285"/>
    <mergeCell ref="A286:B289"/>
    <mergeCell ref="A250:B253"/>
    <mergeCell ref="A254:B257"/>
    <mergeCell ref="A258:B261"/>
    <mergeCell ref="A262:B265"/>
    <mergeCell ref="A266:B269"/>
    <mergeCell ref="A330:B333"/>
    <mergeCell ref="A334:B337"/>
    <mergeCell ref="A338:B341"/>
    <mergeCell ref="A342:B345"/>
    <mergeCell ref="C1:T5"/>
    <mergeCell ref="A310:B313"/>
    <mergeCell ref="A314:B317"/>
    <mergeCell ref="A318:B321"/>
    <mergeCell ref="A322:B325"/>
    <mergeCell ref="A326:B329"/>
    <mergeCell ref="A290:B293"/>
    <mergeCell ref="A294:B297"/>
    <mergeCell ref="A298:B301"/>
    <mergeCell ref="A302:B305"/>
    <mergeCell ref="A306:B309"/>
    <mergeCell ref="A270:B273"/>
    <mergeCell ref="D8:D9"/>
    <mergeCell ref="E8:G8"/>
    <mergeCell ref="H8:J8"/>
    <mergeCell ref="L9:M9"/>
    <mergeCell ref="L14:M14"/>
  </mergeCells>
  <hyperlinks>
    <hyperlink ref="A7:B7" location="'Home'!A1" display="Home" xr:uid="{20EA2700-8111-4A1C-A2E0-F508DFFBE134}"/>
  </hyperlinks>
  <pageMargins left="0.7" right="0.7" top="0.75" bottom="0.75" header="0.3" footer="0.3"/>
  <pageSetup orientation="portrait" horizontalDpi="300" verticalDpi="300" r:id="rId4"/>
  <drawing r:id="rId5"/>
  <tableParts count="2">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36061-A564-4D47-B7EB-9FBB6DDCCC90}">
  <sheetPr codeName="Sheet14">
    <tabColor theme="9" tint="0.39997558519241921"/>
  </sheetPr>
  <dimension ref="A1:AN345"/>
  <sheetViews>
    <sheetView showGridLines="0" topLeftCell="D1" zoomScale="70" zoomScaleNormal="70" workbookViewId="0">
      <selection activeCell="E8" sqref="E8"/>
    </sheetView>
  </sheetViews>
  <sheetFormatPr defaultRowHeight="14.5"/>
  <cols>
    <col min="1" max="1" width="15" customWidth="1"/>
    <col min="2" max="2" width="17.453125" style="390" customWidth="1"/>
    <col min="3" max="3" width="14.26953125" style="23" customWidth="1"/>
    <col min="4" max="4" width="30.54296875" bestFit="1" customWidth="1"/>
    <col min="5" max="6" width="31" bestFit="1" customWidth="1"/>
    <col min="7" max="7" width="10.7265625" customWidth="1"/>
    <col min="8" max="8" width="11.7265625" bestFit="1" customWidth="1"/>
    <col min="9" max="9" width="21.81640625" customWidth="1"/>
    <col min="10" max="10" width="19.26953125" bestFit="1" customWidth="1"/>
    <col min="11" max="11" width="32.81640625" customWidth="1"/>
    <col min="12" max="12" width="26.7265625" bestFit="1" customWidth="1"/>
    <col min="13" max="13" width="11.7265625" bestFit="1" customWidth="1"/>
    <col min="14" max="14" width="32.26953125" bestFit="1" customWidth="1"/>
    <col min="15" max="15" width="31.81640625" bestFit="1" customWidth="1"/>
    <col min="16" max="16" width="32.7265625" bestFit="1" customWidth="1"/>
    <col min="17" max="17" width="26.26953125" bestFit="1" customWidth="1"/>
    <col min="18" max="18" width="14.1796875" style="450" bestFit="1" customWidth="1"/>
    <col min="19" max="40" width="15.7265625" customWidth="1"/>
  </cols>
  <sheetData>
    <row r="1" spans="1:40" ht="14.5" customHeight="1">
      <c r="A1" s="138"/>
      <c r="B1" s="688" t="s">
        <v>152</v>
      </c>
      <c r="C1" s="695" t="s">
        <v>229</v>
      </c>
      <c r="D1" s="687"/>
      <c r="E1" s="687"/>
      <c r="F1" s="687"/>
      <c r="G1" s="687"/>
      <c r="H1" s="687"/>
      <c r="I1" s="687"/>
      <c r="J1" s="687"/>
      <c r="K1" s="687"/>
      <c r="L1" s="687"/>
      <c r="M1" s="687"/>
      <c r="N1" s="687"/>
      <c r="O1" s="687"/>
      <c r="P1" s="687"/>
      <c r="Q1" s="444"/>
      <c r="R1" s="449"/>
      <c r="S1" s="444"/>
      <c r="T1" s="444"/>
    </row>
    <row r="2" spans="1:40" ht="14.5" customHeight="1">
      <c r="A2" s="139"/>
      <c r="B2" s="689"/>
      <c r="C2" s="695"/>
      <c r="D2" s="687"/>
      <c r="E2" s="687"/>
      <c r="F2" s="687"/>
      <c r="G2" s="687"/>
      <c r="H2" s="687"/>
      <c r="I2" s="687"/>
      <c r="J2" s="687"/>
      <c r="K2" s="687"/>
      <c r="L2" s="687"/>
      <c r="M2" s="687"/>
      <c r="N2" s="687"/>
      <c r="O2" s="687"/>
      <c r="P2" s="687"/>
      <c r="Q2" s="444"/>
      <c r="R2" s="449"/>
      <c r="S2" s="444"/>
      <c r="T2" s="444"/>
    </row>
    <row r="3" spans="1:40" ht="14.5" customHeight="1">
      <c r="A3" s="139"/>
      <c r="B3" s="689"/>
      <c r="C3" s="695"/>
      <c r="D3" s="687"/>
      <c r="E3" s="687"/>
      <c r="F3" s="687"/>
      <c r="G3" s="687"/>
      <c r="H3" s="687"/>
      <c r="I3" s="687"/>
      <c r="J3" s="687"/>
      <c r="K3" s="687"/>
      <c r="L3" s="687"/>
      <c r="M3" s="687"/>
      <c r="N3" s="687"/>
      <c r="O3" s="687"/>
      <c r="P3" s="687"/>
      <c r="Q3" s="444"/>
      <c r="R3" s="449"/>
      <c r="S3" s="444"/>
      <c r="T3" s="444"/>
    </row>
    <row r="4" spans="1:40" ht="14.5" customHeight="1">
      <c r="A4" s="139"/>
      <c r="B4" s="689"/>
      <c r="C4" s="695"/>
      <c r="D4" s="687"/>
      <c r="E4" s="687"/>
      <c r="F4" s="687"/>
      <c r="G4" s="687"/>
      <c r="H4" s="687"/>
      <c r="I4" s="687"/>
      <c r="J4" s="687"/>
      <c r="K4" s="687"/>
      <c r="L4" s="687"/>
      <c r="M4" s="687"/>
      <c r="N4" s="687"/>
      <c r="O4" s="687"/>
      <c r="P4" s="687"/>
      <c r="Q4" s="444"/>
      <c r="R4" s="449"/>
      <c r="S4" s="444"/>
      <c r="T4" s="444"/>
    </row>
    <row r="5" spans="1:40" ht="14.5" customHeight="1">
      <c r="A5" s="139"/>
      <c r="B5" s="389"/>
      <c r="C5" s="695"/>
      <c r="D5" s="687"/>
      <c r="E5" s="687"/>
      <c r="F5" s="687"/>
      <c r="G5" s="687"/>
      <c r="H5" s="687"/>
      <c r="I5" s="687"/>
      <c r="J5" s="687"/>
      <c r="K5" s="687"/>
      <c r="L5" s="687"/>
      <c r="M5" s="687"/>
      <c r="N5" s="687"/>
      <c r="O5" s="687"/>
      <c r="P5" s="687"/>
      <c r="Q5" s="444"/>
      <c r="R5" s="449"/>
      <c r="S5" s="444"/>
      <c r="T5" s="444"/>
    </row>
    <row r="6" spans="1:40">
      <c r="A6" s="139"/>
      <c r="B6" s="389"/>
    </row>
    <row r="7" spans="1:40" ht="18.5">
      <c r="A7" s="690" t="s">
        <v>38</v>
      </c>
      <c r="B7" s="691"/>
    </row>
    <row r="8" spans="1:40">
      <c r="A8" s="139"/>
      <c r="B8" s="389"/>
    </row>
    <row r="9" spans="1:40" ht="16.149999999999999" customHeight="1">
      <c r="A9" s="139"/>
      <c r="B9" s="389"/>
      <c r="C9" s="35"/>
      <c r="D9" s="432" t="s">
        <v>183</v>
      </c>
      <c r="E9" s="434" t="s">
        <v>191</v>
      </c>
      <c r="F9" s="435"/>
      <c r="G9" s="436"/>
      <c r="H9" s="434" t="s">
        <v>192</v>
      </c>
      <c r="I9" s="435"/>
      <c r="J9" s="437"/>
      <c r="Z9" s="692" t="s">
        <v>271</v>
      </c>
      <c r="AA9" s="692"/>
      <c r="AB9" s="692"/>
      <c r="AC9" s="692"/>
      <c r="AD9" s="692"/>
      <c r="AE9" s="693" t="s">
        <v>272</v>
      </c>
      <c r="AF9" s="693"/>
      <c r="AG9" s="693"/>
      <c r="AH9" s="693"/>
      <c r="AI9" s="693"/>
      <c r="AJ9" s="694" t="s">
        <v>271</v>
      </c>
      <c r="AK9" s="694"/>
      <c r="AL9" s="694"/>
      <c r="AM9" s="694"/>
      <c r="AN9" s="694"/>
    </row>
    <row r="10" spans="1:40" ht="47.5" customHeight="1">
      <c r="A10" s="139"/>
      <c r="B10" s="389"/>
      <c r="C10" s="35"/>
      <c r="D10" s="433"/>
      <c r="E10" s="235" t="s">
        <v>184</v>
      </c>
      <c r="F10" s="235" t="s">
        <v>185</v>
      </c>
      <c r="G10" s="235" t="s">
        <v>186</v>
      </c>
      <c r="H10" s="235" t="s">
        <v>187</v>
      </c>
      <c r="I10" s="235" t="s">
        <v>188</v>
      </c>
      <c r="J10" s="236" t="s">
        <v>189</v>
      </c>
      <c r="L10" s="438" t="s">
        <v>230</v>
      </c>
      <c r="M10" s="439"/>
      <c r="S10" s="443" t="s">
        <v>219</v>
      </c>
      <c r="T10" s="443" t="s">
        <v>231</v>
      </c>
      <c r="U10" s="443" t="s">
        <v>219</v>
      </c>
      <c r="V10" s="443" t="s">
        <v>27</v>
      </c>
      <c r="W10" s="443" t="s">
        <v>28</v>
      </c>
      <c r="X10" s="443" t="s">
        <v>233</v>
      </c>
      <c r="Y10" s="443" t="s">
        <v>234</v>
      </c>
      <c r="Z10" s="443" t="s">
        <v>273</v>
      </c>
      <c r="AA10" s="443" t="s">
        <v>274</v>
      </c>
      <c r="AB10" s="443" t="s">
        <v>275</v>
      </c>
      <c r="AC10" s="443" t="s">
        <v>276</v>
      </c>
      <c r="AD10" s="443" t="s">
        <v>277</v>
      </c>
      <c r="AE10" s="443" t="s">
        <v>278</v>
      </c>
      <c r="AF10" s="443" t="s">
        <v>279</v>
      </c>
      <c r="AG10" s="443" t="s">
        <v>280</v>
      </c>
      <c r="AH10" s="443" t="s">
        <v>281</v>
      </c>
      <c r="AI10" s="443" t="s">
        <v>282</v>
      </c>
      <c r="AJ10" s="443" t="s">
        <v>283</v>
      </c>
      <c r="AK10" s="443" t="s">
        <v>284</v>
      </c>
      <c r="AL10" s="443" t="s">
        <v>285</v>
      </c>
      <c r="AM10" s="443" t="s">
        <v>286</v>
      </c>
      <c r="AN10" s="443" t="s">
        <v>287</v>
      </c>
    </row>
    <row r="11" spans="1:40" ht="16" thickBot="1">
      <c r="A11" s="139"/>
      <c r="B11" s="389"/>
      <c r="C11" s="250">
        <v>0</v>
      </c>
      <c r="D11" s="243" t="s">
        <v>196</v>
      </c>
      <c r="E11" s="244" t="s">
        <v>197</v>
      </c>
      <c r="F11" s="244" t="s">
        <v>198</v>
      </c>
      <c r="G11" s="244" t="s">
        <v>199</v>
      </c>
      <c r="H11" s="244" t="s">
        <v>200</v>
      </c>
      <c r="I11" s="244" t="s">
        <v>201</v>
      </c>
      <c r="J11" s="245" t="s">
        <v>202</v>
      </c>
      <c r="L11" s="251" t="s">
        <v>288</v>
      </c>
      <c r="M11" s="252">
        <v>3.5000000000000003E-2</v>
      </c>
      <c r="S11" s="23">
        <v>27395</v>
      </c>
      <c r="V11" s="445"/>
      <c r="W11" s="445">
        <v>0</v>
      </c>
      <c r="X11">
        <v>0</v>
      </c>
      <c r="Y11">
        <v>0</v>
      </c>
      <c r="Z11" s="441"/>
      <c r="AA11" s="446">
        <v>0</v>
      </c>
      <c r="AB11" s="441">
        <v>0</v>
      </c>
      <c r="AC11" s="441"/>
      <c r="AD11" s="441"/>
      <c r="AE11" s="441">
        <v>0</v>
      </c>
      <c r="AF11" s="447"/>
      <c r="AG11" s="441">
        <v>0</v>
      </c>
      <c r="AH11" s="441"/>
      <c r="AI11" s="441"/>
      <c r="AJ11" s="441">
        <v>0</v>
      </c>
      <c r="AK11" s="448">
        <v>0</v>
      </c>
      <c r="AL11" s="441">
        <v>0</v>
      </c>
      <c r="AM11" s="441"/>
    </row>
    <row r="12" spans="1:40" ht="16" thickBot="1">
      <c r="A12" s="139"/>
      <c r="B12" s="389"/>
      <c r="C12" s="250">
        <v>36</v>
      </c>
      <c r="D12" s="237" t="s">
        <v>203</v>
      </c>
      <c r="E12" s="238">
        <v>0.17</v>
      </c>
      <c r="F12" s="238">
        <v>0.2</v>
      </c>
      <c r="G12" s="238">
        <v>0.37</v>
      </c>
      <c r="H12" s="238">
        <v>0.21</v>
      </c>
      <c r="I12" s="238">
        <v>7.0000000000000007E-2</v>
      </c>
      <c r="J12" s="239">
        <v>0.09</v>
      </c>
      <c r="L12" s="248" t="s">
        <v>280</v>
      </c>
      <c r="M12" s="249">
        <v>0.05</v>
      </c>
      <c r="T12">
        <f t="shared" ref="T12:T42" si="0">DATEDIF($S$11,V12,"y")</f>
        <v>44</v>
      </c>
      <c r="U12">
        <v>2019</v>
      </c>
      <c r="V12" s="451">
        <v>43709</v>
      </c>
      <c r="W12" s="445">
        <v>1900</v>
      </c>
      <c r="X12">
        <f>_xlfn.XLOOKUP(IF(T12 = "", "", VLOOKUP(T12,Age_Check,2)),Age_Grp,EmployerContribution)*W12</f>
        <v>323</v>
      </c>
      <c r="Y12">
        <f t="shared" ref="Y12" si="1">_xlfn.XLOOKUP(IF(T12 = "", "", VLOOKUP(T12,Age_Check,2)),Age_Grp,EmployeeContribution)*W12</f>
        <v>380</v>
      </c>
      <c r="Z12" s="441">
        <f t="shared" ref="Z12:Z42" si="2">_xlfn.XLOOKUP(IF(T12 = "", "", VLOOKUP(T12,Age_Check,2)),Age_Grp,OA_Cut)*W12</f>
        <v>399</v>
      </c>
      <c r="AA12" s="446">
        <v>0</v>
      </c>
      <c r="AB12" s="441">
        <f t="shared" ref="AB12:AB42" si="3">AC11*(1+_xlfn.XLOOKUP($AB$10,Acc_Type,Acc_Int)/12)-AC11</f>
        <v>0</v>
      </c>
      <c r="AC12" s="441">
        <f t="shared" ref="AC12:AC42" si="4">AC11+Z12-AA12+AB12</f>
        <v>399</v>
      </c>
      <c r="AD12" s="441">
        <f>AB12+AD11</f>
        <v>0</v>
      </c>
      <c r="AE12" s="441">
        <f t="shared" ref="AE12:AE42" si="5">_xlfn.XLOOKUP(IF(T12 = "", "", VLOOKUP(T12,Age_Check,2)),Age_Grp,SA_Cut)*W12</f>
        <v>133</v>
      </c>
      <c r="AF12" s="447">
        <v>100</v>
      </c>
      <c r="AG12" s="441">
        <f t="shared" ref="AG12:AG42" si="6">AH11*(1+_xlfn.XLOOKUP($AG$10,Acc_Type,Acc_Int)/12)-AH11</f>
        <v>0</v>
      </c>
      <c r="AH12" s="441">
        <f>AE12+AG12+AH11-AF12</f>
        <v>33</v>
      </c>
      <c r="AI12" s="441">
        <f>AI11+AG12</f>
        <v>0</v>
      </c>
      <c r="AJ12" s="441">
        <f t="shared" ref="AJ12:AJ42" si="7">_xlfn.XLOOKUP(IF(T12 = "", "", VLOOKUP(T12,Age_Check,2)),Age_Grp,MS_Cut)*W12</f>
        <v>171</v>
      </c>
      <c r="AK12" s="448">
        <v>0</v>
      </c>
      <c r="AL12" s="441">
        <f t="shared" ref="AL12:AL42" si="8">AM11*(1+_xlfn.XLOOKUP($AB$10,Acc_Type,Acc_Int)/12)-AM11</f>
        <v>0</v>
      </c>
      <c r="AM12" s="441">
        <f>AM11+AL12+AJ12-AK12</f>
        <v>171</v>
      </c>
      <c r="AN12" s="441">
        <f>AN11+AL12</f>
        <v>0</v>
      </c>
    </row>
    <row r="13" spans="1:40" ht="16" thickBot="1">
      <c r="A13" s="139"/>
      <c r="B13" s="389"/>
      <c r="C13" s="250">
        <v>46</v>
      </c>
      <c r="D13" s="237" t="s">
        <v>204</v>
      </c>
      <c r="E13" s="238">
        <v>0.17</v>
      </c>
      <c r="F13" s="238">
        <v>0.2</v>
      </c>
      <c r="G13" s="238">
        <v>0.37</v>
      </c>
      <c r="H13" s="238">
        <v>0.19</v>
      </c>
      <c r="I13" s="238">
        <v>0.08</v>
      </c>
      <c r="J13" s="239">
        <v>0.1</v>
      </c>
      <c r="L13" s="248" t="s">
        <v>289</v>
      </c>
      <c r="M13" s="249">
        <v>0.05</v>
      </c>
      <c r="T13">
        <f t="shared" si="0"/>
        <v>44</v>
      </c>
      <c r="U13">
        <v>2019</v>
      </c>
      <c r="V13" s="451">
        <v>43739</v>
      </c>
      <c r="W13" s="445">
        <v>1900</v>
      </c>
      <c r="X13">
        <f t="shared" ref="X13" si="9">_xlfn.XLOOKUP(IF(T13 = "", "", VLOOKUP(T13,Age_Check,2)),Age_Grp,EmployerContribution)*W13</f>
        <v>323</v>
      </c>
      <c r="Y13">
        <f t="shared" ref="Y13" si="10">_xlfn.XLOOKUP(IF(T13 = "", "", VLOOKUP(T13,Age_Check,2)),Age_Grp,EmployeeContribution)*W13</f>
        <v>380</v>
      </c>
      <c r="Z13" s="441">
        <f t="shared" si="2"/>
        <v>399</v>
      </c>
      <c r="AA13" s="446">
        <v>0</v>
      </c>
      <c r="AB13" s="441">
        <f>AC12*(1+_xlfn.XLOOKUP($AB$10,Acc_Type,Acc_Int)/12)-AC12</f>
        <v>1.1637499999999932</v>
      </c>
      <c r="AC13" s="441">
        <f t="shared" si="4"/>
        <v>799.16374999999994</v>
      </c>
      <c r="AD13" s="441">
        <f t="shared" ref="AD13:AD42" si="11">AB13+AD12</f>
        <v>1.1637499999999932</v>
      </c>
      <c r="AE13" s="441">
        <f t="shared" si="5"/>
        <v>133</v>
      </c>
      <c r="AF13" s="447">
        <v>100</v>
      </c>
      <c r="AG13" s="441">
        <f t="shared" si="6"/>
        <v>0.13750000000000284</v>
      </c>
      <c r="AH13" s="441">
        <f t="shared" ref="AH13:AH42" si="12">AE13+AG13+AH12-AF13</f>
        <v>66.137499999999989</v>
      </c>
      <c r="AI13" s="441">
        <f t="shared" ref="AI13:AI42" si="13">AI12+AG13</f>
        <v>0.13750000000000284</v>
      </c>
      <c r="AJ13" s="441">
        <f t="shared" si="7"/>
        <v>171</v>
      </c>
      <c r="AK13" s="448">
        <v>0</v>
      </c>
      <c r="AL13" s="441">
        <f t="shared" si="8"/>
        <v>0.49875000000000114</v>
      </c>
      <c r="AM13" s="441">
        <f t="shared" ref="AM13:AM42" si="14">AM12+AL13+AJ13-AK13</f>
        <v>342.49874999999997</v>
      </c>
      <c r="AN13" s="441">
        <f t="shared" ref="AN13:AN42" si="15">AN12+AL13</f>
        <v>0.49875000000000114</v>
      </c>
    </row>
    <row r="14" spans="1:40" ht="15.5">
      <c r="A14" s="139"/>
      <c r="B14" s="389"/>
      <c r="C14" s="250">
        <v>51</v>
      </c>
      <c r="D14" s="237" t="s">
        <v>205</v>
      </c>
      <c r="E14" s="238">
        <v>0.17</v>
      </c>
      <c r="F14" s="238">
        <v>0.2</v>
      </c>
      <c r="G14" s="238">
        <v>0.37</v>
      </c>
      <c r="H14" s="238">
        <v>0.15</v>
      </c>
      <c r="I14" s="238">
        <v>0.115</v>
      </c>
      <c r="J14" s="239">
        <v>0.105</v>
      </c>
      <c r="L14" s="35"/>
      <c r="M14" s="35"/>
      <c r="T14">
        <f t="shared" si="0"/>
        <v>44</v>
      </c>
      <c r="U14">
        <v>2019</v>
      </c>
      <c r="V14" s="451">
        <v>43770</v>
      </c>
      <c r="W14" s="445">
        <v>1900</v>
      </c>
      <c r="X14">
        <f t="shared" ref="X14" si="16">_xlfn.XLOOKUP(IF(T14 = "", "", VLOOKUP(T14,Age_Check,2)),Age_Grp,EmployerContribution)*W14</f>
        <v>323</v>
      </c>
      <c r="Y14">
        <f t="shared" ref="Y14" si="17">_xlfn.XLOOKUP(IF(T14 = "", "", VLOOKUP(T14,Age_Check,2)),Age_Grp,EmployeeContribution)*W14</f>
        <v>380</v>
      </c>
      <c r="Z14" s="441">
        <f t="shared" si="2"/>
        <v>399</v>
      </c>
      <c r="AA14" s="446">
        <v>0</v>
      </c>
      <c r="AB14" s="441">
        <f t="shared" si="3"/>
        <v>2.3308942708333689</v>
      </c>
      <c r="AC14" s="441">
        <f t="shared" si="4"/>
        <v>1200.4946442708333</v>
      </c>
      <c r="AD14" s="441">
        <f t="shared" si="11"/>
        <v>3.494644270833362</v>
      </c>
      <c r="AE14" s="441">
        <f t="shared" si="5"/>
        <v>133</v>
      </c>
      <c r="AF14" s="447">
        <v>100</v>
      </c>
      <c r="AG14" s="441">
        <f t="shared" si="6"/>
        <v>0.27557291666666117</v>
      </c>
      <c r="AH14" s="441">
        <f t="shared" si="12"/>
        <v>99.413072916666636</v>
      </c>
      <c r="AI14" s="441">
        <f t="shared" si="13"/>
        <v>0.41307291666666401</v>
      </c>
      <c r="AJ14" s="441">
        <f t="shared" si="7"/>
        <v>171</v>
      </c>
      <c r="AK14" s="448">
        <v>0</v>
      </c>
      <c r="AL14" s="441">
        <f t="shared" si="8"/>
        <v>0.99895468750003147</v>
      </c>
      <c r="AM14" s="441">
        <f t="shared" si="14"/>
        <v>514.4977046875</v>
      </c>
      <c r="AN14" s="441">
        <f t="shared" si="15"/>
        <v>1.4977046875000326</v>
      </c>
    </row>
    <row r="15" spans="1:40" ht="15.5">
      <c r="A15" s="139"/>
      <c r="B15" s="389"/>
      <c r="C15" s="250">
        <v>56</v>
      </c>
      <c r="D15" s="237" t="s">
        <v>206</v>
      </c>
      <c r="E15" s="238">
        <v>0.13</v>
      </c>
      <c r="F15" s="238">
        <v>0.13</v>
      </c>
      <c r="G15" s="238">
        <v>0.26</v>
      </c>
      <c r="H15" s="238">
        <v>0.12</v>
      </c>
      <c r="I15" s="238">
        <v>3.5000000000000003E-2</v>
      </c>
      <c r="J15" s="239">
        <v>0.105</v>
      </c>
      <c r="L15" s="440" t="s">
        <v>28</v>
      </c>
      <c r="M15" s="440"/>
      <c r="T15">
        <f t="shared" si="0"/>
        <v>44</v>
      </c>
      <c r="U15">
        <v>2019</v>
      </c>
      <c r="V15" s="451">
        <v>43800</v>
      </c>
      <c r="W15" s="445">
        <v>1900</v>
      </c>
      <c r="X15">
        <f t="shared" ref="X15" si="18">_xlfn.XLOOKUP(IF(T15 = "", "", VLOOKUP(T15,Age_Check,2)),Age_Grp,EmployerContribution)*W15</f>
        <v>323</v>
      </c>
      <c r="Y15">
        <f t="shared" ref="Y15" si="19">_xlfn.XLOOKUP(IF(T15 = "", "", VLOOKUP(T15,Age_Check,2)),Age_Grp,EmployeeContribution)*W15</f>
        <v>380</v>
      </c>
      <c r="Z15" s="441">
        <f t="shared" si="2"/>
        <v>399</v>
      </c>
      <c r="AA15" s="446"/>
      <c r="AB15" s="441">
        <f t="shared" si="3"/>
        <v>3.5014427124565373</v>
      </c>
      <c r="AC15" s="441">
        <f t="shared" si="4"/>
        <v>1602.9960869832898</v>
      </c>
      <c r="AD15" s="441">
        <f t="shared" si="11"/>
        <v>6.9960869832898993</v>
      </c>
      <c r="AE15" s="441">
        <f t="shared" si="5"/>
        <v>133</v>
      </c>
      <c r="AF15" s="447">
        <v>100</v>
      </c>
      <c r="AG15" s="441">
        <f t="shared" si="6"/>
        <v>0.41422113715277931</v>
      </c>
      <c r="AH15" s="441">
        <f t="shared" si="12"/>
        <v>132.8272940538194</v>
      </c>
      <c r="AI15" s="441">
        <f t="shared" si="13"/>
        <v>0.82729405381944332</v>
      </c>
      <c r="AJ15" s="441">
        <f t="shared" si="7"/>
        <v>171</v>
      </c>
      <c r="AK15" s="448">
        <v>0</v>
      </c>
      <c r="AL15" s="441">
        <f t="shared" si="8"/>
        <v>1.5006183053385485</v>
      </c>
      <c r="AM15" s="441">
        <f t="shared" si="14"/>
        <v>686.99832299283855</v>
      </c>
      <c r="AN15" s="441">
        <f t="shared" si="15"/>
        <v>2.9983229928385811</v>
      </c>
    </row>
    <row r="16" spans="1:40" ht="15.5">
      <c r="A16" s="139"/>
      <c r="B16" s="389"/>
      <c r="C16" s="250">
        <v>61</v>
      </c>
      <c r="D16" s="237" t="s">
        <v>207</v>
      </c>
      <c r="E16" s="238">
        <v>0.09</v>
      </c>
      <c r="F16" s="238">
        <v>7.4999999999999997E-2</v>
      </c>
      <c r="G16" s="238">
        <v>0.16500000000000001</v>
      </c>
      <c r="H16" s="238">
        <v>3.5000000000000003E-2</v>
      </c>
      <c r="I16" s="238">
        <v>2.5000000000000001E-2</v>
      </c>
      <c r="J16" s="239">
        <v>0.105</v>
      </c>
      <c r="L16" s="313" t="s">
        <v>242</v>
      </c>
      <c r="M16" s="312"/>
      <c r="N16" t="s">
        <v>290</v>
      </c>
      <c r="T16">
        <f t="shared" si="0"/>
        <v>45</v>
      </c>
      <c r="U16">
        <v>2020</v>
      </c>
      <c r="V16" s="451">
        <v>43831</v>
      </c>
      <c r="W16" s="445">
        <v>1900</v>
      </c>
      <c r="X16">
        <f t="shared" ref="X16" si="20">_xlfn.XLOOKUP(IF(T16 = "", "", VLOOKUP(T16,Age_Check,2)),Age_Grp,EmployerContribution)*W16</f>
        <v>323</v>
      </c>
      <c r="Y16">
        <f t="shared" ref="Y16" si="21">_xlfn.XLOOKUP(IF(T16 = "", "", VLOOKUP(T16,Age_Check,2)),Age_Grp,EmployeeContribution)*W16</f>
        <v>380</v>
      </c>
      <c r="Z16" s="441">
        <f t="shared" si="2"/>
        <v>399</v>
      </c>
      <c r="AA16" s="446"/>
      <c r="AB16" s="441">
        <f t="shared" si="3"/>
        <v>4.6754052537012285</v>
      </c>
      <c r="AC16" s="441">
        <f t="shared" si="4"/>
        <v>2006.6714922369911</v>
      </c>
      <c r="AD16" s="441">
        <f t="shared" si="11"/>
        <v>11.671492236991128</v>
      </c>
      <c r="AE16" s="441">
        <f t="shared" si="5"/>
        <v>133</v>
      </c>
      <c r="AF16" s="447">
        <v>0</v>
      </c>
      <c r="AG16" s="441">
        <f t="shared" si="6"/>
        <v>0.55344705855756615</v>
      </c>
      <c r="AH16" s="441">
        <f t="shared" si="12"/>
        <v>266.380741112377</v>
      </c>
      <c r="AI16" s="441">
        <f t="shared" si="13"/>
        <v>1.3807411123770095</v>
      </c>
      <c r="AJ16" s="441">
        <f t="shared" si="7"/>
        <v>171</v>
      </c>
      <c r="AK16" s="448">
        <v>0</v>
      </c>
      <c r="AL16" s="441">
        <f t="shared" si="8"/>
        <v>2.0037451087291629</v>
      </c>
      <c r="AM16" s="441">
        <f t="shared" si="14"/>
        <v>860.00206810156772</v>
      </c>
      <c r="AN16" s="441">
        <f t="shared" si="15"/>
        <v>5.002068101567744</v>
      </c>
    </row>
    <row r="17" spans="1:40" ht="16" thickBot="1">
      <c r="A17" s="139"/>
      <c r="B17" s="389"/>
      <c r="C17" s="250">
        <v>66</v>
      </c>
      <c r="D17" s="240" t="s">
        <v>208</v>
      </c>
      <c r="E17" s="241">
        <v>7.4999999999999997E-2</v>
      </c>
      <c r="F17" s="241">
        <v>0.05</v>
      </c>
      <c r="G17" s="241">
        <v>0.125</v>
      </c>
      <c r="H17" s="241">
        <v>0.01</v>
      </c>
      <c r="I17" s="241">
        <v>0.01</v>
      </c>
      <c r="J17" s="242">
        <v>0.105</v>
      </c>
      <c r="L17" s="313" t="s">
        <v>243</v>
      </c>
      <c r="M17" s="312"/>
      <c r="N17" t="s">
        <v>291</v>
      </c>
      <c r="T17">
        <f t="shared" si="0"/>
        <v>45</v>
      </c>
      <c r="U17">
        <v>2020</v>
      </c>
      <c r="V17" s="451">
        <v>43862</v>
      </c>
      <c r="W17" s="445">
        <v>1900</v>
      </c>
      <c r="X17">
        <f t="shared" ref="X17" si="22">_xlfn.XLOOKUP(IF(T17 = "", "", VLOOKUP(T17,Age_Check,2)),Age_Grp,EmployerContribution)*W17</f>
        <v>323</v>
      </c>
      <c r="Y17">
        <f t="shared" ref="Y17" si="23">_xlfn.XLOOKUP(IF(T17 = "", "", VLOOKUP(T17,Age_Check,2)),Age_Grp,EmployeeContribution)*W17</f>
        <v>380</v>
      </c>
      <c r="Z17" s="441">
        <f t="shared" si="2"/>
        <v>399</v>
      </c>
      <c r="AA17" s="446"/>
      <c r="AB17" s="441">
        <f t="shared" si="3"/>
        <v>5.8527918523579956</v>
      </c>
      <c r="AC17" s="441">
        <f t="shared" si="4"/>
        <v>2411.5242840893488</v>
      </c>
      <c r="AD17" s="441">
        <f t="shared" si="11"/>
        <v>17.524284089349123</v>
      </c>
      <c r="AE17" s="441">
        <f t="shared" si="5"/>
        <v>133</v>
      </c>
      <c r="AF17" s="447">
        <v>0</v>
      </c>
      <c r="AG17" s="441">
        <f t="shared" si="6"/>
        <v>1.109919754634916</v>
      </c>
      <c r="AH17" s="441">
        <f t="shared" si="12"/>
        <v>400.49066086701191</v>
      </c>
      <c r="AI17" s="441">
        <f t="shared" si="13"/>
        <v>2.4906608670119255</v>
      </c>
      <c r="AJ17" s="441">
        <f t="shared" si="7"/>
        <v>171</v>
      </c>
      <c r="AK17" s="448">
        <v>0</v>
      </c>
      <c r="AL17" s="441">
        <f t="shared" si="8"/>
        <v>2.5083393652962513</v>
      </c>
      <c r="AM17" s="441">
        <f t="shared" si="14"/>
        <v>1033.5104074668639</v>
      </c>
      <c r="AN17" s="441">
        <f t="shared" si="15"/>
        <v>7.5104074668639953</v>
      </c>
    </row>
    <row r="18" spans="1:40">
      <c r="A18" s="139"/>
      <c r="B18" s="389"/>
      <c r="C18"/>
      <c r="N18" t="s">
        <v>284</v>
      </c>
      <c r="T18">
        <f t="shared" si="0"/>
        <v>45</v>
      </c>
      <c r="U18">
        <v>2020</v>
      </c>
      <c r="V18" s="451">
        <v>43891</v>
      </c>
      <c r="W18" s="445">
        <v>1900</v>
      </c>
      <c r="X18">
        <f>_xlfn.XLOOKUP(IF(T18 = "", "", VLOOKUP(T18,Age_Check,2)),Age_Grp,EmployerContribution)*W18</f>
        <v>323</v>
      </c>
      <c r="Y18">
        <f>_xlfn.XLOOKUP(IF(T18 = "", "", VLOOKUP(T18,Age_Check,2)),Age_Grp,EmployeeContribution)*W18</f>
        <v>380</v>
      </c>
      <c r="Z18" s="441">
        <f t="shared" si="2"/>
        <v>399</v>
      </c>
      <c r="AA18" s="446"/>
      <c r="AB18" s="441">
        <f t="shared" si="3"/>
        <v>7.0336124952605132</v>
      </c>
      <c r="AC18" s="441">
        <f t="shared" si="4"/>
        <v>2817.5578965846094</v>
      </c>
      <c r="AD18" s="441">
        <f t="shared" si="11"/>
        <v>24.557896584609637</v>
      </c>
      <c r="AE18" s="441">
        <f t="shared" si="5"/>
        <v>133</v>
      </c>
      <c r="AF18" s="447">
        <v>200</v>
      </c>
      <c r="AG18" s="441">
        <f t="shared" si="6"/>
        <v>1.6687110869459048</v>
      </c>
      <c r="AH18" s="441">
        <f t="shared" si="12"/>
        <v>335.15937195395782</v>
      </c>
      <c r="AI18" s="441">
        <f t="shared" si="13"/>
        <v>4.1593719539578302</v>
      </c>
      <c r="AJ18" s="441">
        <f t="shared" si="7"/>
        <v>171</v>
      </c>
      <c r="AK18" s="448">
        <v>0</v>
      </c>
      <c r="AL18" s="441">
        <f t="shared" si="8"/>
        <v>3.0144053551116485</v>
      </c>
      <c r="AM18" s="441">
        <f t="shared" si="14"/>
        <v>1207.5248128219755</v>
      </c>
      <c r="AN18" s="441">
        <f t="shared" si="15"/>
        <v>10.524812821975644</v>
      </c>
    </row>
    <row r="19" spans="1:40">
      <c r="A19" s="139"/>
      <c r="B19" s="389"/>
      <c r="C19"/>
      <c r="N19" t="s">
        <v>292</v>
      </c>
      <c r="T19">
        <f t="shared" si="0"/>
        <v>45</v>
      </c>
      <c r="U19">
        <v>2020</v>
      </c>
      <c r="V19" s="451">
        <v>43922</v>
      </c>
      <c r="W19" s="445">
        <v>1900</v>
      </c>
      <c r="X19">
        <f>_xlfn.XLOOKUP(IF(T19 = "", "", VLOOKUP(T19,Age_Check,2)),Age_Grp,EmployerContribution)*W19</f>
        <v>323</v>
      </c>
      <c r="Y19">
        <f>_xlfn.XLOOKUP(IF(T19 = "", "", VLOOKUP(T19,Age_Check,2)),Age_Grp,EmployeeContribution)*W19</f>
        <v>380</v>
      </c>
      <c r="Z19" s="441">
        <f t="shared" si="2"/>
        <v>399</v>
      </c>
      <c r="AA19" s="446"/>
      <c r="AB19" s="441">
        <f t="shared" si="3"/>
        <v>8.2178771983717525</v>
      </c>
      <c r="AC19" s="441">
        <f t="shared" si="4"/>
        <v>3224.7757737829811</v>
      </c>
      <c r="AD19" s="441">
        <f t="shared" si="11"/>
        <v>32.775773782981389</v>
      </c>
      <c r="AE19" s="441">
        <f t="shared" si="5"/>
        <v>133</v>
      </c>
      <c r="AF19" s="447">
        <v>0</v>
      </c>
      <c r="AG19" s="441">
        <f t="shared" si="6"/>
        <v>1.3964973831414795</v>
      </c>
      <c r="AH19" s="441">
        <f t="shared" si="12"/>
        <v>469.5558693370993</v>
      </c>
      <c r="AI19" s="441">
        <f t="shared" si="13"/>
        <v>5.5558693370993097</v>
      </c>
      <c r="AJ19" s="441">
        <f t="shared" si="7"/>
        <v>171</v>
      </c>
      <c r="AK19" s="448">
        <v>0</v>
      </c>
      <c r="AL19" s="441">
        <f t="shared" si="8"/>
        <v>3.5219473707306861</v>
      </c>
      <c r="AM19" s="441">
        <f t="shared" si="14"/>
        <v>1382.0467601927062</v>
      </c>
      <c r="AN19" s="441">
        <f t="shared" si="15"/>
        <v>14.04676019270633</v>
      </c>
    </row>
    <row r="20" spans="1:40">
      <c r="A20" s="139"/>
      <c r="B20" s="389"/>
      <c r="T20">
        <f t="shared" si="0"/>
        <v>45</v>
      </c>
      <c r="U20">
        <v>2020</v>
      </c>
      <c r="V20" s="451">
        <v>43952</v>
      </c>
      <c r="W20" s="445">
        <v>1900</v>
      </c>
      <c r="X20">
        <f>_xlfn.XLOOKUP(IF(T20 = "", "", VLOOKUP(T20,Age_Check,2)),Age_Grp,EmployerContribution)*W20</f>
        <v>323</v>
      </c>
      <c r="Y20">
        <f>_xlfn.XLOOKUP(IF(T20 = "", "", VLOOKUP(T20,Age_Check,2)),Age_Grp,EmployeeContribution)*W20</f>
        <v>380</v>
      </c>
      <c r="Z20" s="441">
        <f t="shared" si="2"/>
        <v>399</v>
      </c>
      <c r="AA20" s="446"/>
      <c r="AB20" s="441">
        <f t="shared" si="3"/>
        <v>9.4055960068671993</v>
      </c>
      <c r="AC20" s="441">
        <f t="shared" si="4"/>
        <v>3633.1813697898483</v>
      </c>
      <c r="AD20" s="441">
        <f t="shared" si="11"/>
        <v>42.181369789848588</v>
      </c>
      <c r="AE20" s="441">
        <f t="shared" si="5"/>
        <v>133</v>
      </c>
      <c r="AF20" s="447">
        <v>0</v>
      </c>
      <c r="AG20" s="441">
        <f t="shared" si="6"/>
        <v>1.956482788904566</v>
      </c>
      <c r="AH20" s="441">
        <f t="shared" si="12"/>
        <v>604.51235212600386</v>
      </c>
      <c r="AI20" s="441">
        <f t="shared" si="13"/>
        <v>7.5123521260038757</v>
      </c>
      <c r="AJ20" s="441">
        <f t="shared" si="7"/>
        <v>171</v>
      </c>
      <c r="AK20" s="448">
        <v>0</v>
      </c>
      <c r="AL20" s="441">
        <f t="shared" si="8"/>
        <v>4.0309697172287997</v>
      </c>
      <c r="AM20" s="441">
        <f t="shared" si="14"/>
        <v>1557.077729909935</v>
      </c>
      <c r="AN20" s="441">
        <f t="shared" si="15"/>
        <v>18.07772990993513</v>
      </c>
    </row>
    <row r="21" spans="1:40">
      <c r="A21" s="139"/>
      <c r="B21" s="389"/>
      <c r="T21">
        <f t="shared" si="0"/>
        <v>45</v>
      </c>
      <c r="U21">
        <v>2020</v>
      </c>
      <c r="V21" s="451">
        <v>43983</v>
      </c>
      <c r="W21" s="445">
        <v>1900</v>
      </c>
      <c r="X21">
        <f t="shared" ref="X21" si="24">_xlfn.XLOOKUP(IF(T21 = "", "", VLOOKUP(T21,Age_Check,2)),Age_Grp,EmployerContribution)*W21</f>
        <v>323</v>
      </c>
      <c r="Y21">
        <f t="shared" ref="Y21" si="25">_xlfn.XLOOKUP(IF(T21 = "", "", VLOOKUP(T21,Age_Check,2)),Age_Grp,EmployeeContribution)*W21</f>
        <v>380</v>
      </c>
      <c r="Z21" s="441">
        <f t="shared" si="2"/>
        <v>399</v>
      </c>
      <c r="AA21" s="446">
        <v>200</v>
      </c>
      <c r="AB21" s="441">
        <f t="shared" si="3"/>
        <v>10.596778995220575</v>
      </c>
      <c r="AC21" s="441">
        <f t="shared" si="4"/>
        <v>3842.7781487850689</v>
      </c>
      <c r="AD21" s="441">
        <f t="shared" si="11"/>
        <v>52.778148785069163</v>
      </c>
      <c r="AE21" s="441">
        <f t="shared" si="5"/>
        <v>133</v>
      </c>
      <c r="AF21" s="447">
        <v>0</v>
      </c>
      <c r="AG21" s="441">
        <f t="shared" si="6"/>
        <v>2.518801467191679</v>
      </c>
      <c r="AH21" s="441">
        <f t="shared" si="12"/>
        <v>740.03115359319554</v>
      </c>
      <c r="AI21" s="441">
        <f t="shared" si="13"/>
        <v>10.031153593195555</v>
      </c>
      <c r="AJ21" s="441">
        <f t="shared" si="7"/>
        <v>171</v>
      </c>
      <c r="AK21" s="448">
        <v>0</v>
      </c>
      <c r="AL21" s="441">
        <f t="shared" si="8"/>
        <v>4.5414767122372268</v>
      </c>
      <c r="AM21" s="441">
        <f t="shared" si="14"/>
        <v>1732.6192066221722</v>
      </c>
      <c r="AN21" s="441">
        <f t="shared" si="15"/>
        <v>22.619206622172356</v>
      </c>
    </row>
    <row r="22" spans="1:40">
      <c r="A22" s="139"/>
      <c r="B22" s="389"/>
      <c r="T22">
        <f t="shared" si="0"/>
        <v>45</v>
      </c>
      <c r="U22">
        <v>2020</v>
      </c>
      <c r="V22" s="451">
        <v>44013</v>
      </c>
      <c r="W22" s="445">
        <v>1900</v>
      </c>
      <c r="X22">
        <f t="shared" ref="X22" si="26">_xlfn.XLOOKUP(IF(T22 = "", "", VLOOKUP(T22,Age_Check,2)),Age_Grp,EmployerContribution)*W22</f>
        <v>323</v>
      </c>
      <c r="Y22">
        <f t="shared" ref="Y22" si="27">_xlfn.XLOOKUP(IF(T22 = "", "", VLOOKUP(T22,Age_Check,2)),Age_Grp,EmployeeContribution)*W22</f>
        <v>380</v>
      </c>
      <c r="Z22" s="441">
        <f t="shared" si="2"/>
        <v>399</v>
      </c>
      <c r="AA22" s="446"/>
      <c r="AB22" s="441">
        <f t="shared" si="3"/>
        <v>11.208102933956525</v>
      </c>
      <c r="AC22" s="441">
        <f t="shared" si="4"/>
        <v>4252.9862517190249</v>
      </c>
      <c r="AD22" s="441">
        <f t="shared" si="11"/>
        <v>63.986251719025688</v>
      </c>
      <c r="AE22" s="441">
        <f t="shared" si="5"/>
        <v>133</v>
      </c>
      <c r="AF22" s="447">
        <v>0</v>
      </c>
      <c r="AG22" s="441">
        <f t="shared" si="6"/>
        <v>3.0834631399716272</v>
      </c>
      <c r="AH22" s="441">
        <f t="shared" si="12"/>
        <v>876.11461673316717</v>
      </c>
      <c r="AI22" s="441">
        <f t="shared" si="13"/>
        <v>13.114616733167182</v>
      </c>
      <c r="AJ22" s="441">
        <f t="shared" si="7"/>
        <v>171</v>
      </c>
      <c r="AK22" s="448">
        <v>0</v>
      </c>
      <c r="AL22" s="441">
        <f t="shared" si="8"/>
        <v>5.0534726859814327</v>
      </c>
      <c r="AM22" s="441">
        <f t="shared" si="14"/>
        <v>1908.6726793081536</v>
      </c>
      <c r="AN22" s="441">
        <f t="shared" si="15"/>
        <v>27.672679308153789</v>
      </c>
    </row>
    <row r="23" spans="1:40">
      <c r="A23" s="139"/>
      <c r="B23" s="389"/>
      <c r="T23">
        <f t="shared" si="0"/>
        <v>45</v>
      </c>
      <c r="U23">
        <v>2020</v>
      </c>
      <c r="V23" s="451">
        <v>44044</v>
      </c>
      <c r="W23" s="445">
        <v>1900</v>
      </c>
      <c r="X23">
        <f t="shared" ref="X23" si="28">_xlfn.XLOOKUP(IF(T23 = "", "", VLOOKUP(T23,Age_Check,2)),Age_Grp,EmployerContribution)*W23</f>
        <v>323</v>
      </c>
      <c r="Y23">
        <f t="shared" ref="Y23:Y42" si="29">_xlfn.XLOOKUP(IF(T23 = "", "", VLOOKUP(T23,Age_Check,2)),Age_Grp,EmployeeContribution)*W23</f>
        <v>380</v>
      </c>
      <c r="Z23" s="441">
        <f t="shared" si="2"/>
        <v>399</v>
      </c>
      <c r="AA23" s="446"/>
      <c r="AB23" s="441">
        <f t="shared" si="3"/>
        <v>12.404543234180892</v>
      </c>
      <c r="AC23" s="441">
        <f t="shared" si="4"/>
        <v>4664.3907949532058</v>
      </c>
      <c r="AD23" s="441">
        <f t="shared" si="11"/>
        <v>76.39079495320658</v>
      </c>
      <c r="AE23" s="441">
        <f t="shared" si="5"/>
        <v>133</v>
      </c>
      <c r="AF23" s="447">
        <v>100</v>
      </c>
      <c r="AG23" s="441">
        <f t="shared" si="6"/>
        <v>3.6504775697214882</v>
      </c>
      <c r="AH23" s="441">
        <f t="shared" si="12"/>
        <v>912.76509430288866</v>
      </c>
      <c r="AI23" s="441">
        <f t="shared" si="13"/>
        <v>16.76509430288867</v>
      </c>
      <c r="AJ23" s="441">
        <f t="shared" si="7"/>
        <v>171</v>
      </c>
      <c r="AK23" s="448">
        <v>2000</v>
      </c>
      <c r="AL23" s="441">
        <f t="shared" si="8"/>
        <v>5.5669619813154441</v>
      </c>
      <c r="AM23" s="441">
        <f t="shared" si="14"/>
        <v>85.239641289469091</v>
      </c>
      <c r="AN23" s="441">
        <f t="shared" si="15"/>
        <v>33.239641289469233</v>
      </c>
    </row>
    <row r="24" spans="1:40">
      <c r="A24" s="139"/>
      <c r="B24" s="389"/>
      <c r="T24">
        <f t="shared" si="0"/>
        <v>45</v>
      </c>
      <c r="U24">
        <v>2020</v>
      </c>
      <c r="V24" s="451">
        <v>44075</v>
      </c>
      <c r="W24" s="445">
        <v>1900</v>
      </c>
      <c r="X24">
        <f t="shared" ref="X24:X42" si="30">_xlfn.XLOOKUP(IF(T24 = "", "", VLOOKUP(T24,Age_Check,2)),Age_Grp,EmployerContribution)*W24</f>
        <v>323</v>
      </c>
      <c r="Y24">
        <f t="shared" si="29"/>
        <v>380</v>
      </c>
      <c r="Z24" s="441">
        <f t="shared" si="2"/>
        <v>399</v>
      </c>
      <c r="AA24" s="446"/>
      <c r="AB24" s="441">
        <f t="shared" si="3"/>
        <v>13.604473151946877</v>
      </c>
      <c r="AC24" s="441">
        <f t="shared" si="4"/>
        <v>5076.9952681051527</v>
      </c>
      <c r="AD24" s="441">
        <f t="shared" si="11"/>
        <v>89.995268105153457</v>
      </c>
      <c r="AE24" s="441">
        <f t="shared" si="5"/>
        <v>133</v>
      </c>
      <c r="AF24" s="447">
        <v>100</v>
      </c>
      <c r="AG24" s="441">
        <f t="shared" si="6"/>
        <v>3.8031878929286904</v>
      </c>
      <c r="AH24" s="441">
        <f t="shared" si="12"/>
        <v>949.56828219581735</v>
      </c>
      <c r="AI24" s="441">
        <f t="shared" si="13"/>
        <v>20.568282195817361</v>
      </c>
      <c r="AJ24" s="441">
        <f t="shared" si="7"/>
        <v>171</v>
      </c>
      <c r="AK24" s="448">
        <v>0</v>
      </c>
      <c r="AL24" s="441">
        <f t="shared" si="8"/>
        <v>0.2486156204276142</v>
      </c>
      <c r="AM24" s="441">
        <f t="shared" si="14"/>
        <v>256.48825690989668</v>
      </c>
      <c r="AN24" s="441">
        <f t="shared" si="15"/>
        <v>33.488256909896847</v>
      </c>
    </row>
    <row r="25" spans="1:40">
      <c r="A25" s="139"/>
      <c r="B25" s="389"/>
      <c r="T25">
        <f t="shared" si="0"/>
        <v>45</v>
      </c>
      <c r="U25">
        <v>2020</v>
      </c>
      <c r="V25" s="451">
        <v>44105</v>
      </c>
      <c r="W25" s="445">
        <v>1900</v>
      </c>
      <c r="X25">
        <f t="shared" si="30"/>
        <v>323</v>
      </c>
      <c r="Y25">
        <f t="shared" si="29"/>
        <v>380</v>
      </c>
      <c r="Z25" s="441">
        <f t="shared" si="2"/>
        <v>399</v>
      </c>
      <c r="AA25" s="446"/>
      <c r="AB25" s="441">
        <f t="shared" si="3"/>
        <v>14.80790286530646</v>
      </c>
      <c r="AC25" s="441">
        <f t="shared" si="4"/>
        <v>5490.8031709704592</v>
      </c>
      <c r="AD25" s="441">
        <f t="shared" si="11"/>
        <v>104.80317097045992</v>
      </c>
      <c r="AE25" s="441">
        <f t="shared" si="5"/>
        <v>133</v>
      </c>
      <c r="AF25" s="447">
        <v>100</v>
      </c>
      <c r="AG25" s="441">
        <f t="shared" si="6"/>
        <v>3.9565345091492645</v>
      </c>
      <c r="AH25" s="441">
        <f t="shared" si="12"/>
        <v>986.52481670496672</v>
      </c>
      <c r="AI25" s="441">
        <f t="shared" si="13"/>
        <v>24.524816704966625</v>
      </c>
      <c r="AJ25" s="441">
        <f t="shared" si="7"/>
        <v>171</v>
      </c>
      <c r="AK25" s="448">
        <v>0</v>
      </c>
      <c r="AL25" s="441">
        <f t="shared" si="8"/>
        <v>0.74809074932051089</v>
      </c>
      <c r="AM25" s="441">
        <f t="shared" si="14"/>
        <v>428.23634765921719</v>
      </c>
      <c r="AN25" s="441">
        <f t="shared" si="15"/>
        <v>34.236347659217358</v>
      </c>
    </row>
    <row r="26" spans="1:40">
      <c r="A26" s="139"/>
      <c r="B26" s="389"/>
      <c r="T26">
        <f t="shared" si="0"/>
        <v>45</v>
      </c>
      <c r="U26">
        <v>2020</v>
      </c>
      <c r="V26" s="451">
        <v>44136</v>
      </c>
      <c r="W26" s="445">
        <v>1900</v>
      </c>
      <c r="X26">
        <f t="shared" si="30"/>
        <v>323</v>
      </c>
      <c r="Y26">
        <f t="shared" si="29"/>
        <v>380</v>
      </c>
      <c r="Z26" s="441">
        <f t="shared" si="2"/>
        <v>399</v>
      </c>
      <c r="AA26" s="446"/>
      <c r="AB26" s="441">
        <f t="shared" si="3"/>
        <v>16.014842581997073</v>
      </c>
      <c r="AC26" s="441">
        <f t="shared" si="4"/>
        <v>5905.8180135524563</v>
      </c>
      <c r="AD26" s="441">
        <f t="shared" si="11"/>
        <v>120.81801355245699</v>
      </c>
      <c r="AE26" s="441">
        <f t="shared" si="5"/>
        <v>133</v>
      </c>
      <c r="AF26" s="447">
        <v>100</v>
      </c>
      <c r="AG26" s="441">
        <f t="shared" si="6"/>
        <v>4.1105200696040356</v>
      </c>
      <c r="AH26" s="441">
        <f t="shared" si="12"/>
        <v>1023.6353367745708</v>
      </c>
      <c r="AI26" s="441">
        <f t="shared" si="13"/>
        <v>28.635336774570661</v>
      </c>
      <c r="AJ26" s="441">
        <f t="shared" si="7"/>
        <v>171</v>
      </c>
      <c r="AK26" s="448">
        <v>0</v>
      </c>
      <c r="AL26" s="441">
        <f t="shared" si="8"/>
        <v>1.2490226806727378</v>
      </c>
      <c r="AM26" s="441">
        <f t="shared" si="14"/>
        <v>600.48537033988987</v>
      </c>
      <c r="AN26" s="441">
        <f t="shared" si="15"/>
        <v>35.485370339890096</v>
      </c>
    </row>
    <row r="27" spans="1:40">
      <c r="A27" s="139"/>
      <c r="B27" s="389"/>
      <c r="T27">
        <f t="shared" si="0"/>
        <v>45</v>
      </c>
      <c r="U27">
        <v>2020</v>
      </c>
      <c r="V27" s="451">
        <v>44166</v>
      </c>
      <c r="W27" s="445">
        <v>1900</v>
      </c>
      <c r="X27">
        <f t="shared" si="30"/>
        <v>323</v>
      </c>
      <c r="Y27">
        <f t="shared" si="29"/>
        <v>380</v>
      </c>
      <c r="Z27" s="441">
        <f t="shared" si="2"/>
        <v>399</v>
      </c>
      <c r="AA27" s="446">
        <v>0</v>
      </c>
      <c r="AB27" s="441">
        <f t="shared" si="3"/>
        <v>17.225302539528457</v>
      </c>
      <c r="AC27" s="441">
        <f t="shared" si="4"/>
        <v>6322.0433160919847</v>
      </c>
      <c r="AD27" s="441">
        <f t="shared" si="11"/>
        <v>138.04331609198545</v>
      </c>
      <c r="AE27" s="441">
        <f t="shared" si="5"/>
        <v>133</v>
      </c>
      <c r="AF27" s="447">
        <v>0</v>
      </c>
      <c r="AG27" s="441">
        <f t="shared" si="6"/>
        <v>4.2651472365607788</v>
      </c>
      <c r="AH27" s="441">
        <f t="shared" si="12"/>
        <v>1160.9004840111315</v>
      </c>
      <c r="AI27" s="441">
        <f t="shared" si="13"/>
        <v>32.900484011131439</v>
      </c>
      <c r="AJ27" s="441">
        <f t="shared" si="7"/>
        <v>171</v>
      </c>
      <c r="AK27" s="448">
        <v>0</v>
      </c>
      <c r="AL27" s="441">
        <f t="shared" si="8"/>
        <v>1.7514156634913434</v>
      </c>
      <c r="AM27" s="441">
        <f t="shared" si="14"/>
        <v>773.23678600338121</v>
      </c>
      <c r="AN27" s="441">
        <f t="shared" si="15"/>
        <v>37.23678600338144</v>
      </c>
    </row>
    <row r="28" spans="1:40">
      <c r="A28" s="139"/>
      <c r="B28" s="389"/>
      <c r="T28">
        <f t="shared" si="0"/>
        <v>46</v>
      </c>
      <c r="U28">
        <v>2021</v>
      </c>
      <c r="V28" s="451">
        <v>44197</v>
      </c>
      <c r="W28" s="445">
        <v>1900</v>
      </c>
      <c r="X28">
        <f t="shared" si="30"/>
        <v>323</v>
      </c>
      <c r="Y28">
        <f t="shared" si="29"/>
        <v>380</v>
      </c>
      <c r="Z28" s="441">
        <f t="shared" si="2"/>
        <v>361</v>
      </c>
      <c r="AA28" s="446">
        <v>500</v>
      </c>
      <c r="AB28" s="441">
        <f t="shared" si="3"/>
        <v>18.439293005268155</v>
      </c>
      <c r="AC28" s="441">
        <f t="shared" si="4"/>
        <v>6201.4826090972529</v>
      </c>
      <c r="AD28" s="441">
        <f t="shared" si="11"/>
        <v>156.4826090972536</v>
      </c>
      <c r="AE28" s="441">
        <f t="shared" si="5"/>
        <v>152</v>
      </c>
      <c r="AF28" s="447">
        <v>0</v>
      </c>
      <c r="AG28" s="441">
        <f t="shared" si="6"/>
        <v>4.8370853500464364</v>
      </c>
      <c r="AH28" s="441">
        <f t="shared" si="12"/>
        <v>1317.737569361178</v>
      </c>
      <c r="AI28" s="441">
        <f t="shared" si="13"/>
        <v>37.737569361177876</v>
      </c>
      <c r="AJ28" s="441">
        <f t="shared" si="7"/>
        <v>190</v>
      </c>
      <c r="AK28" s="448">
        <v>0</v>
      </c>
      <c r="AL28" s="441">
        <f t="shared" si="8"/>
        <v>2.2552739591765203</v>
      </c>
      <c r="AM28" s="441">
        <f t="shared" si="14"/>
        <v>965.49205996255773</v>
      </c>
      <c r="AN28" s="441">
        <f t="shared" si="15"/>
        <v>39.49205996255796</v>
      </c>
    </row>
    <row r="29" spans="1:40">
      <c r="A29" s="139"/>
      <c r="B29" s="389"/>
      <c r="T29">
        <f t="shared" si="0"/>
        <v>46</v>
      </c>
      <c r="U29">
        <v>2021</v>
      </c>
      <c r="V29" s="451">
        <v>44228</v>
      </c>
      <c r="W29" s="445">
        <v>1900</v>
      </c>
      <c r="X29">
        <f t="shared" si="30"/>
        <v>323</v>
      </c>
      <c r="Y29">
        <f t="shared" si="29"/>
        <v>380</v>
      </c>
      <c r="Z29" s="441">
        <f t="shared" si="2"/>
        <v>361</v>
      </c>
      <c r="AA29" s="446">
        <v>500</v>
      </c>
      <c r="AB29" s="441">
        <f t="shared" si="3"/>
        <v>18.087657609867165</v>
      </c>
      <c r="AC29" s="441">
        <f t="shared" si="4"/>
        <v>6080.57026670712</v>
      </c>
      <c r="AD29" s="441">
        <f t="shared" si="11"/>
        <v>174.57026670712077</v>
      </c>
      <c r="AE29" s="441">
        <f t="shared" si="5"/>
        <v>152</v>
      </c>
      <c r="AF29" s="447">
        <v>50</v>
      </c>
      <c r="AG29" s="441">
        <f t="shared" si="6"/>
        <v>5.4905732056715806</v>
      </c>
      <c r="AH29" s="441">
        <f t="shared" si="12"/>
        <v>1425.2281425668496</v>
      </c>
      <c r="AI29" s="441">
        <f t="shared" si="13"/>
        <v>43.228142566849456</v>
      </c>
      <c r="AJ29" s="441">
        <f t="shared" si="7"/>
        <v>190</v>
      </c>
      <c r="AK29" s="448">
        <v>0</v>
      </c>
      <c r="AL29" s="441">
        <f t="shared" si="8"/>
        <v>2.8160185082241469</v>
      </c>
      <c r="AM29" s="441">
        <f t="shared" si="14"/>
        <v>1158.3080784707818</v>
      </c>
      <c r="AN29" s="441">
        <f t="shared" si="15"/>
        <v>42.308078470782107</v>
      </c>
    </row>
    <row r="30" spans="1:40">
      <c r="A30" s="684"/>
      <c r="B30" s="685"/>
      <c r="T30">
        <f t="shared" si="0"/>
        <v>46</v>
      </c>
      <c r="U30">
        <v>2021</v>
      </c>
      <c r="V30" s="451">
        <v>44256</v>
      </c>
      <c r="W30" s="445">
        <v>2400</v>
      </c>
      <c r="X30">
        <f t="shared" si="30"/>
        <v>408.00000000000006</v>
      </c>
      <c r="Y30">
        <f t="shared" si="29"/>
        <v>480</v>
      </c>
      <c r="Z30" s="441">
        <f t="shared" si="2"/>
        <v>456</v>
      </c>
      <c r="AA30" s="446">
        <v>500</v>
      </c>
      <c r="AB30" s="441">
        <f t="shared" si="3"/>
        <v>17.73499661122878</v>
      </c>
      <c r="AC30" s="441">
        <f t="shared" si="4"/>
        <v>6054.3052633183488</v>
      </c>
      <c r="AD30" s="441">
        <f t="shared" si="11"/>
        <v>192.30526331834955</v>
      </c>
      <c r="AE30" s="441">
        <f t="shared" si="5"/>
        <v>192</v>
      </c>
      <c r="AF30" s="447">
        <v>0</v>
      </c>
      <c r="AG30" s="441">
        <f t="shared" si="6"/>
        <v>5.938450594028609</v>
      </c>
      <c r="AH30" s="441">
        <f t="shared" si="12"/>
        <v>1623.1665931608782</v>
      </c>
      <c r="AI30" s="441">
        <f t="shared" si="13"/>
        <v>49.166593160878065</v>
      </c>
      <c r="AJ30" s="441">
        <f t="shared" si="7"/>
        <v>240</v>
      </c>
      <c r="AK30" s="448">
        <v>0</v>
      </c>
      <c r="AL30" s="441">
        <f t="shared" si="8"/>
        <v>3.3783985622064847</v>
      </c>
      <c r="AM30" s="441">
        <f t="shared" si="14"/>
        <v>1401.6864770329883</v>
      </c>
      <c r="AN30" s="441">
        <f t="shared" si="15"/>
        <v>45.686477032988591</v>
      </c>
    </row>
    <row r="31" spans="1:40">
      <c r="A31" s="684"/>
      <c r="B31" s="685"/>
      <c r="T31">
        <f t="shared" si="0"/>
        <v>46</v>
      </c>
      <c r="U31">
        <v>2021</v>
      </c>
      <c r="V31" s="451">
        <v>44287</v>
      </c>
      <c r="W31" s="445">
        <v>2400</v>
      </c>
      <c r="X31">
        <f t="shared" si="30"/>
        <v>408.00000000000006</v>
      </c>
      <c r="Y31">
        <f t="shared" si="29"/>
        <v>480</v>
      </c>
      <c r="Z31" s="441">
        <f t="shared" si="2"/>
        <v>456</v>
      </c>
      <c r="AA31" s="446">
        <v>500</v>
      </c>
      <c r="AB31" s="441">
        <f t="shared" si="3"/>
        <v>17.658390351345588</v>
      </c>
      <c r="AC31" s="441">
        <f t="shared" si="4"/>
        <v>6027.9636536696944</v>
      </c>
      <c r="AD31" s="441">
        <f t="shared" si="11"/>
        <v>209.96365366969513</v>
      </c>
      <c r="AE31" s="441">
        <f t="shared" si="5"/>
        <v>192</v>
      </c>
      <c r="AF31" s="447">
        <v>-5000</v>
      </c>
      <c r="AG31" s="441">
        <f t="shared" si="6"/>
        <v>6.76319413817032</v>
      </c>
      <c r="AH31" s="441">
        <f t="shared" si="12"/>
        <v>6821.9297872990483</v>
      </c>
      <c r="AI31" s="441">
        <f t="shared" si="13"/>
        <v>55.929787299048385</v>
      </c>
      <c r="AJ31" s="441">
        <f t="shared" si="7"/>
        <v>240</v>
      </c>
      <c r="AK31" s="448">
        <v>0</v>
      </c>
      <c r="AL31" s="441">
        <f t="shared" si="8"/>
        <v>4.0882522246795361</v>
      </c>
      <c r="AM31" s="441">
        <f t="shared" si="14"/>
        <v>1645.7747292576678</v>
      </c>
      <c r="AN31" s="441">
        <f t="shared" si="15"/>
        <v>49.774729257668128</v>
      </c>
    </row>
    <row r="32" spans="1:40">
      <c r="A32" s="684"/>
      <c r="B32" s="685"/>
      <c r="T32">
        <f t="shared" si="0"/>
        <v>46</v>
      </c>
      <c r="U32">
        <v>2021</v>
      </c>
      <c r="V32" s="451">
        <v>44317</v>
      </c>
      <c r="W32" s="445">
        <v>2400</v>
      </c>
      <c r="X32">
        <f t="shared" si="30"/>
        <v>408.00000000000006</v>
      </c>
      <c r="Y32">
        <f t="shared" si="29"/>
        <v>480</v>
      </c>
      <c r="Z32" s="441">
        <f t="shared" si="2"/>
        <v>456</v>
      </c>
      <c r="AA32" s="446">
        <v>500</v>
      </c>
      <c r="AB32" s="441">
        <f t="shared" si="3"/>
        <v>17.581560656536567</v>
      </c>
      <c r="AC32" s="441">
        <f t="shared" si="4"/>
        <v>6001.545214326231</v>
      </c>
      <c r="AD32" s="441">
        <f t="shared" si="11"/>
        <v>227.5452143262317</v>
      </c>
      <c r="AE32" s="441">
        <f t="shared" si="5"/>
        <v>192</v>
      </c>
      <c r="AF32" s="447">
        <v>0</v>
      </c>
      <c r="AG32" s="441">
        <f t="shared" si="6"/>
        <v>28.424707447079527</v>
      </c>
      <c r="AH32" s="441">
        <f t="shared" si="12"/>
        <v>7042.3544947461278</v>
      </c>
      <c r="AI32" s="441">
        <f t="shared" si="13"/>
        <v>84.354494746127912</v>
      </c>
      <c r="AJ32" s="441">
        <f t="shared" si="7"/>
        <v>240</v>
      </c>
      <c r="AK32" s="448">
        <v>0</v>
      </c>
      <c r="AL32" s="441">
        <f t="shared" si="8"/>
        <v>4.8001762936683008</v>
      </c>
      <c r="AM32" s="441">
        <f t="shared" si="14"/>
        <v>1890.5749055513361</v>
      </c>
      <c r="AN32" s="441">
        <f t="shared" si="15"/>
        <v>54.574905551336428</v>
      </c>
    </row>
    <row r="33" spans="1:40">
      <c r="A33" s="684"/>
      <c r="B33" s="685"/>
      <c r="T33">
        <f t="shared" si="0"/>
        <v>46</v>
      </c>
      <c r="U33">
        <v>2021</v>
      </c>
      <c r="V33" s="451">
        <v>44348</v>
      </c>
      <c r="W33" s="445">
        <v>2400</v>
      </c>
      <c r="X33">
        <f t="shared" si="30"/>
        <v>408.00000000000006</v>
      </c>
      <c r="Y33">
        <f t="shared" si="29"/>
        <v>480</v>
      </c>
      <c r="Z33" s="441">
        <f t="shared" si="2"/>
        <v>456</v>
      </c>
      <c r="AA33" s="446">
        <v>500</v>
      </c>
      <c r="AB33" s="441">
        <f t="shared" si="3"/>
        <v>17.504506875117841</v>
      </c>
      <c r="AC33" s="441">
        <f t="shared" si="4"/>
        <v>5975.0497212013488</v>
      </c>
      <c r="AD33" s="441">
        <f t="shared" si="11"/>
        <v>245.04972120134954</v>
      </c>
      <c r="AE33" s="441">
        <f t="shared" si="5"/>
        <v>192</v>
      </c>
      <c r="AF33" s="447">
        <v>500</v>
      </c>
      <c r="AG33" s="441">
        <f t="shared" si="6"/>
        <v>29.343143728108771</v>
      </c>
      <c r="AH33" s="441">
        <f t="shared" si="12"/>
        <v>6763.6976384742366</v>
      </c>
      <c r="AI33" s="441">
        <f t="shared" si="13"/>
        <v>113.69763847423668</v>
      </c>
      <c r="AJ33" s="441">
        <f t="shared" si="7"/>
        <v>240</v>
      </c>
      <c r="AK33" s="448">
        <v>0</v>
      </c>
      <c r="AL33" s="441">
        <f t="shared" si="8"/>
        <v>5.5141768078581208</v>
      </c>
      <c r="AM33" s="441">
        <f t="shared" si="14"/>
        <v>2136.0890823591944</v>
      </c>
      <c r="AN33" s="441">
        <f t="shared" si="15"/>
        <v>60.089082359194549</v>
      </c>
    </row>
    <row r="34" spans="1:40">
      <c r="A34" s="684"/>
      <c r="B34" s="685"/>
      <c r="T34">
        <f t="shared" si="0"/>
        <v>46</v>
      </c>
      <c r="U34">
        <v>2021</v>
      </c>
      <c r="V34" s="451">
        <v>44378</v>
      </c>
      <c r="W34" s="445">
        <v>2400</v>
      </c>
      <c r="X34">
        <f t="shared" si="30"/>
        <v>408.00000000000006</v>
      </c>
      <c r="Y34">
        <f t="shared" si="29"/>
        <v>480</v>
      </c>
      <c r="Z34" s="441">
        <f t="shared" si="2"/>
        <v>456</v>
      </c>
      <c r="AA34" s="446">
        <v>500</v>
      </c>
      <c r="AB34" s="441">
        <f t="shared" si="3"/>
        <v>17.427228353503779</v>
      </c>
      <c r="AC34" s="441">
        <f t="shared" si="4"/>
        <v>5948.4769495548526</v>
      </c>
      <c r="AD34" s="441">
        <f t="shared" si="11"/>
        <v>262.47694955485332</v>
      </c>
      <c r="AE34" s="441">
        <f t="shared" si="5"/>
        <v>192</v>
      </c>
      <c r="AF34" s="447">
        <v>500</v>
      </c>
      <c r="AG34" s="441">
        <f t="shared" si="6"/>
        <v>28.182073493642747</v>
      </c>
      <c r="AH34" s="441">
        <f t="shared" si="12"/>
        <v>6483.8797119678793</v>
      </c>
      <c r="AI34" s="441">
        <f t="shared" si="13"/>
        <v>141.87971196787942</v>
      </c>
      <c r="AJ34" s="441">
        <f t="shared" si="7"/>
        <v>240</v>
      </c>
      <c r="AK34" s="448">
        <v>0</v>
      </c>
      <c r="AL34" s="441">
        <f t="shared" si="8"/>
        <v>6.2302598235478399</v>
      </c>
      <c r="AM34" s="441">
        <f t="shared" si="14"/>
        <v>2382.3193421827423</v>
      </c>
      <c r="AN34" s="441">
        <f t="shared" si="15"/>
        <v>66.319342182742389</v>
      </c>
    </row>
    <row r="35" spans="1:40">
      <c r="A35" s="684"/>
      <c r="B35" s="685"/>
      <c r="T35">
        <f t="shared" si="0"/>
        <v>46</v>
      </c>
      <c r="U35">
        <v>2021</v>
      </c>
      <c r="V35" s="451">
        <v>44409</v>
      </c>
      <c r="W35" s="445">
        <v>0</v>
      </c>
      <c r="X35">
        <f t="shared" si="30"/>
        <v>0</v>
      </c>
      <c r="Y35">
        <f t="shared" si="29"/>
        <v>0</v>
      </c>
      <c r="Z35" s="441">
        <f t="shared" si="2"/>
        <v>0</v>
      </c>
      <c r="AA35" s="446">
        <v>500</v>
      </c>
      <c r="AB35" s="441">
        <f t="shared" si="3"/>
        <v>17.349724436201541</v>
      </c>
      <c r="AC35" s="441">
        <f t="shared" si="4"/>
        <v>5465.8266739910541</v>
      </c>
      <c r="AD35" s="441">
        <f t="shared" si="11"/>
        <v>279.82667399105486</v>
      </c>
      <c r="AE35" s="441">
        <f t="shared" si="5"/>
        <v>0</v>
      </c>
      <c r="AF35" s="447">
        <v>500</v>
      </c>
      <c r="AG35" s="441">
        <f t="shared" si="6"/>
        <v>27.016165466532584</v>
      </c>
      <c r="AH35" s="441">
        <f t="shared" si="12"/>
        <v>6010.8958774344119</v>
      </c>
      <c r="AI35" s="441">
        <f t="shared" si="13"/>
        <v>168.895877434412</v>
      </c>
      <c r="AJ35" s="441">
        <f t="shared" si="7"/>
        <v>0</v>
      </c>
      <c r="AK35" s="448">
        <v>1500</v>
      </c>
      <c r="AL35" s="441">
        <f t="shared" si="8"/>
        <v>6.9484314146998258</v>
      </c>
      <c r="AM35" s="441">
        <f t="shared" si="14"/>
        <v>889.2677735974421</v>
      </c>
      <c r="AN35" s="441">
        <f t="shared" si="15"/>
        <v>73.267773597442215</v>
      </c>
    </row>
    <row r="36" spans="1:40">
      <c r="A36" s="684"/>
      <c r="B36" s="685"/>
      <c r="T36">
        <f t="shared" si="0"/>
        <v>46</v>
      </c>
      <c r="U36">
        <v>2021</v>
      </c>
      <c r="V36" s="451">
        <v>44440</v>
      </c>
      <c r="W36" s="445">
        <v>0</v>
      </c>
      <c r="X36">
        <f t="shared" si="30"/>
        <v>0</v>
      </c>
      <c r="Y36">
        <f t="shared" si="29"/>
        <v>0</v>
      </c>
      <c r="Z36" s="441">
        <f t="shared" si="2"/>
        <v>0</v>
      </c>
      <c r="AA36" s="446">
        <v>500</v>
      </c>
      <c r="AB36" s="441">
        <f t="shared" si="3"/>
        <v>15.941994465807511</v>
      </c>
      <c r="AC36" s="441">
        <f t="shared" si="4"/>
        <v>4981.7686684568616</v>
      </c>
      <c r="AD36" s="441">
        <f t="shared" si="11"/>
        <v>295.76866845686237</v>
      </c>
      <c r="AE36" s="441">
        <f t="shared" si="5"/>
        <v>0</v>
      </c>
      <c r="AF36" s="447"/>
      <c r="AG36" s="441">
        <f t="shared" si="6"/>
        <v>25.045399489309602</v>
      </c>
      <c r="AH36" s="441">
        <f t="shared" si="12"/>
        <v>6035.9412769237215</v>
      </c>
      <c r="AI36" s="441">
        <f t="shared" si="13"/>
        <v>193.9412769237216</v>
      </c>
      <c r="AJ36" s="441">
        <f t="shared" si="7"/>
        <v>0</v>
      </c>
      <c r="AK36" s="448">
        <v>0</v>
      </c>
      <c r="AL36" s="441">
        <f t="shared" si="8"/>
        <v>2.5936976729925618</v>
      </c>
      <c r="AM36" s="441">
        <f t="shared" si="14"/>
        <v>891.86147127043466</v>
      </c>
      <c r="AN36" s="441">
        <f t="shared" si="15"/>
        <v>75.861471270434777</v>
      </c>
    </row>
    <row r="37" spans="1:40">
      <c r="A37" s="684"/>
      <c r="B37" s="685"/>
      <c r="T37">
        <f t="shared" si="0"/>
        <v>46</v>
      </c>
      <c r="U37">
        <v>2021</v>
      </c>
      <c r="V37" s="451">
        <v>44470</v>
      </c>
      <c r="W37" s="445">
        <v>0</v>
      </c>
      <c r="X37">
        <f t="shared" si="30"/>
        <v>0</v>
      </c>
      <c r="Y37">
        <f t="shared" si="29"/>
        <v>0</v>
      </c>
      <c r="Z37" s="441">
        <f t="shared" si="2"/>
        <v>0</v>
      </c>
      <c r="AA37" s="446">
        <v>0</v>
      </c>
      <c r="AB37" s="441">
        <f t="shared" si="3"/>
        <v>14.530158616332301</v>
      </c>
      <c r="AC37" s="441">
        <f t="shared" si="4"/>
        <v>4996.2988270731939</v>
      </c>
      <c r="AD37" s="441">
        <f t="shared" si="11"/>
        <v>310.29882707319467</v>
      </c>
      <c r="AE37" s="441">
        <f t="shared" si="5"/>
        <v>0</v>
      </c>
      <c r="AF37" s="447">
        <v>600</v>
      </c>
      <c r="AG37" s="441">
        <f t="shared" si="6"/>
        <v>25.149755320515396</v>
      </c>
      <c r="AH37" s="441">
        <f t="shared" si="12"/>
        <v>5461.0910322442369</v>
      </c>
      <c r="AI37" s="441">
        <f t="shared" si="13"/>
        <v>219.091032244237</v>
      </c>
      <c r="AJ37" s="441">
        <f t="shared" si="7"/>
        <v>0</v>
      </c>
      <c r="AK37" s="448">
        <v>0</v>
      </c>
      <c r="AL37" s="441">
        <f t="shared" si="8"/>
        <v>2.6012626245387764</v>
      </c>
      <c r="AM37" s="441">
        <f t="shared" si="14"/>
        <v>894.46273389497344</v>
      </c>
      <c r="AN37" s="441">
        <f t="shared" si="15"/>
        <v>78.462733894973553</v>
      </c>
    </row>
    <row r="38" spans="1:40">
      <c r="A38" s="684"/>
      <c r="B38" s="685"/>
      <c r="T38">
        <f t="shared" si="0"/>
        <v>46</v>
      </c>
      <c r="U38">
        <v>2021</v>
      </c>
      <c r="V38" s="451">
        <v>44501</v>
      </c>
      <c r="W38" s="445">
        <v>0</v>
      </c>
      <c r="X38">
        <f t="shared" si="30"/>
        <v>0</v>
      </c>
      <c r="Y38">
        <f t="shared" si="29"/>
        <v>0</v>
      </c>
      <c r="Z38" s="441">
        <f t="shared" si="2"/>
        <v>0</v>
      </c>
      <c r="AA38" s="446">
        <v>570</v>
      </c>
      <c r="AB38" s="441">
        <f t="shared" si="3"/>
        <v>14.572538245630312</v>
      </c>
      <c r="AC38" s="441">
        <f t="shared" si="4"/>
        <v>4440.8713653188242</v>
      </c>
      <c r="AD38" s="441">
        <f t="shared" si="11"/>
        <v>324.87136531882499</v>
      </c>
      <c r="AE38" s="441">
        <f t="shared" si="5"/>
        <v>0</v>
      </c>
      <c r="AF38" s="447"/>
      <c r="AG38" s="441">
        <f t="shared" si="6"/>
        <v>22.754545967683953</v>
      </c>
      <c r="AH38" s="441">
        <f t="shared" si="12"/>
        <v>5483.8455782119208</v>
      </c>
      <c r="AI38" s="441">
        <f t="shared" si="13"/>
        <v>241.84557821192095</v>
      </c>
      <c r="AJ38" s="441">
        <f t="shared" si="7"/>
        <v>0</v>
      </c>
      <c r="AK38" s="448">
        <v>0</v>
      </c>
      <c r="AL38" s="441">
        <f t="shared" si="8"/>
        <v>2.6088496405270689</v>
      </c>
      <c r="AM38" s="441">
        <f t="shared" si="14"/>
        <v>897.07158353550051</v>
      </c>
      <c r="AN38" s="441">
        <f t="shared" si="15"/>
        <v>81.071583535500622</v>
      </c>
    </row>
    <row r="39" spans="1:40">
      <c r="A39" s="684"/>
      <c r="B39" s="685"/>
      <c r="T39">
        <f t="shared" si="0"/>
        <v>46</v>
      </c>
      <c r="U39">
        <v>2021</v>
      </c>
      <c r="V39" s="451">
        <v>44531</v>
      </c>
      <c r="W39" s="445">
        <v>2400</v>
      </c>
      <c r="X39">
        <f t="shared" si="30"/>
        <v>408.00000000000006</v>
      </c>
      <c r="Y39">
        <f t="shared" si="29"/>
        <v>480</v>
      </c>
      <c r="Z39" s="441">
        <f t="shared" si="2"/>
        <v>456</v>
      </c>
      <c r="AA39" s="446">
        <v>570</v>
      </c>
      <c r="AB39" s="441">
        <f t="shared" si="3"/>
        <v>12.952541482180095</v>
      </c>
      <c r="AC39" s="441">
        <f t="shared" si="4"/>
        <v>4339.8239068010043</v>
      </c>
      <c r="AD39" s="441">
        <f t="shared" si="11"/>
        <v>337.82390680100508</v>
      </c>
      <c r="AE39" s="441">
        <f t="shared" si="5"/>
        <v>192</v>
      </c>
      <c r="AF39" s="447"/>
      <c r="AG39" s="441">
        <f t="shared" si="6"/>
        <v>22.849356575882666</v>
      </c>
      <c r="AH39" s="441">
        <f t="shared" si="12"/>
        <v>5698.6949347878035</v>
      </c>
      <c r="AI39" s="441">
        <f t="shared" si="13"/>
        <v>264.69493478780362</v>
      </c>
      <c r="AJ39" s="441">
        <f t="shared" si="7"/>
        <v>240</v>
      </c>
      <c r="AK39" s="448">
        <v>0</v>
      </c>
      <c r="AL39" s="441">
        <f t="shared" si="8"/>
        <v>2.6164587853119201</v>
      </c>
      <c r="AM39" s="441">
        <f t="shared" si="14"/>
        <v>1139.6880423208124</v>
      </c>
      <c r="AN39" s="441">
        <f t="shared" si="15"/>
        <v>83.688042320812542</v>
      </c>
    </row>
    <row r="40" spans="1:40">
      <c r="A40" s="684"/>
      <c r="B40" s="685"/>
      <c r="T40">
        <f t="shared" si="0"/>
        <v>47</v>
      </c>
      <c r="U40">
        <v>2022</v>
      </c>
      <c r="V40" s="451">
        <v>44562</v>
      </c>
      <c r="W40" s="445">
        <v>2400</v>
      </c>
      <c r="X40">
        <f t="shared" si="30"/>
        <v>408.00000000000006</v>
      </c>
      <c r="Y40">
        <f t="shared" si="29"/>
        <v>480</v>
      </c>
      <c r="Z40" s="441">
        <f t="shared" si="2"/>
        <v>456</v>
      </c>
      <c r="AA40" s="446">
        <v>570</v>
      </c>
      <c r="AB40" s="441">
        <f t="shared" si="3"/>
        <v>12.65781972816967</v>
      </c>
      <c r="AC40" s="441">
        <f t="shared" si="4"/>
        <v>4238.481726529174</v>
      </c>
      <c r="AD40" s="441">
        <f t="shared" si="11"/>
        <v>350.48172652917475</v>
      </c>
      <c r="AE40" s="441">
        <f t="shared" si="5"/>
        <v>192</v>
      </c>
      <c r="AF40" s="447"/>
      <c r="AG40" s="441">
        <f t="shared" si="6"/>
        <v>23.74456222828212</v>
      </c>
      <c r="AH40" s="441">
        <f t="shared" si="12"/>
        <v>5914.4394970160856</v>
      </c>
      <c r="AI40" s="441">
        <f t="shared" si="13"/>
        <v>288.43949701608574</v>
      </c>
      <c r="AJ40" s="441">
        <f t="shared" si="7"/>
        <v>240</v>
      </c>
      <c r="AK40" s="448">
        <v>0</v>
      </c>
      <c r="AL40" s="441">
        <f t="shared" si="8"/>
        <v>3.3240901234357807</v>
      </c>
      <c r="AM40" s="441">
        <f t="shared" si="14"/>
        <v>1383.0121324442482</v>
      </c>
      <c r="AN40" s="441">
        <f t="shared" si="15"/>
        <v>87.012132444248323</v>
      </c>
    </row>
    <row r="41" spans="1:40">
      <c r="A41" s="684"/>
      <c r="B41" s="685"/>
      <c r="T41">
        <f t="shared" si="0"/>
        <v>47</v>
      </c>
      <c r="U41">
        <v>2022</v>
      </c>
      <c r="V41" s="451">
        <v>44593</v>
      </c>
      <c r="W41" s="445">
        <v>2400</v>
      </c>
      <c r="X41">
        <f t="shared" si="30"/>
        <v>408.00000000000006</v>
      </c>
      <c r="Y41">
        <f t="shared" si="29"/>
        <v>480</v>
      </c>
      <c r="Z41" s="441">
        <f t="shared" si="2"/>
        <v>456</v>
      </c>
      <c r="AA41" s="446">
        <v>570</v>
      </c>
      <c r="AB41" s="441">
        <f t="shared" si="3"/>
        <v>12.362238369043553</v>
      </c>
      <c r="AC41" s="441">
        <f t="shared" si="4"/>
        <v>4136.8439648982176</v>
      </c>
      <c r="AD41" s="441">
        <f t="shared" si="11"/>
        <v>362.8439648982183</v>
      </c>
      <c r="AE41" s="441">
        <f t="shared" si="5"/>
        <v>192</v>
      </c>
      <c r="AF41" s="447"/>
      <c r="AG41" s="441">
        <f t="shared" si="6"/>
        <v>24.6434979042333</v>
      </c>
      <c r="AH41" s="441">
        <f t="shared" si="12"/>
        <v>6131.0829949203189</v>
      </c>
      <c r="AI41" s="441">
        <f t="shared" si="13"/>
        <v>313.08299492031904</v>
      </c>
      <c r="AJ41" s="441">
        <f t="shared" si="7"/>
        <v>240</v>
      </c>
      <c r="AK41" s="448">
        <v>0</v>
      </c>
      <c r="AL41" s="441">
        <f t="shared" si="8"/>
        <v>4.0337853862956763</v>
      </c>
      <c r="AM41" s="441">
        <f t="shared" si="14"/>
        <v>1627.0459178305439</v>
      </c>
      <c r="AN41" s="441">
        <f t="shared" si="15"/>
        <v>91.045917830543999</v>
      </c>
    </row>
    <row r="42" spans="1:40" ht="15" customHeight="1">
      <c r="A42" s="684"/>
      <c r="B42" s="685"/>
      <c r="C42" s="134" t="s">
        <v>293</v>
      </c>
      <c r="D42" s="443" t="s">
        <v>294</v>
      </c>
      <c r="E42" s="443" t="s">
        <v>295</v>
      </c>
      <c r="F42" t="s">
        <v>296</v>
      </c>
      <c r="G42" s="443"/>
      <c r="H42" s="442" t="s">
        <v>293</v>
      </c>
      <c r="I42" s="443" t="s">
        <v>247</v>
      </c>
      <c r="J42" s="443" t="s">
        <v>245</v>
      </c>
      <c r="K42" s="443" t="s">
        <v>246</v>
      </c>
      <c r="L42" s="443"/>
      <c r="M42" s="134" t="s">
        <v>293</v>
      </c>
      <c r="N42" t="s">
        <v>297</v>
      </c>
      <c r="O42" t="s">
        <v>298</v>
      </c>
      <c r="P42" t="s">
        <v>299</v>
      </c>
      <c r="T42">
        <f t="shared" si="0"/>
        <v>47</v>
      </c>
      <c r="U42">
        <v>2022</v>
      </c>
      <c r="V42" s="451">
        <v>44621</v>
      </c>
      <c r="W42" s="445">
        <v>2400</v>
      </c>
      <c r="X42">
        <f t="shared" si="30"/>
        <v>408.00000000000006</v>
      </c>
      <c r="Y42">
        <f t="shared" si="29"/>
        <v>480</v>
      </c>
      <c r="Z42" s="441">
        <f t="shared" si="2"/>
        <v>456</v>
      </c>
      <c r="AA42" s="446">
        <v>570</v>
      </c>
      <c r="AB42" s="441">
        <f t="shared" si="3"/>
        <v>12.065794897619526</v>
      </c>
      <c r="AC42" s="441">
        <f t="shared" si="4"/>
        <v>4034.9097597958371</v>
      </c>
      <c r="AD42" s="441">
        <f t="shared" si="11"/>
        <v>374.90975979583783</v>
      </c>
      <c r="AE42" s="441">
        <f t="shared" si="5"/>
        <v>192</v>
      </c>
      <c r="AF42" s="447">
        <v>1000</v>
      </c>
      <c r="AG42" s="441">
        <f t="shared" si="6"/>
        <v>25.546179145500901</v>
      </c>
      <c r="AH42" s="441">
        <f t="shared" si="12"/>
        <v>5348.6291740658198</v>
      </c>
      <c r="AI42" s="441">
        <f t="shared" si="13"/>
        <v>338.62917406581994</v>
      </c>
      <c r="AJ42" s="441">
        <f t="shared" si="7"/>
        <v>240</v>
      </c>
      <c r="AK42" s="448">
        <v>500</v>
      </c>
      <c r="AL42" s="441">
        <f t="shared" si="8"/>
        <v>4.7455505936725331</v>
      </c>
      <c r="AM42" s="441">
        <f t="shared" si="14"/>
        <v>1371.7914684242164</v>
      </c>
      <c r="AN42" s="441">
        <f t="shared" si="15"/>
        <v>95.791468424216532</v>
      </c>
    </row>
    <row r="43" spans="1:40">
      <c r="A43" s="684"/>
      <c r="B43" s="685"/>
      <c r="C43" s="176">
        <v>2019</v>
      </c>
      <c r="D43">
        <v>1.3778669704861102</v>
      </c>
      <c r="E43">
        <v>4.9947776803386148</v>
      </c>
      <c r="F43">
        <v>11.654481254123255</v>
      </c>
      <c r="H43" s="176">
        <v>2019</v>
      </c>
      <c r="I43">
        <v>7600</v>
      </c>
      <c r="J43">
        <v>1292</v>
      </c>
      <c r="K43">
        <v>1520</v>
      </c>
      <c r="M43" s="176" t="s">
        <v>255</v>
      </c>
      <c r="N43">
        <v>4001.6544812541229</v>
      </c>
      <c r="O43">
        <v>331.37786697048602</v>
      </c>
      <c r="P43">
        <v>1714.9947776803383</v>
      </c>
    </row>
    <row r="44" spans="1:40">
      <c r="A44" s="684"/>
      <c r="B44" s="685"/>
      <c r="C44" s="452">
        <v>43709</v>
      </c>
      <c r="D44">
        <v>0</v>
      </c>
      <c r="E44">
        <v>0</v>
      </c>
      <c r="F44">
        <v>0</v>
      </c>
      <c r="H44" s="176">
        <v>2020</v>
      </c>
      <c r="I44">
        <v>22800</v>
      </c>
      <c r="J44">
        <v>3876</v>
      </c>
      <c r="K44">
        <v>4560</v>
      </c>
      <c r="M44" s="387" t="s">
        <v>257</v>
      </c>
      <c r="N44">
        <v>399</v>
      </c>
      <c r="O44">
        <v>33</v>
      </c>
      <c r="P44">
        <v>171</v>
      </c>
    </row>
    <row r="45" spans="1:40">
      <c r="A45" s="684"/>
      <c r="B45" s="685"/>
      <c r="C45" s="452">
        <v>43739</v>
      </c>
      <c r="D45">
        <v>0.13750000000000284</v>
      </c>
      <c r="E45">
        <v>0.49875000000000114</v>
      </c>
      <c r="F45">
        <v>1.1637499999999932</v>
      </c>
      <c r="H45" s="176">
        <v>2021</v>
      </c>
      <c r="I45">
        <v>18200</v>
      </c>
      <c r="J45">
        <v>3094</v>
      </c>
      <c r="K45">
        <v>3640</v>
      </c>
      <c r="M45" s="387" t="s">
        <v>259</v>
      </c>
      <c r="N45">
        <v>799.16374999999994</v>
      </c>
      <c r="O45">
        <v>66.137499999999989</v>
      </c>
      <c r="P45">
        <v>342.49874999999997</v>
      </c>
    </row>
    <row r="46" spans="1:40">
      <c r="A46" s="684"/>
      <c r="B46" s="685"/>
      <c r="C46" s="452">
        <v>43770</v>
      </c>
      <c r="D46">
        <v>0.41307291666666401</v>
      </c>
      <c r="E46">
        <v>1.4977046875000326</v>
      </c>
      <c r="F46">
        <v>3.494644270833362</v>
      </c>
      <c r="H46" s="176">
        <v>2022</v>
      </c>
      <c r="I46">
        <v>7200</v>
      </c>
      <c r="J46">
        <v>1224.0000000000002</v>
      </c>
      <c r="K46">
        <v>1440</v>
      </c>
      <c r="M46" s="387" t="s">
        <v>261</v>
      </c>
      <c r="N46">
        <v>1200.4946442708333</v>
      </c>
      <c r="O46">
        <v>99.413072916666636</v>
      </c>
      <c r="P46">
        <v>514.4977046875</v>
      </c>
    </row>
    <row r="47" spans="1:40">
      <c r="A47" s="684"/>
      <c r="B47" s="685"/>
      <c r="C47" s="452">
        <v>43800</v>
      </c>
      <c r="D47">
        <v>0.82729405381944332</v>
      </c>
      <c r="E47">
        <v>2.9983229928385811</v>
      </c>
      <c r="F47">
        <v>6.9960869832898993</v>
      </c>
      <c r="H47" s="176" t="s">
        <v>300</v>
      </c>
      <c r="I47">
        <v>0</v>
      </c>
      <c r="J47">
        <v>0</v>
      </c>
      <c r="K47">
        <v>0</v>
      </c>
      <c r="M47" s="387" t="s">
        <v>262</v>
      </c>
      <c r="N47">
        <v>1602.9960869832898</v>
      </c>
      <c r="O47">
        <v>132.8272940538194</v>
      </c>
      <c r="P47">
        <v>686.99832299283855</v>
      </c>
    </row>
    <row r="48" spans="1:40">
      <c r="A48" s="684"/>
      <c r="B48" s="685"/>
      <c r="C48" s="176">
        <v>2020</v>
      </c>
      <c r="D48">
        <v>167.63877971218744</v>
      </c>
      <c r="E48">
        <v>279.14006662522996</v>
      </c>
      <c r="F48">
        <v>775.52578066113711</v>
      </c>
      <c r="H48" s="176" t="s">
        <v>83</v>
      </c>
      <c r="I48">
        <v>55800</v>
      </c>
      <c r="J48">
        <v>9486</v>
      </c>
      <c r="K48">
        <v>11160</v>
      </c>
      <c r="M48" s="176" t="s">
        <v>256</v>
      </c>
      <c r="N48">
        <v>49649.525780661126</v>
      </c>
      <c r="O48">
        <v>8725.6387797121879</v>
      </c>
      <c r="P48">
        <v>11825.140066625227</v>
      </c>
    </row>
    <row r="49" spans="1:16">
      <c r="A49" s="684"/>
      <c r="B49" s="685"/>
      <c r="C49" s="452">
        <v>43831</v>
      </c>
      <c r="D49">
        <v>1.3807411123770095</v>
      </c>
      <c r="E49">
        <v>5.002068101567744</v>
      </c>
      <c r="F49">
        <v>11.671492236991128</v>
      </c>
      <c r="M49" s="387" t="s">
        <v>263</v>
      </c>
      <c r="N49">
        <v>2006.6714922369911</v>
      </c>
      <c r="O49">
        <v>266.380741112377</v>
      </c>
      <c r="P49">
        <v>860.00206810156772</v>
      </c>
    </row>
    <row r="50" spans="1:16">
      <c r="A50" s="684"/>
      <c r="B50" s="685"/>
      <c r="C50" s="452">
        <v>43862</v>
      </c>
      <c r="D50">
        <v>2.4906608670119255</v>
      </c>
      <c r="E50">
        <v>7.5104074668639953</v>
      </c>
      <c r="F50">
        <v>17.524284089349123</v>
      </c>
      <c r="M50" s="387" t="s">
        <v>264</v>
      </c>
      <c r="N50">
        <v>2411.5242840893488</v>
      </c>
      <c r="O50">
        <v>400.49066086701191</v>
      </c>
      <c r="P50">
        <v>1033.5104074668639</v>
      </c>
    </row>
    <row r="51" spans="1:16">
      <c r="A51" s="684"/>
      <c r="B51" s="685"/>
      <c r="C51" s="452">
        <v>43891</v>
      </c>
      <c r="D51">
        <v>4.1593719539578302</v>
      </c>
      <c r="E51">
        <v>10.524812821975644</v>
      </c>
      <c r="F51">
        <v>24.557896584609637</v>
      </c>
      <c r="M51" s="387" t="s">
        <v>265</v>
      </c>
      <c r="N51">
        <v>2817.5578965846094</v>
      </c>
      <c r="O51">
        <v>335.15937195395782</v>
      </c>
      <c r="P51">
        <v>1207.5248128219755</v>
      </c>
    </row>
    <row r="52" spans="1:16">
      <c r="A52" s="684"/>
      <c r="B52" s="685"/>
      <c r="C52" s="452">
        <v>43922</v>
      </c>
      <c r="D52">
        <v>5.5558693370993097</v>
      </c>
      <c r="E52">
        <v>14.04676019270633</v>
      </c>
      <c r="F52">
        <v>32.775773782981389</v>
      </c>
      <c r="M52" s="387" t="s">
        <v>266</v>
      </c>
      <c r="N52">
        <v>3224.7757737829811</v>
      </c>
      <c r="O52">
        <v>469.5558693370993</v>
      </c>
      <c r="P52">
        <v>1382.0467601927062</v>
      </c>
    </row>
    <row r="53" spans="1:16">
      <c r="A53" s="684"/>
      <c r="B53" s="685"/>
      <c r="C53" s="452">
        <v>43952</v>
      </c>
      <c r="D53">
        <v>7.5123521260038757</v>
      </c>
      <c r="E53">
        <v>18.07772990993513</v>
      </c>
      <c r="F53">
        <v>42.181369789848588</v>
      </c>
      <c r="M53" s="387" t="s">
        <v>267</v>
      </c>
      <c r="N53">
        <v>3633.1813697898483</v>
      </c>
      <c r="O53">
        <v>604.51235212600386</v>
      </c>
      <c r="P53">
        <v>1557.077729909935</v>
      </c>
    </row>
    <row r="54" spans="1:16">
      <c r="A54" s="684"/>
      <c r="B54" s="685"/>
      <c r="C54" s="452">
        <v>43983</v>
      </c>
      <c r="D54">
        <v>10.031153593195555</v>
      </c>
      <c r="E54">
        <v>22.619206622172356</v>
      </c>
      <c r="F54">
        <v>52.778148785069163</v>
      </c>
      <c r="M54" s="387" t="s">
        <v>268</v>
      </c>
      <c r="N54">
        <v>3842.7781487850689</v>
      </c>
      <c r="O54">
        <v>740.03115359319554</v>
      </c>
      <c r="P54">
        <v>1732.6192066221722</v>
      </c>
    </row>
    <row r="55" spans="1:16">
      <c r="A55" s="684"/>
      <c r="B55" s="685"/>
      <c r="C55" s="452">
        <v>44013</v>
      </c>
      <c r="D55">
        <v>13.114616733167182</v>
      </c>
      <c r="E55">
        <v>27.672679308153789</v>
      </c>
      <c r="F55">
        <v>63.986251719025688</v>
      </c>
      <c r="M55" s="387" t="s">
        <v>269</v>
      </c>
      <c r="N55">
        <v>4252.9862517190249</v>
      </c>
      <c r="O55">
        <v>876.11461673316717</v>
      </c>
      <c r="P55">
        <v>1908.6726793081536</v>
      </c>
    </row>
    <row r="56" spans="1:16">
      <c r="A56" s="684"/>
      <c r="B56" s="685"/>
      <c r="C56" s="452">
        <v>44044</v>
      </c>
      <c r="D56">
        <v>16.76509430288867</v>
      </c>
      <c r="E56">
        <v>33.239641289469233</v>
      </c>
      <c r="F56">
        <v>76.39079495320658</v>
      </c>
      <c r="M56" s="387" t="s">
        <v>270</v>
      </c>
      <c r="N56">
        <v>4664.3907949532058</v>
      </c>
      <c r="O56">
        <v>912.76509430288866</v>
      </c>
      <c r="P56">
        <v>85.239641289469091</v>
      </c>
    </row>
    <row r="57" spans="1:16">
      <c r="A57" s="684"/>
      <c r="B57" s="685"/>
      <c r="C57" s="452">
        <v>44075</v>
      </c>
      <c r="D57">
        <v>20.568282195817361</v>
      </c>
      <c r="E57">
        <v>33.488256909896847</v>
      </c>
      <c r="F57">
        <v>89.995268105153457</v>
      </c>
      <c r="M57" s="387" t="s">
        <v>257</v>
      </c>
      <c r="N57">
        <v>5076.9952681051527</v>
      </c>
      <c r="O57">
        <v>949.56828219581735</v>
      </c>
      <c r="P57">
        <v>256.48825690989668</v>
      </c>
    </row>
    <row r="58" spans="1:16">
      <c r="A58" s="684"/>
      <c r="B58" s="685"/>
      <c r="C58" s="452">
        <v>44105</v>
      </c>
      <c r="D58">
        <v>24.524816704966625</v>
      </c>
      <c r="E58">
        <v>34.236347659217358</v>
      </c>
      <c r="F58">
        <v>104.80317097045992</v>
      </c>
      <c r="M58" s="387" t="s">
        <v>259</v>
      </c>
      <c r="N58">
        <v>5490.8031709704592</v>
      </c>
      <c r="O58">
        <v>986.52481670496672</v>
      </c>
      <c r="P58">
        <v>428.23634765921719</v>
      </c>
    </row>
    <row r="59" spans="1:16">
      <c r="A59" s="684"/>
      <c r="B59" s="685"/>
      <c r="C59" s="452">
        <v>44136</v>
      </c>
      <c r="D59">
        <v>28.635336774570661</v>
      </c>
      <c r="E59">
        <v>35.485370339890096</v>
      </c>
      <c r="F59">
        <v>120.81801355245699</v>
      </c>
      <c r="M59" s="387" t="s">
        <v>261</v>
      </c>
      <c r="N59">
        <v>5905.8180135524563</v>
      </c>
      <c r="O59">
        <v>1023.6353367745708</v>
      </c>
      <c r="P59">
        <v>600.48537033988987</v>
      </c>
    </row>
    <row r="60" spans="1:16">
      <c r="A60" s="684"/>
      <c r="B60" s="685"/>
      <c r="C60" s="452">
        <v>44166</v>
      </c>
      <c r="D60">
        <v>32.900484011131439</v>
      </c>
      <c r="E60">
        <v>37.23678600338144</v>
      </c>
      <c r="F60">
        <v>138.04331609198545</v>
      </c>
      <c r="M60" s="387" t="s">
        <v>262</v>
      </c>
      <c r="N60">
        <v>6322.0433160919847</v>
      </c>
      <c r="O60">
        <v>1160.9004840111315</v>
      </c>
      <c r="P60">
        <v>773.23678600338121</v>
      </c>
    </row>
    <row r="61" spans="1:16">
      <c r="A61" s="684"/>
      <c r="B61" s="685"/>
      <c r="C61" s="176">
        <v>2021</v>
      </c>
      <c r="D61">
        <v>1614.4626371782929</v>
      </c>
      <c r="E61">
        <v>750.59627943643386</v>
      </c>
      <c r="F61">
        <v>3016.9831195157958</v>
      </c>
      <c r="M61" s="176" t="s">
        <v>258</v>
      </c>
      <c r="N61">
        <v>66513.983119515789</v>
      </c>
      <c r="O61">
        <v>60168.462637178294</v>
      </c>
      <c r="P61">
        <v>16292.596279436431</v>
      </c>
    </row>
    <row r="62" spans="1:16">
      <c r="A62" s="684"/>
      <c r="B62" s="685"/>
      <c r="C62" s="452">
        <v>44197</v>
      </c>
      <c r="D62">
        <v>37.737569361177876</v>
      </c>
      <c r="E62">
        <v>39.49205996255796</v>
      </c>
      <c r="F62">
        <v>156.4826090972536</v>
      </c>
      <c r="M62" s="387" t="s">
        <v>263</v>
      </c>
      <c r="N62">
        <v>6201.4826090972529</v>
      </c>
      <c r="O62">
        <v>1317.737569361178</v>
      </c>
      <c r="P62">
        <v>965.49205996255773</v>
      </c>
    </row>
    <row r="63" spans="1:16">
      <c r="A63" s="684"/>
      <c r="B63" s="685"/>
      <c r="C63" s="452">
        <v>44228</v>
      </c>
      <c r="D63">
        <v>43.228142566849456</v>
      </c>
      <c r="E63">
        <v>42.308078470782107</v>
      </c>
      <c r="F63">
        <v>174.57026670712077</v>
      </c>
      <c r="M63" s="387" t="s">
        <v>264</v>
      </c>
      <c r="N63">
        <v>6080.57026670712</v>
      </c>
      <c r="O63">
        <v>1425.2281425668496</v>
      </c>
      <c r="P63">
        <v>1158.3080784707818</v>
      </c>
    </row>
    <row r="64" spans="1:16">
      <c r="A64" s="684"/>
      <c r="B64" s="685"/>
      <c r="C64" s="452">
        <v>44256</v>
      </c>
      <c r="D64">
        <v>49.166593160878065</v>
      </c>
      <c r="E64">
        <v>45.686477032988591</v>
      </c>
      <c r="F64">
        <v>192.30526331834955</v>
      </c>
      <c r="M64" s="387" t="s">
        <v>265</v>
      </c>
      <c r="N64">
        <v>6054.3052633183488</v>
      </c>
      <c r="O64">
        <v>1623.1665931608782</v>
      </c>
      <c r="P64">
        <v>1401.6864770329883</v>
      </c>
    </row>
    <row r="65" spans="1:16">
      <c r="A65" s="684"/>
      <c r="B65" s="685"/>
      <c r="C65" s="452">
        <v>44287</v>
      </c>
      <c r="D65">
        <v>55.929787299048385</v>
      </c>
      <c r="E65">
        <v>49.774729257668128</v>
      </c>
      <c r="F65">
        <v>209.96365366969513</v>
      </c>
      <c r="M65" s="387" t="s">
        <v>266</v>
      </c>
      <c r="N65">
        <v>6027.9636536696944</v>
      </c>
      <c r="O65">
        <v>6821.9297872990483</v>
      </c>
      <c r="P65">
        <v>1645.7747292576678</v>
      </c>
    </row>
    <row r="66" spans="1:16">
      <c r="A66" s="684"/>
      <c r="B66" s="685"/>
      <c r="C66" s="452">
        <v>44317</v>
      </c>
      <c r="D66">
        <v>84.354494746127912</v>
      </c>
      <c r="E66">
        <v>54.574905551336428</v>
      </c>
      <c r="F66">
        <v>227.5452143262317</v>
      </c>
      <c r="M66" s="387" t="s">
        <v>267</v>
      </c>
      <c r="N66">
        <v>6001.545214326231</v>
      </c>
      <c r="O66">
        <v>7042.3544947461278</v>
      </c>
      <c r="P66">
        <v>1890.5749055513361</v>
      </c>
    </row>
    <row r="67" spans="1:16">
      <c r="A67" s="684"/>
      <c r="B67" s="685"/>
      <c r="C67" s="452">
        <v>44348</v>
      </c>
      <c r="D67">
        <v>113.69763847423668</v>
      </c>
      <c r="E67">
        <v>60.089082359194549</v>
      </c>
      <c r="F67">
        <v>245.04972120134954</v>
      </c>
      <c r="M67" s="387" t="s">
        <v>268</v>
      </c>
      <c r="N67">
        <v>5975.0497212013488</v>
      </c>
      <c r="O67">
        <v>6763.6976384742366</v>
      </c>
      <c r="P67">
        <v>2136.0890823591944</v>
      </c>
    </row>
    <row r="68" spans="1:16">
      <c r="A68" s="684"/>
      <c r="B68" s="685"/>
      <c r="C68" s="452">
        <v>44378</v>
      </c>
      <c r="D68">
        <v>141.87971196787942</v>
      </c>
      <c r="E68">
        <v>66.319342182742389</v>
      </c>
      <c r="F68">
        <v>262.47694955485332</v>
      </c>
      <c r="M68" s="387" t="s">
        <v>269</v>
      </c>
      <c r="N68">
        <v>5948.4769495548526</v>
      </c>
      <c r="O68">
        <v>6483.8797119678793</v>
      </c>
      <c r="P68">
        <v>2382.3193421827423</v>
      </c>
    </row>
    <row r="69" spans="1:16">
      <c r="A69" s="684"/>
      <c r="B69" s="685"/>
      <c r="C69" s="452">
        <v>44409</v>
      </c>
      <c r="D69">
        <v>168.895877434412</v>
      </c>
      <c r="E69">
        <v>73.267773597442215</v>
      </c>
      <c r="F69">
        <v>279.82667399105486</v>
      </c>
      <c r="M69" s="387" t="s">
        <v>270</v>
      </c>
      <c r="N69">
        <v>5465.8266739910541</v>
      </c>
      <c r="O69">
        <v>6010.8958774344119</v>
      </c>
      <c r="P69">
        <v>889.2677735974421</v>
      </c>
    </row>
    <row r="70" spans="1:16">
      <c r="A70" s="684"/>
      <c r="B70" s="685"/>
      <c r="C70" s="452">
        <v>44440</v>
      </c>
      <c r="D70">
        <v>193.9412769237216</v>
      </c>
      <c r="E70">
        <v>75.861471270434777</v>
      </c>
      <c r="F70">
        <v>295.76866845686237</v>
      </c>
      <c r="M70" s="387" t="s">
        <v>257</v>
      </c>
      <c r="N70">
        <v>4981.7686684568616</v>
      </c>
      <c r="O70">
        <v>6035.9412769237215</v>
      </c>
      <c r="P70">
        <v>891.86147127043466</v>
      </c>
    </row>
    <row r="71" spans="1:16">
      <c r="A71" s="684"/>
      <c r="B71" s="685"/>
      <c r="C71" s="452">
        <v>44470</v>
      </c>
      <c r="D71">
        <v>219.091032244237</v>
      </c>
      <c r="E71">
        <v>78.462733894973553</v>
      </c>
      <c r="F71">
        <v>310.29882707319467</v>
      </c>
      <c r="M71" s="387" t="s">
        <v>259</v>
      </c>
      <c r="N71">
        <v>4996.2988270731939</v>
      </c>
      <c r="O71">
        <v>5461.0910322442369</v>
      </c>
      <c r="P71">
        <v>894.46273389497344</v>
      </c>
    </row>
    <row r="72" spans="1:16">
      <c r="A72" s="684"/>
      <c r="B72" s="685"/>
      <c r="C72" s="452">
        <v>44501</v>
      </c>
      <c r="D72">
        <v>241.84557821192095</v>
      </c>
      <c r="E72">
        <v>81.071583535500622</v>
      </c>
      <c r="F72">
        <v>324.87136531882499</v>
      </c>
      <c r="M72" s="387" t="s">
        <v>261</v>
      </c>
      <c r="N72">
        <v>4440.8713653188242</v>
      </c>
      <c r="O72">
        <v>5483.8455782119208</v>
      </c>
      <c r="P72">
        <v>897.07158353550051</v>
      </c>
    </row>
    <row r="73" spans="1:16">
      <c r="A73" s="684"/>
      <c r="B73" s="685"/>
      <c r="C73" s="452">
        <v>44531</v>
      </c>
      <c r="D73">
        <v>264.69493478780362</v>
      </c>
      <c r="E73">
        <v>83.688042320812542</v>
      </c>
      <c r="F73">
        <v>337.82390680100508</v>
      </c>
      <c r="M73" s="387" t="s">
        <v>262</v>
      </c>
      <c r="N73">
        <v>4339.8239068010043</v>
      </c>
      <c r="O73">
        <v>5698.6949347878035</v>
      </c>
      <c r="P73">
        <v>1139.6880423208124</v>
      </c>
    </row>
    <row r="74" spans="1:16">
      <c r="A74" s="684"/>
      <c r="B74" s="685"/>
      <c r="C74" s="176">
        <v>2022</v>
      </c>
      <c r="D74">
        <v>940.15166600222472</v>
      </c>
      <c r="E74">
        <v>273.84951869900885</v>
      </c>
      <c r="F74">
        <v>1088.2354512232309</v>
      </c>
      <c r="M74" s="176" t="s">
        <v>260</v>
      </c>
      <c r="N74">
        <v>12410.235451223229</v>
      </c>
      <c r="O74">
        <v>17394.151666002224</v>
      </c>
      <c r="P74">
        <v>4381.8495186990085</v>
      </c>
    </row>
    <row r="75" spans="1:16">
      <c r="A75" s="684"/>
      <c r="B75" s="685"/>
      <c r="C75" s="452">
        <v>44562</v>
      </c>
      <c r="D75">
        <v>288.43949701608574</v>
      </c>
      <c r="E75">
        <v>87.012132444248323</v>
      </c>
      <c r="F75">
        <v>350.48172652917475</v>
      </c>
      <c r="M75" s="387" t="s">
        <v>263</v>
      </c>
      <c r="N75">
        <v>4238.481726529174</v>
      </c>
      <c r="O75">
        <v>5914.4394970160856</v>
      </c>
      <c r="P75">
        <v>1383.0121324442482</v>
      </c>
    </row>
    <row r="76" spans="1:16">
      <c r="A76" s="684"/>
      <c r="B76" s="685"/>
      <c r="C76" s="452">
        <v>44593</v>
      </c>
      <c r="D76">
        <v>313.08299492031904</v>
      </c>
      <c r="E76">
        <v>91.045917830543999</v>
      </c>
      <c r="F76">
        <v>362.8439648982183</v>
      </c>
      <c r="M76" s="387" t="s">
        <v>264</v>
      </c>
      <c r="N76">
        <v>4136.8439648982176</v>
      </c>
      <c r="O76">
        <v>6131.0829949203189</v>
      </c>
      <c r="P76">
        <v>1627.0459178305439</v>
      </c>
    </row>
    <row r="77" spans="1:16">
      <c r="A77" s="684"/>
      <c r="B77" s="685"/>
      <c r="C77" s="452">
        <v>44621</v>
      </c>
      <c r="D77">
        <v>338.62917406581994</v>
      </c>
      <c r="E77">
        <v>95.791468424216532</v>
      </c>
      <c r="F77">
        <v>374.90975979583783</v>
      </c>
      <c r="M77" s="387" t="s">
        <v>265</v>
      </c>
      <c r="N77">
        <v>4034.9097597958371</v>
      </c>
      <c r="O77">
        <v>5348.6291740658198</v>
      </c>
      <c r="P77">
        <v>1371.7914684242164</v>
      </c>
    </row>
    <row r="78" spans="1:16">
      <c r="A78" s="684"/>
      <c r="B78" s="685"/>
      <c r="C78" s="176" t="s">
        <v>300</v>
      </c>
      <c r="M78" s="176" t="s">
        <v>83</v>
      </c>
      <c r="N78">
        <v>132575.39883265426</v>
      </c>
      <c r="O78">
        <v>86619.630949863189</v>
      </c>
      <c r="P78">
        <v>34214.580642441004</v>
      </c>
    </row>
    <row r="79" spans="1:16">
      <c r="A79" s="684"/>
      <c r="B79" s="685"/>
      <c r="C79" s="387" t="s">
        <v>300</v>
      </c>
    </row>
    <row r="80" spans="1:16">
      <c r="A80" s="684"/>
      <c r="B80" s="685"/>
      <c r="C80" s="176" t="s">
        <v>83</v>
      </c>
      <c r="D80">
        <v>2723.6309498631904</v>
      </c>
      <c r="E80">
        <v>1308.5806424410112</v>
      </c>
      <c r="F80">
        <v>4892.3988326542876</v>
      </c>
    </row>
    <row r="81" spans="1:2">
      <c r="A81" s="684"/>
      <c r="B81" s="685"/>
    </row>
    <row r="82" spans="1:2">
      <c r="A82" s="684"/>
      <c r="B82" s="685"/>
    </row>
    <row r="83" spans="1:2">
      <c r="A83" s="684"/>
      <c r="B83" s="685"/>
    </row>
    <row r="84" spans="1:2">
      <c r="A84" s="684"/>
      <c r="B84" s="685"/>
    </row>
    <row r="85" spans="1:2">
      <c r="A85" s="684"/>
      <c r="B85" s="685"/>
    </row>
    <row r="86" spans="1:2">
      <c r="A86" s="684"/>
      <c r="B86" s="685"/>
    </row>
    <row r="87" spans="1:2">
      <c r="A87" s="684"/>
      <c r="B87" s="685"/>
    </row>
    <row r="88" spans="1:2">
      <c r="A88" s="684"/>
      <c r="B88" s="685"/>
    </row>
    <row r="89" spans="1:2">
      <c r="A89" s="684"/>
      <c r="B89" s="685"/>
    </row>
    <row r="90" spans="1:2">
      <c r="A90" s="684"/>
      <c r="B90" s="685"/>
    </row>
    <row r="91" spans="1:2">
      <c r="A91" s="684"/>
      <c r="B91" s="685"/>
    </row>
    <row r="92" spans="1:2">
      <c r="A92" s="684"/>
      <c r="B92" s="685"/>
    </row>
    <row r="93" spans="1:2">
      <c r="A93" s="684"/>
      <c r="B93" s="685"/>
    </row>
    <row r="94" spans="1:2">
      <c r="A94" s="684"/>
      <c r="B94" s="685"/>
    </row>
    <row r="95" spans="1:2">
      <c r="A95" s="684"/>
      <c r="B95" s="685"/>
    </row>
    <row r="96" spans="1:2">
      <c r="A96" s="684"/>
      <c r="B96" s="685"/>
    </row>
    <row r="97" spans="1:2">
      <c r="A97" s="684"/>
      <c r="B97" s="685"/>
    </row>
    <row r="98" spans="1:2">
      <c r="A98" s="684"/>
      <c r="B98" s="685"/>
    </row>
    <row r="99" spans="1:2">
      <c r="A99" s="684"/>
      <c r="B99" s="685"/>
    </row>
    <row r="100" spans="1:2">
      <c r="A100" s="684"/>
      <c r="B100" s="685"/>
    </row>
    <row r="101" spans="1:2">
      <c r="A101" s="684"/>
      <c r="B101" s="685"/>
    </row>
    <row r="102" spans="1:2">
      <c r="A102" s="684"/>
      <c r="B102" s="685"/>
    </row>
    <row r="103" spans="1:2">
      <c r="A103" s="684"/>
      <c r="B103" s="685"/>
    </row>
    <row r="104" spans="1:2">
      <c r="A104" s="684"/>
      <c r="B104" s="685"/>
    </row>
    <row r="105" spans="1:2">
      <c r="A105" s="684"/>
      <c r="B105" s="685"/>
    </row>
    <row r="106" spans="1:2">
      <c r="A106" s="684"/>
      <c r="B106" s="685"/>
    </row>
    <row r="107" spans="1:2">
      <c r="A107" s="684"/>
      <c r="B107" s="685"/>
    </row>
    <row r="108" spans="1:2">
      <c r="A108" s="684"/>
      <c r="B108" s="685"/>
    </row>
    <row r="109" spans="1:2">
      <c r="A109" s="684"/>
      <c r="B109" s="685"/>
    </row>
    <row r="110" spans="1:2">
      <c r="A110" s="684"/>
      <c r="B110" s="685"/>
    </row>
    <row r="111" spans="1:2">
      <c r="A111" s="684"/>
      <c r="B111" s="685"/>
    </row>
    <row r="112" spans="1:2">
      <c r="A112" s="684"/>
      <c r="B112" s="685"/>
    </row>
    <row r="113" spans="1:2">
      <c r="A113" s="684"/>
      <c r="B113" s="685"/>
    </row>
    <row r="114" spans="1:2">
      <c r="A114" s="684"/>
      <c r="B114" s="685"/>
    </row>
    <row r="115" spans="1:2">
      <c r="A115" s="684"/>
      <c r="B115" s="685"/>
    </row>
    <row r="116" spans="1:2">
      <c r="A116" s="684"/>
      <c r="B116" s="685"/>
    </row>
    <row r="117" spans="1:2">
      <c r="A117" s="684"/>
      <c r="B117" s="685"/>
    </row>
    <row r="118" spans="1:2">
      <c r="A118" s="684"/>
      <c r="B118" s="685"/>
    </row>
    <row r="119" spans="1:2">
      <c r="A119" s="684"/>
      <c r="B119" s="685"/>
    </row>
    <row r="120" spans="1:2">
      <c r="A120" s="684"/>
      <c r="B120" s="685"/>
    </row>
    <row r="121" spans="1:2">
      <c r="A121" s="684"/>
      <c r="B121" s="685"/>
    </row>
    <row r="122" spans="1:2">
      <c r="A122" s="684"/>
      <c r="B122" s="685"/>
    </row>
    <row r="123" spans="1:2">
      <c r="A123" s="684"/>
      <c r="B123" s="685"/>
    </row>
    <row r="124" spans="1:2">
      <c r="A124" s="684"/>
      <c r="B124" s="685"/>
    </row>
    <row r="125" spans="1:2">
      <c r="A125" s="684"/>
      <c r="B125" s="685"/>
    </row>
    <row r="126" spans="1:2">
      <c r="A126" s="684"/>
      <c r="B126" s="685"/>
    </row>
    <row r="127" spans="1:2">
      <c r="A127" s="684"/>
      <c r="B127" s="685"/>
    </row>
    <row r="128" spans="1:2">
      <c r="A128" s="684"/>
      <c r="B128" s="685"/>
    </row>
    <row r="129" spans="1:2">
      <c r="A129" s="684"/>
      <c r="B129" s="685"/>
    </row>
    <row r="130" spans="1:2">
      <c r="A130" s="684"/>
      <c r="B130" s="685"/>
    </row>
    <row r="131" spans="1:2">
      <c r="A131" s="684"/>
      <c r="B131" s="685"/>
    </row>
    <row r="132" spans="1:2">
      <c r="A132" s="684"/>
      <c r="B132" s="685"/>
    </row>
    <row r="133" spans="1:2">
      <c r="A133" s="684"/>
      <c r="B133" s="685"/>
    </row>
    <row r="134" spans="1:2">
      <c r="A134" s="684"/>
      <c r="B134" s="685"/>
    </row>
    <row r="135" spans="1:2">
      <c r="A135" s="684"/>
      <c r="B135" s="685"/>
    </row>
    <row r="136" spans="1:2">
      <c r="A136" s="684"/>
      <c r="B136" s="685"/>
    </row>
    <row r="137" spans="1:2">
      <c r="A137" s="684"/>
      <c r="B137" s="685"/>
    </row>
    <row r="138" spans="1:2">
      <c r="A138" s="684"/>
      <c r="B138" s="685"/>
    </row>
    <row r="139" spans="1:2">
      <c r="A139" s="684"/>
      <c r="B139" s="685"/>
    </row>
    <row r="140" spans="1:2">
      <c r="A140" s="684"/>
      <c r="B140" s="685"/>
    </row>
    <row r="141" spans="1:2">
      <c r="A141" s="684"/>
      <c r="B141" s="685"/>
    </row>
    <row r="142" spans="1:2">
      <c r="A142" s="684"/>
      <c r="B142" s="685"/>
    </row>
    <row r="143" spans="1:2">
      <c r="A143" s="684"/>
      <c r="B143" s="685"/>
    </row>
    <row r="144" spans="1:2">
      <c r="A144" s="684"/>
      <c r="B144" s="685"/>
    </row>
    <row r="145" spans="1:2">
      <c r="A145" s="684"/>
      <c r="B145" s="685"/>
    </row>
    <row r="146" spans="1:2">
      <c r="A146" s="684"/>
      <c r="B146" s="685"/>
    </row>
    <row r="147" spans="1:2">
      <c r="A147" s="684"/>
      <c r="B147" s="685"/>
    </row>
    <row r="148" spans="1:2">
      <c r="A148" s="684"/>
      <c r="B148" s="685"/>
    </row>
    <row r="149" spans="1:2">
      <c r="A149" s="684"/>
      <c r="B149" s="685"/>
    </row>
    <row r="150" spans="1:2">
      <c r="A150" s="684"/>
      <c r="B150" s="685"/>
    </row>
    <row r="151" spans="1:2">
      <c r="A151" s="684"/>
      <c r="B151" s="685"/>
    </row>
    <row r="152" spans="1:2">
      <c r="A152" s="684"/>
      <c r="B152" s="685"/>
    </row>
    <row r="153" spans="1:2">
      <c r="A153" s="684"/>
      <c r="B153" s="685"/>
    </row>
    <row r="154" spans="1:2">
      <c r="A154" s="684"/>
      <c r="B154" s="685"/>
    </row>
    <row r="155" spans="1:2">
      <c r="A155" s="684"/>
      <c r="B155" s="685"/>
    </row>
    <row r="156" spans="1:2">
      <c r="A156" s="684"/>
      <c r="B156" s="685"/>
    </row>
    <row r="157" spans="1:2">
      <c r="A157" s="684"/>
      <c r="B157" s="685"/>
    </row>
    <row r="158" spans="1:2">
      <c r="A158" s="684"/>
      <c r="B158" s="685"/>
    </row>
    <row r="159" spans="1:2">
      <c r="A159" s="684"/>
      <c r="B159" s="685"/>
    </row>
    <row r="160" spans="1:2">
      <c r="A160" s="684"/>
      <c r="B160" s="685"/>
    </row>
    <row r="161" spans="1:2">
      <c r="A161" s="684"/>
      <c r="B161" s="685"/>
    </row>
    <row r="162" spans="1:2">
      <c r="A162" s="684"/>
      <c r="B162" s="685"/>
    </row>
    <row r="163" spans="1:2">
      <c r="A163" s="684"/>
      <c r="B163" s="685"/>
    </row>
    <row r="164" spans="1:2">
      <c r="A164" s="684"/>
      <c r="B164" s="685"/>
    </row>
    <row r="165" spans="1:2">
      <c r="A165" s="684"/>
      <c r="B165" s="685"/>
    </row>
    <row r="166" spans="1:2">
      <c r="A166" s="684"/>
      <c r="B166" s="685"/>
    </row>
    <row r="167" spans="1:2">
      <c r="A167" s="684"/>
      <c r="B167" s="685"/>
    </row>
    <row r="168" spans="1:2">
      <c r="A168" s="684"/>
      <c r="B168" s="685"/>
    </row>
    <row r="169" spans="1:2">
      <c r="A169" s="684"/>
      <c r="B169" s="685"/>
    </row>
    <row r="170" spans="1:2">
      <c r="A170" s="684"/>
      <c r="B170" s="685"/>
    </row>
    <row r="171" spans="1:2">
      <c r="A171" s="684"/>
      <c r="B171" s="685"/>
    </row>
    <row r="172" spans="1:2">
      <c r="A172" s="684"/>
      <c r="B172" s="685"/>
    </row>
    <row r="173" spans="1:2">
      <c r="A173" s="684"/>
      <c r="B173" s="685"/>
    </row>
    <row r="174" spans="1:2">
      <c r="A174" s="684"/>
      <c r="B174" s="685"/>
    </row>
    <row r="175" spans="1:2">
      <c r="A175" s="684"/>
      <c r="B175" s="685"/>
    </row>
    <row r="176" spans="1:2">
      <c r="A176" s="684"/>
      <c r="B176" s="685"/>
    </row>
    <row r="177" spans="1:2">
      <c r="A177" s="684"/>
      <c r="B177" s="685"/>
    </row>
    <row r="178" spans="1:2">
      <c r="A178" s="684"/>
      <c r="B178" s="685"/>
    </row>
    <row r="179" spans="1:2">
      <c r="A179" s="684"/>
      <c r="B179" s="685"/>
    </row>
    <row r="180" spans="1:2">
      <c r="A180" s="684"/>
      <c r="B180" s="685"/>
    </row>
    <row r="181" spans="1:2">
      <c r="A181" s="684"/>
      <c r="B181" s="685"/>
    </row>
    <row r="182" spans="1:2">
      <c r="A182" s="684"/>
      <c r="B182" s="685"/>
    </row>
    <row r="183" spans="1:2">
      <c r="A183" s="684"/>
      <c r="B183" s="685"/>
    </row>
    <row r="184" spans="1:2">
      <c r="A184" s="684"/>
      <c r="B184" s="685"/>
    </row>
    <row r="185" spans="1:2">
      <c r="A185" s="684"/>
      <c r="B185" s="685"/>
    </row>
    <row r="186" spans="1:2">
      <c r="A186" s="684"/>
      <c r="B186" s="685"/>
    </row>
    <row r="187" spans="1:2">
      <c r="A187" s="684"/>
      <c r="B187" s="685"/>
    </row>
    <row r="188" spans="1:2">
      <c r="A188" s="684"/>
      <c r="B188" s="685"/>
    </row>
    <row r="189" spans="1:2">
      <c r="A189" s="684"/>
      <c r="B189" s="685"/>
    </row>
    <row r="190" spans="1:2">
      <c r="A190" s="684"/>
      <c r="B190" s="685"/>
    </row>
    <row r="191" spans="1:2">
      <c r="A191" s="684"/>
      <c r="B191" s="685"/>
    </row>
    <row r="192" spans="1:2">
      <c r="A192" s="684"/>
      <c r="B192" s="685"/>
    </row>
    <row r="193" spans="1:2">
      <c r="A193" s="684"/>
      <c r="B193" s="685"/>
    </row>
    <row r="194" spans="1:2">
      <c r="A194" s="684"/>
      <c r="B194" s="685"/>
    </row>
    <row r="195" spans="1:2">
      <c r="A195" s="684"/>
      <c r="B195" s="685"/>
    </row>
    <row r="196" spans="1:2">
      <c r="A196" s="684"/>
      <c r="B196" s="685"/>
    </row>
    <row r="197" spans="1:2">
      <c r="A197" s="684"/>
      <c r="B197" s="685"/>
    </row>
    <row r="198" spans="1:2">
      <c r="A198" s="684"/>
      <c r="B198" s="685"/>
    </row>
    <row r="199" spans="1:2">
      <c r="A199" s="684"/>
      <c r="B199" s="685"/>
    </row>
    <row r="200" spans="1:2">
      <c r="A200" s="684"/>
      <c r="B200" s="685"/>
    </row>
    <row r="201" spans="1:2">
      <c r="A201" s="684"/>
      <c r="B201" s="685"/>
    </row>
    <row r="202" spans="1:2">
      <c r="A202" s="684"/>
      <c r="B202" s="685"/>
    </row>
    <row r="203" spans="1:2">
      <c r="A203" s="684"/>
      <c r="B203" s="685"/>
    </row>
    <row r="204" spans="1:2">
      <c r="A204" s="684"/>
      <c r="B204" s="685"/>
    </row>
    <row r="205" spans="1:2">
      <c r="A205" s="684"/>
      <c r="B205" s="685"/>
    </row>
    <row r="206" spans="1:2">
      <c r="A206" s="684"/>
      <c r="B206" s="685"/>
    </row>
    <row r="207" spans="1:2">
      <c r="A207" s="684"/>
      <c r="B207" s="685"/>
    </row>
    <row r="208" spans="1:2">
      <c r="A208" s="684"/>
      <c r="B208" s="685"/>
    </row>
    <row r="209" spans="1:2">
      <c r="A209" s="684"/>
      <c r="B209" s="685"/>
    </row>
    <row r="210" spans="1:2">
      <c r="A210" s="684"/>
      <c r="B210" s="685"/>
    </row>
    <row r="211" spans="1:2">
      <c r="A211" s="684"/>
      <c r="B211" s="685"/>
    </row>
    <row r="212" spans="1:2">
      <c r="A212" s="684"/>
      <c r="B212" s="685"/>
    </row>
    <row r="213" spans="1:2">
      <c r="A213" s="684"/>
      <c r="B213" s="685"/>
    </row>
    <row r="214" spans="1:2">
      <c r="A214" s="684"/>
      <c r="B214" s="685"/>
    </row>
    <row r="215" spans="1:2">
      <c r="A215" s="684"/>
      <c r="B215" s="685"/>
    </row>
    <row r="216" spans="1:2">
      <c r="A216" s="684"/>
      <c r="B216" s="685"/>
    </row>
    <row r="217" spans="1:2">
      <c r="A217" s="684"/>
      <c r="B217" s="685"/>
    </row>
    <row r="218" spans="1:2">
      <c r="A218" s="684"/>
      <c r="B218" s="685"/>
    </row>
    <row r="219" spans="1:2">
      <c r="A219" s="684"/>
      <c r="B219" s="685"/>
    </row>
    <row r="220" spans="1:2">
      <c r="A220" s="684"/>
      <c r="B220" s="685"/>
    </row>
    <row r="221" spans="1:2">
      <c r="A221" s="684"/>
      <c r="B221" s="685"/>
    </row>
    <row r="222" spans="1:2">
      <c r="A222" s="684"/>
      <c r="B222" s="685"/>
    </row>
    <row r="223" spans="1:2">
      <c r="A223" s="684"/>
      <c r="B223" s="685"/>
    </row>
    <row r="224" spans="1:2">
      <c r="A224" s="684"/>
      <c r="B224" s="685"/>
    </row>
    <row r="225" spans="1:2">
      <c r="A225" s="684"/>
      <c r="B225" s="685"/>
    </row>
    <row r="226" spans="1:2">
      <c r="A226" s="684"/>
      <c r="B226" s="685"/>
    </row>
    <row r="227" spans="1:2">
      <c r="A227" s="684"/>
      <c r="B227" s="685"/>
    </row>
    <row r="228" spans="1:2">
      <c r="A228" s="684"/>
      <c r="B228" s="685"/>
    </row>
    <row r="229" spans="1:2">
      <c r="A229" s="684"/>
      <c r="B229" s="685"/>
    </row>
    <row r="230" spans="1:2">
      <c r="A230" s="684"/>
      <c r="B230" s="685"/>
    </row>
    <row r="231" spans="1:2">
      <c r="A231" s="684"/>
      <c r="B231" s="685"/>
    </row>
    <row r="232" spans="1:2">
      <c r="A232" s="684"/>
      <c r="B232" s="685"/>
    </row>
    <row r="233" spans="1:2">
      <c r="A233" s="684"/>
      <c r="B233" s="685"/>
    </row>
    <row r="234" spans="1:2">
      <c r="A234" s="684"/>
      <c r="B234" s="685"/>
    </row>
    <row r="235" spans="1:2">
      <c r="A235" s="684"/>
      <c r="B235" s="685"/>
    </row>
    <row r="236" spans="1:2">
      <c r="A236" s="684"/>
      <c r="B236" s="685"/>
    </row>
    <row r="237" spans="1:2">
      <c r="A237" s="684"/>
      <c r="B237" s="685"/>
    </row>
    <row r="238" spans="1:2">
      <c r="A238" s="684"/>
      <c r="B238" s="685"/>
    </row>
    <row r="239" spans="1:2">
      <c r="A239" s="684"/>
      <c r="B239" s="685"/>
    </row>
    <row r="240" spans="1:2">
      <c r="A240" s="684"/>
      <c r="B240" s="685"/>
    </row>
    <row r="241" spans="1:2">
      <c r="A241" s="684"/>
      <c r="B241" s="685"/>
    </row>
    <row r="242" spans="1:2">
      <c r="A242" s="684"/>
      <c r="B242" s="685"/>
    </row>
    <row r="243" spans="1:2">
      <c r="A243" s="684"/>
      <c r="B243" s="685"/>
    </row>
    <row r="244" spans="1:2">
      <c r="A244" s="684"/>
      <c r="B244" s="685"/>
    </row>
    <row r="245" spans="1:2">
      <c r="A245" s="684"/>
      <c r="B245" s="685"/>
    </row>
    <row r="246" spans="1:2">
      <c r="A246" s="684"/>
      <c r="B246" s="685"/>
    </row>
    <row r="247" spans="1:2">
      <c r="A247" s="684"/>
      <c r="B247" s="685"/>
    </row>
    <row r="248" spans="1:2">
      <c r="A248" s="684"/>
      <c r="B248" s="685"/>
    </row>
    <row r="249" spans="1:2">
      <c r="A249" s="684"/>
      <c r="B249" s="685"/>
    </row>
    <row r="250" spans="1:2">
      <c r="A250" s="684"/>
      <c r="B250" s="685"/>
    </row>
    <row r="251" spans="1:2">
      <c r="A251" s="684"/>
      <c r="B251" s="685"/>
    </row>
    <row r="252" spans="1:2">
      <c r="A252" s="684"/>
      <c r="B252" s="685"/>
    </row>
    <row r="253" spans="1:2">
      <c r="A253" s="684"/>
      <c r="B253" s="685"/>
    </row>
    <row r="254" spans="1:2">
      <c r="A254" s="684"/>
      <c r="B254" s="685"/>
    </row>
    <row r="255" spans="1:2">
      <c r="A255" s="684"/>
      <c r="B255" s="685"/>
    </row>
    <row r="256" spans="1:2">
      <c r="A256" s="684"/>
      <c r="B256" s="685"/>
    </row>
    <row r="257" spans="1:2">
      <c r="A257" s="684"/>
      <c r="B257" s="685"/>
    </row>
    <row r="258" spans="1:2">
      <c r="A258" s="684"/>
      <c r="B258" s="685"/>
    </row>
    <row r="259" spans="1:2">
      <c r="A259" s="684"/>
      <c r="B259" s="685"/>
    </row>
    <row r="260" spans="1:2">
      <c r="A260" s="684"/>
      <c r="B260" s="685"/>
    </row>
    <row r="261" spans="1:2">
      <c r="A261" s="684"/>
      <c r="B261" s="685"/>
    </row>
    <row r="262" spans="1:2">
      <c r="A262" s="684"/>
      <c r="B262" s="685"/>
    </row>
    <row r="263" spans="1:2">
      <c r="A263" s="684"/>
      <c r="B263" s="685"/>
    </row>
    <row r="264" spans="1:2">
      <c r="A264" s="684"/>
      <c r="B264" s="685"/>
    </row>
    <row r="265" spans="1:2">
      <c r="A265" s="684"/>
      <c r="B265" s="685"/>
    </row>
    <row r="266" spans="1:2">
      <c r="A266" s="684"/>
      <c r="B266" s="685"/>
    </row>
    <row r="267" spans="1:2">
      <c r="A267" s="684"/>
      <c r="B267" s="685"/>
    </row>
    <row r="268" spans="1:2">
      <c r="A268" s="684"/>
      <c r="B268" s="685"/>
    </row>
    <row r="269" spans="1:2">
      <c r="A269" s="684"/>
      <c r="B269" s="685"/>
    </row>
    <row r="270" spans="1:2">
      <c r="A270" s="684"/>
      <c r="B270" s="685"/>
    </row>
    <row r="271" spans="1:2">
      <c r="A271" s="684"/>
      <c r="B271" s="685"/>
    </row>
    <row r="272" spans="1:2">
      <c r="A272" s="684"/>
      <c r="B272" s="685"/>
    </row>
    <row r="273" spans="1:2">
      <c r="A273" s="684"/>
      <c r="B273" s="685"/>
    </row>
    <row r="274" spans="1:2">
      <c r="A274" s="684"/>
      <c r="B274" s="685"/>
    </row>
    <row r="275" spans="1:2">
      <c r="A275" s="684"/>
      <c r="B275" s="685"/>
    </row>
    <row r="276" spans="1:2">
      <c r="A276" s="684"/>
      <c r="B276" s="685"/>
    </row>
    <row r="277" spans="1:2">
      <c r="A277" s="684"/>
      <c r="B277" s="685"/>
    </row>
    <row r="278" spans="1:2">
      <c r="A278" s="684"/>
      <c r="B278" s="685"/>
    </row>
    <row r="279" spans="1:2">
      <c r="A279" s="684"/>
      <c r="B279" s="685"/>
    </row>
    <row r="280" spans="1:2">
      <c r="A280" s="684"/>
      <c r="B280" s="685"/>
    </row>
    <row r="281" spans="1:2">
      <c r="A281" s="684"/>
      <c r="B281" s="685"/>
    </row>
    <row r="282" spans="1:2">
      <c r="A282" s="684"/>
      <c r="B282" s="685"/>
    </row>
    <row r="283" spans="1:2">
      <c r="A283" s="684"/>
      <c r="B283" s="685"/>
    </row>
    <row r="284" spans="1:2">
      <c r="A284" s="684"/>
      <c r="B284" s="685"/>
    </row>
    <row r="285" spans="1:2">
      <c r="A285" s="684"/>
      <c r="B285" s="685"/>
    </row>
    <row r="286" spans="1:2">
      <c r="A286" s="684"/>
      <c r="B286" s="685"/>
    </row>
    <row r="287" spans="1:2">
      <c r="A287" s="684"/>
      <c r="B287" s="685"/>
    </row>
    <row r="288" spans="1:2">
      <c r="A288" s="684"/>
      <c r="B288" s="685"/>
    </row>
    <row r="289" spans="1:2">
      <c r="A289" s="684"/>
      <c r="B289" s="685"/>
    </row>
    <row r="290" spans="1:2">
      <c r="A290" s="684"/>
      <c r="B290" s="685"/>
    </row>
    <row r="291" spans="1:2">
      <c r="A291" s="684"/>
      <c r="B291" s="685"/>
    </row>
    <row r="292" spans="1:2">
      <c r="A292" s="684"/>
      <c r="B292" s="685"/>
    </row>
    <row r="293" spans="1:2">
      <c r="A293" s="684"/>
      <c r="B293" s="685"/>
    </row>
    <row r="294" spans="1:2">
      <c r="A294" s="684"/>
      <c r="B294" s="685"/>
    </row>
    <row r="295" spans="1:2">
      <c r="A295" s="684"/>
      <c r="B295" s="685"/>
    </row>
    <row r="296" spans="1:2">
      <c r="A296" s="684"/>
      <c r="B296" s="685"/>
    </row>
    <row r="297" spans="1:2">
      <c r="A297" s="684"/>
      <c r="B297" s="685"/>
    </row>
    <row r="298" spans="1:2">
      <c r="A298" s="684"/>
      <c r="B298" s="685"/>
    </row>
    <row r="299" spans="1:2">
      <c r="A299" s="684"/>
      <c r="B299" s="685"/>
    </row>
    <row r="300" spans="1:2">
      <c r="A300" s="684"/>
      <c r="B300" s="685"/>
    </row>
    <row r="301" spans="1:2">
      <c r="A301" s="684"/>
      <c r="B301" s="685"/>
    </row>
    <row r="302" spans="1:2">
      <c r="A302" s="684"/>
      <c r="B302" s="685"/>
    </row>
    <row r="303" spans="1:2">
      <c r="A303" s="684"/>
      <c r="B303" s="685"/>
    </row>
    <row r="304" spans="1:2">
      <c r="A304" s="684"/>
      <c r="B304" s="685"/>
    </row>
    <row r="305" spans="1:2">
      <c r="A305" s="684"/>
      <c r="B305" s="685"/>
    </row>
    <row r="306" spans="1:2">
      <c r="A306" s="684"/>
      <c r="B306" s="685"/>
    </row>
    <row r="307" spans="1:2">
      <c r="A307" s="684"/>
      <c r="B307" s="685"/>
    </row>
    <row r="308" spans="1:2">
      <c r="A308" s="684"/>
      <c r="B308" s="685"/>
    </row>
    <row r="309" spans="1:2">
      <c r="A309" s="684"/>
      <c r="B309" s="685"/>
    </row>
    <row r="310" spans="1:2">
      <c r="A310" s="684"/>
      <c r="B310" s="685"/>
    </row>
    <row r="311" spans="1:2">
      <c r="A311" s="684"/>
      <c r="B311" s="685"/>
    </row>
    <row r="312" spans="1:2">
      <c r="A312" s="684"/>
      <c r="B312" s="685"/>
    </row>
    <row r="313" spans="1:2">
      <c r="A313" s="684"/>
      <c r="B313" s="685"/>
    </row>
    <row r="314" spans="1:2">
      <c r="A314" s="684"/>
      <c r="B314" s="685"/>
    </row>
    <row r="315" spans="1:2">
      <c r="A315" s="684"/>
      <c r="B315" s="685"/>
    </row>
    <row r="316" spans="1:2">
      <c r="A316" s="684"/>
      <c r="B316" s="685"/>
    </row>
    <row r="317" spans="1:2">
      <c r="A317" s="684"/>
      <c r="B317" s="685"/>
    </row>
    <row r="318" spans="1:2">
      <c r="A318" s="684"/>
      <c r="B318" s="685"/>
    </row>
    <row r="319" spans="1:2">
      <c r="A319" s="684"/>
      <c r="B319" s="685"/>
    </row>
    <row r="320" spans="1:2">
      <c r="A320" s="684"/>
      <c r="B320" s="685"/>
    </row>
    <row r="321" spans="1:2">
      <c r="A321" s="684"/>
      <c r="B321" s="685"/>
    </row>
    <row r="322" spans="1:2">
      <c r="A322" s="684"/>
      <c r="B322" s="685"/>
    </row>
    <row r="323" spans="1:2">
      <c r="A323" s="684"/>
      <c r="B323" s="685"/>
    </row>
    <row r="324" spans="1:2">
      <c r="A324" s="684"/>
      <c r="B324" s="685"/>
    </row>
    <row r="325" spans="1:2">
      <c r="A325" s="684"/>
      <c r="B325" s="685"/>
    </row>
    <row r="326" spans="1:2">
      <c r="A326" s="684"/>
      <c r="B326" s="685"/>
    </row>
    <row r="327" spans="1:2">
      <c r="A327" s="684"/>
      <c r="B327" s="685"/>
    </row>
    <row r="328" spans="1:2">
      <c r="A328" s="684"/>
      <c r="B328" s="685"/>
    </row>
    <row r="329" spans="1:2">
      <c r="A329" s="684"/>
      <c r="B329" s="685"/>
    </row>
    <row r="330" spans="1:2">
      <c r="A330" s="684"/>
      <c r="B330" s="685"/>
    </row>
    <row r="331" spans="1:2">
      <c r="A331" s="684"/>
      <c r="B331" s="685"/>
    </row>
    <row r="332" spans="1:2">
      <c r="A332" s="684"/>
      <c r="B332" s="685"/>
    </row>
    <row r="333" spans="1:2">
      <c r="A333" s="684"/>
      <c r="B333" s="685"/>
    </row>
    <row r="334" spans="1:2">
      <c r="A334" s="684"/>
      <c r="B334" s="685"/>
    </row>
    <row r="335" spans="1:2">
      <c r="A335" s="684"/>
      <c r="B335" s="685"/>
    </row>
    <row r="336" spans="1:2">
      <c r="A336" s="684"/>
      <c r="B336" s="685"/>
    </row>
    <row r="337" spans="1:2">
      <c r="A337" s="684"/>
      <c r="B337" s="685"/>
    </row>
    <row r="338" spans="1:2">
      <c r="A338" s="684"/>
      <c r="B338" s="685"/>
    </row>
    <row r="339" spans="1:2">
      <c r="A339" s="684"/>
      <c r="B339" s="685"/>
    </row>
    <row r="340" spans="1:2">
      <c r="A340" s="684"/>
      <c r="B340" s="685"/>
    </row>
    <row r="341" spans="1:2">
      <c r="A341" s="684"/>
      <c r="B341" s="685"/>
    </row>
    <row r="342" spans="1:2">
      <c r="A342" s="684"/>
      <c r="B342" s="685"/>
    </row>
    <row r="343" spans="1:2">
      <c r="A343" s="684"/>
      <c r="B343" s="685"/>
    </row>
    <row r="344" spans="1:2">
      <c r="A344" s="684"/>
      <c r="B344" s="685"/>
    </row>
    <row r="345" spans="1:2">
      <c r="A345" s="684"/>
      <c r="B345" s="685"/>
    </row>
  </sheetData>
  <mergeCells count="85">
    <mergeCell ref="A42:B45"/>
    <mergeCell ref="Z9:AD9"/>
    <mergeCell ref="AE9:AI9"/>
    <mergeCell ref="AJ9:AN9"/>
    <mergeCell ref="B1:B4"/>
    <mergeCell ref="A7:B7"/>
    <mergeCell ref="A30:B33"/>
    <mergeCell ref="A34:B37"/>
    <mergeCell ref="A38:B41"/>
    <mergeCell ref="C1:P5"/>
    <mergeCell ref="A90:B93"/>
    <mergeCell ref="A46:B49"/>
    <mergeCell ref="A50:B53"/>
    <mergeCell ref="A54:B57"/>
    <mergeCell ref="A58:B61"/>
    <mergeCell ref="A62:B65"/>
    <mergeCell ref="A66:B69"/>
    <mergeCell ref="A70:B73"/>
    <mergeCell ref="A74:B77"/>
    <mergeCell ref="A78:B81"/>
    <mergeCell ref="A82:B85"/>
    <mergeCell ref="A86:B89"/>
    <mergeCell ref="A138:B141"/>
    <mergeCell ref="A94:B97"/>
    <mergeCell ref="A98:B101"/>
    <mergeCell ref="A102:B105"/>
    <mergeCell ref="A106:B109"/>
    <mergeCell ref="A110:B113"/>
    <mergeCell ref="A114:B117"/>
    <mergeCell ref="A118:B121"/>
    <mergeCell ref="A122:B125"/>
    <mergeCell ref="A126:B129"/>
    <mergeCell ref="A130:B133"/>
    <mergeCell ref="A134:B137"/>
    <mergeCell ref="A186:B189"/>
    <mergeCell ref="A142:B145"/>
    <mergeCell ref="A146:B149"/>
    <mergeCell ref="A150:B153"/>
    <mergeCell ref="A154:B157"/>
    <mergeCell ref="A158:B161"/>
    <mergeCell ref="A162:B165"/>
    <mergeCell ref="A166:B169"/>
    <mergeCell ref="A170:B173"/>
    <mergeCell ref="A174:B177"/>
    <mergeCell ref="A178:B181"/>
    <mergeCell ref="A182:B185"/>
    <mergeCell ref="A234:B237"/>
    <mergeCell ref="A190:B193"/>
    <mergeCell ref="A194:B197"/>
    <mergeCell ref="A198:B201"/>
    <mergeCell ref="A202:B205"/>
    <mergeCell ref="A206:B209"/>
    <mergeCell ref="A210:B213"/>
    <mergeCell ref="A214:B217"/>
    <mergeCell ref="A218:B221"/>
    <mergeCell ref="A222:B225"/>
    <mergeCell ref="A226:B229"/>
    <mergeCell ref="A230:B233"/>
    <mergeCell ref="A282:B285"/>
    <mergeCell ref="A238:B241"/>
    <mergeCell ref="A242:B245"/>
    <mergeCell ref="A246:B249"/>
    <mergeCell ref="A250:B253"/>
    <mergeCell ref="A254:B257"/>
    <mergeCell ref="A258:B261"/>
    <mergeCell ref="A262:B265"/>
    <mergeCell ref="A266:B269"/>
    <mergeCell ref="A270:B273"/>
    <mergeCell ref="A274:B277"/>
    <mergeCell ref="A278:B281"/>
    <mergeCell ref="A334:B337"/>
    <mergeCell ref="A338:B341"/>
    <mergeCell ref="A342:B345"/>
    <mergeCell ref="A310:B313"/>
    <mergeCell ref="A314:B317"/>
    <mergeCell ref="A318:B321"/>
    <mergeCell ref="A322:B325"/>
    <mergeCell ref="A326:B329"/>
    <mergeCell ref="A330:B333"/>
    <mergeCell ref="A306:B309"/>
    <mergeCell ref="A286:B289"/>
    <mergeCell ref="A290:B293"/>
    <mergeCell ref="A294:B297"/>
    <mergeCell ref="A298:B301"/>
    <mergeCell ref="A302:B305"/>
  </mergeCells>
  <hyperlinks>
    <hyperlink ref="A7:B7" location="'Home'!A1" display="Home" xr:uid="{B3D83ED8-8734-454C-9BA7-EB1A447604A3}"/>
  </hyperlinks>
  <pageMargins left="0.7" right="0.7" top="0.75" bottom="0.75" header="0.3" footer="0.3"/>
  <pageSetup orientation="portrait" horizontalDpi="300" verticalDpi="300" r:id="rId4"/>
  <drawing r:id="rId5"/>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F09C-0733-477E-985A-080631E2982F}">
  <sheetPr codeName="Sheet4">
    <tabColor rgb="FFFF0000"/>
  </sheetPr>
  <dimension ref="A1:Q37"/>
  <sheetViews>
    <sheetView topLeftCell="A13" zoomScale="85" zoomScaleNormal="85" workbookViewId="0">
      <selection activeCell="J43" sqref="J43"/>
    </sheetView>
  </sheetViews>
  <sheetFormatPr defaultRowHeight="14.5"/>
  <cols>
    <col min="1" max="1" width="19.81640625" customWidth="1"/>
    <col min="2" max="2" width="21" customWidth="1"/>
    <col min="3" max="3" width="19.7265625" customWidth="1"/>
    <col min="4" max="4" width="20.26953125" customWidth="1"/>
    <col min="5" max="5" width="19.81640625" customWidth="1"/>
    <col min="6" max="6" width="20.81640625" customWidth="1"/>
    <col min="7" max="7" width="21.1796875" customWidth="1"/>
    <col min="8" max="8" width="36.7265625" customWidth="1"/>
    <col min="9" max="9" width="28.54296875" customWidth="1"/>
    <col min="10" max="10" width="30.453125" customWidth="1"/>
  </cols>
  <sheetData>
    <row r="1" spans="1:17" ht="15" customHeight="1">
      <c r="A1" s="702" t="s">
        <v>301</v>
      </c>
      <c r="B1" s="703"/>
      <c r="C1" s="703"/>
      <c r="D1" s="703"/>
      <c r="E1" s="703"/>
      <c r="F1" s="703"/>
      <c r="G1" s="279"/>
      <c r="H1" s="279"/>
      <c r="I1" s="279"/>
      <c r="J1" s="280"/>
      <c r="K1" s="121"/>
      <c r="L1" s="121"/>
      <c r="M1" s="121"/>
      <c r="N1" s="121"/>
      <c r="O1" s="121"/>
      <c r="P1" s="121"/>
      <c r="Q1" s="121"/>
    </row>
    <row r="2" spans="1:17" ht="15" customHeight="1">
      <c r="A2" s="704"/>
      <c r="B2" s="705"/>
      <c r="C2" s="705"/>
      <c r="D2" s="705"/>
      <c r="E2" s="705"/>
      <c r="F2" s="705"/>
      <c r="G2" s="712" t="s">
        <v>302</v>
      </c>
      <c r="H2" s="712"/>
      <c r="I2" s="712" t="s">
        <v>303</v>
      </c>
      <c r="J2" s="713"/>
      <c r="K2" s="121"/>
      <c r="L2" s="121"/>
      <c r="M2" s="121"/>
      <c r="N2" s="121"/>
      <c r="O2" s="121"/>
      <c r="P2" s="121"/>
      <c r="Q2" s="121"/>
    </row>
    <row r="3" spans="1:17" ht="15" customHeight="1">
      <c r="A3" s="704"/>
      <c r="B3" s="705"/>
      <c r="C3" s="705"/>
      <c r="D3" s="705"/>
      <c r="E3" s="705"/>
      <c r="F3" s="705"/>
      <c r="G3" s="722">
        <f>SUM(Table21[Current Value $])</f>
        <v>66314.61</v>
      </c>
      <c r="H3" s="722"/>
      <c r="I3" s="696">
        <f>AVERAGE(Table21[24% Change])</f>
        <v>4.5657112499999992E-2</v>
      </c>
      <c r="J3" s="697"/>
      <c r="K3" s="121"/>
      <c r="L3" s="121"/>
      <c r="M3" s="121"/>
      <c r="N3" s="121"/>
      <c r="O3" s="121"/>
      <c r="P3" s="121"/>
      <c r="Q3" s="121"/>
    </row>
    <row r="4" spans="1:17" ht="15" customHeight="1">
      <c r="A4" s="704"/>
      <c r="B4" s="705"/>
      <c r="C4" s="705"/>
      <c r="D4" s="705"/>
      <c r="E4" s="705"/>
      <c r="F4" s="705"/>
      <c r="G4" s="281"/>
      <c r="H4" s="281"/>
      <c r="I4" s="281"/>
      <c r="J4" s="282"/>
      <c r="K4" s="121"/>
      <c r="L4" s="121"/>
      <c r="M4" s="121"/>
      <c r="N4" s="121"/>
      <c r="O4" s="121"/>
      <c r="P4" s="121"/>
      <c r="Q4" s="121"/>
    </row>
    <row r="5" spans="1:17">
      <c r="A5" s="283" t="s">
        <v>45</v>
      </c>
      <c r="B5" s="246" t="s">
        <v>304</v>
      </c>
      <c r="C5" s="284" t="s">
        <v>305</v>
      </c>
      <c r="D5" s="285" t="s">
        <v>306</v>
      </c>
      <c r="E5" s="246" t="s">
        <v>307</v>
      </c>
      <c r="F5" s="246" t="s">
        <v>308</v>
      </c>
      <c r="G5" s="246" t="s">
        <v>309</v>
      </c>
      <c r="H5" s="246" t="s">
        <v>310</v>
      </c>
      <c r="I5" s="246" t="s">
        <v>311</v>
      </c>
      <c r="J5" s="286" t="s">
        <v>312</v>
      </c>
      <c r="K5" s="247"/>
      <c r="L5" s="247"/>
      <c r="M5" s="247"/>
      <c r="N5" s="247"/>
      <c r="O5" s="247"/>
      <c r="P5" s="247"/>
      <c r="Q5" s="247"/>
    </row>
    <row r="6" spans="1:17">
      <c r="A6" s="287" t="s">
        <v>313</v>
      </c>
      <c r="B6" s="247">
        <v>0.2</v>
      </c>
      <c r="C6" s="288">
        <v>44228</v>
      </c>
      <c r="D6" s="289">
        <v>6000</v>
      </c>
      <c r="E6" s="290">
        <f>Table21[[#This Row],[Amount Puchased]]*Table21[[#This Row],[Current Price $]]</f>
        <v>9534.4</v>
      </c>
      <c r="F6" s="291">
        <f>Table21[[#This Row],[Current Value $]]-Table21[[#This Row],[Total Invested $]]</f>
        <v>3534.3999999999996</v>
      </c>
      <c r="G6" s="292">
        <f>Table21[[#This Row],[Profit &amp; Loss]]/Table21[[#This Row],[Total Invested $]]</f>
        <v>0.58906666666666663</v>
      </c>
      <c r="H6" s="292">
        <f>_xlfn.XLOOKUP(Table21[[#This Row],[Cryptocurrency]], markets_vs_currency_usd_ids_quant_network_2C_20amp_token_2C_20curve_dao_token_2C[Column1.name], markets_vs_currency_usd_ids_quant_network_2C_20amp_token_2C_20curve_dao_token_2C[Column1.price_change_percentage_24h])</f>
        <v>1.56052E-2</v>
      </c>
      <c r="I6" s="290">
        <f>_xlfn.XLOOKUP(Table21[[#This Row],[Cryptocurrency]], markets_vs_currency_usd_ids_quant_network_2C_20amp_token_2C_20curve_dao_token_2C[Column1.name], markets_vs_currency_usd_ids_quant_network_2C_20amp_token_2C_20curve_dao_token_2C[Column1.current_price])</f>
        <v>47672</v>
      </c>
      <c r="J6" s="293">
        <f ca="1">Table21[[#This Row],[ROI]]/(TODAY()-Table21[[#This Row],[Date Purchased]])</f>
        <v>1.645437616387337E-3</v>
      </c>
      <c r="K6" s="247"/>
      <c r="L6" s="247"/>
      <c r="M6" s="247"/>
      <c r="N6" s="247"/>
      <c r="O6" s="247"/>
      <c r="P6" s="247"/>
      <c r="Q6" s="247"/>
    </row>
    <row r="7" spans="1:17">
      <c r="A7" s="287" t="s">
        <v>314</v>
      </c>
      <c r="B7" s="247">
        <v>3</v>
      </c>
      <c r="C7" s="288">
        <v>44229</v>
      </c>
      <c r="D7" s="289">
        <v>3000</v>
      </c>
      <c r="E7" s="290">
        <f>Table21[[#This Row],[Amount Puchased]]*Table21[[#This Row],[Current Price $]]</f>
        <v>11261.16</v>
      </c>
      <c r="F7" s="291">
        <f>Table21[[#This Row],[Current Value $]]-Table21[[#This Row],[Total Invested $]]</f>
        <v>8261.16</v>
      </c>
      <c r="G7" s="292">
        <f>Table21[[#This Row],[Profit &amp; Loss]]/Table21[[#This Row],[Total Invested $]]</f>
        <v>2.7537199999999999</v>
      </c>
      <c r="H7" s="292">
        <f>_xlfn.XLOOKUP(Table21[[#This Row],[Cryptocurrency]], markets_vs_currency_usd_ids_quant_network_2C_20amp_token_2C_20curve_dao_token_2C[Column1.name], markets_vs_currency_usd_ids_quant_network_2C_20amp_token_2C_20curve_dao_token_2C[Column1.price_change_percentage_24h])</f>
        <v>1.0928899999999998E-2</v>
      </c>
      <c r="I7" s="290">
        <f>_xlfn.XLOOKUP(Table21[[#This Row],[Cryptocurrency]], markets_vs_currency_usd_ids_quant_network_2C_20amp_token_2C_20curve_dao_token_2C[Column1.name], markets_vs_currency_usd_ids_quant_network_2C_20amp_token_2C_20curve_dao_token_2C[Column1.current_price])</f>
        <v>3753.72</v>
      </c>
      <c r="J7" s="293">
        <f ca="1">Table21[[#This Row],[ROI]]/(TODAY()-Table21[[#This Row],[Date Purchased]])</f>
        <v>7.7135014005602241E-3</v>
      </c>
      <c r="K7" s="247"/>
      <c r="L7" s="247"/>
      <c r="M7" s="247"/>
      <c r="N7" s="247"/>
      <c r="O7" s="247"/>
      <c r="P7" s="247"/>
      <c r="Q7" s="247"/>
    </row>
    <row r="8" spans="1:17">
      <c r="A8" s="294" t="s">
        <v>315</v>
      </c>
      <c r="B8" s="247">
        <v>25</v>
      </c>
      <c r="C8" s="288">
        <v>44230</v>
      </c>
      <c r="D8" s="289">
        <v>1000</v>
      </c>
      <c r="E8" s="290">
        <f>Table21[[#This Row],[Amount Puchased]]*Table21[[#This Row],[Current Price $]]</f>
        <v>4384.75</v>
      </c>
      <c r="F8" s="291">
        <f>Table21[[#This Row],[Current Value $]]-Table21[[#This Row],[Total Invested $]]</f>
        <v>3384.75</v>
      </c>
      <c r="G8" s="292">
        <f>Table21[[#This Row],[Profit &amp; Loss]]/Table21[[#This Row],[Total Invested $]]</f>
        <v>3.3847499999999999</v>
      </c>
      <c r="H8" s="292">
        <f>_xlfn.XLOOKUP(Table21[[#This Row],[Cryptocurrency]], markets_vs_currency_usd_ids_quant_network_2C_20amp_token_2C_20curve_dao_token_2C[Column1.name], markets_vs_currency_usd_ids_quant_network_2C_20amp_token_2C_20curve_dao_token_2C[Column1.price_change_percentage_24h])</f>
        <v>1.9826200000000002E-2</v>
      </c>
      <c r="I8" s="290">
        <f>_xlfn.XLOOKUP(Table21[[#This Row],[Cryptocurrency]], markets_vs_currency_usd_ids_quant_network_2C_20amp_token_2C_20curve_dao_token_2C[Column1.name], markets_vs_currency_usd_ids_quant_network_2C_20amp_token_2C_20curve_dao_token_2C[Column1.current_price])</f>
        <v>175.39</v>
      </c>
      <c r="J8" s="293">
        <f ca="1">Table21[[#This Row],[ROI]]/(TODAY()-Table21[[#This Row],[Date Purchased]])</f>
        <v>9.5077247191011228E-3</v>
      </c>
      <c r="K8" s="247"/>
      <c r="L8" s="247"/>
      <c r="M8" s="247"/>
      <c r="N8" s="247"/>
      <c r="O8" s="247"/>
      <c r="P8" s="247"/>
      <c r="Q8" s="247"/>
    </row>
    <row r="9" spans="1:17">
      <c r="A9" s="287" t="s">
        <v>316</v>
      </c>
      <c r="B9" s="247">
        <v>250</v>
      </c>
      <c r="C9" s="288">
        <v>44231</v>
      </c>
      <c r="D9" s="289">
        <v>5000</v>
      </c>
      <c r="E9" s="290">
        <f>Table21[[#This Row],[Amount Puchased]]*Table21[[#This Row],[Current Price $]]</f>
        <v>9050</v>
      </c>
      <c r="F9" s="291">
        <f>Table21[[#This Row],[Current Value $]]-Table21[[#This Row],[Total Invested $]]</f>
        <v>4050</v>
      </c>
      <c r="G9" s="292">
        <f>Table21[[#This Row],[Profit &amp; Loss]]/Table21[[#This Row],[Total Invested $]]</f>
        <v>0.81</v>
      </c>
      <c r="H9" s="292">
        <f>_xlfn.XLOOKUP(Table21[[#This Row],[Cryptocurrency]], markets_vs_currency_usd_ids_quant_network_2C_20amp_token_2C_20curve_dao_token_2C[Column1.name], markets_vs_currency_usd_ids_quant_network_2C_20amp_token_2C_20curve_dao_token_2C[Column1.price_change_percentage_24h])</f>
        <v>0.13675179999999998</v>
      </c>
      <c r="I9" s="290">
        <f>_xlfn.XLOOKUP(Table21[[#This Row],[Cryptocurrency]], markets_vs_currency_usd_ids_quant_network_2C_20amp_token_2C_20curve_dao_token_2C[Column1.name], markets_vs_currency_usd_ids_quant_network_2C_20amp_token_2C_20curve_dao_token_2C[Column1.current_price])</f>
        <v>36.200000000000003</v>
      </c>
      <c r="J9" s="293">
        <f ca="1">Table21[[#This Row],[ROI]]/(TODAY()-Table21[[#This Row],[Date Purchased]])</f>
        <v>2.2816901408450707E-3</v>
      </c>
      <c r="K9" s="247"/>
      <c r="L9" s="247"/>
      <c r="M9" s="247"/>
      <c r="N9" s="247"/>
      <c r="O9" s="247"/>
      <c r="P9" s="247"/>
      <c r="Q9" s="247"/>
    </row>
    <row r="10" spans="1:17">
      <c r="A10" s="287" t="s">
        <v>317</v>
      </c>
      <c r="B10" s="247">
        <v>500</v>
      </c>
      <c r="C10" s="288">
        <v>44232</v>
      </c>
      <c r="D10" s="289">
        <v>10000</v>
      </c>
      <c r="E10" s="290">
        <f>Table21[[#This Row],[Amount Puchased]]*Table21[[#This Row],[Current Price $]]</f>
        <v>13925</v>
      </c>
      <c r="F10" s="291">
        <f>Table21[[#This Row],[Current Value $]]-Table21[[#This Row],[Total Invested $]]</f>
        <v>3925</v>
      </c>
      <c r="G10" s="292">
        <f>Table21[[#This Row],[Profit &amp; Loss]]/Table21[[#This Row],[Total Invested $]]</f>
        <v>0.39250000000000002</v>
      </c>
      <c r="H10" s="292">
        <f>_xlfn.XLOOKUP(Table21[[#This Row],[Cryptocurrency]], markets_vs_currency_usd_ids_quant_network_2C_20amp_token_2C_20curve_dao_token_2C[Column1.name], markets_vs_currency_usd_ids_quant_network_2C_20amp_token_2C_20curve_dao_token_2C[Column1.price_change_percentage_24h])</f>
        <v>3.04357E-2</v>
      </c>
      <c r="I10" s="290">
        <f>_xlfn.XLOOKUP(Table21[[#This Row],[Cryptocurrency]], markets_vs_currency_usd_ids_quant_network_2C_20amp_token_2C_20curve_dao_token_2C[Column1.name], markets_vs_currency_usd_ids_quant_network_2C_20amp_token_2C_20curve_dao_token_2C[Column1.current_price])</f>
        <v>27.85</v>
      </c>
      <c r="J10" s="293">
        <f ca="1">Table21[[#This Row],[ROI]]/(TODAY()-Table21[[#This Row],[Date Purchased]])</f>
        <v>1.1087570621468926E-3</v>
      </c>
      <c r="K10" s="247"/>
      <c r="L10" s="247"/>
      <c r="M10" s="247"/>
      <c r="N10" s="247"/>
      <c r="O10" s="247"/>
      <c r="P10" s="247"/>
      <c r="Q10" s="247"/>
    </row>
    <row r="11" spans="1:17">
      <c r="A11" s="287" t="s">
        <v>318</v>
      </c>
      <c r="B11" s="247">
        <v>200</v>
      </c>
      <c r="C11" s="288">
        <v>44233</v>
      </c>
      <c r="D11" s="289">
        <v>2000</v>
      </c>
      <c r="E11" s="290">
        <f>Table21[[#This Row],[Amount Puchased]]*Table21[[#This Row],[Current Price $]]</f>
        <v>4052.0000000000005</v>
      </c>
      <c r="F11" s="291">
        <f>Table21[[#This Row],[Current Value $]]-Table21[[#This Row],[Total Invested $]]</f>
        <v>2052.0000000000005</v>
      </c>
      <c r="G11" s="292">
        <f>Table21[[#This Row],[Profit &amp; Loss]]/Table21[[#This Row],[Total Invested $]]</f>
        <v>1.0260000000000002</v>
      </c>
      <c r="H11" s="292">
        <f>_xlfn.XLOOKUP(Table21[[#This Row],[Cryptocurrency]], markets_vs_currency_usd_ids_quant_network_2C_20amp_token_2C_20curve_dao_token_2C[Column1.name], markets_vs_currency_usd_ids_quant_network_2C_20amp_token_2C_20curve_dao_token_2C[Column1.price_change_percentage_24h])</f>
        <v>1.7447900000000002E-2</v>
      </c>
      <c r="I11" s="290">
        <f>_xlfn.XLOOKUP(Table21[[#This Row],[Cryptocurrency]], markets_vs_currency_usd_ids_quant_network_2C_20amp_token_2C_20curve_dao_token_2C[Column1.name], markets_vs_currency_usd_ids_quant_network_2C_20amp_token_2C_20curve_dao_token_2C[Column1.current_price])</f>
        <v>20.260000000000002</v>
      </c>
      <c r="J11" s="293">
        <f ca="1">Table21[[#This Row],[ROI]]/(TODAY()-Table21[[#This Row],[Date Purchased]])</f>
        <v>2.9065155807365445E-3</v>
      </c>
      <c r="K11" s="247"/>
      <c r="L11" s="247"/>
      <c r="M11" s="247"/>
      <c r="N11" s="247"/>
      <c r="O11" s="247"/>
      <c r="P11" s="247"/>
      <c r="Q11" s="247"/>
    </row>
    <row r="12" spans="1:17">
      <c r="A12" s="287" t="s">
        <v>319</v>
      </c>
      <c r="B12" s="247">
        <v>2500</v>
      </c>
      <c r="C12" s="288">
        <v>44234</v>
      </c>
      <c r="D12" s="289">
        <v>2000</v>
      </c>
      <c r="E12" s="290">
        <f>Table21[[#This Row],[Amount Puchased]]*Table21[[#This Row],[Current Price $]]</f>
        <v>6250</v>
      </c>
      <c r="F12" s="291">
        <f>Table21[[#This Row],[Current Value $]]-Table21[[#This Row],[Total Invested $]]</f>
        <v>4250</v>
      </c>
      <c r="G12" s="292">
        <f>Table21[[#This Row],[Profit &amp; Loss]]/Table21[[#This Row],[Total Invested $]]</f>
        <v>2.125</v>
      </c>
      <c r="H12" s="292">
        <f>_xlfn.XLOOKUP(Table21[[#This Row],[Cryptocurrency]], markets_vs_currency_usd_ids_quant_network_2C_20amp_token_2C_20curve_dao_token_2C[Column1.name], markets_vs_currency_usd_ids_quant_network_2C_20amp_token_2C_20curve_dao_token_2C[Column1.price_change_percentage_24h])</f>
        <v>0.116878</v>
      </c>
      <c r="I12" s="290">
        <f>_xlfn.XLOOKUP(Table21[[#This Row],[Cryptocurrency]], markets_vs_currency_usd_ids_quant_network_2C_20amp_token_2C_20curve_dao_token_2C[Column1.name], markets_vs_currency_usd_ids_quant_network_2C_20amp_token_2C_20curve_dao_token_2C[Column1.current_price])</f>
        <v>2.5</v>
      </c>
      <c r="J12" s="293">
        <f ca="1">Table21[[#This Row],[ROI]]/(TODAY()-Table21[[#This Row],[Date Purchased]])</f>
        <v>6.036931818181818E-3</v>
      </c>
      <c r="K12" s="247"/>
      <c r="L12" s="247"/>
      <c r="M12" s="247"/>
      <c r="N12" s="247"/>
      <c r="O12" s="247"/>
      <c r="P12" s="247"/>
      <c r="Q12" s="247"/>
    </row>
    <row r="13" spans="1:17">
      <c r="A13" s="287" t="s">
        <v>320</v>
      </c>
      <c r="B13" s="247">
        <v>15</v>
      </c>
      <c r="C13" s="288">
        <v>44235</v>
      </c>
      <c r="D13" s="289">
        <v>4000</v>
      </c>
      <c r="E13" s="290">
        <f>Table21[[#This Row],[Amount Puchased]]*Table21[[#This Row],[Current Price $]]</f>
        <v>7857.3000000000011</v>
      </c>
      <c r="F13" s="291">
        <f>Table21[[#This Row],[Current Value $]]-Table21[[#This Row],[Total Invested $]]</f>
        <v>3857.3000000000011</v>
      </c>
      <c r="G13" s="292">
        <f>Table21[[#This Row],[Profit &amp; Loss]]/Table21[[#This Row],[Total Invested $]]</f>
        <v>0.96432500000000032</v>
      </c>
      <c r="H13" s="292">
        <f>_xlfn.XLOOKUP(Table21[[#This Row],[Cryptocurrency]], markets_vs_currency_usd_ids_quant_network_2C_20amp_token_2C_20curve_dao_token_2C[Column1.name], markets_vs_currency_usd_ids_quant_network_2C_20amp_token_2C_20curve_dao_token_2C[Column1.price_change_percentage_24h])</f>
        <v>1.7383200000000001E-2</v>
      </c>
      <c r="I13" s="290">
        <f>_xlfn.XLOOKUP(Table21[[#This Row],[Cryptocurrency]], markets_vs_currency_usd_ids_quant_network_2C_20amp_token_2C_20curve_dao_token_2C[Column1.name], markets_vs_currency_usd_ids_quant_network_2C_20amp_token_2C_20curve_dao_token_2C[Column1.current_price])</f>
        <v>523.82000000000005</v>
      </c>
      <c r="J13" s="293">
        <f ca="1">Table21[[#This Row],[ROI]]/(TODAY()-Table21[[#This Row],[Date Purchased]])</f>
        <v>2.7473646723646735E-3</v>
      </c>
      <c r="K13" s="247"/>
      <c r="L13" s="247"/>
      <c r="M13" s="247"/>
      <c r="N13" s="247"/>
      <c r="O13" s="247"/>
      <c r="P13" s="247"/>
      <c r="Q13" s="247"/>
    </row>
    <row r="14" spans="1:17" ht="24" customHeight="1">
      <c r="A14" s="725" t="s">
        <v>321</v>
      </c>
      <c r="B14" s="726"/>
      <c r="C14" s="727" t="s">
        <v>308</v>
      </c>
      <c r="D14" s="728"/>
      <c r="E14" s="706" t="s">
        <v>322</v>
      </c>
      <c r="F14" s="707"/>
      <c r="G14" s="707"/>
      <c r="H14" s="707"/>
      <c r="I14" s="707"/>
      <c r="J14" s="708"/>
      <c r="K14" s="247"/>
      <c r="L14" s="247"/>
      <c r="M14" s="247"/>
      <c r="N14" s="247"/>
      <c r="O14" s="247"/>
      <c r="P14" s="247"/>
      <c r="Q14" s="247"/>
    </row>
    <row r="15" spans="1:17" ht="21" customHeight="1">
      <c r="A15" s="718">
        <f>SUM(Table21[Total Invested $])</f>
        <v>33000</v>
      </c>
      <c r="B15" s="719"/>
      <c r="C15" s="720">
        <f>SUM(Table21[Profit &amp; Loss])</f>
        <v>33314.61</v>
      </c>
      <c r="D15" s="721"/>
      <c r="E15" s="723" t="s">
        <v>45</v>
      </c>
      <c r="F15" s="724"/>
      <c r="G15" s="269" t="s">
        <v>323</v>
      </c>
      <c r="H15" s="269" t="s">
        <v>324</v>
      </c>
      <c r="I15" s="269" t="s">
        <v>325</v>
      </c>
      <c r="J15" s="274" t="s">
        <v>326</v>
      </c>
      <c r="K15" s="247"/>
      <c r="L15" s="247"/>
      <c r="M15" s="247"/>
      <c r="N15" s="247"/>
      <c r="O15" s="247"/>
      <c r="P15" s="247"/>
      <c r="Q15" s="247"/>
    </row>
    <row r="16" spans="1:17" ht="21.75" customHeight="1">
      <c r="A16" s="700" t="s">
        <v>327</v>
      </c>
      <c r="B16" s="701"/>
      <c r="C16" s="701"/>
      <c r="D16" s="701"/>
      <c r="E16" s="716" t="str">
        <f>_xlfn.XLOOKUP(G16, Table21[ROI], Table21[Cryptocurrency])</f>
        <v>Solana</v>
      </c>
      <c r="F16" s="717"/>
      <c r="G16" s="267">
        <f>MAX(Table21[ROI])</f>
        <v>3.3847499999999999</v>
      </c>
      <c r="H16" s="266" t="str">
        <f>"#"&amp;_xlfn.XLOOKUP(E16, markets_vs_currency_usd_ids_quant_network_2C_20amp_token_2C_20curve_dao_token_2C[Column1.name], markets_vs_currency_usd_ids_quant_network_2C_20amp_token_2C_20curve_dao_token_2C[Column1.market_cap_rank])</f>
        <v>#5</v>
      </c>
      <c r="I16" s="270">
        <f>_xlfn.XLOOKUP(E16, markets_vs_currency_usd_ids_quant_network_2C_20amp_token_2C_20curve_dao_token_2C[Column1.name], markets_vs_currency_usd_ids_quant_network_2C_20amp_token_2C_20curve_dao_token_2C[Column1.high_24h])</f>
        <v>174.82</v>
      </c>
      <c r="J16" s="275">
        <f>_xlfn.XLOOKUP(E16, markets_vs_currency_usd_ids_quant_network_2C_20amp_token_2C_20curve_dao_token_2C[Column1.name], markets_vs_currency_usd_ids_quant_network_2C_20amp_token_2C_20curve_dao_token_2C[Column1.low_24h])</f>
        <v>167.85</v>
      </c>
      <c r="K16" s="247"/>
      <c r="L16" s="247"/>
      <c r="M16" s="247"/>
      <c r="N16" s="247"/>
      <c r="O16" s="247"/>
      <c r="P16" s="247"/>
      <c r="Q16" s="247"/>
    </row>
    <row r="17" spans="1:17" ht="15.75" customHeight="1">
      <c r="A17" s="698">
        <f>C15/A15</f>
        <v>1.0095336363636365</v>
      </c>
      <c r="B17" s="699"/>
      <c r="C17" s="699"/>
      <c r="D17" s="699"/>
      <c r="E17" s="709" t="s">
        <v>328</v>
      </c>
      <c r="F17" s="710"/>
      <c r="G17" s="710"/>
      <c r="H17" s="710"/>
      <c r="I17" s="710"/>
      <c r="J17" s="711"/>
      <c r="K17" s="247"/>
      <c r="L17" s="247"/>
      <c r="M17" s="247"/>
      <c r="N17" s="247"/>
      <c r="O17" s="247"/>
      <c r="P17" s="247"/>
      <c r="Q17" s="247"/>
    </row>
    <row r="18" spans="1:17" ht="21" customHeight="1">
      <c r="A18" s="272"/>
      <c r="B18" s="273"/>
      <c r="C18" s="273"/>
      <c r="D18" s="273"/>
      <c r="E18" s="729" t="s">
        <v>45</v>
      </c>
      <c r="F18" s="730"/>
      <c r="G18" s="271" t="s">
        <v>323</v>
      </c>
      <c r="H18" s="271" t="s">
        <v>324</v>
      </c>
      <c r="I18" s="271" t="s">
        <v>325</v>
      </c>
      <c r="J18" s="276" t="s">
        <v>326</v>
      </c>
      <c r="K18" s="247"/>
      <c r="L18" s="247"/>
      <c r="M18" s="247"/>
      <c r="N18" s="247"/>
      <c r="O18" s="247"/>
      <c r="P18" s="247"/>
      <c r="Q18" s="247"/>
    </row>
    <row r="19" spans="1:17" ht="24" customHeight="1">
      <c r="A19" s="260"/>
      <c r="B19" s="261"/>
      <c r="C19" s="261"/>
      <c r="D19" s="261"/>
      <c r="E19" s="714" t="str">
        <f>_xlfn.XLOOKUP(G19, Table21[ROI], Table21[Cryptocurrency])</f>
        <v>Polkadot</v>
      </c>
      <c r="F19" s="715"/>
      <c r="G19" s="268">
        <f>MIN(Table21[ROI])</f>
        <v>0.39250000000000002</v>
      </c>
      <c r="H19" s="259" t="str">
        <f>"#"&amp;_xlfn.XLOOKUP(E19, markets_vs_currency_usd_ids_quant_network_2C_20amp_token_2C_20curve_dao_token_2C[Column1.name], markets_vs_currency_usd_ids_quant_network_2C_20amp_token_2C_20curve_dao_token_2C[Column1.market_cap_rank])</f>
        <v>#10</v>
      </c>
      <c r="I19" s="277">
        <f>_xlfn.XLOOKUP(E19, markets_vs_currency_usd_ids_quant_network_2C_20amp_token_2C_20curve_dao_token_2C[Column1.name], markets_vs_currency_usd_ids_quant_network_2C_20amp_token_2C_20curve_dao_token_2C[Column1.high_24h])</f>
        <v>27.83</v>
      </c>
      <c r="J19" s="278">
        <f>_xlfn.XLOOKUP(E19, markets_vs_currency_usd_ids_quant_network_2C_20amp_token_2C_20curve_dao_token_2C[Column1.name], markets_vs_currency_usd_ids_quant_network_2C_20amp_token_2C_20curve_dao_token_2C[Column1.low_24h])</f>
        <v>26.32</v>
      </c>
      <c r="K19" s="247"/>
      <c r="L19" s="247"/>
      <c r="M19" s="247"/>
      <c r="N19" s="247"/>
      <c r="O19" s="247"/>
      <c r="P19" s="247"/>
      <c r="Q19" s="247"/>
    </row>
    <row r="20" spans="1:17">
      <c r="A20" s="295"/>
      <c r="B20" s="296"/>
      <c r="C20" s="296"/>
      <c r="D20" s="296"/>
      <c r="E20" s="296"/>
      <c r="F20" s="296"/>
      <c r="G20" s="296"/>
      <c r="H20" s="296"/>
      <c r="I20" s="296"/>
      <c r="J20" s="297"/>
      <c r="K20" s="247"/>
      <c r="L20" s="247"/>
      <c r="M20" s="247"/>
      <c r="N20" s="247"/>
      <c r="O20" s="247"/>
      <c r="P20" s="247"/>
      <c r="Q20" s="247"/>
    </row>
    <row r="21" spans="1:17">
      <c r="A21" s="295"/>
      <c r="B21" s="296"/>
      <c r="C21" s="296"/>
      <c r="D21" s="296"/>
      <c r="E21" s="296"/>
      <c r="F21" s="296"/>
      <c r="G21" s="296"/>
      <c r="H21" s="296"/>
      <c r="I21" s="296"/>
      <c r="J21" s="297"/>
      <c r="K21" s="247"/>
      <c r="L21" s="247"/>
      <c r="M21" s="247"/>
      <c r="N21" s="247"/>
      <c r="O21" s="247"/>
      <c r="P21" s="247"/>
      <c r="Q21" s="247"/>
    </row>
    <row r="22" spans="1:17">
      <c r="A22" s="295"/>
      <c r="B22" s="296"/>
      <c r="C22" s="296"/>
      <c r="D22" s="296"/>
      <c r="E22" s="296"/>
      <c r="F22" s="296"/>
      <c r="G22" s="296"/>
      <c r="H22" s="296"/>
      <c r="I22" s="296"/>
      <c r="J22" s="297"/>
      <c r="K22" s="247"/>
      <c r="L22" s="247"/>
      <c r="M22" s="247"/>
      <c r="N22" s="247"/>
      <c r="O22" s="247"/>
      <c r="P22" s="247"/>
      <c r="Q22" s="247"/>
    </row>
    <row r="23" spans="1:17">
      <c r="A23" s="295"/>
      <c r="B23" s="296"/>
      <c r="C23" s="296"/>
      <c r="D23" s="296"/>
      <c r="E23" s="296"/>
      <c r="F23" s="296"/>
      <c r="G23" s="296"/>
      <c r="H23" s="296"/>
      <c r="I23" s="296"/>
      <c r="J23" s="297"/>
      <c r="K23" s="247"/>
      <c r="L23" s="247"/>
      <c r="M23" s="247"/>
      <c r="N23" s="247"/>
      <c r="O23" s="247"/>
      <c r="P23" s="247"/>
      <c r="Q23" s="247"/>
    </row>
    <row r="24" spans="1:17">
      <c r="A24" s="295"/>
      <c r="B24" s="296"/>
      <c r="C24" s="296"/>
      <c r="D24" s="296"/>
      <c r="E24" s="296"/>
      <c r="F24" s="296"/>
      <c r="G24" s="296"/>
      <c r="H24" s="296"/>
      <c r="I24" s="296"/>
      <c r="J24" s="297"/>
      <c r="K24" s="247"/>
      <c r="L24" s="247"/>
      <c r="M24" s="247"/>
      <c r="N24" s="247"/>
      <c r="O24" s="247"/>
      <c r="P24" s="247"/>
      <c r="Q24" s="247"/>
    </row>
    <row r="25" spans="1:17">
      <c r="A25" s="295"/>
      <c r="B25" s="296"/>
      <c r="C25" s="296"/>
      <c r="D25" s="296"/>
      <c r="E25" s="296"/>
      <c r="F25" s="296"/>
      <c r="G25" s="296"/>
      <c r="H25" s="296"/>
      <c r="I25" s="296"/>
      <c r="J25" s="297"/>
      <c r="K25" s="247"/>
      <c r="L25" s="247"/>
      <c r="M25" s="247"/>
      <c r="N25" s="247"/>
      <c r="O25" s="247"/>
      <c r="P25" s="247"/>
      <c r="Q25" s="247"/>
    </row>
    <row r="26" spans="1:17">
      <c r="A26" s="295"/>
      <c r="B26" s="296"/>
      <c r="C26" s="296"/>
      <c r="D26" s="296"/>
      <c r="E26" s="296"/>
      <c r="F26" s="296"/>
      <c r="G26" s="296"/>
      <c r="H26" s="296"/>
      <c r="I26" s="296"/>
      <c r="J26" s="297"/>
      <c r="K26" s="247"/>
      <c r="L26" s="247"/>
      <c r="M26" s="247"/>
      <c r="N26" s="247"/>
      <c r="O26" s="247"/>
      <c r="P26" s="247"/>
      <c r="Q26" s="247"/>
    </row>
    <row r="27" spans="1:17">
      <c r="A27" s="295"/>
      <c r="B27" s="296"/>
      <c r="C27" s="296"/>
      <c r="D27" s="296"/>
      <c r="E27" s="296"/>
      <c r="F27" s="296"/>
      <c r="G27" s="296"/>
      <c r="H27" s="296"/>
      <c r="I27" s="296"/>
      <c r="J27" s="297"/>
      <c r="K27" s="247"/>
      <c r="L27" s="247"/>
      <c r="M27" s="247"/>
      <c r="N27" s="247"/>
      <c r="O27" s="247"/>
      <c r="P27" s="247"/>
      <c r="Q27" s="247"/>
    </row>
    <row r="28" spans="1:17">
      <c r="A28" s="295"/>
      <c r="B28" s="296"/>
      <c r="C28" s="296"/>
      <c r="D28" s="296"/>
      <c r="E28" s="296"/>
      <c r="F28" s="296"/>
      <c r="G28" s="296"/>
      <c r="H28" s="296"/>
      <c r="I28" s="296"/>
      <c r="J28" s="297"/>
      <c r="K28" s="247"/>
      <c r="L28" s="247"/>
      <c r="M28" s="247"/>
      <c r="N28" s="247"/>
      <c r="O28" s="247"/>
      <c r="P28" s="247"/>
      <c r="Q28" s="247"/>
    </row>
    <row r="29" spans="1:17">
      <c r="A29" s="260"/>
      <c r="B29" s="261"/>
      <c r="C29" s="261"/>
      <c r="D29" s="261"/>
      <c r="E29" s="261"/>
      <c r="F29" s="261"/>
      <c r="G29" s="261"/>
      <c r="H29" s="261"/>
      <c r="I29" s="261"/>
      <c r="J29" s="262"/>
    </row>
    <row r="30" spans="1:17">
      <c r="A30" s="260"/>
      <c r="B30" s="261"/>
      <c r="C30" s="261"/>
      <c r="D30" s="261"/>
      <c r="E30" s="261"/>
      <c r="F30" s="261"/>
      <c r="G30" s="261"/>
      <c r="H30" s="261"/>
      <c r="I30" s="261"/>
      <c r="J30" s="262"/>
    </row>
    <row r="31" spans="1:17">
      <c r="A31" s="260"/>
      <c r="B31" s="261"/>
      <c r="C31" s="261"/>
      <c r="D31" s="261"/>
      <c r="E31" s="261"/>
      <c r="F31" s="261"/>
      <c r="G31" s="261"/>
      <c r="H31" s="261"/>
      <c r="I31" s="261"/>
      <c r="J31" s="262"/>
    </row>
    <row r="32" spans="1:17">
      <c r="A32" s="260"/>
      <c r="B32" s="261"/>
      <c r="C32" s="261"/>
      <c r="D32" s="261"/>
      <c r="E32" s="261"/>
      <c r="F32" s="261"/>
      <c r="G32" s="261"/>
      <c r="H32" s="261"/>
      <c r="I32" s="261"/>
      <c r="J32" s="262"/>
    </row>
    <row r="33" spans="1:10">
      <c r="A33" s="260"/>
      <c r="B33" s="261"/>
      <c r="C33" s="261"/>
      <c r="D33" s="261"/>
      <c r="E33" s="261"/>
      <c r="F33" s="261"/>
      <c r="G33" s="261"/>
      <c r="H33" s="261"/>
      <c r="I33" s="261"/>
      <c r="J33" s="262"/>
    </row>
    <row r="34" spans="1:10">
      <c r="A34" s="260"/>
      <c r="B34" s="261"/>
      <c r="C34" s="261"/>
      <c r="D34" s="261"/>
      <c r="E34" s="261"/>
      <c r="F34" s="261"/>
      <c r="G34" s="261"/>
      <c r="H34" s="261"/>
      <c r="I34" s="261"/>
      <c r="J34" s="262"/>
    </row>
    <row r="35" spans="1:10">
      <c r="A35" s="260"/>
      <c r="B35" s="261"/>
      <c r="C35" s="261"/>
      <c r="D35" s="261"/>
      <c r="E35" s="261"/>
      <c r="F35" s="261"/>
      <c r="G35" s="261"/>
      <c r="H35" s="261"/>
      <c r="I35" s="261"/>
      <c r="J35" s="262"/>
    </row>
    <row r="36" spans="1:10">
      <c r="A36" s="260"/>
      <c r="B36" s="261"/>
      <c r="C36" s="261"/>
      <c r="D36" s="261"/>
      <c r="E36" s="261"/>
      <c r="F36" s="261"/>
      <c r="G36" s="261"/>
      <c r="H36" s="261"/>
      <c r="I36" s="261"/>
      <c r="J36" s="262"/>
    </row>
    <row r="37" spans="1:10">
      <c r="A37" s="265"/>
      <c r="B37" s="263"/>
      <c r="C37" s="263"/>
      <c r="D37" s="263"/>
      <c r="E37" s="263"/>
      <c r="F37" s="263"/>
      <c r="G37" s="263"/>
      <c r="H37" s="263"/>
      <c r="I37" s="263"/>
      <c r="J37" s="264"/>
    </row>
  </sheetData>
  <mergeCells count="17">
    <mergeCell ref="E19:F19"/>
    <mergeCell ref="E16:F16"/>
    <mergeCell ref="A15:B15"/>
    <mergeCell ref="C15:D15"/>
    <mergeCell ref="G3:H3"/>
    <mergeCell ref="E15:F15"/>
    <mergeCell ref="A14:B14"/>
    <mergeCell ref="C14:D14"/>
    <mergeCell ref="E18:F18"/>
    <mergeCell ref="I3:J3"/>
    <mergeCell ref="A17:D17"/>
    <mergeCell ref="A16:D16"/>
    <mergeCell ref="A1:F4"/>
    <mergeCell ref="E14:J14"/>
    <mergeCell ref="E17:J17"/>
    <mergeCell ref="I2:J2"/>
    <mergeCell ref="G2:H2"/>
  </mergeCells>
  <conditionalFormatting sqref="G6:G13">
    <cfRule type="colorScale" priority="26">
      <colorScale>
        <cfvo type="min"/>
        <cfvo type="percentile" val="50"/>
        <cfvo type="max"/>
        <color rgb="FFF8696B"/>
        <color rgb="FFFFEB84"/>
        <color rgb="FF63BE7B"/>
      </colorScale>
    </cfRule>
  </conditionalFormatting>
  <conditionalFormatting sqref="F6:F13">
    <cfRule type="colorScale" priority="28">
      <colorScale>
        <cfvo type="min"/>
        <cfvo type="percentile" val="50"/>
        <cfvo type="max"/>
        <color rgb="FFF8696B"/>
        <color rgb="FFFFEB84"/>
        <color rgb="FF63BE7B"/>
      </colorScale>
    </cfRule>
  </conditionalFormatting>
  <conditionalFormatting sqref="J6:J13">
    <cfRule type="colorScale" priority="30">
      <colorScale>
        <cfvo type="min"/>
        <cfvo type="percentile" val="50"/>
        <cfvo type="max"/>
        <color rgb="FFF8696B"/>
        <color rgb="FFFFEB84"/>
        <color rgb="FF63BE7B"/>
      </colorScale>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013BB5D9-E02B-4880-B328-A481AEFDC7C0}">
            <x14:iconSet iconSet="3Triangles">
              <x14:cfvo type="percent">
                <xm:f>0</xm:f>
              </x14:cfvo>
              <x14:cfvo type="num" gte="0">
                <xm:f>0</xm:f>
              </x14:cfvo>
              <x14:cfvo type="num">
                <xm:f>0</xm:f>
              </x14:cfvo>
            </x14:iconSet>
          </x14:cfRule>
          <xm:sqref>I3:J3</xm:sqref>
        </x14:conditionalFormatting>
        <x14:conditionalFormatting xmlns:xm="http://schemas.microsoft.com/office/excel/2006/main">
          <x14:cfRule type="iconSet" priority="32" id="{00AD4EA1-402D-4CDD-8C56-ACBED41E6EF2}">
            <x14:iconSet iconSet="3Triangles">
              <x14:cfvo type="percent">
                <xm:f>0</xm:f>
              </x14:cfvo>
              <x14:cfvo type="num">
                <xm:f>0</xm:f>
              </x14:cfvo>
              <x14:cfvo type="num" gte="0">
                <xm:f>0</xm:f>
              </x14:cfvo>
            </x14:iconSet>
          </x14:cfRule>
          <xm:sqref>H6:H13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7F3D0-E252-43E3-A7BC-901194ACFCB5}">
  <sheetPr codeName="Sheet5">
    <tabColor rgb="FFFF0000"/>
  </sheetPr>
  <dimension ref="A1:M55"/>
  <sheetViews>
    <sheetView zoomScale="85" zoomScaleNormal="85" workbookViewId="0">
      <selection activeCell="D67" sqref="D67"/>
    </sheetView>
  </sheetViews>
  <sheetFormatPr defaultRowHeight="14.5"/>
  <cols>
    <col min="1" max="1" width="18.7265625" customWidth="1"/>
    <col min="2" max="2" width="15.54296875" customWidth="1"/>
    <col min="3" max="3" width="21.26953125" bestFit="1" customWidth="1"/>
    <col min="4" max="4" width="21" customWidth="1"/>
    <col min="5" max="5" width="22.26953125" bestFit="1" customWidth="1"/>
    <col min="6" max="6" width="22.54296875" customWidth="1"/>
    <col min="7" max="7" width="20.26953125" customWidth="1"/>
    <col min="8" max="8" width="19.81640625" customWidth="1"/>
    <col min="9" max="9" width="20" bestFit="1" customWidth="1"/>
    <col min="10" max="10" width="19.26953125" bestFit="1" customWidth="1"/>
    <col min="11" max="11" width="28.1796875" bestFit="1" customWidth="1"/>
    <col min="12" max="12" width="23" bestFit="1" customWidth="1"/>
    <col min="13" max="13" width="22.54296875" bestFit="1" customWidth="1"/>
  </cols>
  <sheetData>
    <row r="1" spans="1:13" ht="33" customHeight="1">
      <c r="A1" s="731" t="s">
        <v>329</v>
      </c>
      <c r="B1" s="731"/>
      <c r="C1" s="731"/>
      <c r="D1" s="731"/>
      <c r="E1" s="731"/>
      <c r="F1" s="731"/>
      <c r="G1" s="731"/>
      <c r="H1" s="731"/>
      <c r="I1" s="731"/>
      <c r="J1" s="731"/>
      <c r="K1" s="298"/>
      <c r="L1" s="298"/>
      <c r="M1" s="298"/>
    </row>
    <row r="2" spans="1:13" ht="24" customHeight="1">
      <c r="A2" s="731"/>
      <c r="B2" s="731"/>
      <c r="C2" s="731"/>
      <c r="D2" s="731"/>
      <c r="E2" s="731"/>
      <c r="F2" s="731"/>
      <c r="G2" s="731"/>
      <c r="H2" s="731"/>
      <c r="I2" s="731"/>
      <c r="J2" s="731"/>
      <c r="K2" s="298"/>
      <c r="L2" s="298"/>
      <c r="M2" s="298"/>
    </row>
    <row r="3" spans="1:13" ht="27" customHeight="1">
      <c r="A3" s="731"/>
      <c r="B3" s="731"/>
      <c r="C3" s="731"/>
      <c r="D3" s="731"/>
      <c r="E3" s="731"/>
      <c r="F3" s="731"/>
      <c r="G3" s="731"/>
      <c r="H3" s="731"/>
      <c r="I3" s="731"/>
      <c r="J3" s="731"/>
      <c r="K3" s="298"/>
      <c r="L3" s="298"/>
      <c r="M3" s="298"/>
    </row>
    <row r="4" spans="1:13" ht="26.25" customHeight="1">
      <c r="A4" s="731"/>
      <c r="B4" s="731"/>
      <c r="C4" s="731"/>
      <c r="D4" s="731"/>
      <c r="E4" s="731"/>
      <c r="F4" s="731"/>
      <c r="G4" s="731"/>
      <c r="H4" s="731"/>
      <c r="I4" s="731"/>
      <c r="J4" s="731"/>
      <c r="K4" s="298"/>
      <c r="L4" s="298"/>
      <c r="M4" s="298"/>
    </row>
    <row r="5" spans="1:13">
      <c r="A5" t="s">
        <v>330</v>
      </c>
      <c r="B5" t="s">
        <v>331</v>
      </c>
      <c r="C5" t="s">
        <v>332</v>
      </c>
      <c r="D5" t="s">
        <v>333</v>
      </c>
      <c r="E5" t="s">
        <v>334</v>
      </c>
      <c r="F5" t="s">
        <v>335</v>
      </c>
      <c r="G5" t="s">
        <v>336</v>
      </c>
      <c r="H5" t="s">
        <v>337</v>
      </c>
      <c r="I5" t="s">
        <v>338</v>
      </c>
      <c r="J5" t="s">
        <v>339</v>
      </c>
    </row>
    <row r="6" spans="1:13">
      <c r="A6" t="s">
        <v>340</v>
      </c>
      <c r="B6" t="s">
        <v>313</v>
      </c>
      <c r="C6">
        <v>47672</v>
      </c>
      <c r="D6">
        <v>899002758050</v>
      </c>
      <c r="E6">
        <v>1</v>
      </c>
      <c r="F6">
        <v>21801271245</v>
      </c>
      <c r="G6">
        <v>47677</v>
      </c>
      <c r="H6">
        <v>45702</v>
      </c>
      <c r="I6">
        <v>732.5</v>
      </c>
      <c r="J6">
        <v>1.56052E-2</v>
      </c>
    </row>
    <row r="7" spans="1:13">
      <c r="A7" t="s">
        <v>341</v>
      </c>
      <c r="B7" t="s">
        <v>314</v>
      </c>
      <c r="C7">
        <v>3753.72</v>
      </c>
      <c r="D7">
        <v>446625810190</v>
      </c>
      <c r="E7">
        <v>2</v>
      </c>
      <c r="F7">
        <v>11372689560</v>
      </c>
      <c r="G7">
        <v>3770.57</v>
      </c>
      <c r="H7">
        <v>3622.4</v>
      </c>
      <c r="I7">
        <v>40.58</v>
      </c>
      <c r="J7">
        <v>1.0928899999999998E-2</v>
      </c>
    </row>
    <row r="8" spans="1:13">
      <c r="A8" t="s">
        <v>342</v>
      </c>
      <c r="B8" t="s">
        <v>320</v>
      </c>
      <c r="C8">
        <v>523.82000000000005</v>
      </c>
      <c r="D8">
        <v>88074182506</v>
      </c>
      <c r="E8">
        <v>3</v>
      </c>
      <c r="F8">
        <v>1512652098</v>
      </c>
      <c r="G8">
        <v>523.01</v>
      </c>
      <c r="H8">
        <v>505.66</v>
      </c>
      <c r="I8">
        <v>8.9499999999999993</v>
      </c>
      <c r="J8">
        <v>1.7383200000000001E-2</v>
      </c>
    </row>
    <row r="9" spans="1:13">
      <c r="A9" t="s">
        <v>343</v>
      </c>
      <c r="B9" t="s">
        <v>344</v>
      </c>
      <c r="C9">
        <v>1</v>
      </c>
      <c r="D9">
        <v>78699917270</v>
      </c>
      <c r="E9">
        <v>4</v>
      </c>
      <c r="F9">
        <v>41635418099</v>
      </c>
      <c r="G9">
        <v>1.01</v>
      </c>
      <c r="H9">
        <v>0.99297800000000003</v>
      </c>
      <c r="I9">
        <v>6.6293100000000002E-3</v>
      </c>
      <c r="J9">
        <v>6.6425999999999994E-3</v>
      </c>
    </row>
    <row r="10" spans="1:13">
      <c r="A10" t="s">
        <v>345</v>
      </c>
      <c r="B10" t="s">
        <v>315</v>
      </c>
      <c r="C10">
        <v>175.39</v>
      </c>
      <c r="D10">
        <v>54107677611</v>
      </c>
      <c r="E10">
        <v>5</v>
      </c>
      <c r="F10">
        <v>1078846373</v>
      </c>
      <c r="G10">
        <v>174.82</v>
      </c>
      <c r="H10">
        <v>167.85</v>
      </c>
      <c r="I10">
        <v>3.41</v>
      </c>
      <c r="J10">
        <v>1.9826200000000002E-2</v>
      </c>
    </row>
    <row r="11" spans="1:13">
      <c r="A11" t="s">
        <v>346</v>
      </c>
      <c r="B11" t="s">
        <v>347</v>
      </c>
      <c r="C11">
        <v>1.35</v>
      </c>
      <c r="D11">
        <v>43104101152</v>
      </c>
      <c r="E11">
        <v>6</v>
      </c>
      <c r="F11">
        <v>828302894</v>
      </c>
      <c r="G11">
        <v>1.35</v>
      </c>
      <c r="H11">
        <v>1.29</v>
      </c>
      <c r="I11">
        <v>2.7766929999999999E-2</v>
      </c>
      <c r="J11">
        <v>2.0955400000000002E-2</v>
      </c>
    </row>
    <row r="12" spans="1:13">
      <c r="A12" t="s">
        <v>348</v>
      </c>
      <c r="B12" t="s">
        <v>349</v>
      </c>
      <c r="C12">
        <v>1.01</v>
      </c>
      <c r="D12">
        <v>42761601402</v>
      </c>
      <c r="E12">
        <v>7</v>
      </c>
      <c r="F12">
        <v>2147046972</v>
      </c>
      <c r="G12">
        <v>1.01</v>
      </c>
      <c r="H12">
        <v>0.99340399999999995</v>
      </c>
      <c r="I12">
        <v>1.06137E-2</v>
      </c>
      <c r="J12">
        <v>1.06718E-2</v>
      </c>
    </row>
    <row r="13" spans="1:13">
      <c r="A13" t="s">
        <v>350</v>
      </c>
      <c r="B13" t="s">
        <v>351</v>
      </c>
      <c r="C13">
        <v>0.85609000000000002</v>
      </c>
      <c r="D13">
        <v>40467487415</v>
      </c>
      <c r="E13">
        <v>8</v>
      </c>
      <c r="F13">
        <v>1972545099</v>
      </c>
      <c r="G13">
        <v>0.85130300000000003</v>
      </c>
      <c r="H13">
        <v>0.80588000000000004</v>
      </c>
      <c r="I13">
        <v>2.6227219999999999E-2</v>
      </c>
      <c r="J13">
        <v>3.1604300000000002E-2</v>
      </c>
    </row>
    <row r="14" spans="1:13">
      <c r="A14" t="s">
        <v>352</v>
      </c>
      <c r="B14" t="s">
        <v>353</v>
      </c>
      <c r="C14">
        <v>90.73</v>
      </c>
      <c r="D14">
        <v>32619251471</v>
      </c>
      <c r="E14">
        <v>9</v>
      </c>
      <c r="F14">
        <v>1608004510</v>
      </c>
      <c r="G14">
        <v>90.17</v>
      </c>
      <c r="H14">
        <v>84.25</v>
      </c>
      <c r="I14">
        <v>3.15</v>
      </c>
      <c r="J14">
        <v>3.59108E-2</v>
      </c>
    </row>
    <row r="15" spans="1:13">
      <c r="A15" t="s">
        <v>354</v>
      </c>
      <c r="B15" t="s">
        <v>317</v>
      </c>
      <c r="C15">
        <v>27.85</v>
      </c>
      <c r="D15">
        <v>29804214421</v>
      </c>
      <c r="E15">
        <v>10</v>
      </c>
      <c r="F15">
        <v>718538882</v>
      </c>
      <c r="G15">
        <v>27.83</v>
      </c>
      <c r="H15">
        <v>26.32</v>
      </c>
      <c r="I15">
        <v>0.82270100000000002</v>
      </c>
      <c r="J15">
        <v>3.04357E-2</v>
      </c>
    </row>
    <row r="16" spans="1:13">
      <c r="A16" t="s">
        <v>355</v>
      </c>
      <c r="B16" t="s">
        <v>356</v>
      </c>
      <c r="C16">
        <v>114.1</v>
      </c>
      <c r="D16">
        <v>27780734856</v>
      </c>
      <c r="E16">
        <v>11</v>
      </c>
      <c r="F16">
        <v>1049269295</v>
      </c>
      <c r="G16">
        <v>113.24</v>
      </c>
      <c r="H16">
        <v>103.01</v>
      </c>
      <c r="I16">
        <v>6.81</v>
      </c>
      <c r="J16">
        <v>6.3511700000000004E-2</v>
      </c>
    </row>
    <row r="17" spans="1:10">
      <c r="A17" t="s">
        <v>357</v>
      </c>
      <c r="B17" t="s">
        <v>358</v>
      </c>
      <c r="C17">
        <v>0.17397099999999999</v>
      </c>
      <c r="D17">
        <v>22975517731</v>
      </c>
      <c r="E17">
        <v>12</v>
      </c>
      <c r="F17">
        <v>798096545</v>
      </c>
      <c r="G17">
        <v>0.17379700000000001</v>
      </c>
      <c r="H17">
        <v>0.16702500000000001</v>
      </c>
      <c r="I17">
        <v>3.3144400000000001E-3</v>
      </c>
      <c r="J17">
        <v>1.9421799999999999E-2</v>
      </c>
    </row>
    <row r="18" spans="1:10">
      <c r="A18" t="s">
        <v>359</v>
      </c>
      <c r="B18" t="s">
        <v>360</v>
      </c>
      <c r="C18">
        <v>3.4289999999999999E-5</v>
      </c>
      <c r="D18">
        <v>18719572906</v>
      </c>
      <c r="E18">
        <v>13</v>
      </c>
      <c r="F18">
        <v>685203144</v>
      </c>
      <c r="G18">
        <v>3.4230000000000003E-5</v>
      </c>
      <c r="H18">
        <v>3.2820000000000001E-5</v>
      </c>
      <c r="I18">
        <v>4.8509399999999996E-7</v>
      </c>
      <c r="J18">
        <v>1.4347799999999999E-2</v>
      </c>
    </row>
    <row r="19" spans="1:10">
      <c r="A19" t="s">
        <v>361</v>
      </c>
      <c r="B19" t="s">
        <v>362</v>
      </c>
      <c r="C19">
        <v>2.58</v>
      </c>
      <c r="D19">
        <v>17578592495</v>
      </c>
      <c r="E19">
        <v>14</v>
      </c>
      <c r="F19">
        <v>1053067556</v>
      </c>
      <c r="G19">
        <v>2.6</v>
      </c>
      <c r="H19">
        <v>2.44</v>
      </c>
      <c r="I19">
        <v>1.3595629999999999E-2</v>
      </c>
      <c r="J19">
        <v>5.3065999999999999E-3</v>
      </c>
    </row>
    <row r="20" spans="1:10">
      <c r="A20" t="s">
        <v>363</v>
      </c>
      <c r="B20" t="s">
        <v>364</v>
      </c>
      <c r="C20">
        <v>0.57962599999999997</v>
      </c>
      <c r="D20">
        <v>14546236431</v>
      </c>
      <c r="E20">
        <v>15</v>
      </c>
      <c r="F20">
        <v>162087200</v>
      </c>
      <c r="G20">
        <v>0.57625700000000002</v>
      </c>
      <c r="H20">
        <v>0.55032099999999995</v>
      </c>
      <c r="I20">
        <v>1.2984290000000001E-2</v>
      </c>
      <c r="J20">
        <v>2.2914500000000001E-2</v>
      </c>
    </row>
    <row r="21" spans="1:10">
      <c r="A21" t="s">
        <v>365</v>
      </c>
      <c r="B21" t="s">
        <v>366</v>
      </c>
      <c r="C21">
        <v>1</v>
      </c>
      <c r="D21">
        <v>14496971294</v>
      </c>
      <c r="E21">
        <v>16</v>
      </c>
      <c r="F21">
        <v>2461027358</v>
      </c>
      <c r="G21">
        <v>1.01</v>
      </c>
      <c r="H21">
        <v>0.99143599999999998</v>
      </c>
      <c r="I21">
        <v>8.6084999999999998E-3</v>
      </c>
      <c r="J21">
        <v>8.6458000000000004E-3</v>
      </c>
    </row>
    <row r="22" spans="1:10">
      <c r="A22" t="s">
        <v>367</v>
      </c>
      <c r="B22" t="s">
        <v>368</v>
      </c>
      <c r="C22">
        <v>47760</v>
      </c>
      <c r="D22">
        <v>12264829684</v>
      </c>
      <c r="E22">
        <v>17</v>
      </c>
      <c r="F22">
        <v>405161281</v>
      </c>
      <c r="G22">
        <v>47550</v>
      </c>
      <c r="H22">
        <v>45734</v>
      </c>
      <c r="I22">
        <v>758.85</v>
      </c>
      <c r="J22">
        <v>1.61455E-2</v>
      </c>
    </row>
    <row r="23" spans="1:10">
      <c r="A23" t="s">
        <v>369</v>
      </c>
      <c r="B23" t="s">
        <v>370</v>
      </c>
      <c r="C23">
        <v>1.72</v>
      </c>
      <c r="D23">
        <v>10855056581</v>
      </c>
      <c r="E23">
        <v>18</v>
      </c>
      <c r="F23">
        <v>248531012</v>
      </c>
      <c r="G23">
        <v>1.7</v>
      </c>
      <c r="H23">
        <v>1.63</v>
      </c>
      <c r="I23">
        <v>2.266027E-2</v>
      </c>
      <c r="J23">
        <v>1.3387400000000001E-2</v>
      </c>
    </row>
    <row r="24" spans="1:10">
      <c r="A24" t="s">
        <v>371</v>
      </c>
      <c r="B24" t="s">
        <v>372</v>
      </c>
      <c r="C24">
        <v>151.03</v>
      </c>
      <c r="D24">
        <v>10407410084</v>
      </c>
      <c r="E24">
        <v>19</v>
      </c>
      <c r="F24">
        <v>651450920</v>
      </c>
      <c r="G24">
        <v>150.36000000000001</v>
      </c>
      <c r="H24">
        <v>143.68</v>
      </c>
      <c r="I24">
        <v>3.83</v>
      </c>
      <c r="J24">
        <v>2.6008200000000002E-2</v>
      </c>
    </row>
    <row r="25" spans="1:10">
      <c r="A25" t="s">
        <v>373</v>
      </c>
      <c r="B25" t="s">
        <v>316</v>
      </c>
      <c r="C25">
        <v>36.200000000000003</v>
      </c>
      <c r="D25">
        <v>10323512794</v>
      </c>
      <c r="E25">
        <v>20</v>
      </c>
      <c r="F25">
        <v>1545998898</v>
      </c>
      <c r="G25">
        <v>36.119999999999997</v>
      </c>
      <c r="H25">
        <v>30.74</v>
      </c>
      <c r="I25">
        <v>4.3600000000000003</v>
      </c>
      <c r="J25">
        <v>0.13675179999999998</v>
      </c>
    </row>
    <row r="26" spans="1:10">
      <c r="A26" t="s">
        <v>374</v>
      </c>
      <c r="B26" t="s">
        <v>375</v>
      </c>
      <c r="C26">
        <v>1.01</v>
      </c>
      <c r="D26">
        <v>10181266441</v>
      </c>
      <c r="E26">
        <v>21</v>
      </c>
      <c r="F26">
        <v>160919517</v>
      </c>
      <c r="G26">
        <v>1.01</v>
      </c>
      <c r="H26">
        <v>0.99549600000000005</v>
      </c>
      <c r="I26">
        <v>1.426318E-2</v>
      </c>
      <c r="J26">
        <v>1.43225E-2</v>
      </c>
    </row>
    <row r="27" spans="1:10">
      <c r="A27" t="s">
        <v>376</v>
      </c>
      <c r="B27" t="s">
        <v>318</v>
      </c>
      <c r="C27">
        <v>20.260000000000002</v>
      </c>
      <c r="D27">
        <v>9435575803</v>
      </c>
      <c r="E27">
        <v>22</v>
      </c>
      <c r="F27">
        <v>757846779</v>
      </c>
      <c r="G27">
        <v>20.22</v>
      </c>
      <c r="H27">
        <v>19.09</v>
      </c>
      <c r="I27">
        <v>0.34744199999999997</v>
      </c>
      <c r="J27">
        <v>1.7447900000000002E-2</v>
      </c>
    </row>
    <row r="28" spans="1:10">
      <c r="A28" t="s">
        <v>377</v>
      </c>
      <c r="B28" t="s">
        <v>378</v>
      </c>
      <c r="C28">
        <v>1</v>
      </c>
      <c r="D28">
        <v>8982126573</v>
      </c>
      <c r="E28">
        <v>23</v>
      </c>
      <c r="F28">
        <v>343860083</v>
      </c>
      <c r="G28">
        <v>1.01</v>
      </c>
      <c r="H28">
        <v>0.99122200000000005</v>
      </c>
      <c r="I28">
        <v>1.3425640000000001E-2</v>
      </c>
      <c r="J28">
        <v>1.3544499999999999E-2</v>
      </c>
    </row>
    <row r="29" spans="1:10">
      <c r="A29" t="s">
        <v>379</v>
      </c>
      <c r="B29" t="s">
        <v>380</v>
      </c>
      <c r="C29">
        <v>14.89</v>
      </c>
      <c r="D29">
        <v>8952683129</v>
      </c>
      <c r="E29">
        <v>24</v>
      </c>
      <c r="F29">
        <v>291309480</v>
      </c>
      <c r="G29">
        <v>14.96</v>
      </c>
      <c r="H29">
        <v>14.21</v>
      </c>
      <c r="I29">
        <v>5.8866000000000002E-2</v>
      </c>
      <c r="J29">
        <v>3.9684000000000004E-3</v>
      </c>
    </row>
    <row r="30" spans="1:10">
      <c r="A30" t="s">
        <v>381</v>
      </c>
      <c r="B30" t="s">
        <v>382</v>
      </c>
      <c r="C30">
        <v>446.42</v>
      </c>
      <c r="D30">
        <v>8414862146</v>
      </c>
      <c r="E30">
        <v>25</v>
      </c>
      <c r="F30">
        <v>1857007597</v>
      </c>
      <c r="G30">
        <v>445.1</v>
      </c>
      <c r="H30">
        <v>419.99</v>
      </c>
      <c r="I30">
        <v>18.12</v>
      </c>
      <c r="J30">
        <v>4.2310800000000003E-2</v>
      </c>
    </row>
    <row r="31" spans="1:10">
      <c r="A31" t="s">
        <v>383</v>
      </c>
      <c r="B31" t="s">
        <v>384</v>
      </c>
      <c r="C31">
        <v>7.7191999999999997E-2</v>
      </c>
      <c r="D31">
        <v>7818184575</v>
      </c>
      <c r="E31">
        <v>26</v>
      </c>
      <c r="F31">
        <v>1071868533</v>
      </c>
      <c r="G31">
        <v>7.7321000000000001E-2</v>
      </c>
      <c r="H31">
        <v>7.3752999999999999E-2</v>
      </c>
      <c r="I31">
        <v>9.2069000000000005E-4</v>
      </c>
      <c r="J31">
        <v>1.2071199999999999E-2</v>
      </c>
    </row>
    <row r="32" spans="1:10">
      <c r="A32" t="s">
        <v>385</v>
      </c>
      <c r="B32" t="s">
        <v>386</v>
      </c>
      <c r="C32">
        <v>17.41</v>
      </c>
      <c r="D32">
        <v>7815781540</v>
      </c>
      <c r="E32">
        <v>27</v>
      </c>
      <c r="F32">
        <v>257155852</v>
      </c>
      <c r="G32">
        <v>18.22</v>
      </c>
      <c r="H32">
        <v>16.850000000000001</v>
      </c>
      <c r="I32">
        <v>-0.70738732134500004</v>
      </c>
      <c r="J32">
        <v>-3.9052999999999997E-2</v>
      </c>
    </row>
    <row r="33" spans="1:10">
      <c r="A33" t="s">
        <v>387</v>
      </c>
      <c r="B33" t="s">
        <v>388</v>
      </c>
      <c r="C33">
        <v>29.54</v>
      </c>
      <c r="D33">
        <v>7669098372</v>
      </c>
      <c r="E33">
        <v>28</v>
      </c>
      <c r="F33">
        <v>226676886</v>
      </c>
      <c r="G33">
        <v>29.49</v>
      </c>
      <c r="H33">
        <v>28.7</v>
      </c>
      <c r="I33">
        <v>0.39007599999999998</v>
      </c>
      <c r="J33">
        <v>1.33813E-2</v>
      </c>
    </row>
    <row r="34" spans="1:10">
      <c r="A34" t="s">
        <v>389</v>
      </c>
      <c r="B34" t="s">
        <v>390</v>
      </c>
      <c r="C34">
        <v>0.27730100000000002</v>
      </c>
      <c r="D34">
        <v>6845483532</v>
      </c>
      <c r="E34">
        <v>29</v>
      </c>
      <c r="F34">
        <v>279161946</v>
      </c>
      <c r="G34">
        <v>0.276279</v>
      </c>
      <c r="H34">
        <v>0.26022000000000001</v>
      </c>
      <c r="I34">
        <v>7.1700599999999998E-3</v>
      </c>
      <c r="J34">
        <v>2.6542900000000001E-2</v>
      </c>
    </row>
    <row r="35" spans="1:10">
      <c r="A35" t="s">
        <v>391</v>
      </c>
      <c r="B35" t="s">
        <v>392</v>
      </c>
      <c r="C35">
        <v>93.82</v>
      </c>
      <c r="D35">
        <v>6368816967</v>
      </c>
      <c r="E35">
        <v>30</v>
      </c>
      <c r="F35">
        <v>195952661</v>
      </c>
      <c r="G35">
        <v>95.38</v>
      </c>
      <c r="H35">
        <v>91.11</v>
      </c>
      <c r="I35">
        <v>3.971893E-2</v>
      </c>
      <c r="J35">
        <v>4.236E-4</v>
      </c>
    </row>
    <row r="36" spans="1:10">
      <c r="A36" t="s">
        <v>393</v>
      </c>
      <c r="B36" t="s">
        <v>319</v>
      </c>
      <c r="C36">
        <v>2.5</v>
      </c>
      <c r="D36">
        <v>6355522327</v>
      </c>
      <c r="E36">
        <v>31</v>
      </c>
      <c r="F36">
        <v>793608032</v>
      </c>
      <c r="G36">
        <v>2.5</v>
      </c>
      <c r="H36">
        <v>2.14</v>
      </c>
      <c r="I36">
        <v>0.26172600000000001</v>
      </c>
      <c r="J36">
        <v>0.116878</v>
      </c>
    </row>
    <row r="37" spans="1:10">
      <c r="A37" t="s">
        <v>394</v>
      </c>
      <c r="B37" t="s">
        <v>395</v>
      </c>
      <c r="C37">
        <v>3744.89</v>
      </c>
      <c r="D37">
        <v>6076340919</v>
      </c>
      <c r="E37">
        <v>32</v>
      </c>
      <c r="F37">
        <v>8747696</v>
      </c>
      <c r="G37">
        <v>3742.75</v>
      </c>
      <c r="H37">
        <v>3612.26</v>
      </c>
      <c r="I37">
        <v>42.79</v>
      </c>
      <c r="J37">
        <v>1.1558200000000001E-2</v>
      </c>
    </row>
    <row r="38" spans="1:10">
      <c r="A38" t="s">
        <v>396</v>
      </c>
      <c r="B38" t="s">
        <v>397</v>
      </c>
      <c r="C38">
        <v>8.5900000000000004E-2</v>
      </c>
      <c r="D38">
        <v>5718073893</v>
      </c>
      <c r="E38">
        <v>33</v>
      </c>
      <c r="F38">
        <v>211138234</v>
      </c>
      <c r="G38">
        <v>8.5681999999999994E-2</v>
      </c>
      <c r="H38">
        <v>8.1465999999999997E-2</v>
      </c>
      <c r="I38">
        <v>1.68121E-3</v>
      </c>
      <c r="J38">
        <v>1.9962299999999999E-2</v>
      </c>
    </row>
    <row r="39" spans="1:10">
      <c r="A39" t="s">
        <v>398</v>
      </c>
      <c r="B39" t="s">
        <v>399</v>
      </c>
      <c r="C39">
        <v>40.270000000000003</v>
      </c>
      <c r="D39">
        <v>5562149219</v>
      </c>
      <c r="E39">
        <v>35</v>
      </c>
      <c r="F39">
        <v>162181032</v>
      </c>
      <c r="G39">
        <v>40.04</v>
      </c>
      <c r="H39">
        <v>37.92</v>
      </c>
      <c r="I39">
        <v>1.1599999999999999</v>
      </c>
      <c r="J39">
        <v>2.9563100000000002E-2</v>
      </c>
    </row>
    <row r="40" spans="1:10">
      <c r="A40" t="s">
        <v>400</v>
      </c>
      <c r="B40" t="s">
        <v>401</v>
      </c>
      <c r="C40">
        <v>0.29960999999999999</v>
      </c>
      <c r="D40">
        <v>5554878239</v>
      </c>
      <c r="E40">
        <v>34</v>
      </c>
      <c r="F40">
        <v>58931960</v>
      </c>
      <c r="G40">
        <v>0.299404</v>
      </c>
      <c r="H40">
        <v>0.28526699999999999</v>
      </c>
      <c r="I40">
        <v>3.6081199999999998E-3</v>
      </c>
      <c r="J40">
        <v>1.2189499999999999E-2</v>
      </c>
    </row>
    <row r="41" spans="1:10">
      <c r="A41" t="s">
        <v>402</v>
      </c>
      <c r="B41" t="s">
        <v>403</v>
      </c>
      <c r="C41">
        <v>5.98</v>
      </c>
      <c r="D41">
        <v>5496577014</v>
      </c>
      <c r="E41">
        <v>36</v>
      </c>
      <c r="F41">
        <v>717699993</v>
      </c>
      <c r="G41">
        <v>6.07</v>
      </c>
      <c r="H41">
        <v>5.78</v>
      </c>
      <c r="I41">
        <v>1.910007E-2</v>
      </c>
      <c r="J41">
        <v>3.2053999999999997E-3</v>
      </c>
    </row>
    <row r="42" spans="1:10">
      <c r="A42" t="s">
        <v>404</v>
      </c>
      <c r="B42" t="s">
        <v>405</v>
      </c>
      <c r="C42">
        <v>75.14</v>
      </c>
      <c r="D42">
        <v>5385040206</v>
      </c>
      <c r="E42">
        <v>37</v>
      </c>
      <c r="F42">
        <v>25727668</v>
      </c>
      <c r="G42">
        <v>75.38</v>
      </c>
      <c r="H42">
        <v>72.78</v>
      </c>
      <c r="I42">
        <v>0.48077799999999998</v>
      </c>
      <c r="J42">
        <v>6.4397000000000005E-3</v>
      </c>
    </row>
    <row r="43" spans="1:10">
      <c r="A43" t="s">
        <v>406</v>
      </c>
      <c r="B43" t="s">
        <v>407</v>
      </c>
      <c r="C43">
        <v>35.74</v>
      </c>
      <c r="D43">
        <v>5117892079</v>
      </c>
      <c r="E43">
        <v>38</v>
      </c>
      <c r="F43">
        <v>332550255</v>
      </c>
      <c r="G43">
        <v>35.68</v>
      </c>
      <c r="H43">
        <v>33.47</v>
      </c>
      <c r="I43">
        <v>1.29</v>
      </c>
      <c r="J43">
        <v>3.7319100000000001E-2</v>
      </c>
    </row>
    <row r="44" spans="1:10">
      <c r="A44" t="s">
        <v>408</v>
      </c>
      <c r="B44" t="s">
        <v>409</v>
      </c>
      <c r="C44">
        <v>243.03</v>
      </c>
      <c r="D44">
        <v>4910768327</v>
      </c>
      <c r="E44">
        <v>39</v>
      </c>
      <c r="F44">
        <v>83139818</v>
      </c>
      <c r="G44">
        <v>245.12</v>
      </c>
      <c r="H44">
        <v>233.13</v>
      </c>
      <c r="I44">
        <v>5.45</v>
      </c>
      <c r="J44">
        <v>2.29275E-2</v>
      </c>
    </row>
    <row r="45" spans="1:10">
      <c r="A45" t="s">
        <v>410</v>
      </c>
      <c r="B45" t="s">
        <v>411</v>
      </c>
      <c r="C45">
        <v>25.59</v>
      </c>
      <c r="D45">
        <v>4886691038</v>
      </c>
      <c r="E45">
        <v>40</v>
      </c>
      <c r="F45">
        <v>201966226</v>
      </c>
      <c r="G45">
        <v>25.48</v>
      </c>
      <c r="H45">
        <v>24.07</v>
      </c>
      <c r="I45">
        <v>0.62149399999999999</v>
      </c>
      <c r="J45">
        <v>2.4888300000000002E-2</v>
      </c>
    </row>
    <row r="46" spans="1:10">
      <c r="A46" t="s">
        <v>412</v>
      </c>
      <c r="B46" t="s">
        <v>413</v>
      </c>
      <c r="C46">
        <v>4.8899999999999997</v>
      </c>
      <c r="D46">
        <v>4861236018</v>
      </c>
      <c r="E46">
        <v>41</v>
      </c>
      <c r="F46">
        <v>140749938</v>
      </c>
      <c r="G46">
        <v>4.9000000000000004</v>
      </c>
      <c r="H46">
        <v>4.58</v>
      </c>
      <c r="I46">
        <v>0.13226399999999999</v>
      </c>
      <c r="J46">
        <v>2.7801999999999997E-2</v>
      </c>
    </row>
    <row r="47" spans="1:10">
      <c r="A47" t="s">
        <v>414</v>
      </c>
      <c r="B47" t="s">
        <v>415</v>
      </c>
      <c r="C47">
        <v>1.01</v>
      </c>
      <c r="D47">
        <v>4594139243</v>
      </c>
      <c r="E47">
        <v>42</v>
      </c>
      <c r="F47">
        <v>204120934</v>
      </c>
      <c r="G47">
        <v>1.01</v>
      </c>
      <c r="H47">
        <v>0.98985500000000004</v>
      </c>
      <c r="I47">
        <v>1.7555350000000001E-2</v>
      </c>
      <c r="J47">
        <v>1.7668799999999998E-2</v>
      </c>
    </row>
    <row r="48" spans="1:10">
      <c r="A48" t="s">
        <v>416</v>
      </c>
      <c r="B48" t="s">
        <v>417</v>
      </c>
      <c r="C48">
        <v>34.96</v>
      </c>
      <c r="D48">
        <v>4585381446</v>
      </c>
      <c r="E48">
        <v>43</v>
      </c>
      <c r="F48">
        <v>255015012</v>
      </c>
      <c r="G48">
        <v>34.880000000000003</v>
      </c>
      <c r="H48">
        <v>33.590000000000003</v>
      </c>
      <c r="I48">
        <v>0.34406500000000001</v>
      </c>
      <c r="J48">
        <v>9.9404999999999997E-3</v>
      </c>
    </row>
    <row r="49" spans="1:10">
      <c r="A49" t="s">
        <v>418</v>
      </c>
      <c r="B49" t="s">
        <v>419</v>
      </c>
      <c r="C49">
        <v>250.9</v>
      </c>
      <c r="D49">
        <v>4530163789</v>
      </c>
      <c r="E49">
        <v>44</v>
      </c>
      <c r="F49">
        <v>236989423</v>
      </c>
      <c r="G49">
        <v>249.82</v>
      </c>
      <c r="H49">
        <v>227.51</v>
      </c>
      <c r="I49">
        <v>18.13</v>
      </c>
      <c r="J49">
        <v>7.7879100000000007E-2</v>
      </c>
    </row>
    <row r="50" spans="1:10">
      <c r="A50" t="s">
        <v>420</v>
      </c>
      <c r="B50" t="s">
        <v>421</v>
      </c>
      <c r="C50">
        <v>3.35</v>
      </c>
      <c r="D50">
        <v>4425529877</v>
      </c>
      <c r="E50">
        <v>45</v>
      </c>
      <c r="F50">
        <v>327417794</v>
      </c>
      <c r="G50">
        <v>3.34</v>
      </c>
      <c r="H50">
        <v>3.21</v>
      </c>
      <c r="I50">
        <v>3.5067510000000003E-2</v>
      </c>
      <c r="J50">
        <v>1.0569800000000001E-2</v>
      </c>
    </row>
    <row r="51" spans="1:10">
      <c r="A51" t="s">
        <v>422</v>
      </c>
      <c r="B51" t="s">
        <v>423</v>
      </c>
      <c r="C51">
        <v>4.59</v>
      </c>
      <c r="D51">
        <v>3997388667</v>
      </c>
      <c r="E51">
        <v>46</v>
      </c>
      <c r="F51">
        <v>224772674</v>
      </c>
      <c r="G51">
        <v>4.7300000000000004</v>
      </c>
      <c r="H51">
        <v>4.21</v>
      </c>
      <c r="I51">
        <v>0.220803</v>
      </c>
      <c r="J51">
        <v>5.0589500000000003E-2</v>
      </c>
    </row>
    <row r="52" spans="1:10">
      <c r="A52" t="s">
        <v>424</v>
      </c>
      <c r="B52" t="s">
        <v>425</v>
      </c>
      <c r="C52">
        <v>39.99</v>
      </c>
      <c r="D52">
        <v>3995403568</v>
      </c>
      <c r="E52">
        <v>47</v>
      </c>
      <c r="F52">
        <v>29106547</v>
      </c>
      <c r="G52">
        <v>40.29</v>
      </c>
      <c r="H52">
        <v>36.56</v>
      </c>
      <c r="I52">
        <v>1.74</v>
      </c>
      <c r="J52">
        <v>4.5545999999999996E-2</v>
      </c>
    </row>
    <row r="53" spans="1:10">
      <c r="A53" t="s">
        <v>426</v>
      </c>
      <c r="B53" t="s">
        <v>427</v>
      </c>
      <c r="C53">
        <v>1.38</v>
      </c>
      <c r="D53">
        <v>3823035236</v>
      </c>
      <c r="E53">
        <v>48</v>
      </c>
      <c r="F53">
        <v>97654868</v>
      </c>
      <c r="G53">
        <v>1.39</v>
      </c>
      <c r="H53">
        <v>1.34</v>
      </c>
      <c r="I53">
        <v>5.8604800000000004E-3</v>
      </c>
      <c r="J53">
        <v>4.2560999999999996E-3</v>
      </c>
    </row>
    <row r="54" spans="1:10">
      <c r="A54" t="s">
        <v>428</v>
      </c>
      <c r="B54" t="s">
        <v>429</v>
      </c>
      <c r="C54">
        <v>2.1911659999999999E-2</v>
      </c>
      <c r="D54">
        <v>3573779579</v>
      </c>
      <c r="E54">
        <v>49</v>
      </c>
      <c r="F54">
        <v>55509059</v>
      </c>
      <c r="G54">
        <v>2.211774E-2</v>
      </c>
      <c r="H54">
        <v>2.157241E-2</v>
      </c>
      <c r="I54">
        <v>3.3924999999999998E-4</v>
      </c>
      <c r="J54">
        <v>1.5725900000000001E-2</v>
      </c>
    </row>
    <row r="55" spans="1:10">
      <c r="A55" t="s">
        <v>430</v>
      </c>
      <c r="B55" t="s">
        <v>431</v>
      </c>
      <c r="C55">
        <v>3.81</v>
      </c>
      <c r="D55">
        <v>3567522577</v>
      </c>
      <c r="E55">
        <v>50</v>
      </c>
      <c r="F55">
        <v>671242</v>
      </c>
      <c r="G55">
        <v>3.82</v>
      </c>
      <c r="H55">
        <v>3.75</v>
      </c>
      <c r="I55">
        <v>4.3874980000000001E-2</v>
      </c>
      <c r="J55">
        <v>1.1651400000000001E-2</v>
      </c>
    </row>
  </sheetData>
  <mergeCells count="1">
    <mergeCell ref="A1:J4"/>
  </mergeCells>
  <phoneticPr fontId="33" type="noConversion"/>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674F7-F747-43F7-A5BF-BEFDB75257D0}">
  <sheetPr codeName="Sheet1">
    <tabColor rgb="FF548235"/>
  </sheetPr>
  <dimension ref="A1:G30"/>
  <sheetViews>
    <sheetView zoomScale="85" zoomScaleNormal="85" workbookViewId="0">
      <selection activeCell="B29" sqref="B29:B30"/>
    </sheetView>
  </sheetViews>
  <sheetFormatPr defaultRowHeight="14.5"/>
  <cols>
    <col min="1" max="1" width="20.81640625" customWidth="1"/>
    <col min="2" max="2" width="51" customWidth="1"/>
    <col min="3" max="3" width="19.26953125" customWidth="1"/>
    <col min="4" max="4" width="19.7265625" customWidth="1"/>
    <col min="5" max="5" width="19.26953125" customWidth="1"/>
    <col min="6" max="6" width="19.81640625" customWidth="1"/>
    <col min="7" max="7" width="20.453125" customWidth="1"/>
  </cols>
  <sheetData>
    <row r="1" spans="1:7">
      <c r="A1" s="732" t="s">
        <v>432</v>
      </c>
      <c r="B1" s="733"/>
      <c r="C1" s="733"/>
      <c r="D1" s="733"/>
      <c r="E1" s="733"/>
      <c r="F1" s="733"/>
      <c r="G1" s="734"/>
    </row>
    <row r="2" spans="1:7">
      <c r="A2" s="735"/>
      <c r="B2" s="736"/>
      <c r="C2" s="736"/>
      <c r="D2" s="736"/>
      <c r="E2" s="736"/>
      <c r="F2" s="736"/>
      <c r="G2" s="737"/>
    </row>
    <row r="3" spans="1:7">
      <c r="A3" s="735"/>
      <c r="B3" s="736"/>
      <c r="C3" s="736"/>
      <c r="D3" s="736"/>
      <c r="E3" s="736"/>
      <c r="F3" s="736"/>
      <c r="G3" s="737"/>
    </row>
    <row r="4" spans="1:7">
      <c r="A4" s="735"/>
      <c r="B4" s="736"/>
      <c r="C4" s="736"/>
      <c r="D4" s="736"/>
      <c r="E4" s="736"/>
      <c r="F4" s="736"/>
      <c r="G4" s="737"/>
    </row>
    <row r="5" spans="1:7">
      <c r="A5" s="19" t="s">
        <v>27</v>
      </c>
      <c r="B5" s="20" t="s">
        <v>433</v>
      </c>
      <c r="C5" s="20" t="s">
        <v>434</v>
      </c>
      <c r="D5" s="20" t="s">
        <v>435</v>
      </c>
      <c r="E5" s="20" t="s">
        <v>436</v>
      </c>
      <c r="F5" s="20" t="s">
        <v>437</v>
      </c>
      <c r="G5" s="21" t="s">
        <v>438</v>
      </c>
    </row>
    <row r="6" spans="1:7">
      <c r="A6" s="16">
        <v>39920</v>
      </c>
      <c r="B6" s="3" t="e" vm="1">
        <v>#VALUE!</v>
      </c>
      <c r="C6" s="5" t="s">
        <v>439</v>
      </c>
      <c r="D6" s="5">
        <v>150</v>
      </c>
      <c r="E6" s="5">
        <v>32.21</v>
      </c>
      <c r="F6" s="5" t="s">
        <v>440</v>
      </c>
      <c r="G6" s="11">
        <v>4831.5</v>
      </c>
    </row>
    <row r="7" spans="1:7">
      <c r="A7" s="17">
        <v>40080</v>
      </c>
      <c r="B7" s="4" t="e" vm="1">
        <v>#VALUE!</v>
      </c>
      <c r="C7" s="6" t="s">
        <v>441</v>
      </c>
      <c r="D7" s="6">
        <v>3</v>
      </c>
      <c r="E7" s="6">
        <v>31.33</v>
      </c>
      <c r="F7" s="6" t="s">
        <v>440</v>
      </c>
      <c r="G7" s="12">
        <v>93.99</v>
      </c>
    </row>
    <row r="8" spans="1:7">
      <c r="A8" s="16">
        <v>40266</v>
      </c>
      <c r="B8" s="3" t="e" vm="1">
        <v>#VALUE!</v>
      </c>
      <c r="C8" s="5" t="s">
        <v>441</v>
      </c>
      <c r="D8" s="5">
        <v>5</v>
      </c>
      <c r="E8" s="5">
        <v>5.44</v>
      </c>
      <c r="F8" s="5" t="s">
        <v>440</v>
      </c>
      <c r="G8" s="13">
        <v>27.2</v>
      </c>
    </row>
    <row r="9" spans="1:7">
      <c r="A9" s="17">
        <v>40448</v>
      </c>
      <c r="B9" s="4" t="e" vm="1">
        <v>#VALUE!</v>
      </c>
      <c r="C9" s="6" t="s">
        <v>441</v>
      </c>
      <c r="D9" s="6">
        <v>4</v>
      </c>
      <c r="E9" s="6">
        <v>29.36</v>
      </c>
      <c r="F9" s="6" t="s">
        <v>440</v>
      </c>
      <c r="G9" s="12">
        <v>117.44</v>
      </c>
    </row>
    <row r="10" spans="1:7">
      <c r="A10" s="16">
        <v>37155</v>
      </c>
      <c r="B10" s="3" t="e" vm="2">
        <v>#VALUE!</v>
      </c>
      <c r="C10" s="5" t="s">
        <v>439</v>
      </c>
      <c r="D10" s="5">
        <v>35</v>
      </c>
      <c r="E10" s="5">
        <v>27.49</v>
      </c>
      <c r="F10" s="5" t="s">
        <v>440</v>
      </c>
      <c r="G10" s="13">
        <v>962.15</v>
      </c>
    </row>
    <row r="11" spans="1:7">
      <c r="A11" s="17">
        <v>43920</v>
      </c>
      <c r="B11" s="4" t="e" vm="3">
        <v>#VALUE!</v>
      </c>
      <c r="C11" s="6" t="s">
        <v>439</v>
      </c>
      <c r="D11" s="6">
        <v>274</v>
      </c>
      <c r="E11" s="6">
        <v>9.85</v>
      </c>
      <c r="F11" s="6" t="s">
        <v>440</v>
      </c>
      <c r="G11" s="14">
        <v>2698.9</v>
      </c>
    </row>
    <row r="12" spans="1:7">
      <c r="A12" s="16">
        <v>43936</v>
      </c>
      <c r="B12" s="3" t="e" vm="3">
        <v>#VALUE!</v>
      </c>
      <c r="C12" s="5" t="s">
        <v>442</v>
      </c>
      <c r="D12" s="5">
        <v>-274</v>
      </c>
      <c r="E12" s="5">
        <v>11.06</v>
      </c>
      <c r="F12" s="5" t="s">
        <v>440</v>
      </c>
      <c r="G12" s="11">
        <v>-3030.44</v>
      </c>
    </row>
    <row r="13" spans="1:7">
      <c r="A13" s="17">
        <v>43920</v>
      </c>
      <c r="B13" s="4" t="e" vm="4">
        <v>#VALUE!</v>
      </c>
      <c r="C13" s="6" t="s">
        <v>439</v>
      </c>
      <c r="D13" s="6">
        <v>385</v>
      </c>
      <c r="E13" s="6">
        <v>6.99</v>
      </c>
      <c r="F13" s="6" t="s">
        <v>440</v>
      </c>
      <c r="G13" s="14">
        <v>2691.15</v>
      </c>
    </row>
    <row r="14" spans="1:7">
      <c r="A14" s="16">
        <v>43936</v>
      </c>
      <c r="B14" s="3" t="e" vm="4">
        <v>#VALUE!</v>
      </c>
      <c r="C14" s="5" t="s">
        <v>442</v>
      </c>
      <c r="D14" s="5">
        <v>-385</v>
      </c>
      <c r="E14" s="5">
        <v>8.15</v>
      </c>
      <c r="F14" s="5" t="s">
        <v>440</v>
      </c>
      <c r="G14" s="11">
        <v>-3137.75</v>
      </c>
    </row>
    <row r="15" spans="1:7">
      <c r="A15" s="17">
        <v>43907</v>
      </c>
      <c r="B15" s="4" t="e" vm="5">
        <v>#VALUE!</v>
      </c>
      <c r="C15" s="6" t="s">
        <v>439</v>
      </c>
      <c r="D15" s="7">
        <v>8400</v>
      </c>
      <c r="E15" s="6">
        <v>3.52</v>
      </c>
      <c r="F15" s="6" t="s">
        <v>440</v>
      </c>
      <c r="G15" s="14">
        <v>29568</v>
      </c>
    </row>
    <row r="16" spans="1:7">
      <c r="A16" s="16">
        <v>43930</v>
      </c>
      <c r="B16" s="3" t="e" vm="5">
        <v>#VALUE!</v>
      </c>
      <c r="C16" s="5" t="s">
        <v>442</v>
      </c>
      <c r="D16" s="8">
        <v>-8400</v>
      </c>
      <c r="E16" s="5">
        <v>3.34</v>
      </c>
      <c r="F16" s="5" t="s">
        <v>440</v>
      </c>
      <c r="G16" s="11">
        <v>-28056</v>
      </c>
    </row>
    <row r="17" spans="1:7">
      <c r="A17" s="17">
        <v>38618</v>
      </c>
      <c r="B17" s="4" t="e" vm="6">
        <v>#VALUE!</v>
      </c>
      <c r="C17" s="6" t="s">
        <v>439</v>
      </c>
      <c r="D17" s="6">
        <v>35</v>
      </c>
      <c r="E17" s="6">
        <v>37.19</v>
      </c>
      <c r="F17" s="6" t="s">
        <v>440</v>
      </c>
      <c r="G17" s="14">
        <v>1301.6500000000001</v>
      </c>
    </row>
    <row r="18" spans="1:7">
      <c r="A18" s="16">
        <v>39177</v>
      </c>
      <c r="B18" s="3" t="e" vm="6">
        <v>#VALUE!</v>
      </c>
      <c r="C18" s="5" t="s">
        <v>441</v>
      </c>
      <c r="D18" s="5">
        <v>1</v>
      </c>
      <c r="E18" s="5">
        <v>50.02</v>
      </c>
      <c r="F18" s="5" t="s">
        <v>440</v>
      </c>
      <c r="G18" s="13">
        <v>50.02</v>
      </c>
    </row>
    <row r="19" spans="1:7">
      <c r="A19" s="17">
        <v>39227</v>
      </c>
      <c r="B19" s="4" t="e" vm="6">
        <v>#VALUE!</v>
      </c>
      <c r="C19" s="6" t="s">
        <v>441</v>
      </c>
      <c r="D19" s="6">
        <v>1</v>
      </c>
      <c r="E19" s="6">
        <v>55.35</v>
      </c>
      <c r="F19" s="6" t="s">
        <v>440</v>
      </c>
      <c r="G19" s="12">
        <v>55.35</v>
      </c>
    </row>
    <row r="20" spans="1:7">
      <c r="A20" s="16">
        <v>39318</v>
      </c>
      <c r="B20" s="3" t="e" vm="6">
        <v>#VALUE!</v>
      </c>
      <c r="C20" s="5" t="s">
        <v>441</v>
      </c>
      <c r="D20" s="5">
        <v>2</v>
      </c>
      <c r="E20" s="5">
        <v>54.8</v>
      </c>
      <c r="F20" s="5" t="s">
        <v>440</v>
      </c>
      <c r="G20" s="13">
        <v>109.6</v>
      </c>
    </row>
    <row r="21" spans="1:7">
      <c r="A21" s="17">
        <v>39540</v>
      </c>
      <c r="B21" s="4" t="e" vm="6">
        <v>#VALUE!</v>
      </c>
      <c r="C21" s="6" t="s">
        <v>441</v>
      </c>
      <c r="D21" s="6">
        <v>1</v>
      </c>
      <c r="E21" s="6">
        <v>39.44</v>
      </c>
      <c r="F21" s="6" t="s">
        <v>440</v>
      </c>
      <c r="G21" s="12">
        <v>39.44</v>
      </c>
    </row>
    <row r="22" spans="1:7">
      <c r="A22" s="16">
        <v>40164</v>
      </c>
      <c r="B22" s="3" t="e" vm="6">
        <v>#VALUE!</v>
      </c>
      <c r="C22" s="5" t="s">
        <v>441</v>
      </c>
      <c r="D22" s="5">
        <v>3</v>
      </c>
      <c r="E22" s="5">
        <v>52.09</v>
      </c>
      <c r="F22" s="5" t="s">
        <v>440</v>
      </c>
      <c r="G22" s="13">
        <v>156.27000000000001</v>
      </c>
    </row>
    <row r="23" spans="1:7">
      <c r="A23" s="17">
        <v>40269</v>
      </c>
      <c r="B23" s="4" t="e" vm="6">
        <v>#VALUE!</v>
      </c>
      <c r="C23" s="6" t="s">
        <v>441</v>
      </c>
      <c r="D23" s="6">
        <v>1</v>
      </c>
      <c r="E23" s="6">
        <v>53.56</v>
      </c>
      <c r="F23" s="6" t="s">
        <v>440</v>
      </c>
      <c r="G23" s="12">
        <v>53.56</v>
      </c>
    </row>
    <row r="24" spans="1:7">
      <c r="A24" s="16">
        <v>41848</v>
      </c>
      <c r="B24" s="3" t="e" vm="6">
        <v>#VALUE!</v>
      </c>
      <c r="C24" s="5" t="s">
        <v>439</v>
      </c>
      <c r="D24" s="5">
        <v>12</v>
      </c>
      <c r="E24" s="5">
        <v>81.92</v>
      </c>
      <c r="F24" s="5" t="s">
        <v>440</v>
      </c>
      <c r="G24" s="13">
        <v>983.04</v>
      </c>
    </row>
    <row r="25" spans="1:7">
      <c r="A25" s="17">
        <v>43920</v>
      </c>
      <c r="B25" s="4" t="e" vm="7">
        <v>#VALUE!</v>
      </c>
      <c r="C25" s="6" t="s">
        <v>439</v>
      </c>
      <c r="D25" s="7">
        <v>4275</v>
      </c>
      <c r="E25" s="6">
        <v>0.63</v>
      </c>
      <c r="F25" s="6" t="s">
        <v>440</v>
      </c>
      <c r="G25" s="14">
        <v>2693.25</v>
      </c>
    </row>
    <row r="26" spans="1:7">
      <c r="A26" s="16">
        <v>43920</v>
      </c>
      <c r="B26" s="3" t="e" vm="8">
        <v>#VALUE!</v>
      </c>
      <c r="C26" s="5" t="s">
        <v>439</v>
      </c>
      <c r="D26" s="5">
        <v>695</v>
      </c>
      <c r="E26" s="5">
        <v>3.89</v>
      </c>
      <c r="F26" s="5" t="s">
        <v>440</v>
      </c>
      <c r="G26" s="11">
        <v>2703.55</v>
      </c>
    </row>
    <row r="27" spans="1:7">
      <c r="A27" s="18">
        <v>43924</v>
      </c>
      <c r="B27" s="4" t="e" vm="9">
        <v>#VALUE!</v>
      </c>
      <c r="C27" s="9" t="s">
        <v>439</v>
      </c>
      <c r="D27" s="10">
        <v>1376</v>
      </c>
      <c r="E27" s="9">
        <v>1.0900000000000001</v>
      </c>
      <c r="F27" s="9" t="s">
        <v>440</v>
      </c>
      <c r="G27" s="15">
        <v>1499.84</v>
      </c>
    </row>
    <row r="28" spans="1:7">
      <c r="A28" s="18"/>
      <c r="B28" s="392"/>
      <c r="C28" s="9"/>
      <c r="D28" s="10"/>
      <c r="E28" s="9"/>
      <c r="F28" s="9"/>
      <c r="G28" s="15"/>
    </row>
    <row r="29" spans="1:7">
      <c r="A29" s="478"/>
      <c r="B29" s="392"/>
      <c r="C29" s="479"/>
      <c r="D29" s="480"/>
      <c r="E29" s="479"/>
      <c r="F29" s="479"/>
      <c r="G29" s="481"/>
    </row>
    <row r="30" spans="1:7">
      <c r="A30" s="255"/>
    </row>
  </sheetData>
  <mergeCells count="1">
    <mergeCell ref="A1:G4"/>
  </mergeCells>
  <pageMargins left="0.7" right="0.7" top="0.75" bottom="0.75" header="0.3" footer="0.3"/>
  <drawing r:id="rId1"/>
  <legacyDrawing r:id="rId2"/>
  <controls>
    <mc:AlternateContent xmlns:mc="http://schemas.openxmlformats.org/markup-compatibility/2006">
      <mc:Choice Requires="x14">
        <control shapeId="25601" r:id="rId3" name="CommandButton1">
          <controlPr defaultSize="0" autoLine="0" r:id="rId4">
            <anchor moveWithCells="1">
              <from>
                <xdr:col>5</xdr:col>
                <xdr:colOff>457200</xdr:colOff>
                <xdr:row>1</xdr:row>
                <xdr:rowOff>0</xdr:rowOff>
              </from>
              <to>
                <xdr:col>5</xdr:col>
                <xdr:colOff>488950</xdr:colOff>
                <xdr:row>1</xdr:row>
                <xdr:rowOff>31750</xdr:rowOff>
              </to>
            </anchor>
          </controlPr>
        </control>
      </mc:Choice>
      <mc:Fallback>
        <control shapeId="25601" r:id="rId3" name="CommandButton1"/>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96EED-47F3-4BCB-BD13-77084B279CC0}">
  <sheetPr codeName="Sheet10">
    <tabColor rgb="FF548235"/>
  </sheetPr>
  <dimension ref="A1:JG36"/>
  <sheetViews>
    <sheetView topLeftCell="A10" zoomScale="55" zoomScaleNormal="55" workbookViewId="0">
      <selection activeCell="G39" sqref="G39"/>
    </sheetView>
  </sheetViews>
  <sheetFormatPr defaultRowHeight="14.5"/>
  <cols>
    <col min="1" max="1" width="11.54296875" customWidth="1"/>
    <col min="2" max="2" width="20.81640625" customWidth="1"/>
    <col min="3" max="3" width="56.54296875" customWidth="1"/>
    <col min="4" max="4" width="43.1796875" customWidth="1"/>
    <col min="5" max="5" width="12.54296875" customWidth="1"/>
    <col min="6" max="6" width="20.26953125" customWidth="1"/>
    <col min="7" max="7" width="31.26953125" customWidth="1"/>
    <col min="8" max="8" width="21.7265625" customWidth="1"/>
    <col min="9" max="9" width="17" customWidth="1"/>
    <col min="10" max="10" width="27.453125" customWidth="1"/>
    <col min="11" max="11" width="32.26953125" customWidth="1"/>
    <col min="13" max="13" width="20.453125" customWidth="1"/>
    <col min="14" max="14" width="25.26953125" customWidth="1"/>
  </cols>
  <sheetData>
    <row r="1" spans="1:267" ht="14.25" customHeight="1">
      <c r="A1" s="138"/>
      <c r="B1" s="759" t="s">
        <v>152</v>
      </c>
      <c r="C1" s="742" t="s">
        <v>443</v>
      </c>
      <c r="D1" s="743"/>
      <c r="E1" s="743"/>
      <c r="F1" s="748"/>
      <c r="G1" s="746" t="s">
        <v>444</v>
      </c>
      <c r="H1" s="746" t="s">
        <v>445</v>
      </c>
      <c r="I1" s="746"/>
      <c r="J1" s="746" t="s">
        <v>446</v>
      </c>
      <c r="K1" s="112"/>
    </row>
    <row r="2" spans="1:267" ht="14.25" customHeight="1">
      <c r="A2" s="139"/>
      <c r="B2" s="760"/>
      <c r="C2" s="744"/>
      <c r="D2" s="745"/>
      <c r="E2" s="745"/>
      <c r="F2" s="736"/>
      <c r="G2" s="747"/>
      <c r="H2" s="747"/>
      <c r="I2" s="747"/>
      <c r="J2" s="747"/>
      <c r="K2" s="113"/>
    </row>
    <row r="3" spans="1:267" ht="14.25" customHeight="1">
      <c r="A3" s="139"/>
      <c r="B3" s="760"/>
      <c r="C3" s="744"/>
      <c r="D3" s="745"/>
      <c r="E3" s="745"/>
      <c r="F3" s="736"/>
      <c r="G3" s="749">
        <f>SUM(_xlfn.ANCHORARRAY(G7))</f>
        <v>28500.644999999997</v>
      </c>
      <c r="H3" s="749">
        <f>SUM(_xlfn.ANCHORARRAY(H7))</f>
        <v>-770.72999999999934</v>
      </c>
      <c r="I3" s="751">
        <f>H3/(G3-H3)</f>
        <v>-2.6330502069000838E-2</v>
      </c>
      <c r="J3" s="749">
        <f>SUM(_xlfn.ANCHORARRAY(J7))</f>
        <v>12822.795</v>
      </c>
      <c r="K3" s="113"/>
    </row>
    <row r="4" spans="1:267" ht="14.25" customHeight="1">
      <c r="A4" s="139"/>
      <c r="B4" s="760"/>
      <c r="C4" s="744"/>
      <c r="D4" s="745"/>
      <c r="E4" s="745"/>
      <c r="F4" s="736"/>
      <c r="G4" s="750"/>
      <c r="H4" s="750"/>
      <c r="I4" s="751"/>
      <c r="J4" s="750"/>
      <c r="K4" s="113"/>
    </row>
    <row r="5" spans="1:267">
      <c r="A5" s="139"/>
      <c r="B5" s="140"/>
      <c r="C5" s="739" t="s">
        <v>447</v>
      </c>
      <c r="D5" s="740"/>
      <c r="E5" s="740"/>
      <c r="F5" s="740"/>
      <c r="G5" s="740"/>
      <c r="H5" s="740"/>
      <c r="I5" s="740"/>
      <c r="J5" s="740"/>
      <c r="K5" s="741"/>
    </row>
    <row r="6" spans="1:267" ht="15" thickBot="1">
      <c r="A6" s="139"/>
      <c r="B6" s="140"/>
      <c r="C6" s="114" t="s">
        <v>448</v>
      </c>
      <c r="D6" s="115" t="s">
        <v>449</v>
      </c>
      <c r="E6" s="115" t="s">
        <v>435</v>
      </c>
      <c r="F6" s="116" t="s">
        <v>450</v>
      </c>
      <c r="G6" s="116" t="s">
        <v>451</v>
      </c>
      <c r="H6" s="758" t="s">
        <v>445</v>
      </c>
      <c r="I6" s="758"/>
      <c r="J6" s="115" t="s">
        <v>452</v>
      </c>
      <c r="K6" s="117" t="s">
        <v>453</v>
      </c>
      <c r="M6" cm="1" vm="10">
        <f t="array" aca="1" ref="M6:JG7" ca="1">TRANSPOSE(_xlfn.STOCKHISTORY(C7, TODAY()-365, TODAY(),0,0,0,1))</f>
        <v>44221</v>
      </c>
      <c r="N6" vm="11">
        <f ca="1"/>
        <v>44223</v>
      </c>
      <c r="O6" vm="12">
        <f ca="1"/>
        <v>44224</v>
      </c>
      <c r="P6" vm="13">
        <f ca="1"/>
        <v>44225</v>
      </c>
      <c r="Q6" vm="14">
        <f ca="1"/>
        <v>44228</v>
      </c>
      <c r="R6" vm="15">
        <f ca="1"/>
        <v>44229</v>
      </c>
      <c r="S6" vm="16">
        <f ca="1"/>
        <v>44230</v>
      </c>
      <c r="T6" vm="17">
        <f ca="1"/>
        <v>44231</v>
      </c>
      <c r="U6" vm="18">
        <f ca="1"/>
        <v>44232</v>
      </c>
      <c r="V6" vm="19">
        <f ca="1"/>
        <v>44235</v>
      </c>
      <c r="W6" vm="20">
        <f ca="1"/>
        <v>44236</v>
      </c>
      <c r="X6" vm="21">
        <f ca="1"/>
        <v>44237</v>
      </c>
      <c r="Y6" vm="22">
        <f ca="1"/>
        <v>44238</v>
      </c>
      <c r="Z6" vm="23">
        <f ca="1"/>
        <v>44239</v>
      </c>
      <c r="AA6" vm="24">
        <f ca="1"/>
        <v>44242</v>
      </c>
      <c r="AB6" vm="25">
        <f ca="1"/>
        <v>44243</v>
      </c>
      <c r="AC6" vm="26">
        <f ca="1"/>
        <v>44244</v>
      </c>
      <c r="AD6" vm="27">
        <f ca="1"/>
        <v>44245</v>
      </c>
      <c r="AE6" vm="28">
        <f ca="1"/>
        <v>44246</v>
      </c>
      <c r="AF6" vm="29">
        <f ca="1"/>
        <v>44249</v>
      </c>
      <c r="AG6" vm="30">
        <f ca="1"/>
        <v>44250</v>
      </c>
      <c r="AH6" vm="31">
        <f ca="1"/>
        <v>44251</v>
      </c>
      <c r="AI6" vm="32">
        <f ca="1"/>
        <v>44252</v>
      </c>
      <c r="AJ6" vm="33">
        <f ca="1"/>
        <v>44253</v>
      </c>
      <c r="AK6" vm="34">
        <f ca="1"/>
        <v>44256</v>
      </c>
      <c r="AL6" vm="35">
        <f ca="1"/>
        <v>44257</v>
      </c>
      <c r="AM6" vm="36">
        <f ca="1"/>
        <v>44258</v>
      </c>
      <c r="AN6" vm="37">
        <f ca="1"/>
        <v>44259</v>
      </c>
      <c r="AO6" vm="38">
        <f ca="1"/>
        <v>44260</v>
      </c>
      <c r="AP6" vm="39">
        <f ca="1"/>
        <v>44263</v>
      </c>
      <c r="AQ6" vm="40">
        <f ca="1"/>
        <v>44264</v>
      </c>
      <c r="AR6" vm="41">
        <f ca="1"/>
        <v>44265</v>
      </c>
      <c r="AS6" vm="42">
        <f ca="1"/>
        <v>44266</v>
      </c>
      <c r="AT6" vm="43">
        <f ca="1"/>
        <v>44267</v>
      </c>
      <c r="AU6" vm="44">
        <f ca="1"/>
        <v>44270</v>
      </c>
      <c r="AV6" vm="45">
        <f ca="1"/>
        <v>44271</v>
      </c>
      <c r="AW6" vm="46">
        <f ca="1"/>
        <v>44272</v>
      </c>
      <c r="AX6" vm="47">
        <f ca="1"/>
        <v>44273</v>
      </c>
      <c r="AY6" vm="48">
        <f ca="1"/>
        <v>44274</v>
      </c>
      <c r="AZ6" vm="49">
        <f ca="1"/>
        <v>44277</v>
      </c>
      <c r="BA6" vm="50">
        <f ca="1"/>
        <v>44278</v>
      </c>
      <c r="BB6" vm="51">
        <f ca="1"/>
        <v>44279</v>
      </c>
      <c r="BC6" vm="52">
        <f ca="1"/>
        <v>44280</v>
      </c>
      <c r="BD6" vm="53">
        <f ca="1"/>
        <v>44281</v>
      </c>
      <c r="BE6" vm="54">
        <f ca="1"/>
        <v>44284</v>
      </c>
      <c r="BF6" vm="55">
        <f ca="1"/>
        <v>44285</v>
      </c>
      <c r="BG6" vm="56">
        <f ca="1"/>
        <v>44286</v>
      </c>
      <c r="BH6" vm="57">
        <f ca="1"/>
        <v>44287</v>
      </c>
      <c r="BI6" vm="58">
        <f ca="1"/>
        <v>44292</v>
      </c>
      <c r="BJ6" vm="59">
        <f ca="1"/>
        <v>44293</v>
      </c>
      <c r="BK6" vm="60">
        <f ca="1"/>
        <v>44294</v>
      </c>
      <c r="BL6" vm="61">
        <f ca="1"/>
        <v>44295</v>
      </c>
      <c r="BM6" vm="62">
        <f ca="1"/>
        <v>44298</v>
      </c>
      <c r="BN6" vm="63">
        <f ca="1"/>
        <v>44299</v>
      </c>
      <c r="BO6" vm="64">
        <f ca="1"/>
        <v>44300</v>
      </c>
      <c r="BP6" vm="65">
        <f ca="1"/>
        <v>44301</v>
      </c>
      <c r="BQ6" vm="66">
        <f ca="1"/>
        <v>44302</v>
      </c>
      <c r="BR6" vm="67">
        <f ca="1"/>
        <v>44305</v>
      </c>
      <c r="BS6" vm="68">
        <f ca="1"/>
        <v>44306</v>
      </c>
      <c r="BT6" vm="69">
        <f ca="1"/>
        <v>44307</v>
      </c>
      <c r="BU6" vm="70">
        <f ca="1"/>
        <v>44308</v>
      </c>
      <c r="BV6" vm="71">
        <f ca="1"/>
        <v>44309</v>
      </c>
      <c r="BW6" vm="72">
        <f ca="1"/>
        <v>44312</v>
      </c>
      <c r="BX6" vm="73">
        <f ca="1"/>
        <v>44313</v>
      </c>
      <c r="BY6" vm="74">
        <f ca="1"/>
        <v>44314</v>
      </c>
      <c r="BZ6" vm="75">
        <f ca="1"/>
        <v>44315</v>
      </c>
      <c r="CA6" vm="76">
        <f ca="1"/>
        <v>44316</v>
      </c>
      <c r="CB6" vm="77">
        <f ca="1"/>
        <v>44319</v>
      </c>
      <c r="CC6" vm="78">
        <f ca="1"/>
        <v>44320</v>
      </c>
      <c r="CD6" vm="79">
        <f ca="1"/>
        <v>44321</v>
      </c>
      <c r="CE6" vm="80">
        <f ca="1"/>
        <v>44322</v>
      </c>
      <c r="CF6" vm="81">
        <f ca="1"/>
        <v>44323</v>
      </c>
      <c r="CG6" vm="82">
        <f ca="1"/>
        <v>44326</v>
      </c>
      <c r="CH6" vm="83">
        <f ca="1"/>
        <v>44327</v>
      </c>
      <c r="CI6" vm="84">
        <f ca="1"/>
        <v>44328</v>
      </c>
      <c r="CJ6" vm="85">
        <f ca="1"/>
        <v>44329</v>
      </c>
      <c r="CK6" vm="86">
        <f ca="1"/>
        <v>44330</v>
      </c>
      <c r="CL6" vm="87">
        <f ca="1"/>
        <v>44333</v>
      </c>
      <c r="CM6" vm="88">
        <f ca="1"/>
        <v>44334</v>
      </c>
      <c r="CN6" vm="89">
        <f ca="1"/>
        <v>44335</v>
      </c>
      <c r="CO6" vm="90">
        <f ca="1"/>
        <v>44336</v>
      </c>
      <c r="CP6" vm="91">
        <f ca="1"/>
        <v>44337</v>
      </c>
      <c r="CQ6" vm="92">
        <f ca="1"/>
        <v>44340</v>
      </c>
      <c r="CR6" vm="93">
        <f ca="1"/>
        <v>44341</v>
      </c>
      <c r="CS6" vm="94">
        <f ca="1"/>
        <v>44342</v>
      </c>
      <c r="CT6" vm="95">
        <f ca="1"/>
        <v>44343</v>
      </c>
      <c r="CU6" vm="96">
        <f ca="1"/>
        <v>44344</v>
      </c>
      <c r="CV6" vm="97">
        <f ca="1"/>
        <v>44347</v>
      </c>
      <c r="CW6" vm="98">
        <f ca="1"/>
        <v>44348</v>
      </c>
      <c r="CX6" vm="99">
        <f ca="1"/>
        <v>44349</v>
      </c>
      <c r="CY6" vm="100">
        <f ca="1"/>
        <v>44350</v>
      </c>
      <c r="CZ6" vm="101">
        <f ca="1"/>
        <v>44351</v>
      </c>
      <c r="DA6" vm="102">
        <f ca="1"/>
        <v>44354</v>
      </c>
      <c r="DB6" vm="103">
        <f ca="1"/>
        <v>44355</v>
      </c>
      <c r="DC6" vm="104">
        <f ca="1"/>
        <v>44356</v>
      </c>
      <c r="DD6" vm="105">
        <f ca="1"/>
        <v>44357</v>
      </c>
      <c r="DE6" vm="106">
        <f ca="1"/>
        <v>44358</v>
      </c>
      <c r="DF6" vm="107">
        <f ca="1"/>
        <v>44362</v>
      </c>
      <c r="DG6" vm="108">
        <f ca="1"/>
        <v>44363</v>
      </c>
      <c r="DH6" vm="109">
        <f ca="1"/>
        <v>44364</v>
      </c>
      <c r="DI6" vm="110">
        <f ca="1"/>
        <v>44365</v>
      </c>
      <c r="DJ6" vm="111">
        <f ca="1"/>
        <v>44368</v>
      </c>
      <c r="DK6" vm="112">
        <f ca="1"/>
        <v>44369</v>
      </c>
      <c r="DL6" vm="113">
        <f ca="1"/>
        <v>44370</v>
      </c>
      <c r="DM6" vm="114">
        <f ca="1"/>
        <v>44371</v>
      </c>
      <c r="DN6" vm="115">
        <f ca="1"/>
        <v>44372</v>
      </c>
      <c r="DO6" vm="116">
        <f ca="1"/>
        <v>44375</v>
      </c>
      <c r="DP6" vm="117">
        <f ca="1"/>
        <v>44376</v>
      </c>
      <c r="DQ6" vm="118">
        <f ca="1"/>
        <v>44377</v>
      </c>
      <c r="DR6" vm="119">
        <f ca="1"/>
        <v>44378</v>
      </c>
      <c r="DS6" vm="120">
        <f ca="1"/>
        <v>44379</v>
      </c>
      <c r="DT6" vm="121">
        <f ca="1"/>
        <v>44382</v>
      </c>
      <c r="DU6" vm="122">
        <f ca="1"/>
        <v>44383</v>
      </c>
      <c r="DV6" vm="123">
        <f ca="1"/>
        <v>44384</v>
      </c>
      <c r="DW6" vm="124">
        <f ca="1"/>
        <v>44385</v>
      </c>
      <c r="DX6" vm="125">
        <f ca="1"/>
        <v>44386</v>
      </c>
      <c r="DY6" vm="126">
        <f ca="1"/>
        <v>44389</v>
      </c>
      <c r="DZ6" vm="127">
        <f ca="1"/>
        <v>44390</v>
      </c>
      <c r="EA6" vm="128">
        <f ca="1"/>
        <v>44391</v>
      </c>
      <c r="EB6" vm="129">
        <f ca="1"/>
        <v>44392</v>
      </c>
      <c r="EC6" vm="130">
        <f ca="1"/>
        <v>44393</v>
      </c>
      <c r="ED6" vm="131">
        <f ca="1"/>
        <v>44396</v>
      </c>
      <c r="EE6" vm="132">
        <f ca="1"/>
        <v>44397</v>
      </c>
      <c r="EF6" vm="133">
        <f ca="1"/>
        <v>44398</v>
      </c>
      <c r="EG6" vm="134">
        <f ca="1"/>
        <v>44399</v>
      </c>
      <c r="EH6" vm="135">
        <f ca="1"/>
        <v>44400</v>
      </c>
      <c r="EI6" vm="136">
        <f ca="1"/>
        <v>44403</v>
      </c>
      <c r="EJ6" vm="137">
        <f ca="1"/>
        <v>44404</v>
      </c>
      <c r="EK6" vm="138">
        <f ca="1"/>
        <v>44405</v>
      </c>
      <c r="EL6" vm="139">
        <f ca="1"/>
        <v>44406</v>
      </c>
      <c r="EM6" vm="140">
        <f ca="1"/>
        <v>44407</v>
      </c>
      <c r="EN6" vm="141">
        <f ca="1"/>
        <v>44410</v>
      </c>
      <c r="EO6" vm="142">
        <f ca="1"/>
        <v>44411</v>
      </c>
      <c r="EP6" vm="143">
        <f ca="1"/>
        <v>44412</v>
      </c>
      <c r="EQ6" vm="144">
        <f ca="1"/>
        <v>44413</v>
      </c>
      <c r="ER6" vm="145">
        <f ca="1"/>
        <v>44414</v>
      </c>
      <c r="ES6" vm="146">
        <f ca="1"/>
        <v>44417</v>
      </c>
      <c r="ET6" vm="147">
        <f ca="1"/>
        <v>44418</v>
      </c>
      <c r="EU6" vm="148">
        <f ca="1"/>
        <v>44419</v>
      </c>
      <c r="EV6" vm="149">
        <f ca="1"/>
        <v>44420</v>
      </c>
      <c r="EW6" vm="150">
        <f ca="1"/>
        <v>44421</v>
      </c>
      <c r="EX6" vm="151">
        <f ca="1"/>
        <v>44424</v>
      </c>
      <c r="EY6" vm="152">
        <f ca="1"/>
        <v>44425</v>
      </c>
      <c r="EZ6" vm="153">
        <f ca="1"/>
        <v>44426</v>
      </c>
      <c r="FA6" vm="154">
        <f ca="1"/>
        <v>44427</v>
      </c>
      <c r="FB6" vm="155">
        <f ca="1"/>
        <v>44428</v>
      </c>
      <c r="FC6" vm="156">
        <f ca="1"/>
        <v>44431</v>
      </c>
      <c r="FD6" vm="157">
        <f ca="1"/>
        <v>44432</v>
      </c>
      <c r="FE6" vm="158">
        <f ca="1"/>
        <v>44433</v>
      </c>
      <c r="FF6" vm="159">
        <f ca="1"/>
        <v>44434</v>
      </c>
      <c r="FG6" vm="160">
        <f ca="1"/>
        <v>44435</v>
      </c>
      <c r="FH6" vm="161">
        <f ca="1"/>
        <v>44438</v>
      </c>
      <c r="FI6" vm="162">
        <f ca="1"/>
        <v>44439</v>
      </c>
      <c r="FJ6" vm="163">
        <f ca="1"/>
        <v>44440</v>
      </c>
      <c r="FK6" vm="164">
        <f ca="1"/>
        <v>44441</v>
      </c>
      <c r="FL6" vm="165">
        <f ca="1"/>
        <v>44442</v>
      </c>
      <c r="FM6" vm="166">
        <f ca="1"/>
        <v>44445</v>
      </c>
      <c r="FN6" vm="167">
        <f ca="1"/>
        <v>44446</v>
      </c>
      <c r="FO6" vm="168">
        <f ca="1"/>
        <v>44447</v>
      </c>
      <c r="FP6" vm="169">
        <f ca="1"/>
        <v>44448</v>
      </c>
      <c r="FQ6" vm="170">
        <f ca="1"/>
        <v>44449</v>
      </c>
      <c r="FR6" vm="171">
        <f ca="1"/>
        <v>44452</v>
      </c>
      <c r="FS6" vm="172">
        <f ca="1"/>
        <v>44453</v>
      </c>
      <c r="FT6" vm="173">
        <f ca="1"/>
        <v>44454</v>
      </c>
      <c r="FU6" vm="174">
        <f ca="1"/>
        <v>44455</v>
      </c>
      <c r="FV6" vm="175">
        <f ca="1"/>
        <v>44456</v>
      </c>
      <c r="FW6" vm="176">
        <f ca="1"/>
        <v>44459</v>
      </c>
      <c r="FX6" vm="177">
        <f ca="1"/>
        <v>44460</v>
      </c>
      <c r="FY6" vm="178">
        <f ca="1"/>
        <v>44461</v>
      </c>
      <c r="FZ6" vm="179">
        <f ca="1"/>
        <v>44462</v>
      </c>
      <c r="GA6" vm="180">
        <f ca="1"/>
        <v>44463</v>
      </c>
      <c r="GB6" vm="181">
        <f ca="1"/>
        <v>44466</v>
      </c>
      <c r="GC6" vm="182">
        <f ca="1"/>
        <v>44467</v>
      </c>
      <c r="GD6" vm="183">
        <f ca="1"/>
        <v>44468</v>
      </c>
      <c r="GE6" vm="184">
        <f ca="1"/>
        <v>44469</v>
      </c>
      <c r="GF6" vm="185">
        <f ca="1"/>
        <v>44470</v>
      </c>
      <c r="GG6" vm="186">
        <f ca="1"/>
        <v>44473</v>
      </c>
      <c r="GH6" vm="187">
        <f ca="1"/>
        <v>44474</v>
      </c>
      <c r="GI6" vm="188">
        <f ca="1"/>
        <v>44475</v>
      </c>
      <c r="GJ6" vm="189">
        <f ca="1"/>
        <v>44476</v>
      </c>
      <c r="GK6" vm="190">
        <f ca="1"/>
        <v>44477</v>
      </c>
      <c r="GL6" vm="191">
        <f ca="1"/>
        <v>44480</v>
      </c>
      <c r="GM6" vm="192">
        <f ca="1"/>
        <v>44481</v>
      </c>
      <c r="GN6" vm="193">
        <f ca="1"/>
        <v>44482</v>
      </c>
      <c r="GO6" vm="194">
        <f ca="1"/>
        <v>44483</v>
      </c>
      <c r="GP6" vm="195">
        <f ca="1"/>
        <v>44484</v>
      </c>
      <c r="GQ6" vm="196">
        <f ca="1"/>
        <v>44487</v>
      </c>
      <c r="GR6" vm="197">
        <f ca="1"/>
        <v>44488</v>
      </c>
      <c r="GS6" vm="198">
        <f ca="1"/>
        <v>44489</v>
      </c>
      <c r="GT6" vm="199">
        <f ca="1"/>
        <v>44490</v>
      </c>
      <c r="GU6" vm="200">
        <f ca="1"/>
        <v>44491</v>
      </c>
      <c r="GV6" vm="201">
        <f ca="1"/>
        <v>44494</v>
      </c>
      <c r="GW6" vm="202">
        <f ca="1"/>
        <v>44495</v>
      </c>
      <c r="GX6" vm="203">
        <f ca="1"/>
        <v>44496</v>
      </c>
      <c r="GY6" vm="204">
        <f ca="1"/>
        <v>44497</v>
      </c>
      <c r="GZ6" vm="205">
        <f ca="1"/>
        <v>44498</v>
      </c>
      <c r="HA6" vm="206">
        <f ca="1"/>
        <v>44501</v>
      </c>
      <c r="HB6" vm="207">
        <f ca="1"/>
        <v>44502</v>
      </c>
      <c r="HC6" vm="208">
        <f ca="1"/>
        <v>44503</v>
      </c>
      <c r="HD6" vm="209">
        <f ca="1"/>
        <v>44504</v>
      </c>
      <c r="HE6" vm="210">
        <f ca="1"/>
        <v>44505</v>
      </c>
      <c r="HF6" vm="211">
        <f ca="1"/>
        <v>44508</v>
      </c>
      <c r="HG6" vm="212">
        <f ca="1"/>
        <v>44509</v>
      </c>
      <c r="HH6" vm="213">
        <f ca="1"/>
        <v>44510</v>
      </c>
      <c r="HI6" vm="214">
        <f ca="1"/>
        <v>44511</v>
      </c>
      <c r="HJ6" vm="215">
        <f ca="1"/>
        <v>44512</v>
      </c>
      <c r="HK6" vm="216">
        <f ca="1"/>
        <v>44515</v>
      </c>
      <c r="HL6" vm="217">
        <f ca="1"/>
        <v>44516</v>
      </c>
      <c r="HM6" vm="218">
        <f ca="1"/>
        <v>44517</v>
      </c>
      <c r="HN6" vm="219">
        <f ca="1"/>
        <v>44518</v>
      </c>
      <c r="HO6" vm="220">
        <f ca="1"/>
        <v>44519</v>
      </c>
      <c r="HP6" vm="221">
        <f ca="1"/>
        <v>44522</v>
      </c>
      <c r="HQ6" vm="222">
        <f ca="1"/>
        <v>44523</v>
      </c>
      <c r="HR6" vm="223">
        <f ca="1"/>
        <v>44524</v>
      </c>
      <c r="HS6" vm="224">
        <f ca="1"/>
        <v>44525</v>
      </c>
      <c r="HT6" vm="225">
        <f ca="1"/>
        <v>44526</v>
      </c>
      <c r="HU6" vm="226">
        <f ca="1"/>
        <v>44529</v>
      </c>
      <c r="HV6" vm="227">
        <f ca="1"/>
        <v>44530</v>
      </c>
      <c r="HW6" vm="228">
        <f ca="1"/>
        <v>44531</v>
      </c>
      <c r="HX6" vm="229">
        <f ca="1"/>
        <v>44532</v>
      </c>
      <c r="HY6" vm="230">
        <f ca="1"/>
        <v>44533</v>
      </c>
      <c r="HZ6" vm="231">
        <f ca="1"/>
        <v>44536</v>
      </c>
      <c r="IA6" vm="232">
        <f ca="1"/>
        <v>44537</v>
      </c>
      <c r="IB6" vm="233">
        <f ca="1"/>
        <v>44538</v>
      </c>
      <c r="IC6" vm="234">
        <f ca="1"/>
        <v>44539</v>
      </c>
      <c r="ID6" vm="235">
        <f ca="1"/>
        <v>44540</v>
      </c>
      <c r="IE6" vm="236">
        <f ca="1"/>
        <v>44543</v>
      </c>
      <c r="IF6" vm="237">
        <f ca="1"/>
        <v>44544</v>
      </c>
      <c r="IG6" vm="238">
        <f ca="1"/>
        <v>44545</v>
      </c>
      <c r="IH6" vm="239">
        <f ca="1"/>
        <v>44546</v>
      </c>
      <c r="II6" vm="240">
        <f ca="1"/>
        <v>44547</v>
      </c>
      <c r="IJ6" vm="241">
        <f ca="1"/>
        <v>44550</v>
      </c>
      <c r="IK6" vm="242">
        <f ca="1"/>
        <v>44551</v>
      </c>
      <c r="IL6" vm="243">
        <f ca="1"/>
        <v>44552</v>
      </c>
      <c r="IM6" vm="244">
        <f ca="1"/>
        <v>44553</v>
      </c>
      <c r="IN6" vm="245">
        <f ca="1"/>
        <v>44554</v>
      </c>
      <c r="IO6" vm="246">
        <f ca="1"/>
        <v>44559</v>
      </c>
      <c r="IP6" vm="247">
        <f ca="1"/>
        <v>44560</v>
      </c>
      <c r="IQ6" vm="248">
        <f ca="1"/>
        <v>44561</v>
      </c>
      <c r="IR6" vm="249">
        <f ca="1"/>
        <v>44565</v>
      </c>
      <c r="IS6" vm="250">
        <f ca="1"/>
        <v>44566</v>
      </c>
      <c r="IT6" vm="251">
        <f ca="1"/>
        <v>44567</v>
      </c>
      <c r="IU6" vm="252">
        <f ca="1"/>
        <v>44568</v>
      </c>
      <c r="IV6" vm="253">
        <f ca="1"/>
        <v>44571</v>
      </c>
      <c r="IW6" vm="254">
        <f ca="1"/>
        <v>44572</v>
      </c>
      <c r="IX6" vm="255">
        <f ca="1"/>
        <v>44573</v>
      </c>
      <c r="IY6" vm="256">
        <f ca="1"/>
        <v>44574</v>
      </c>
      <c r="IZ6" vm="257">
        <f ca="1"/>
        <v>44575</v>
      </c>
      <c r="JA6" vm="258">
        <f ca="1"/>
        <v>44578</v>
      </c>
      <c r="JB6" vm="259">
        <f ca="1"/>
        <v>44579</v>
      </c>
      <c r="JC6" vm="260">
        <f ca="1"/>
        <v>44580</v>
      </c>
      <c r="JD6" vm="261">
        <f ca="1"/>
        <v>44581</v>
      </c>
      <c r="JE6" vm="262">
        <f ca="1"/>
        <v>44582</v>
      </c>
      <c r="JF6" vm="263">
        <f ca="1"/>
        <v>44585</v>
      </c>
      <c r="JG6" vm="264">
        <f ca="1"/>
        <v>44586</v>
      </c>
    </row>
    <row r="7" spans="1:267" ht="33.75" customHeight="1">
      <c r="A7" s="690" t="s">
        <v>38</v>
      </c>
      <c r="B7" s="738"/>
      <c r="C7" s="118" t="e" cm="1" vm="1">
        <f t="array" ref="C7:C12">_xlfn._xlws.SORT(_xlfn.UNIQUE(_xlfn._xlws.FILTER(Ledger[Stock],SUMIF(Ledger[Stock],Ledger[Stock],Ledger[Units])&lt;&gt;0)))</f>
        <v>#VALUE!</v>
      </c>
      <c r="D7" s="103" t="str" cm="1">
        <f t="array" ref="D7:D12">_FV(_xlfn.ANCHORARRAY(C7),"Industry")</f>
        <v>Investment Banking &amp; Investment Services</v>
      </c>
      <c r="E7" s="104" cm="1">
        <f t="array" ref="E7:E12">SUMIF(Ledger[Stock],_xlfn.ANCHORARRAY(C7), Ledger[Units])</f>
        <v>162</v>
      </c>
      <c r="F7" s="105" cm="1">
        <f t="array" ref="F7:F12">_FV(_xlfn.ANCHORARRAY(C7),"Price")</f>
        <v>81.709999999999994</v>
      </c>
      <c r="G7" s="105" cm="1">
        <f t="array" ref="G7:G12">_xlfn.ANCHORARRAY(E7)*_xlfn.ANCHORARRAY(F7)</f>
        <v>13237.019999999999</v>
      </c>
      <c r="H7" s="105" cm="1">
        <f t="array" ref="H7:H12">(_xlfn.ANCHORARRAY(F7)-_FV(_xlfn.ANCHORARRAY(C7),"Previous Close",TRUE))*_xlfn.ANCHORARRAY(E7)</f>
        <v>-333.72000000000037</v>
      </c>
      <c r="I7" s="106" cm="1">
        <f t="array" ref="I7:I12">_xlfn.ANCHORARRAY(H7)/(_xlfn.ANCHORARRAY(G7)-_xlfn.ANCHORARRAY(H7))</f>
        <v>-2.4591142413751967E-2</v>
      </c>
      <c r="J7" s="105" cm="1">
        <f t="array" ref="J7:J12">-SUMIF(Ledger[Stock],_xlfn.ANCHORARRAY( C7), Ledger[Transaction Amount])+_xlfn.ANCHORARRAY(G7)</f>
        <v>8166.8899999999994</v>
      </c>
      <c r="K7" s="119"/>
      <c r="M7" vm="265">
        <f ca="1"/>
        <v>71.73</v>
      </c>
      <c r="N7" vm="266">
        <f ca="1"/>
        <v>72.66</v>
      </c>
      <c r="O7" vm="267">
        <f ca="1"/>
        <v>71.38</v>
      </c>
      <c r="P7" vm="268">
        <f ca="1"/>
        <v>71.790000000000006</v>
      </c>
      <c r="Q7" vm="269">
        <f ca="1"/>
        <v>70.39</v>
      </c>
      <c r="R7" vm="270">
        <f ca="1"/>
        <v>72.23</v>
      </c>
      <c r="S7" vm="271">
        <f ca="1"/>
        <v>72.900000000000006</v>
      </c>
      <c r="T7" vm="272">
        <f ca="1"/>
        <v>72.53</v>
      </c>
      <c r="U7" vm="273">
        <f ca="1"/>
        <v>71.7</v>
      </c>
      <c r="V7" vm="274">
        <f ca="1"/>
        <v>70.59</v>
      </c>
      <c r="W7" vm="275">
        <f ca="1"/>
        <v>69.72</v>
      </c>
      <c r="X7" vm="276">
        <f ca="1"/>
        <v>71.3</v>
      </c>
      <c r="Y7" vm="277">
        <f ca="1"/>
        <v>70.05</v>
      </c>
      <c r="Z7" vm="278">
        <f ca="1"/>
        <v>70.42</v>
      </c>
      <c r="AA7" vm="279">
        <f ca="1"/>
        <v>70.86</v>
      </c>
      <c r="AB7" vm="280">
        <f ca="1"/>
        <v>70.89</v>
      </c>
      <c r="AC7" vm="281">
        <f ca="1"/>
        <v>69.78</v>
      </c>
      <c r="AD7" vm="282">
        <f ca="1"/>
        <v>69.48</v>
      </c>
      <c r="AE7" vm="283">
        <f ca="1"/>
        <v>69.13</v>
      </c>
      <c r="AF7" vm="284">
        <f ca="1"/>
        <v>68.12</v>
      </c>
      <c r="AG7" vm="285">
        <f ca="1"/>
        <v>68.069999999999993</v>
      </c>
      <c r="AH7" vm="286">
        <f ca="1"/>
        <v>68.22</v>
      </c>
      <c r="AI7" vm="286">
        <f ca="1"/>
        <v>68.22</v>
      </c>
      <c r="AJ7" vm="287">
        <f ca="1"/>
        <v>67.599999999999994</v>
      </c>
      <c r="AK7" vm="288">
        <f ca="1"/>
        <v>68.58</v>
      </c>
      <c r="AL7" vm="289">
        <f ca="1"/>
        <v>68.5</v>
      </c>
      <c r="AM7" vm="290">
        <f ca="1"/>
        <v>68.599999999999994</v>
      </c>
      <c r="AN7" vm="291">
        <f ca="1"/>
        <v>67.2</v>
      </c>
      <c r="AO7" vm="292">
        <f ca="1"/>
        <v>68.8</v>
      </c>
      <c r="AP7" vm="293">
        <f ca="1"/>
        <v>69.73</v>
      </c>
      <c r="AQ7" vm="294">
        <f ca="1"/>
        <v>69.180000000000007</v>
      </c>
      <c r="AR7" vm="295">
        <f ca="1"/>
        <v>68.989999999999995</v>
      </c>
      <c r="AS7" vm="296">
        <f ca="1"/>
        <v>68.98</v>
      </c>
      <c r="AT7" vm="297">
        <f ca="1"/>
        <v>69.12</v>
      </c>
      <c r="AU7" vm="298">
        <f ca="1"/>
        <v>69.56</v>
      </c>
      <c r="AV7" vm="299">
        <f ca="1"/>
        <v>70.239999999999995</v>
      </c>
      <c r="AW7" vm="300">
        <f ca="1"/>
        <v>70.3</v>
      </c>
      <c r="AX7" vm="301">
        <f ca="1"/>
        <v>70.16</v>
      </c>
      <c r="AY7" vm="302">
        <f ca="1"/>
        <v>70.84</v>
      </c>
      <c r="AZ7" vm="303">
        <f ca="1"/>
        <v>70.430000000000007</v>
      </c>
      <c r="BA7" vm="304">
        <f ca="1"/>
        <v>70.739999999999995</v>
      </c>
      <c r="BB7" vm="305">
        <f ca="1"/>
        <v>72.25</v>
      </c>
      <c r="BC7" vm="306">
        <f ca="1"/>
        <v>71.56</v>
      </c>
      <c r="BD7" vm="307">
        <f ca="1"/>
        <v>71.42</v>
      </c>
      <c r="BE7" vm="308">
        <f ca="1"/>
        <v>70.66</v>
      </c>
      <c r="BF7" vm="309">
        <f ca="1"/>
        <v>70.52</v>
      </c>
      <c r="BG7" vm="310">
        <f ca="1"/>
        <v>71.05</v>
      </c>
      <c r="BH7" vm="311">
        <f ca="1"/>
        <v>71.069999999999993</v>
      </c>
      <c r="BI7" vm="312">
        <f ca="1"/>
        <v>72.05</v>
      </c>
      <c r="BJ7" vm="313">
        <f ca="1"/>
        <v>71.64</v>
      </c>
      <c r="BK7" vm="314">
        <f ca="1"/>
        <v>72.36</v>
      </c>
      <c r="BL7" vm="315">
        <f ca="1"/>
        <v>72.78</v>
      </c>
      <c r="BM7" vm="316">
        <f ca="1"/>
        <v>73.069999999999993</v>
      </c>
      <c r="BN7" vm="317">
        <f ca="1"/>
        <v>72.290000000000006</v>
      </c>
      <c r="BO7" vm="318">
        <f ca="1"/>
        <v>72.680000000000007</v>
      </c>
      <c r="BP7" vm="319">
        <f ca="1"/>
        <v>72.319999999999993</v>
      </c>
      <c r="BQ7" vm="320">
        <f ca="1"/>
        <v>72.099999999999994</v>
      </c>
      <c r="BR7" vm="321">
        <f ca="1"/>
        <v>72.13</v>
      </c>
      <c r="BS7" vm="322">
        <f ca="1"/>
        <v>71.180000000000007</v>
      </c>
      <c r="BT7" vm="323">
        <f ca="1"/>
        <v>71.44</v>
      </c>
      <c r="BU7" vm="324">
        <f ca="1"/>
        <v>72.42</v>
      </c>
      <c r="BV7" vm="325">
        <f ca="1"/>
        <v>72.959999999999994</v>
      </c>
      <c r="BW7" vm="324">
        <f ca="1"/>
        <v>72.42</v>
      </c>
      <c r="BX7" vm="326">
        <f ca="1"/>
        <v>72.44</v>
      </c>
      <c r="BY7" vm="327">
        <f ca="1"/>
        <v>72.86</v>
      </c>
      <c r="BZ7" vm="328">
        <f ca="1"/>
        <v>73.25</v>
      </c>
      <c r="CA7" vm="329">
        <f ca="1"/>
        <v>72.98</v>
      </c>
      <c r="CB7" vm="330">
        <f ca="1"/>
        <v>72.510000000000005</v>
      </c>
      <c r="CC7" vm="331">
        <f ca="1"/>
        <v>72.5</v>
      </c>
      <c r="CD7" vm="332">
        <f ca="1"/>
        <v>72.84</v>
      </c>
      <c r="CE7" vm="333">
        <f ca="1"/>
        <v>71.89</v>
      </c>
      <c r="CF7" vm="334">
        <f ca="1"/>
        <v>71.900000000000006</v>
      </c>
      <c r="CG7" vm="335">
        <f ca="1"/>
        <v>71.92</v>
      </c>
      <c r="CH7" vm="336">
        <f ca="1"/>
        <v>71.78</v>
      </c>
      <c r="CI7" vm="337">
        <f ca="1"/>
        <v>71.260000000000005</v>
      </c>
      <c r="CJ7" vm="338">
        <f ca="1"/>
        <v>72.38</v>
      </c>
      <c r="CK7" vm="339">
        <f ca="1"/>
        <v>74.510000000000005</v>
      </c>
      <c r="CL7" vm="340">
        <f ca="1"/>
        <v>73.86</v>
      </c>
      <c r="CM7" vm="341">
        <f ca="1"/>
        <v>73.72</v>
      </c>
      <c r="CN7" vm="342">
        <f ca="1"/>
        <v>72.599999999999994</v>
      </c>
      <c r="CO7" vm="343">
        <f ca="1"/>
        <v>73.45</v>
      </c>
      <c r="CP7" vm="344">
        <f ca="1"/>
        <v>74.47</v>
      </c>
      <c r="CQ7" vm="345">
        <f ca="1"/>
        <v>74.33</v>
      </c>
      <c r="CR7" vm="346">
        <f ca="1"/>
        <v>75.59</v>
      </c>
      <c r="CS7" vm="347">
        <f ca="1"/>
        <v>75.55</v>
      </c>
      <c r="CT7" vm="348">
        <f ca="1"/>
        <v>76.180000000000007</v>
      </c>
      <c r="CU7" vm="349">
        <f ca="1"/>
        <v>76.430000000000007</v>
      </c>
      <c r="CV7" vm="350">
        <f ca="1"/>
        <v>76.260000000000005</v>
      </c>
      <c r="CW7" vm="351">
        <f ca="1"/>
        <v>75.790000000000006</v>
      </c>
      <c r="CX7" vm="352">
        <f ca="1"/>
        <v>76.650000000000006</v>
      </c>
      <c r="CY7" vm="353">
        <f ca="1"/>
        <v>77.05</v>
      </c>
      <c r="CZ7" vm="354">
        <f ca="1"/>
        <v>76.78</v>
      </c>
      <c r="DA7" vm="355">
        <f ca="1"/>
        <v>75.44</v>
      </c>
      <c r="DB7" vm="339">
        <f ca="1"/>
        <v>74.510000000000005</v>
      </c>
      <c r="DC7" vm="356">
        <f ca="1"/>
        <v>74.11</v>
      </c>
      <c r="DD7" vm="357">
        <f ca="1"/>
        <v>74.5</v>
      </c>
      <c r="DE7" vm="358">
        <f ca="1"/>
        <v>74.02</v>
      </c>
      <c r="DF7" vm="359">
        <f ca="1"/>
        <v>75.459999999999994</v>
      </c>
      <c r="DG7" vm="360">
        <f ca="1"/>
        <v>75.930000000000007</v>
      </c>
      <c r="DH7" vm="361">
        <f ca="1"/>
        <v>75.959999999999994</v>
      </c>
      <c r="DI7" vm="362">
        <f ca="1"/>
        <v>76</v>
      </c>
      <c r="DJ7" vm="363">
        <f ca="1"/>
        <v>75.2</v>
      </c>
      <c r="DK7" vm="364">
        <f ca="1"/>
        <v>77.790000000000006</v>
      </c>
      <c r="DL7" vm="365">
        <f ca="1"/>
        <v>78.41</v>
      </c>
      <c r="DM7" vm="366">
        <f ca="1"/>
        <v>78.53</v>
      </c>
      <c r="DN7" vm="367">
        <f ca="1"/>
        <v>77.87</v>
      </c>
      <c r="DO7" vm="368">
        <f ca="1"/>
        <v>77.48</v>
      </c>
      <c r="DP7" vm="369">
        <f ca="1"/>
        <v>77.69</v>
      </c>
      <c r="DQ7" vm="370">
        <f ca="1"/>
        <v>77.709999999999994</v>
      </c>
      <c r="DR7" vm="371">
        <f ca="1"/>
        <v>77.239999999999995</v>
      </c>
      <c r="DS7" vm="372">
        <f ca="1"/>
        <v>77.349999999999994</v>
      </c>
      <c r="DT7" vm="349">
        <f ca="1"/>
        <v>76.430000000000007</v>
      </c>
      <c r="DU7" vm="373">
        <f ca="1"/>
        <v>75.5</v>
      </c>
      <c r="DV7" vm="374">
        <f ca="1"/>
        <v>76.14</v>
      </c>
      <c r="DW7" vm="375">
        <f ca="1"/>
        <v>76.38</v>
      </c>
      <c r="DX7" vm="376">
        <f ca="1"/>
        <v>75.540000000000006</v>
      </c>
      <c r="DY7" vm="377">
        <f ca="1"/>
        <v>75.180000000000007</v>
      </c>
      <c r="DZ7" vm="355">
        <f ca="1"/>
        <v>75.44</v>
      </c>
      <c r="EA7" vm="378">
        <f ca="1"/>
        <v>76.459999999999994</v>
      </c>
      <c r="EB7" vm="379">
        <f ca="1"/>
        <v>75.63</v>
      </c>
      <c r="EC7" vm="380">
        <f ca="1"/>
        <v>76.02</v>
      </c>
      <c r="ED7" vm="381">
        <f ca="1"/>
        <v>76.73</v>
      </c>
      <c r="EE7" vm="381">
        <f ca="1"/>
        <v>76.73</v>
      </c>
      <c r="EF7" vm="382">
        <f ca="1"/>
        <v>77.27</v>
      </c>
      <c r="EG7" vm="383">
        <f ca="1"/>
        <v>77.33</v>
      </c>
      <c r="EH7" vm="384">
        <f ca="1"/>
        <v>77.67</v>
      </c>
      <c r="EI7" vm="385">
        <f ca="1"/>
        <v>78.14</v>
      </c>
      <c r="EJ7" vm="386">
        <f ca="1"/>
        <v>78.25</v>
      </c>
      <c r="EK7" vm="387">
        <f ca="1"/>
        <v>77.5</v>
      </c>
      <c r="EL7" vm="388">
        <f ca="1"/>
        <v>77.44</v>
      </c>
      <c r="EM7" vm="389">
        <f ca="1"/>
        <v>76.89</v>
      </c>
      <c r="EN7" vm="390">
        <f ca="1"/>
        <v>77.72</v>
      </c>
      <c r="EO7" vm="391">
        <f ca="1"/>
        <v>78.95</v>
      </c>
      <c r="EP7" vm="392">
        <f ca="1"/>
        <v>79.7</v>
      </c>
      <c r="EQ7" vm="393">
        <f ca="1"/>
        <v>80.75</v>
      </c>
      <c r="ER7" vm="394">
        <f ca="1"/>
        <v>81.5</v>
      </c>
      <c r="ES7" vm="395">
        <f ca="1"/>
        <v>81.58</v>
      </c>
      <c r="ET7" vm="396">
        <f ca="1"/>
        <v>80.959999999999994</v>
      </c>
      <c r="EU7" vm="397">
        <f ca="1"/>
        <v>80.8</v>
      </c>
      <c r="EV7" vm="398">
        <f ca="1"/>
        <v>80.260000000000005</v>
      </c>
      <c r="EW7" vm="399">
        <f ca="1"/>
        <v>80.930000000000007</v>
      </c>
      <c r="EX7" vm="400">
        <f ca="1"/>
        <v>81.27</v>
      </c>
      <c r="EY7" vm="401">
        <f ca="1"/>
        <v>81.39</v>
      </c>
      <c r="EZ7" vm="402">
        <f ca="1"/>
        <v>81.64</v>
      </c>
      <c r="FA7" vm="403">
        <f ca="1"/>
        <v>83.53</v>
      </c>
      <c r="FB7" vm="404">
        <f ca="1"/>
        <v>85.91</v>
      </c>
      <c r="FC7" vm="405">
        <f ca="1"/>
        <v>88.5</v>
      </c>
      <c r="FD7" vm="406">
        <f ca="1"/>
        <v>87.8</v>
      </c>
      <c r="FE7" vm="407">
        <f ca="1"/>
        <v>86.75</v>
      </c>
      <c r="FF7" vm="408">
        <f ca="1"/>
        <v>87.68</v>
      </c>
      <c r="FG7" vm="409">
        <f ca="1"/>
        <v>87.62</v>
      </c>
      <c r="FH7" vm="410">
        <f ca="1"/>
        <v>87.72</v>
      </c>
      <c r="FI7" vm="411">
        <f ca="1"/>
        <v>87.77</v>
      </c>
      <c r="FJ7" vm="412">
        <f ca="1"/>
        <v>87.05</v>
      </c>
      <c r="FK7" vm="413">
        <f ca="1"/>
        <v>86.64</v>
      </c>
      <c r="FL7" vm="414">
        <f ca="1"/>
        <v>86.96</v>
      </c>
      <c r="FM7" vm="415">
        <f ca="1"/>
        <v>85.38</v>
      </c>
      <c r="FN7" vm="416">
        <f ca="1"/>
        <v>86</v>
      </c>
      <c r="FO7" vm="417">
        <f ca="1"/>
        <v>84.18</v>
      </c>
      <c r="FP7" vm="418">
        <f ca="1"/>
        <v>82.86</v>
      </c>
      <c r="FQ7" vm="419">
        <f ca="1"/>
        <v>82.94</v>
      </c>
      <c r="FR7" vm="420">
        <f ca="1"/>
        <v>83.25</v>
      </c>
      <c r="FS7" vm="421">
        <f ca="1"/>
        <v>83.34</v>
      </c>
      <c r="FT7" vm="422">
        <f ca="1"/>
        <v>84.27</v>
      </c>
      <c r="FU7" vm="417">
        <f ca="1"/>
        <v>84.18</v>
      </c>
      <c r="FV7" vm="423">
        <f ca="1"/>
        <v>84.05</v>
      </c>
      <c r="FW7" vm="424">
        <f ca="1"/>
        <v>82.65</v>
      </c>
      <c r="FX7" vm="425">
        <f ca="1"/>
        <v>83.28</v>
      </c>
      <c r="FY7" vm="426">
        <f ca="1"/>
        <v>82.88</v>
      </c>
      <c r="FZ7" vm="427">
        <f ca="1"/>
        <v>84.02</v>
      </c>
      <c r="GA7" vm="428">
        <f ca="1"/>
        <v>84.09</v>
      </c>
      <c r="GB7" vm="429">
        <f ca="1"/>
        <v>83.76</v>
      </c>
      <c r="GC7" vm="430">
        <f ca="1"/>
        <v>81.459999999999994</v>
      </c>
      <c r="GD7" vm="431">
        <f ca="1"/>
        <v>80.89</v>
      </c>
      <c r="GE7" vm="432">
        <f ca="1"/>
        <v>81</v>
      </c>
      <c r="GF7" vm="433">
        <f ca="1"/>
        <v>79.540000000000006</v>
      </c>
      <c r="GG7" vm="434">
        <f ca="1"/>
        <v>79.98</v>
      </c>
      <c r="GH7" vm="435">
        <f ca="1"/>
        <v>79.87</v>
      </c>
      <c r="GI7" vm="436">
        <f ca="1"/>
        <v>79.31</v>
      </c>
      <c r="GJ7" vm="437">
        <f ca="1"/>
        <v>80.48</v>
      </c>
      <c r="GK7" vm="438">
        <f ca="1"/>
        <v>80.36</v>
      </c>
      <c r="GL7" vm="439">
        <f ca="1"/>
        <v>79.739999999999995</v>
      </c>
      <c r="GM7" vm="440">
        <f ca="1"/>
        <v>79.28</v>
      </c>
      <c r="GN7" vm="441">
        <f ca="1"/>
        <v>78.790000000000006</v>
      </c>
      <c r="GO7" vm="442">
        <f ca="1"/>
        <v>79.099999999999994</v>
      </c>
      <c r="GP7" vm="433">
        <f ca="1"/>
        <v>79.540000000000006</v>
      </c>
      <c r="GQ7" vm="443">
        <f ca="1"/>
        <v>80.05</v>
      </c>
      <c r="GR7" vm="444">
        <f ca="1"/>
        <v>80.37</v>
      </c>
      <c r="GS7" vm="445">
        <f ca="1"/>
        <v>81.430000000000007</v>
      </c>
      <c r="GT7" vm="446">
        <f ca="1"/>
        <v>81.09</v>
      </c>
      <c r="GU7" vm="395">
        <f ca="1"/>
        <v>81.58</v>
      </c>
      <c r="GV7" vm="447">
        <f ca="1"/>
        <v>81.36</v>
      </c>
      <c r="GW7" vm="448">
        <f ca="1"/>
        <v>82.17</v>
      </c>
      <c r="GX7" vm="449">
        <f ca="1"/>
        <v>83.81</v>
      </c>
      <c r="GY7" vm="450">
        <f ca="1"/>
        <v>84.43</v>
      </c>
      <c r="GZ7" vm="451">
        <f ca="1"/>
        <v>83.02</v>
      </c>
      <c r="HA7" vm="452">
        <f ca="1"/>
        <v>85.03</v>
      </c>
      <c r="HB7" vm="453">
        <f ca="1"/>
        <v>85.65</v>
      </c>
      <c r="HC7" vm="454">
        <f ca="1"/>
        <v>88.11</v>
      </c>
      <c r="HD7" vm="455">
        <f ca="1"/>
        <v>89.53</v>
      </c>
      <c r="HE7" vm="456">
        <f ca="1"/>
        <v>91.67</v>
      </c>
      <c r="HF7" vm="457">
        <f ca="1"/>
        <v>92.38</v>
      </c>
      <c r="HG7" vm="458">
        <f ca="1"/>
        <v>93.69</v>
      </c>
      <c r="HH7" vm="459">
        <f ca="1"/>
        <v>93.89</v>
      </c>
      <c r="HI7" vm="460">
        <f ca="1"/>
        <v>93.02</v>
      </c>
      <c r="HJ7" vm="461">
        <f ca="1"/>
        <v>92.17</v>
      </c>
      <c r="HK7" vm="462">
        <f ca="1"/>
        <v>92.13</v>
      </c>
      <c r="HL7" vm="463">
        <f ca="1"/>
        <v>93.09</v>
      </c>
      <c r="HM7" vm="464">
        <f ca="1"/>
        <v>93.22</v>
      </c>
      <c r="HN7" vm="465">
        <f ca="1"/>
        <v>93.82</v>
      </c>
      <c r="HO7" vm="466">
        <f ca="1"/>
        <v>93.75</v>
      </c>
      <c r="HP7" vm="467">
        <f ca="1"/>
        <v>93.72</v>
      </c>
      <c r="HQ7" vm="468">
        <f ca="1"/>
        <v>94.76</v>
      </c>
      <c r="HR7" vm="469">
        <f ca="1"/>
        <v>93.39</v>
      </c>
      <c r="HS7" vm="470">
        <f ca="1"/>
        <v>92.82</v>
      </c>
      <c r="HT7" vm="471">
        <f ca="1"/>
        <v>91.17</v>
      </c>
      <c r="HU7" vm="472">
        <f ca="1"/>
        <v>91.02</v>
      </c>
      <c r="HV7" vm="473">
        <f ca="1"/>
        <v>90.43</v>
      </c>
      <c r="HW7" vm="474">
        <f ca="1"/>
        <v>90.37</v>
      </c>
      <c r="HX7" vm="475">
        <f ca="1"/>
        <v>89.83</v>
      </c>
      <c r="HY7" vm="476">
        <f ca="1"/>
        <v>90.13</v>
      </c>
      <c r="HZ7" vm="477">
        <f ca="1"/>
        <v>90.52</v>
      </c>
      <c r="IA7" vm="478">
        <f ca="1"/>
        <v>88.02</v>
      </c>
      <c r="IB7" vm="479">
        <f ca="1"/>
        <v>89.25</v>
      </c>
      <c r="IC7" vm="480">
        <f ca="1"/>
        <v>89.58</v>
      </c>
      <c r="ID7" vm="481">
        <f ca="1"/>
        <v>89.71</v>
      </c>
      <c r="IE7" vm="482">
        <f ca="1"/>
        <v>89.94</v>
      </c>
      <c r="IF7" vm="483">
        <f ca="1"/>
        <v>91.4</v>
      </c>
      <c r="IG7" vm="484">
        <f ca="1"/>
        <v>91.52</v>
      </c>
      <c r="IH7" vm="457">
        <f ca="1"/>
        <v>92.38</v>
      </c>
      <c r="II7" vm="485">
        <f ca="1"/>
        <v>91.69</v>
      </c>
      <c r="IJ7" vm="486">
        <f ca="1"/>
        <v>90.71</v>
      </c>
      <c r="IK7" vm="487">
        <f ca="1"/>
        <v>91.38</v>
      </c>
      <c r="IL7" vm="488">
        <f ca="1"/>
        <v>91.22</v>
      </c>
      <c r="IM7" vm="489">
        <f ca="1"/>
        <v>91.32</v>
      </c>
      <c r="IN7" vm="490">
        <f ca="1"/>
        <v>92.05</v>
      </c>
      <c r="IO7" vm="491">
        <f ca="1"/>
        <v>92.48</v>
      </c>
      <c r="IP7" vm="492">
        <f ca="1"/>
        <v>93.35</v>
      </c>
      <c r="IQ7" vm="493">
        <f ca="1"/>
        <v>92.9</v>
      </c>
      <c r="IR7" vm="494">
        <f ca="1"/>
        <v>92.22</v>
      </c>
      <c r="IS7" vm="495">
        <f ca="1"/>
        <v>91.44</v>
      </c>
      <c r="IT7" vm="496">
        <f ca="1"/>
        <v>89.66</v>
      </c>
      <c r="IU7" vm="497">
        <f ca="1"/>
        <v>90.68</v>
      </c>
      <c r="IV7" vm="498">
        <f ca="1"/>
        <v>90.47</v>
      </c>
      <c r="IW7" vm="499">
        <f ca="1"/>
        <v>90.36</v>
      </c>
      <c r="IX7" vm="500">
        <f ca="1"/>
        <v>92.03</v>
      </c>
      <c r="IY7" vm="494">
        <f ca="1"/>
        <v>92.22</v>
      </c>
      <c r="IZ7" vm="501">
        <f ca="1"/>
        <v>91.2</v>
      </c>
      <c r="JA7" vm="502">
        <f ca="1"/>
        <v>91.53</v>
      </c>
      <c r="JB7" vm="503">
        <f ca="1"/>
        <v>91.65</v>
      </c>
      <c r="JC7" vm="504">
        <f ca="1"/>
        <v>89.77</v>
      </c>
      <c r="JD7" vm="505">
        <f ca="1"/>
        <v>87.95</v>
      </c>
      <c r="JE7" vm="506">
        <f ca="1"/>
        <v>84.78</v>
      </c>
      <c r="JF7" vm="507">
        <f ca="1"/>
        <v>83.77</v>
      </c>
      <c r="JG7" vm="508">
        <f ca="1"/>
        <v>81.709999999999994</v>
      </c>
    </row>
    <row r="8" spans="1:267" ht="33.75" customHeight="1">
      <c r="A8" s="752"/>
      <c r="B8" s="753"/>
      <c r="C8" s="120" t="e" vm="7">
        <v>#VALUE!</v>
      </c>
      <c r="D8" s="121" t="str">
        <v>Electronic Equipment &amp; Parts</v>
      </c>
      <c r="E8" s="122">
        <v>4275</v>
      </c>
      <c r="F8" s="123">
        <v>1.36</v>
      </c>
      <c r="G8" s="123">
        <v>5814</v>
      </c>
      <c r="H8" s="123">
        <v>-213.74999999999923</v>
      </c>
      <c r="I8" s="124">
        <v>-3.5460992907801296E-2</v>
      </c>
      <c r="J8" s="123">
        <v>3120.75</v>
      </c>
      <c r="K8" s="125"/>
      <c r="M8" cm="1" vm="509">
        <f t="array" aca="1" ref="M8:JG8" ca="1">TRANSPOSE(_xlfn.STOCKHISTORY(C8, TODAY()-365, TODAY(), 0, 0, 1))</f>
        <v>1.8149999999999999</v>
      </c>
      <c r="N8" vm="510">
        <f ca="1"/>
        <v>1.73</v>
      </c>
      <c r="O8" vm="511">
        <f ca="1"/>
        <v>1.7</v>
      </c>
      <c r="P8" vm="512">
        <f ca="1"/>
        <v>1.675</v>
      </c>
      <c r="Q8" vm="513">
        <f ca="1"/>
        <v>1.75</v>
      </c>
      <c r="R8" vm="514">
        <f ca="1"/>
        <v>1.825</v>
      </c>
      <c r="S8" vm="515">
        <f ca="1"/>
        <v>1.855</v>
      </c>
      <c r="T8" vm="516">
        <f ca="1"/>
        <v>1.88</v>
      </c>
      <c r="U8" vm="517">
        <f ca="1"/>
        <v>1.885</v>
      </c>
      <c r="V8" vm="518">
        <f ca="1"/>
        <v>1.875</v>
      </c>
      <c r="W8" vm="519">
        <f ca="1"/>
        <v>1.9</v>
      </c>
      <c r="X8" vm="520">
        <f ca="1"/>
        <v>1.91</v>
      </c>
      <c r="Y8" vm="519">
        <f ca="1"/>
        <v>1.9</v>
      </c>
      <c r="Z8" vm="521">
        <f ca="1"/>
        <v>1.81</v>
      </c>
      <c r="AA8" vm="522">
        <f ca="1"/>
        <v>1.8</v>
      </c>
      <c r="AB8" vm="518">
        <f ca="1"/>
        <v>1.875</v>
      </c>
      <c r="AC8" vm="523">
        <f ca="1"/>
        <v>1.85</v>
      </c>
      <c r="AD8" vm="514">
        <f ca="1"/>
        <v>1.825</v>
      </c>
      <c r="AE8" vm="514">
        <f ca="1"/>
        <v>1.825</v>
      </c>
      <c r="AF8" vm="524">
        <f ca="1"/>
        <v>1.8049999999999999</v>
      </c>
      <c r="AG8" vm="525">
        <f ca="1"/>
        <v>1.7849999999999999</v>
      </c>
      <c r="AH8" vm="526">
        <f ca="1"/>
        <v>1.7050000000000001</v>
      </c>
      <c r="AI8" vm="510">
        <f ca="1"/>
        <v>1.73</v>
      </c>
      <c r="AJ8" vm="526">
        <f ca="1"/>
        <v>1.7050000000000001</v>
      </c>
      <c r="AK8" vm="527">
        <f ca="1"/>
        <v>1.67</v>
      </c>
      <c r="AL8" vm="528">
        <f ca="1"/>
        <v>1.72</v>
      </c>
      <c r="AM8" vm="529">
        <f ca="1"/>
        <v>1.7450000000000001</v>
      </c>
      <c r="AN8" vm="530">
        <f ca="1"/>
        <v>1.71</v>
      </c>
      <c r="AO8" vm="511">
        <f ca="1"/>
        <v>1.7</v>
      </c>
      <c r="AP8" vm="511">
        <f ca="1"/>
        <v>1.7</v>
      </c>
      <c r="AQ8" vm="531">
        <f ca="1"/>
        <v>1.6950000000000001</v>
      </c>
      <c r="AR8" vm="532">
        <f ca="1"/>
        <v>1.79</v>
      </c>
      <c r="AS8" vm="516">
        <f ca="1"/>
        <v>1.88</v>
      </c>
      <c r="AT8" vm="533">
        <f ca="1"/>
        <v>1.895</v>
      </c>
      <c r="AU8" vm="534">
        <f ca="1"/>
        <v>1.835</v>
      </c>
      <c r="AV8" vm="523">
        <f ca="1"/>
        <v>1.85</v>
      </c>
      <c r="AW8" vm="535">
        <f ca="1"/>
        <v>1.89</v>
      </c>
      <c r="AX8" vm="519">
        <f ca="1"/>
        <v>1.9</v>
      </c>
      <c r="AY8" vm="536">
        <f ca="1"/>
        <v>1.86</v>
      </c>
      <c r="AZ8" vm="537">
        <f ca="1"/>
        <v>1.84</v>
      </c>
      <c r="BA8" vm="536">
        <f ca="1"/>
        <v>1.86</v>
      </c>
      <c r="BB8" vm="536">
        <f ca="1"/>
        <v>1.86</v>
      </c>
      <c r="BC8" vm="520">
        <f ca="1"/>
        <v>1.91</v>
      </c>
      <c r="BD8" vm="519">
        <f ca="1"/>
        <v>1.9</v>
      </c>
      <c r="BE8" vm="536">
        <f ca="1"/>
        <v>1.86</v>
      </c>
      <c r="BF8" vm="538">
        <f ca="1"/>
        <v>1.93</v>
      </c>
      <c r="BG8" vm="535">
        <f ca="1"/>
        <v>1.89</v>
      </c>
      <c r="BH8" vm="539">
        <f ca="1"/>
        <v>1.9750000000000001</v>
      </c>
      <c r="BI8" vm="540">
        <f ca="1"/>
        <v>1.98</v>
      </c>
      <c r="BJ8" vm="541">
        <f ca="1"/>
        <v>2</v>
      </c>
      <c r="BK8" vm="542">
        <f ca="1"/>
        <v>2.0699999999999998</v>
      </c>
      <c r="BL8" vm="543">
        <f ca="1"/>
        <v>2.1</v>
      </c>
      <c r="BM8" vm="543">
        <f ca="1"/>
        <v>2.1</v>
      </c>
      <c r="BN8" vm="544">
        <f ca="1"/>
        <v>2.08</v>
      </c>
      <c r="BO8" vm="543">
        <f ca="1"/>
        <v>2.1</v>
      </c>
      <c r="BP8" vm="544">
        <f ca="1"/>
        <v>2.08</v>
      </c>
      <c r="BQ8" vm="545">
        <f ca="1"/>
        <v>2.21</v>
      </c>
      <c r="BR8" vm="546">
        <f ca="1"/>
        <v>2.1800000000000002</v>
      </c>
      <c r="BS8" vm="547">
        <f ca="1"/>
        <v>2.09</v>
      </c>
      <c r="BT8" vm="548">
        <f ca="1"/>
        <v>2.06</v>
      </c>
      <c r="BU8" vm="542">
        <f ca="1"/>
        <v>2.0699999999999998</v>
      </c>
      <c r="BV8" vm="541">
        <f ca="1"/>
        <v>2</v>
      </c>
      <c r="BW8" vm="541">
        <f ca="1"/>
        <v>2</v>
      </c>
      <c r="BX8" vm="541">
        <f ca="1"/>
        <v>2</v>
      </c>
      <c r="BY8" vm="549">
        <f ca="1"/>
        <v>2.02</v>
      </c>
      <c r="BZ8" vm="550">
        <f ca="1"/>
        <v>2.04</v>
      </c>
      <c r="CA8" vm="551">
        <f ca="1"/>
        <v>2.0499999999999998</v>
      </c>
      <c r="CB8" vm="541">
        <f ca="1"/>
        <v>2</v>
      </c>
      <c r="CC8" vm="541">
        <f ca="1"/>
        <v>2</v>
      </c>
      <c r="CD8" vm="549">
        <f ca="1"/>
        <v>2.02</v>
      </c>
      <c r="CE8" vm="544">
        <f ca="1"/>
        <v>2.08</v>
      </c>
      <c r="CF8" vm="549">
        <f ca="1"/>
        <v>2.02</v>
      </c>
      <c r="CG8" vm="549">
        <f ca="1"/>
        <v>2.02</v>
      </c>
      <c r="CH8" vm="552">
        <f ca="1"/>
        <v>2.0299999999999998</v>
      </c>
      <c r="CI8" vm="553">
        <f ca="1"/>
        <v>1.97</v>
      </c>
      <c r="CJ8" vm="516">
        <f ca="1"/>
        <v>1.88</v>
      </c>
      <c r="CK8" vm="516">
        <f ca="1"/>
        <v>1.88</v>
      </c>
      <c r="CL8" vm="554">
        <f ca="1"/>
        <v>1.87</v>
      </c>
      <c r="CM8" vm="535">
        <f ca="1"/>
        <v>1.89</v>
      </c>
      <c r="CN8" vm="536">
        <f ca="1"/>
        <v>1.86</v>
      </c>
      <c r="CO8" vm="555">
        <f ca="1"/>
        <v>1.9550000000000001</v>
      </c>
      <c r="CP8" vm="538">
        <f ca="1"/>
        <v>1.93</v>
      </c>
      <c r="CQ8" vm="556">
        <f ca="1"/>
        <v>1.9350000000000001</v>
      </c>
      <c r="CR8" vm="535">
        <f ca="1"/>
        <v>1.89</v>
      </c>
      <c r="CS8" vm="557">
        <f ca="1"/>
        <v>2.0099999999999998</v>
      </c>
      <c r="CT8" vm="558">
        <f ca="1"/>
        <v>2.27</v>
      </c>
      <c r="CU8" vm="559">
        <f ca="1"/>
        <v>2.17</v>
      </c>
      <c r="CV8" vm="560">
        <f ca="1"/>
        <v>2.2000000000000002</v>
      </c>
      <c r="CW8" vm="560">
        <f ca="1"/>
        <v>2.2000000000000002</v>
      </c>
      <c r="CX8" vm="546">
        <f ca="1"/>
        <v>2.1800000000000002</v>
      </c>
      <c r="CY8" vm="561">
        <f ca="1"/>
        <v>2.13</v>
      </c>
      <c r="CZ8" vm="543">
        <f ca="1"/>
        <v>2.1</v>
      </c>
      <c r="DA8" vm="542">
        <f ca="1"/>
        <v>2.0699999999999998</v>
      </c>
      <c r="DB8" vm="562">
        <f ca="1"/>
        <v>2.15</v>
      </c>
      <c r="DC8" vm="563">
        <f ca="1"/>
        <v>2.23</v>
      </c>
      <c r="DD8" vm="564">
        <f ca="1"/>
        <v>2.19</v>
      </c>
      <c r="DE8" vm="565">
        <f ca="1"/>
        <v>2.2200000000000002</v>
      </c>
      <c r="DF8" vm="566">
        <f ca="1"/>
        <v>2.14</v>
      </c>
      <c r="DG8" vm="548">
        <f ca="1"/>
        <v>2.06</v>
      </c>
      <c r="DH8" vm="551">
        <f ca="1"/>
        <v>2.0499999999999998</v>
      </c>
      <c r="DI8" vm="551">
        <f ca="1"/>
        <v>2.0499999999999998</v>
      </c>
      <c r="DJ8" vm="551">
        <f ca="1"/>
        <v>2.0499999999999998</v>
      </c>
      <c r="DK8" vm="546">
        <f ca="1"/>
        <v>2.1800000000000002</v>
      </c>
      <c r="DL8" t="e" vm="567">
        <f ca="1"/>
        <v>#N/A</v>
      </c>
      <c r="DM8" vm="541">
        <f ca="1"/>
        <v>2</v>
      </c>
      <c r="DN8" vm="550">
        <f ca="1"/>
        <v>2.04</v>
      </c>
      <c r="DO8" vm="549">
        <f ca="1"/>
        <v>2.02</v>
      </c>
      <c r="DP8" vm="557">
        <f ca="1"/>
        <v>2.0099999999999998</v>
      </c>
      <c r="DQ8" vm="541">
        <f ca="1"/>
        <v>2</v>
      </c>
      <c r="DR8" vm="568">
        <f ca="1"/>
        <v>1.9850000000000001</v>
      </c>
      <c r="DS8" vm="569">
        <f ca="1"/>
        <v>1.99</v>
      </c>
      <c r="DT8" vm="540">
        <f ca="1"/>
        <v>1.98</v>
      </c>
      <c r="DU8" vm="538">
        <f ca="1"/>
        <v>1.93</v>
      </c>
      <c r="DV8" vm="570">
        <f ca="1"/>
        <v>1.92</v>
      </c>
      <c r="DW8" vm="535">
        <f ca="1"/>
        <v>1.89</v>
      </c>
      <c r="DX8" vm="571">
        <f ca="1"/>
        <v>1.94</v>
      </c>
      <c r="DY8" vm="520">
        <f ca="1"/>
        <v>1.91</v>
      </c>
      <c r="DZ8" vm="570">
        <f ca="1"/>
        <v>1.92</v>
      </c>
      <c r="EA8" vm="519">
        <f ca="1"/>
        <v>1.9</v>
      </c>
      <c r="EB8" vm="556">
        <f ca="1"/>
        <v>1.9350000000000001</v>
      </c>
      <c r="EC8" vm="519">
        <f ca="1"/>
        <v>1.9</v>
      </c>
      <c r="ED8" vm="533">
        <f ca="1"/>
        <v>1.895</v>
      </c>
      <c r="EE8" vm="532">
        <f ca="1"/>
        <v>1.79</v>
      </c>
      <c r="EF8" vm="572">
        <f ca="1"/>
        <v>1.78</v>
      </c>
      <c r="EG8" vm="573">
        <f ca="1"/>
        <v>1.7749999999999999</v>
      </c>
      <c r="EH8" vm="522">
        <f ca="1"/>
        <v>1.8</v>
      </c>
      <c r="EI8" vm="574">
        <f ca="1"/>
        <v>1.77</v>
      </c>
      <c r="EJ8" vm="510">
        <f ca="1"/>
        <v>1.73</v>
      </c>
      <c r="EK8" vm="511">
        <f ca="1"/>
        <v>1.7</v>
      </c>
      <c r="EL8" vm="511">
        <f ca="1"/>
        <v>1.7</v>
      </c>
      <c r="EM8" vm="528">
        <f ca="1"/>
        <v>1.72</v>
      </c>
      <c r="EN8" vm="511">
        <f ca="1"/>
        <v>1.7</v>
      </c>
      <c r="EO8" vm="575">
        <f ca="1"/>
        <v>1.76</v>
      </c>
      <c r="EP8" vm="510">
        <f ca="1"/>
        <v>1.73</v>
      </c>
      <c r="EQ8" vm="576">
        <f ca="1"/>
        <v>1.68</v>
      </c>
      <c r="ER8" vm="527">
        <f ca="1"/>
        <v>1.67</v>
      </c>
      <c r="ES8" vm="577">
        <f ca="1"/>
        <v>1.74</v>
      </c>
      <c r="ET8" vm="578">
        <f ca="1"/>
        <v>1.7649999999999999</v>
      </c>
      <c r="EU8" vm="573">
        <f ca="1"/>
        <v>1.7749999999999999</v>
      </c>
      <c r="EV8" vm="509">
        <f ca="1"/>
        <v>1.8149999999999999</v>
      </c>
      <c r="EW8" vm="537">
        <f ca="1"/>
        <v>1.84</v>
      </c>
      <c r="EX8" vm="579">
        <f ca="1"/>
        <v>1.83</v>
      </c>
      <c r="EY8" vm="523">
        <f ca="1"/>
        <v>1.85</v>
      </c>
      <c r="EZ8" vm="554">
        <f ca="1"/>
        <v>1.87</v>
      </c>
      <c r="FA8" vm="580">
        <f ca="1"/>
        <v>1.865</v>
      </c>
      <c r="FB8" vm="580">
        <f ca="1"/>
        <v>1.865</v>
      </c>
      <c r="FC8" vm="570">
        <f ca="1"/>
        <v>1.92</v>
      </c>
      <c r="FD8" vm="519">
        <f ca="1"/>
        <v>1.9</v>
      </c>
      <c r="FE8" vm="571">
        <f ca="1"/>
        <v>1.94</v>
      </c>
      <c r="FF8" vm="569">
        <f ca="1"/>
        <v>1.99</v>
      </c>
      <c r="FG8" vm="581">
        <f ca="1"/>
        <v>1.95</v>
      </c>
      <c r="FH8" vm="582">
        <f ca="1"/>
        <v>1.915</v>
      </c>
      <c r="FI8" vm="519">
        <f ca="1"/>
        <v>1.9</v>
      </c>
      <c r="FJ8" vm="516">
        <f ca="1"/>
        <v>1.88</v>
      </c>
      <c r="FK8" vm="570">
        <f ca="1"/>
        <v>1.92</v>
      </c>
      <c r="FL8" vm="583">
        <f ca="1"/>
        <v>1.9950000000000001</v>
      </c>
      <c r="FM8" vm="538">
        <f ca="1"/>
        <v>1.93</v>
      </c>
      <c r="FN8" vm="555">
        <f ca="1"/>
        <v>1.9550000000000001</v>
      </c>
      <c r="FO8" vm="571">
        <f ca="1"/>
        <v>1.94</v>
      </c>
      <c r="FP8" vm="584">
        <f ca="1"/>
        <v>1.905</v>
      </c>
      <c r="FQ8" vm="535">
        <f ca="1"/>
        <v>1.89</v>
      </c>
      <c r="FR8" vm="585">
        <f ca="1"/>
        <v>1.845</v>
      </c>
      <c r="FS8" vm="516">
        <f ca="1"/>
        <v>1.88</v>
      </c>
      <c r="FT8" vm="569">
        <f ca="1"/>
        <v>1.99</v>
      </c>
      <c r="FU8" vm="540">
        <f ca="1"/>
        <v>1.98</v>
      </c>
      <c r="FV8" vm="586">
        <f ca="1"/>
        <v>1.9650000000000001</v>
      </c>
      <c r="FW8" vm="570">
        <f ca="1"/>
        <v>1.92</v>
      </c>
      <c r="FX8" vm="571">
        <f ca="1"/>
        <v>1.94</v>
      </c>
      <c r="FY8" vm="582">
        <f ca="1"/>
        <v>1.915</v>
      </c>
      <c r="FZ8" vm="553">
        <f ca="1"/>
        <v>1.97</v>
      </c>
      <c r="GA8" vm="552">
        <f ca="1"/>
        <v>2.0299999999999998</v>
      </c>
      <c r="GB8" vm="552">
        <f ca="1"/>
        <v>2.0299999999999998</v>
      </c>
      <c r="GC8" vm="569">
        <f ca="1"/>
        <v>1.99</v>
      </c>
      <c r="GD8" vm="587">
        <f ca="1"/>
        <v>1.96</v>
      </c>
      <c r="GE8" vm="538">
        <f ca="1"/>
        <v>1.93</v>
      </c>
      <c r="GF8" vm="584">
        <f ca="1"/>
        <v>1.905</v>
      </c>
      <c r="GG8" vm="554">
        <f ca="1"/>
        <v>1.87</v>
      </c>
      <c r="GH8" vm="536">
        <f ca="1"/>
        <v>1.86</v>
      </c>
      <c r="GI8" vm="572">
        <f ca="1"/>
        <v>1.78</v>
      </c>
      <c r="GJ8" vm="572">
        <f ca="1"/>
        <v>1.78</v>
      </c>
      <c r="GK8" vm="521">
        <f ca="1"/>
        <v>1.81</v>
      </c>
      <c r="GL8" vm="509">
        <f ca="1"/>
        <v>1.8149999999999999</v>
      </c>
      <c r="GM8" vm="532">
        <f ca="1"/>
        <v>1.79</v>
      </c>
      <c r="GN8" vm="524">
        <f ca="1"/>
        <v>1.8049999999999999</v>
      </c>
      <c r="GO8" vm="554">
        <f ca="1"/>
        <v>1.87</v>
      </c>
      <c r="GP8" vm="554">
        <f ca="1"/>
        <v>1.87</v>
      </c>
      <c r="GQ8" vm="521">
        <f ca="1"/>
        <v>1.81</v>
      </c>
      <c r="GR8" vm="579">
        <f ca="1"/>
        <v>1.83</v>
      </c>
      <c r="GS8" vm="516">
        <f ca="1"/>
        <v>1.88</v>
      </c>
      <c r="GT8" vm="518">
        <f ca="1"/>
        <v>1.875</v>
      </c>
      <c r="GU8" vm="588">
        <f ca="1"/>
        <v>1.82</v>
      </c>
      <c r="GV8" vm="572">
        <f ca="1"/>
        <v>1.78</v>
      </c>
      <c r="GW8" vm="522">
        <f ca="1"/>
        <v>1.8</v>
      </c>
      <c r="GX8" vm="532">
        <f ca="1"/>
        <v>1.79</v>
      </c>
      <c r="GY8" vm="572">
        <f ca="1"/>
        <v>1.78</v>
      </c>
      <c r="GZ8" vm="574">
        <f ca="1"/>
        <v>1.77</v>
      </c>
      <c r="HA8" vm="522">
        <f ca="1"/>
        <v>1.8</v>
      </c>
      <c r="HB8" vm="574">
        <f ca="1"/>
        <v>1.77</v>
      </c>
      <c r="HC8" vm="528">
        <f ca="1"/>
        <v>1.72</v>
      </c>
      <c r="HD8" vm="529">
        <f ca="1"/>
        <v>1.7450000000000001</v>
      </c>
      <c r="HE8" vm="526">
        <f ca="1"/>
        <v>1.7050000000000001</v>
      </c>
      <c r="HF8" vm="511">
        <f ca="1"/>
        <v>1.7</v>
      </c>
      <c r="HG8" vm="589">
        <f ca="1"/>
        <v>1.69</v>
      </c>
      <c r="HH8" vm="590">
        <f ca="1"/>
        <v>1.7150000000000001</v>
      </c>
      <c r="HI8" vm="528">
        <f ca="1"/>
        <v>1.72</v>
      </c>
      <c r="HJ8" vm="510">
        <f ca="1"/>
        <v>1.73</v>
      </c>
      <c r="HK8" vm="511">
        <f ca="1"/>
        <v>1.7</v>
      </c>
      <c r="HL8" vm="591">
        <f ca="1"/>
        <v>1.635</v>
      </c>
      <c r="HM8" vm="592">
        <f ca="1"/>
        <v>1.66</v>
      </c>
      <c r="HN8" vm="593">
        <f ca="1"/>
        <v>1.56</v>
      </c>
      <c r="HO8" vm="594">
        <f ca="1"/>
        <v>1.645</v>
      </c>
      <c r="HP8" vm="595">
        <f ca="1"/>
        <v>1.655</v>
      </c>
      <c r="HQ8" vm="596">
        <f ca="1"/>
        <v>1.595</v>
      </c>
      <c r="HR8" vm="597">
        <f ca="1"/>
        <v>1.5649999999999999</v>
      </c>
      <c r="HS8" vm="598">
        <f ca="1"/>
        <v>1.585</v>
      </c>
      <c r="HT8" vm="599">
        <f ca="1"/>
        <v>1.52</v>
      </c>
      <c r="HU8" vm="600">
        <f ca="1"/>
        <v>1.51</v>
      </c>
      <c r="HV8" vm="601">
        <f ca="1"/>
        <v>1.5</v>
      </c>
      <c r="HW8" vm="602">
        <f ca="1"/>
        <v>1.5549999999999999</v>
      </c>
      <c r="HX8" vm="603">
        <f ca="1"/>
        <v>1.5349999999999999</v>
      </c>
      <c r="HY8" vm="604">
        <f ca="1"/>
        <v>1.48</v>
      </c>
      <c r="HZ8" vm="605">
        <f ca="1"/>
        <v>1.4</v>
      </c>
      <c r="IA8" vm="606">
        <f ca="1"/>
        <v>1.47</v>
      </c>
      <c r="IB8" vm="604">
        <f ca="1"/>
        <v>1.48</v>
      </c>
      <c r="IC8" vm="607">
        <f ca="1"/>
        <v>1.4750000000000001</v>
      </c>
      <c r="ID8" vm="608">
        <f ca="1"/>
        <v>1.45</v>
      </c>
      <c r="IE8" vm="606">
        <f ca="1"/>
        <v>1.47</v>
      </c>
      <c r="IF8" vm="609">
        <f ca="1"/>
        <v>1.4950000000000001</v>
      </c>
      <c r="IG8" vm="605">
        <f ca="1"/>
        <v>1.4</v>
      </c>
      <c r="IH8" vm="610">
        <f ca="1"/>
        <v>1.44</v>
      </c>
      <c r="II8" vm="611">
        <f ca="1"/>
        <v>1.46</v>
      </c>
      <c r="IJ8" vm="612">
        <f ca="1"/>
        <v>1.43</v>
      </c>
      <c r="IK8" vm="610">
        <f ca="1"/>
        <v>1.44</v>
      </c>
      <c r="IL8" vm="613">
        <f ca="1"/>
        <v>1.5049999999999999</v>
      </c>
      <c r="IM8" vm="614">
        <f ca="1"/>
        <v>1.49</v>
      </c>
      <c r="IN8" vm="615">
        <f ca="1"/>
        <v>1.54</v>
      </c>
      <c r="IO8" vm="615">
        <f ca="1"/>
        <v>1.54</v>
      </c>
      <c r="IP8" vm="615">
        <f ca="1"/>
        <v>1.54</v>
      </c>
      <c r="IQ8" vm="616">
        <f ca="1"/>
        <v>1.55</v>
      </c>
      <c r="IR8" vm="615">
        <f ca="1"/>
        <v>1.54</v>
      </c>
      <c r="IS8" vm="615">
        <f ca="1"/>
        <v>1.54</v>
      </c>
      <c r="IT8" vm="606">
        <f ca="1"/>
        <v>1.47</v>
      </c>
      <c r="IU8" vm="617">
        <f ca="1"/>
        <v>1.4850000000000001</v>
      </c>
      <c r="IV8" vm="607">
        <f ca="1"/>
        <v>1.4750000000000001</v>
      </c>
      <c r="IW8" vm="618">
        <f ca="1"/>
        <v>1.5249999999999999</v>
      </c>
      <c r="IX8" vm="614">
        <f ca="1"/>
        <v>1.49</v>
      </c>
      <c r="IY8" vm="619">
        <f ca="1"/>
        <v>1.4350000000000001</v>
      </c>
      <c r="IZ8" vm="608">
        <f ca="1"/>
        <v>1.45</v>
      </c>
      <c r="JA8" vm="620">
        <f ca="1"/>
        <v>1.4650000000000001</v>
      </c>
      <c r="JB8" vm="601">
        <f ca="1"/>
        <v>1.5</v>
      </c>
      <c r="JC8" vm="611">
        <f ca="1"/>
        <v>1.46</v>
      </c>
      <c r="JD8" vm="611">
        <f ca="1"/>
        <v>1.46</v>
      </c>
      <c r="JE8" vm="612">
        <f ca="1"/>
        <v>1.43</v>
      </c>
      <c r="JF8" vm="621">
        <f ca="1"/>
        <v>1.41</v>
      </c>
      <c r="JG8" vm="622">
        <f ca="1"/>
        <v>1.36</v>
      </c>
    </row>
    <row r="9" spans="1:267" ht="35.25" customHeight="1">
      <c r="A9" s="752"/>
      <c r="B9" s="753"/>
      <c r="C9" s="120" t="e" vm="6">
        <v>#VALUE!</v>
      </c>
      <c r="D9" s="121" t="str">
        <v>Banking Services</v>
      </c>
      <c r="E9" s="122">
        <v>56</v>
      </c>
      <c r="F9" s="123">
        <v>95.45</v>
      </c>
      <c r="G9" s="123">
        <v>5345.2</v>
      </c>
      <c r="H9" s="123">
        <v>-111.43999999999971</v>
      </c>
      <c r="I9" s="124">
        <v>-2.0422824302134598E-2</v>
      </c>
      <c r="J9" s="123">
        <v>2596.27</v>
      </c>
      <c r="K9" s="125"/>
      <c r="M9" cm="1" vm="623">
        <f t="array" aca="1" ref="M9:JG9" ca="1">TRANSPOSE(_xlfn.STOCKHISTORY(C9, TODAY()-365, TODAY(), 0, 0, 1))</f>
        <v>85.27</v>
      </c>
      <c r="N9" vm="624">
        <f ca="1"/>
        <v>86.6</v>
      </c>
      <c r="O9" vm="625">
        <f ca="1"/>
        <v>85.14</v>
      </c>
      <c r="P9" vm="626">
        <f ca="1"/>
        <v>83.51</v>
      </c>
      <c r="Q9" vm="627">
        <f ca="1"/>
        <v>84.68</v>
      </c>
      <c r="R9" vm="628">
        <f ca="1"/>
        <v>86.59</v>
      </c>
      <c r="S9" vm="629">
        <f ca="1"/>
        <v>87.59</v>
      </c>
      <c r="T9" vm="630">
        <f ca="1"/>
        <v>87.06</v>
      </c>
      <c r="U9" vm="631">
        <f ca="1"/>
        <v>88.64</v>
      </c>
      <c r="V9" vm="632">
        <f ca="1"/>
        <v>88.62</v>
      </c>
      <c r="W9" vm="633">
        <f ca="1"/>
        <v>87.42</v>
      </c>
      <c r="X9" vm="634">
        <f ca="1"/>
        <v>86.12</v>
      </c>
      <c r="Y9" vm="412">
        <f ca="1"/>
        <v>87.05</v>
      </c>
      <c r="Z9" vm="635">
        <f ca="1"/>
        <v>86.87</v>
      </c>
      <c r="AA9" vm="636">
        <f ca="1"/>
        <v>86.31</v>
      </c>
      <c r="AB9" vm="404">
        <f ca="1"/>
        <v>85.91</v>
      </c>
      <c r="AC9" vm="637">
        <f ca="1"/>
        <v>84.28</v>
      </c>
      <c r="AD9" vm="638">
        <f ca="1"/>
        <v>83.62</v>
      </c>
      <c r="AE9" vm="639">
        <f ca="1"/>
        <v>82.51</v>
      </c>
      <c r="AF9" vm="640">
        <f ca="1"/>
        <v>81.900000000000006</v>
      </c>
      <c r="AG9" vm="641">
        <f ca="1"/>
        <v>83.29</v>
      </c>
      <c r="AH9" vm="642">
        <f ca="1"/>
        <v>82.78</v>
      </c>
      <c r="AI9" vm="643">
        <f ca="1"/>
        <v>83.7</v>
      </c>
      <c r="AJ9" vm="644">
        <f ca="1"/>
        <v>81.56</v>
      </c>
      <c r="AK9" vm="645">
        <f ca="1"/>
        <v>84.11</v>
      </c>
      <c r="AL9" vm="646">
        <f ca="1"/>
        <v>84.49</v>
      </c>
      <c r="AM9" vm="647">
        <f ca="1"/>
        <v>85.4</v>
      </c>
      <c r="AN9" vm="648">
        <f ca="1"/>
        <v>86.38</v>
      </c>
      <c r="AO9" vm="649">
        <f ca="1"/>
        <v>86.45</v>
      </c>
      <c r="AP9" vm="650">
        <f ca="1"/>
        <v>87.32</v>
      </c>
      <c r="AQ9" vm="651">
        <f ca="1"/>
        <v>87.89</v>
      </c>
      <c r="AR9" vm="652">
        <f ca="1"/>
        <v>86.72</v>
      </c>
      <c r="AS9" vm="649">
        <f ca="1"/>
        <v>86.45</v>
      </c>
      <c r="AT9" vm="653">
        <f ca="1"/>
        <v>86.49</v>
      </c>
      <c r="AU9" vm="654">
        <f ca="1"/>
        <v>86.4</v>
      </c>
      <c r="AV9" vm="655">
        <f ca="1"/>
        <v>87.18</v>
      </c>
      <c r="AW9" vm="656">
        <f ca="1"/>
        <v>87.11</v>
      </c>
      <c r="AX9" vm="657">
        <f ca="1"/>
        <v>85.75</v>
      </c>
      <c r="AY9" vm="658">
        <f ca="1"/>
        <v>84.71</v>
      </c>
      <c r="AZ9" vm="659">
        <f ca="1"/>
        <v>85.08</v>
      </c>
      <c r="BA9" vm="660">
        <f ca="1"/>
        <v>84.77</v>
      </c>
      <c r="BB9" vm="661">
        <f ca="1"/>
        <v>86.37</v>
      </c>
      <c r="BC9" vm="662">
        <f ca="1"/>
        <v>86.54</v>
      </c>
      <c r="BD9" vm="416">
        <f ca="1"/>
        <v>86</v>
      </c>
      <c r="BE9" vm="663">
        <f ca="1"/>
        <v>85.57</v>
      </c>
      <c r="BF9" vm="647">
        <f ca="1"/>
        <v>85.4</v>
      </c>
      <c r="BG9" vm="664">
        <f ca="1"/>
        <v>86.1</v>
      </c>
      <c r="BH9" vm="665">
        <f ca="1"/>
        <v>86.21</v>
      </c>
      <c r="BI9" vm="666">
        <f ca="1"/>
        <v>86.03</v>
      </c>
      <c r="BJ9" vm="667">
        <f ca="1"/>
        <v>86.53</v>
      </c>
      <c r="BK9" vm="668">
        <f ca="1"/>
        <v>87.12</v>
      </c>
      <c r="BL9" vm="669">
        <f ca="1"/>
        <v>87.13</v>
      </c>
      <c r="BM9" vm="652">
        <f ca="1"/>
        <v>86.72</v>
      </c>
      <c r="BN9" vm="670">
        <f ca="1"/>
        <v>87.19</v>
      </c>
      <c r="BO9" vm="406">
        <f ca="1"/>
        <v>87.8</v>
      </c>
      <c r="BP9" vm="671">
        <f ca="1"/>
        <v>87.91</v>
      </c>
      <c r="BQ9" vm="672">
        <f ca="1"/>
        <v>87.99</v>
      </c>
      <c r="BR9" vm="673">
        <f ca="1"/>
        <v>88.84</v>
      </c>
      <c r="BS9" vm="674">
        <f ca="1"/>
        <v>87.74</v>
      </c>
      <c r="BT9" vm="675">
        <f ca="1"/>
        <v>88.17</v>
      </c>
      <c r="BU9" vm="676">
        <f ca="1"/>
        <v>89.14</v>
      </c>
      <c r="BV9" vm="677">
        <f ca="1"/>
        <v>89.39</v>
      </c>
      <c r="BW9" vm="678">
        <f ca="1"/>
        <v>89.05</v>
      </c>
      <c r="BX9" vm="679">
        <f ca="1"/>
        <v>89.33</v>
      </c>
      <c r="BY9" vm="680">
        <f ca="1"/>
        <v>90.21</v>
      </c>
      <c r="BZ9" vm="681">
        <f ca="1"/>
        <v>90</v>
      </c>
      <c r="CA9" vm="682">
        <f ca="1"/>
        <v>89.04</v>
      </c>
      <c r="CB9" vm="683">
        <f ca="1"/>
        <v>89.7</v>
      </c>
      <c r="CC9" vm="684">
        <f ca="1"/>
        <v>90.45</v>
      </c>
      <c r="CD9" vm="685">
        <f ca="1"/>
        <v>92.72</v>
      </c>
      <c r="CE9" vm="686">
        <f ca="1"/>
        <v>92.94</v>
      </c>
      <c r="CF9" vm="687">
        <f ca="1"/>
        <v>93.92</v>
      </c>
      <c r="CG9" vm="688">
        <f ca="1"/>
        <v>95.15</v>
      </c>
      <c r="CH9" vm="689">
        <f ca="1"/>
        <v>94.58</v>
      </c>
      <c r="CI9" vm="690">
        <f ca="1"/>
        <v>95.57</v>
      </c>
      <c r="CJ9" vm="691">
        <f ca="1"/>
        <v>95.98</v>
      </c>
      <c r="CK9" vm="692">
        <f ca="1"/>
        <v>96.58</v>
      </c>
      <c r="CL9" vm="693">
        <f ca="1"/>
        <v>97.79</v>
      </c>
      <c r="CM9" vm="694">
        <f ca="1"/>
        <v>97.76</v>
      </c>
      <c r="CN9" vm="695">
        <f ca="1"/>
        <v>95.32</v>
      </c>
      <c r="CO9" vm="696">
        <f ca="1"/>
        <v>98.4</v>
      </c>
      <c r="CP9" vm="697">
        <f ca="1"/>
        <v>98.05</v>
      </c>
      <c r="CQ9" vm="698">
        <f ca="1"/>
        <v>98.76</v>
      </c>
      <c r="CR9" vm="699">
        <f ca="1"/>
        <v>99.63</v>
      </c>
      <c r="CS9" vm="700">
        <f ca="1"/>
        <v>99.58</v>
      </c>
      <c r="CT9" vm="701">
        <f ca="1"/>
        <v>98.97</v>
      </c>
      <c r="CU9" vm="702">
        <f ca="1"/>
        <v>100.56</v>
      </c>
      <c r="CV9" vm="703">
        <f ca="1"/>
        <v>99.72</v>
      </c>
      <c r="CW9" vm="704">
        <f ca="1"/>
        <v>99.46</v>
      </c>
      <c r="CX9" vm="705">
        <f ca="1"/>
        <v>100.33</v>
      </c>
      <c r="CY9" vm="706">
        <f ca="1"/>
        <v>101.21</v>
      </c>
      <c r="CZ9" vm="707">
        <f ca="1"/>
        <v>102.52</v>
      </c>
      <c r="DA9" vm="708">
        <f ca="1"/>
        <v>101.93</v>
      </c>
      <c r="DB9" vm="709">
        <f ca="1"/>
        <v>101.48</v>
      </c>
      <c r="DC9" vm="710">
        <f ca="1"/>
        <v>101.08</v>
      </c>
      <c r="DD9" vm="711">
        <f ca="1"/>
        <v>101.85</v>
      </c>
      <c r="DE9" vm="712">
        <f ca="1"/>
        <v>101.36</v>
      </c>
      <c r="DF9" vm="713">
        <f ca="1"/>
        <v>103.45</v>
      </c>
      <c r="DG9" vm="714">
        <f ca="1"/>
        <v>104.82</v>
      </c>
      <c r="DH9" vm="715">
        <f ca="1"/>
        <v>105.91</v>
      </c>
      <c r="DI9" vm="716">
        <f ca="1"/>
        <v>103.69</v>
      </c>
      <c r="DJ9" vm="717">
        <f ca="1"/>
        <v>98.06</v>
      </c>
      <c r="DK9" vm="718">
        <f ca="1"/>
        <v>100.23</v>
      </c>
      <c r="DL9" vm="719">
        <f ca="1"/>
        <v>99.2</v>
      </c>
      <c r="DM9" vm="720">
        <f ca="1"/>
        <v>98.65</v>
      </c>
      <c r="DN9" vm="721">
        <f ca="1"/>
        <v>99.26</v>
      </c>
      <c r="DO9" vm="722">
        <f ca="1"/>
        <v>99.87</v>
      </c>
      <c r="DP9" vm="723">
        <f ca="1"/>
        <v>100.48</v>
      </c>
      <c r="DQ9" vm="722">
        <f ca="1"/>
        <v>99.87</v>
      </c>
      <c r="DR9" vm="724">
        <f ca="1"/>
        <v>98.7</v>
      </c>
      <c r="DS9" vm="725">
        <f ca="1"/>
        <v>99.49</v>
      </c>
      <c r="DT9" vm="726">
        <f ca="1"/>
        <v>99.18</v>
      </c>
      <c r="DU9" vm="727">
        <f ca="1"/>
        <v>98.62</v>
      </c>
      <c r="DV9" vm="728">
        <f ca="1"/>
        <v>99.71</v>
      </c>
      <c r="DW9" vm="725">
        <f ca="1"/>
        <v>99.49</v>
      </c>
      <c r="DX9" vm="729">
        <f ca="1"/>
        <v>98.59</v>
      </c>
      <c r="DY9" vm="730">
        <f ca="1"/>
        <v>99.17</v>
      </c>
      <c r="DZ9" vm="731">
        <f ca="1"/>
        <v>98.39</v>
      </c>
      <c r="EA9" vm="732">
        <f ca="1"/>
        <v>98.78</v>
      </c>
      <c r="EB9" vm="733">
        <f ca="1"/>
        <v>98.31</v>
      </c>
      <c r="EC9" vm="734">
        <f ca="1"/>
        <v>98.19</v>
      </c>
      <c r="ED9" vm="735">
        <f ca="1"/>
        <v>97.68</v>
      </c>
      <c r="EE9" vm="736">
        <f ca="1"/>
        <v>97.61</v>
      </c>
      <c r="EF9" vm="737">
        <f ca="1"/>
        <v>98.42</v>
      </c>
      <c r="EG9" vm="738">
        <f ca="1"/>
        <v>99.88</v>
      </c>
      <c r="EH9" vm="739">
        <f ca="1"/>
        <v>99.12</v>
      </c>
      <c r="EI9" vm="740">
        <f ca="1"/>
        <v>99.14</v>
      </c>
      <c r="EJ9" vm="741">
        <f ca="1"/>
        <v>100.71</v>
      </c>
      <c r="EK9" vm="742">
        <f ca="1"/>
        <v>99.3</v>
      </c>
      <c r="EL9" vm="743">
        <f ca="1"/>
        <v>99.45</v>
      </c>
      <c r="EM9" vm="744">
        <f ca="1"/>
        <v>99.65</v>
      </c>
      <c r="EN9" vm="745">
        <f ca="1"/>
        <v>101.66</v>
      </c>
      <c r="EO9" vm="746">
        <f ca="1"/>
        <v>101.45</v>
      </c>
      <c r="EP9" vm="747">
        <f ca="1"/>
        <v>102.23</v>
      </c>
      <c r="EQ9" vm="748">
        <f ca="1"/>
        <v>103.41</v>
      </c>
      <c r="ER9" vm="749">
        <f ca="1"/>
        <v>103.75</v>
      </c>
      <c r="ES9" vm="750">
        <f ca="1"/>
        <v>104.94</v>
      </c>
      <c r="ET9" vm="751">
        <f ca="1"/>
        <v>106.56</v>
      </c>
      <c r="EU9" vm="752">
        <f ca="1"/>
        <v>108.17</v>
      </c>
      <c r="EV9" vm="753">
        <f ca="1"/>
        <v>105.88</v>
      </c>
      <c r="EW9" vm="754">
        <f ca="1"/>
        <v>104.03</v>
      </c>
      <c r="EX9" vm="755">
        <f ca="1"/>
        <v>102.54</v>
      </c>
      <c r="EY9" vm="756">
        <f ca="1"/>
        <v>99</v>
      </c>
      <c r="EZ9" vm="757">
        <f ca="1"/>
        <v>99.77</v>
      </c>
      <c r="FA9" vm="758">
        <f ca="1"/>
        <v>99.22</v>
      </c>
      <c r="FB9" vm="759">
        <f ca="1"/>
        <v>99.27</v>
      </c>
      <c r="FC9" vm="760">
        <f ca="1"/>
        <v>100.17</v>
      </c>
      <c r="FD9" vm="761">
        <f ca="1"/>
        <v>99.91</v>
      </c>
      <c r="FE9" vm="762">
        <f ca="1"/>
        <v>100.32</v>
      </c>
      <c r="FF9" vm="763">
        <f ca="1"/>
        <v>100.99</v>
      </c>
      <c r="FG9" vm="764">
        <f ca="1"/>
        <v>101.54</v>
      </c>
      <c r="FH9" vm="765">
        <f ca="1"/>
        <v>100.42</v>
      </c>
      <c r="FI9" vm="766">
        <f ca="1"/>
        <v>100.12</v>
      </c>
      <c r="FJ9" vm="767">
        <f ca="1"/>
        <v>101</v>
      </c>
      <c r="FK9" vm="768">
        <f ca="1"/>
        <v>101.37</v>
      </c>
      <c r="FL9" vm="769">
        <f ca="1"/>
        <v>101.84</v>
      </c>
      <c r="FM9" vm="770">
        <f ca="1"/>
        <v>102.16</v>
      </c>
      <c r="FN9" vm="771">
        <f ca="1"/>
        <v>102.14</v>
      </c>
      <c r="FO9" vm="772">
        <f ca="1"/>
        <v>102.92</v>
      </c>
      <c r="FP9" vm="773">
        <f ca="1"/>
        <v>100.55</v>
      </c>
      <c r="FQ9" vm="774">
        <f ca="1"/>
        <v>101.09</v>
      </c>
      <c r="FR9" vm="775">
        <f ca="1"/>
        <v>101.3</v>
      </c>
      <c r="FS9" vm="776">
        <f ca="1"/>
        <v>101.58</v>
      </c>
      <c r="FT9" vm="777">
        <f ca="1"/>
        <v>101.41</v>
      </c>
      <c r="FU9" vm="778">
        <f ca="1"/>
        <v>102.85</v>
      </c>
      <c r="FV9" vm="779">
        <f ca="1"/>
        <v>102.88</v>
      </c>
      <c r="FW9" vm="780">
        <f ca="1"/>
        <v>100.81</v>
      </c>
      <c r="FX9" vm="781">
        <f ca="1"/>
        <v>100.34</v>
      </c>
      <c r="FY9" vm="782">
        <f ca="1"/>
        <v>99.64</v>
      </c>
      <c r="FZ9" vm="783">
        <f ca="1"/>
        <v>100.8</v>
      </c>
      <c r="GA9" vm="784">
        <f ca="1"/>
        <v>101.7</v>
      </c>
      <c r="GB9" vm="785">
        <f ca="1"/>
        <v>104.59</v>
      </c>
      <c r="GC9" vm="786">
        <f ca="1"/>
        <v>104</v>
      </c>
      <c r="GD9" vm="787">
        <f ca="1"/>
        <v>102.62</v>
      </c>
      <c r="GE9" vm="788">
        <f ca="1"/>
        <v>104.33</v>
      </c>
      <c r="GF9" vm="789">
        <f ca="1"/>
        <v>100.08</v>
      </c>
      <c r="GG9" vm="790">
        <f ca="1"/>
        <v>105.16</v>
      </c>
      <c r="GH9" vm="791">
        <f ca="1"/>
        <v>105.5</v>
      </c>
      <c r="GI9" vm="792">
        <f ca="1"/>
        <v>103.42</v>
      </c>
      <c r="GJ9" vm="748">
        <f ca="1"/>
        <v>103.41</v>
      </c>
      <c r="GK9" vm="793">
        <f ca="1"/>
        <v>104.45</v>
      </c>
      <c r="GL9" vm="794">
        <f ca="1"/>
        <v>104.69</v>
      </c>
      <c r="GM9" vm="795">
        <f ca="1"/>
        <v>104.89</v>
      </c>
      <c r="GN9" vm="796">
        <f ca="1"/>
        <v>103.22</v>
      </c>
      <c r="GO9" vm="797">
        <f ca="1"/>
        <v>101.91</v>
      </c>
      <c r="GP9" vm="798">
        <f ca="1"/>
        <v>102.28</v>
      </c>
      <c r="GQ9" vm="799">
        <f ca="1"/>
        <v>103.94</v>
      </c>
      <c r="GR9" vm="800">
        <f ca="1"/>
        <v>103.89</v>
      </c>
      <c r="GS9" vm="801">
        <f ca="1"/>
        <v>105.03</v>
      </c>
      <c r="GT9" vm="802">
        <f ca="1"/>
        <v>104.95</v>
      </c>
      <c r="GU9" vm="803">
        <f ca="1"/>
        <v>104.88</v>
      </c>
      <c r="GV9" vm="804">
        <f ca="1"/>
        <v>105.46</v>
      </c>
      <c r="GW9" vm="805">
        <f ca="1"/>
        <v>105.1</v>
      </c>
      <c r="GX9" vm="806">
        <f ca="1"/>
        <v>106.1</v>
      </c>
      <c r="GY9" vm="807">
        <f ca="1"/>
        <v>106.86</v>
      </c>
      <c r="GZ9" vm="808">
        <f ca="1"/>
        <v>104.68</v>
      </c>
      <c r="HA9" vm="809">
        <f ca="1"/>
        <v>106.29</v>
      </c>
      <c r="HB9" vm="810">
        <f ca="1"/>
        <v>105.76</v>
      </c>
      <c r="HC9" vm="811">
        <f ca="1"/>
        <v>107</v>
      </c>
      <c r="HD9" vm="812">
        <f ca="1"/>
        <v>108.5</v>
      </c>
      <c r="HE9" vm="813">
        <f ca="1"/>
        <v>109.71</v>
      </c>
      <c r="HF9" vm="814">
        <f ca="1"/>
        <v>110.13</v>
      </c>
      <c r="HG9" vm="815">
        <f ca="1"/>
        <v>108.81</v>
      </c>
      <c r="HH9" vm="816">
        <f ca="1"/>
        <v>108.91</v>
      </c>
      <c r="HI9" vm="817">
        <f ca="1"/>
        <v>107.17</v>
      </c>
      <c r="HJ9" vm="818">
        <f ca="1"/>
        <v>108.12</v>
      </c>
      <c r="HK9" vm="819">
        <f ca="1"/>
        <v>108.01</v>
      </c>
      <c r="HL9" vm="820">
        <f ca="1"/>
        <v>107.68</v>
      </c>
      <c r="HM9" vm="821">
        <f ca="1"/>
        <v>98.99</v>
      </c>
      <c r="HN9" vm="822">
        <f ca="1"/>
        <v>97.46</v>
      </c>
      <c r="HO9" vm="823">
        <f ca="1"/>
        <v>97.81</v>
      </c>
      <c r="HP9" vm="824">
        <f ca="1"/>
        <v>95.8</v>
      </c>
      <c r="HQ9" vm="825">
        <f ca="1"/>
        <v>96.82</v>
      </c>
      <c r="HR9" vm="826">
        <f ca="1"/>
        <v>97.18</v>
      </c>
      <c r="HS9" vm="827">
        <f ca="1"/>
        <v>95.77</v>
      </c>
      <c r="HT9" vm="828">
        <f ca="1"/>
        <v>94.81</v>
      </c>
      <c r="HU9" vm="829">
        <f ca="1"/>
        <v>93.78</v>
      </c>
      <c r="HV9" vm="830">
        <f ca="1"/>
        <v>93.18</v>
      </c>
      <c r="HW9" vm="831">
        <f ca="1"/>
        <v>93.88</v>
      </c>
      <c r="HX9" vm="832">
        <f ca="1"/>
        <v>95.9</v>
      </c>
      <c r="HY9" vm="833">
        <f ca="1"/>
        <v>96.61</v>
      </c>
      <c r="HZ9" vm="834">
        <f ca="1"/>
        <v>97.24</v>
      </c>
      <c r="IA9" vm="835">
        <f ca="1"/>
        <v>97.63</v>
      </c>
      <c r="IB9" vm="836">
        <f ca="1"/>
        <v>97.95</v>
      </c>
      <c r="IC9" vm="837">
        <f ca="1"/>
        <v>98.16</v>
      </c>
      <c r="ID9" vm="838">
        <f ca="1"/>
        <v>97.9</v>
      </c>
      <c r="IE9" vm="839">
        <f ca="1"/>
        <v>98.03</v>
      </c>
      <c r="IF9" vm="840">
        <f ca="1"/>
        <v>97.54</v>
      </c>
      <c r="IG9" vm="841">
        <f ca="1"/>
        <v>96.93</v>
      </c>
      <c r="IH9" vm="842">
        <f ca="1"/>
        <v>96.79</v>
      </c>
      <c r="II9" vm="739">
        <f ca="1"/>
        <v>99.12</v>
      </c>
      <c r="IJ9" vm="719">
        <f ca="1"/>
        <v>99.2</v>
      </c>
      <c r="IK9" vm="843">
        <f ca="1"/>
        <v>99.59</v>
      </c>
      <c r="IL9" vm="844">
        <f ca="1"/>
        <v>99.78</v>
      </c>
      <c r="IM9" vm="845">
        <f ca="1"/>
        <v>100.11</v>
      </c>
      <c r="IN9" vm="846">
        <f ca="1"/>
        <v>100.63</v>
      </c>
      <c r="IO9" vm="847">
        <f ca="1"/>
        <v>101.9</v>
      </c>
      <c r="IP9" vm="848">
        <f ca="1"/>
        <v>102.27</v>
      </c>
      <c r="IQ9" vm="767">
        <f ca="1"/>
        <v>101</v>
      </c>
      <c r="IR9" vm="849">
        <f ca="1"/>
        <v>102.51</v>
      </c>
      <c r="IS9" vm="850">
        <f ca="1"/>
        <v>103.2</v>
      </c>
      <c r="IT9" vm="851">
        <f ca="1"/>
        <v>99.97</v>
      </c>
      <c r="IU9" vm="852">
        <f ca="1"/>
        <v>102.65</v>
      </c>
      <c r="IV9" vm="853">
        <f ca="1"/>
        <v>103.32</v>
      </c>
      <c r="IW9" vm="854">
        <f ca="1"/>
        <v>101.76</v>
      </c>
      <c r="IX9" vm="776">
        <f ca="1"/>
        <v>101.58</v>
      </c>
      <c r="IY9" vm="855">
        <f ca="1"/>
        <v>102.12</v>
      </c>
      <c r="IZ9" vm="856">
        <f ca="1"/>
        <v>100.85</v>
      </c>
      <c r="JA9" vm="857">
        <f ca="1"/>
        <v>101.16</v>
      </c>
      <c r="JB9" vm="858">
        <f ca="1"/>
        <v>100.79</v>
      </c>
      <c r="JC9" vm="859">
        <f ca="1"/>
        <v>99.33</v>
      </c>
      <c r="JD9" vm="860">
        <f ca="1"/>
        <v>98.61</v>
      </c>
      <c r="JE9" vm="861">
        <f ca="1"/>
        <v>97.37</v>
      </c>
      <c r="JF9" vm="862">
        <f ca="1"/>
        <v>97.44</v>
      </c>
      <c r="JG9" vm="863">
        <f ca="1"/>
        <v>95.45</v>
      </c>
    </row>
    <row r="10" spans="1:267" ht="36.75" customHeight="1">
      <c r="A10" s="752"/>
      <c r="B10" s="753"/>
      <c r="C10" s="120" t="e" vm="8">
        <v>#VALUE!</v>
      </c>
      <c r="D10" s="121" t="str">
        <v>Aerospace &amp; Defense</v>
      </c>
      <c r="E10" s="122">
        <v>695</v>
      </c>
      <c r="F10" s="123">
        <v>1.905</v>
      </c>
      <c r="G10" s="123">
        <v>1323.9749999999999</v>
      </c>
      <c r="H10" s="123">
        <v>-55.600000000000051</v>
      </c>
      <c r="I10" s="124">
        <v>-4.0302267002518925E-2</v>
      </c>
      <c r="J10" s="123">
        <v>-1379.5750000000003</v>
      </c>
      <c r="K10" s="125"/>
      <c r="M10" cm="1" vm="864">
        <f t="array" aca="1" ref="M10:JG10" ca="1">TRANSPOSE(_xlfn.STOCKHISTORY(C10, TODAY()-365, TODAY(), 0, 0, 1))</f>
        <v>5.31</v>
      </c>
      <c r="N10" vm="865">
        <f ca="1"/>
        <v>5.15</v>
      </c>
      <c r="O10" vm="866">
        <f ca="1"/>
        <v>5.18</v>
      </c>
      <c r="P10" vm="867">
        <f ca="1"/>
        <v>5.21</v>
      </c>
      <c r="Q10" vm="868">
        <f ca="1"/>
        <v>5.12</v>
      </c>
      <c r="R10" vm="869">
        <f ca="1"/>
        <v>5.25</v>
      </c>
      <c r="S10" vm="870">
        <f ca="1"/>
        <v>5.45</v>
      </c>
      <c r="T10" vm="869">
        <f ca="1"/>
        <v>5.25</v>
      </c>
      <c r="U10" vm="864">
        <f ca="1"/>
        <v>5.31</v>
      </c>
      <c r="V10" vm="866">
        <f ca="1"/>
        <v>5.18</v>
      </c>
      <c r="W10" vm="871">
        <f ca="1"/>
        <v>5.13</v>
      </c>
      <c r="X10" vm="872">
        <f ca="1"/>
        <v>5.29</v>
      </c>
      <c r="Y10" vm="873">
        <f ca="1"/>
        <v>5.17</v>
      </c>
      <c r="Z10" vm="874">
        <f ca="1"/>
        <v>5.2</v>
      </c>
      <c r="AA10" vm="875">
        <f ca="1"/>
        <v>5.14</v>
      </c>
      <c r="AB10" vm="871">
        <f ca="1"/>
        <v>5.13</v>
      </c>
      <c r="AC10" vm="876">
        <f ca="1"/>
        <v>5.08</v>
      </c>
      <c r="AD10" vm="877">
        <f ca="1"/>
        <v>4.93</v>
      </c>
      <c r="AE10" vm="878">
        <f ca="1"/>
        <v>4.97</v>
      </c>
      <c r="AF10" vm="879">
        <f ca="1"/>
        <v>5.05</v>
      </c>
      <c r="AG10" vm="877">
        <f ca="1"/>
        <v>4.93</v>
      </c>
      <c r="AH10" vm="880">
        <f ca="1"/>
        <v>4.79</v>
      </c>
      <c r="AI10" vm="881">
        <f ca="1"/>
        <v>4.8600000000000003</v>
      </c>
      <c r="AJ10" vm="882">
        <f ca="1"/>
        <v>4.46</v>
      </c>
      <c r="AK10" vm="872">
        <f ca="1"/>
        <v>5.29</v>
      </c>
      <c r="AL10" vm="883">
        <f ca="1"/>
        <v>5.01</v>
      </c>
      <c r="AM10" vm="884">
        <f ca="1"/>
        <v>5.24</v>
      </c>
      <c r="AN10" vm="875">
        <f ca="1"/>
        <v>5.14</v>
      </c>
      <c r="AO10" vm="885">
        <f ca="1"/>
        <v>5.19</v>
      </c>
      <c r="AP10" vm="879">
        <f ca="1"/>
        <v>5.05</v>
      </c>
      <c r="AQ10" vm="886">
        <f ca="1"/>
        <v>5</v>
      </c>
      <c r="AR10" vm="887">
        <f ca="1"/>
        <v>5.33</v>
      </c>
      <c r="AS10" vm="888">
        <f ca="1"/>
        <v>5.23</v>
      </c>
      <c r="AT10" vm="889">
        <f ca="1"/>
        <v>5.42</v>
      </c>
      <c r="AU10" vm="890">
        <f ca="1"/>
        <v>5.37</v>
      </c>
      <c r="AV10" vm="891">
        <f ca="1"/>
        <v>5.64</v>
      </c>
      <c r="AW10" vm="892">
        <f ca="1"/>
        <v>5.52</v>
      </c>
      <c r="AX10" vm="893">
        <f ca="1"/>
        <v>5.46</v>
      </c>
      <c r="AY10" vm="887">
        <f ca="1"/>
        <v>5.33</v>
      </c>
      <c r="AZ10" vm="894">
        <f ca="1"/>
        <v>5.3</v>
      </c>
      <c r="BA10" vm="895">
        <f ca="1"/>
        <v>5.22</v>
      </c>
      <c r="BB10" vm="873">
        <f ca="1"/>
        <v>5.17</v>
      </c>
      <c r="BC10" vm="895">
        <f ca="1"/>
        <v>5.22</v>
      </c>
      <c r="BD10" vm="896">
        <f ca="1"/>
        <v>5.26</v>
      </c>
      <c r="BE10" vm="875">
        <f ca="1"/>
        <v>5.14</v>
      </c>
      <c r="BF10" vm="897">
        <f ca="1"/>
        <v>5.0999999999999996</v>
      </c>
      <c r="BG10" vm="874">
        <f ca="1"/>
        <v>5.2</v>
      </c>
      <c r="BH10" vm="871">
        <f ca="1"/>
        <v>5.13</v>
      </c>
      <c r="BI10" vm="865">
        <f ca="1"/>
        <v>5.15</v>
      </c>
      <c r="BJ10" vm="898">
        <f ca="1"/>
        <v>5.27</v>
      </c>
      <c r="BK10" vm="899">
        <f ca="1"/>
        <v>5.38</v>
      </c>
      <c r="BL10" vm="890">
        <f ca="1"/>
        <v>5.37</v>
      </c>
      <c r="BM10" vm="888">
        <f ca="1"/>
        <v>5.23</v>
      </c>
      <c r="BN10" vm="900">
        <f ca="1"/>
        <v>5.35</v>
      </c>
      <c r="BO10" vm="890">
        <f ca="1"/>
        <v>5.37</v>
      </c>
      <c r="BP10" vm="887">
        <f ca="1"/>
        <v>5.33</v>
      </c>
      <c r="BQ10" vm="901">
        <f ca="1"/>
        <v>5.41</v>
      </c>
      <c r="BR10" vm="896">
        <f ca="1"/>
        <v>5.26</v>
      </c>
      <c r="BS10" vm="869">
        <f ca="1"/>
        <v>5.25</v>
      </c>
      <c r="BT10" vm="888">
        <f ca="1"/>
        <v>5.23</v>
      </c>
      <c r="BU10" vm="866">
        <f ca="1"/>
        <v>5.18</v>
      </c>
      <c r="BV10" vm="875">
        <f ca="1"/>
        <v>5.14</v>
      </c>
      <c r="BW10" vm="902">
        <f ca="1"/>
        <v>5.1100000000000003</v>
      </c>
      <c r="BX10" vm="875">
        <f ca="1"/>
        <v>5.14</v>
      </c>
      <c r="BY10" vm="902">
        <f ca="1"/>
        <v>5.1100000000000003</v>
      </c>
      <c r="BZ10" vm="903">
        <f ca="1"/>
        <v>5.0599999999999996</v>
      </c>
      <c r="CA10" vm="904">
        <f ca="1"/>
        <v>4.62</v>
      </c>
      <c r="CB10" vm="905">
        <f ca="1"/>
        <v>4.45</v>
      </c>
      <c r="CC10" vm="906">
        <f ca="1"/>
        <v>4.29</v>
      </c>
      <c r="CD10" vm="907">
        <f ca="1"/>
        <v>4.13</v>
      </c>
      <c r="CE10" vm="908">
        <f ca="1"/>
        <v>4.37</v>
      </c>
      <c r="CF10" vm="909">
        <f ca="1"/>
        <v>4.24</v>
      </c>
      <c r="CG10" vm="910">
        <f ca="1"/>
        <v>4.1500000000000004</v>
      </c>
      <c r="CH10" vm="911">
        <f ca="1"/>
        <v>3.99</v>
      </c>
      <c r="CI10" vm="912">
        <f ca="1"/>
        <v>4.4000000000000004</v>
      </c>
      <c r="CJ10" vm="913">
        <f ca="1"/>
        <v>4.04</v>
      </c>
      <c r="CK10" vm="914">
        <f ca="1"/>
        <v>3.85</v>
      </c>
      <c r="CL10" vm="915">
        <f ca="1"/>
        <v>3.71</v>
      </c>
      <c r="CM10" vm="916">
        <f ca="1"/>
        <v>3.76</v>
      </c>
      <c r="CN10" vm="917">
        <f ca="1"/>
        <v>3.82</v>
      </c>
      <c r="CO10" vm="917">
        <f ca="1"/>
        <v>3.82</v>
      </c>
      <c r="CP10" vm="918">
        <f ca="1"/>
        <v>3.95</v>
      </c>
      <c r="CQ10" vm="919">
        <f ca="1"/>
        <v>3.91</v>
      </c>
      <c r="CR10" vm="919">
        <f ca="1"/>
        <v>3.91</v>
      </c>
      <c r="CS10" vm="920">
        <f ca="1"/>
        <v>3.93</v>
      </c>
      <c r="CT10" vm="921">
        <f ca="1"/>
        <v>4.1900000000000004</v>
      </c>
      <c r="CU10" vm="914">
        <f ca="1"/>
        <v>3.85</v>
      </c>
      <c r="CV10" vm="922">
        <f ca="1"/>
        <v>4.0999999999999996</v>
      </c>
      <c r="CW10" vm="923">
        <f ca="1"/>
        <v>4.01</v>
      </c>
      <c r="CX10" vm="924">
        <f ca="1"/>
        <v>4.3099999999999996</v>
      </c>
      <c r="CY10" vm="925">
        <f ca="1"/>
        <v>4.25</v>
      </c>
      <c r="CZ10" vm="926">
        <f ca="1"/>
        <v>4.3899999999999997</v>
      </c>
      <c r="DA10" vm="927">
        <f ca="1"/>
        <v>4.38</v>
      </c>
      <c r="DB10" vm="912">
        <f ca="1"/>
        <v>4.4000000000000004</v>
      </c>
      <c r="DC10" vm="928">
        <f ca="1"/>
        <v>4.3499999999999996</v>
      </c>
      <c r="DD10" vm="908">
        <f ca="1"/>
        <v>4.37</v>
      </c>
      <c r="DE10" vm="929">
        <f ca="1"/>
        <v>4.5199999999999996</v>
      </c>
      <c r="DF10" vm="882">
        <f ca="1"/>
        <v>4.46</v>
      </c>
      <c r="DG10" vm="930">
        <f ca="1"/>
        <v>4.54</v>
      </c>
      <c r="DH10" vm="931">
        <f ca="1"/>
        <v>4.47</v>
      </c>
      <c r="DI10" vm="932">
        <f ca="1"/>
        <v>4.59</v>
      </c>
      <c r="DJ10" vm="904">
        <f ca="1"/>
        <v>4.62</v>
      </c>
      <c r="DK10" vm="933">
        <f ca="1"/>
        <v>4.6500000000000004</v>
      </c>
      <c r="DL10" vm="932">
        <f ca="1"/>
        <v>4.59</v>
      </c>
      <c r="DM10" vm="934">
        <f ca="1"/>
        <v>4.67</v>
      </c>
      <c r="DN10" vm="935">
        <f ca="1"/>
        <v>4.51</v>
      </c>
      <c r="DO10" vm="936">
        <f ca="1"/>
        <v>4.41</v>
      </c>
      <c r="DP10" vm="928">
        <f ca="1"/>
        <v>4.3499999999999996</v>
      </c>
      <c r="DQ10" vm="924">
        <f ca="1"/>
        <v>4.3099999999999996</v>
      </c>
      <c r="DR10" vm="937">
        <f ca="1"/>
        <v>4.4400000000000004</v>
      </c>
      <c r="DS10" vm="936">
        <f ca="1"/>
        <v>4.41</v>
      </c>
      <c r="DT10" vm="928">
        <f ca="1"/>
        <v>4.3499999999999996</v>
      </c>
      <c r="DU10" vm="927">
        <f ca="1"/>
        <v>4.38</v>
      </c>
      <c r="DV10" vm="924">
        <f ca="1"/>
        <v>4.3099999999999996</v>
      </c>
      <c r="DW10" vm="925">
        <f ca="1"/>
        <v>4.25</v>
      </c>
      <c r="DX10" vm="938">
        <f ca="1"/>
        <v>4.26</v>
      </c>
      <c r="DY10" vm="939">
        <f ca="1"/>
        <v>4.22</v>
      </c>
      <c r="DZ10" vm="940">
        <f ca="1"/>
        <v>4.17</v>
      </c>
      <c r="EA10" vm="941">
        <f ca="1"/>
        <v>4.08</v>
      </c>
      <c r="EB10" vm="942">
        <f ca="1"/>
        <v>4.05</v>
      </c>
      <c r="EC10" vm="922">
        <f ca="1"/>
        <v>4.0999999999999996</v>
      </c>
      <c r="ED10" vm="941">
        <f ca="1"/>
        <v>4.08</v>
      </c>
      <c r="EE10" vm="943">
        <f ca="1"/>
        <v>4.03</v>
      </c>
      <c r="EF10" vm="944">
        <f ca="1"/>
        <v>4.09</v>
      </c>
      <c r="EG10" vm="945">
        <f ca="1"/>
        <v>4.16</v>
      </c>
      <c r="EH10" vm="946">
        <f ca="1"/>
        <v>4.4800000000000004</v>
      </c>
      <c r="EI10" vm="927">
        <f ca="1"/>
        <v>4.38</v>
      </c>
      <c r="EJ10" vm="947">
        <f ca="1"/>
        <v>4.0599999999999996</v>
      </c>
      <c r="EK10" vm="942">
        <f ca="1"/>
        <v>4.05</v>
      </c>
      <c r="EL10" vm="910">
        <f ca="1"/>
        <v>4.1500000000000004</v>
      </c>
      <c r="EM10" vm="948">
        <f ca="1"/>
        <v>4.12</v>
      </c>
      <c r="EN10" vm="910">
        <f ca="1"/>
        <v>4.1500000000000004</v>
      </c>
      <c r="EO10" vm="949">
        <f ca="1"/>
        <v>4.3</v>
      </c>
      <c r="EP10" vm="950">
        <f ca="1"/>
        <v>4.32</v>
      </c>
      <c r="EQ10" vm="925">
        <f ca="1"/>
        <v>4.25</v>
      </c>
      <c r="ER10" vm="951">
        <f ca="1"/>
        <v>4.18</v>
      </c>
      <c r="ES10" vm="952">
        <f ca="1"/>
        <v>4.2</v>
      </c>
      <c r="ET10" vm="910">
        <f ca="1"/>
        <v>4.1500000000000004</v>
      </c>
      <c r="EU10" vm="952">
        <f ca="1"/>
        <v>4.2</v>
      </c>
      <c r="EV10" vm="948">
        <f ca="1"/>
        <v>4.12</v>
      </c>
      <c r="EW10" vm="953">
        <f ca="1"/>
        <v>4.1399999999999997</v>
      </c>
      <c r="EX10" vm="948">
        <f ca="1"/>
        <v>4.12</v>
      </c>
      <c r="EY10" vm="943">
        <f ca="1"/>
        <v>4.03</v>
      </c>
      <c r="EZ10" vm="943">
        <f ca="1"/>
        <v>4.03</v>
      </c>
      <c r="FA10" vm="919">
        <f ca="1"/>
        <v>3.91</v>
      </c>
      <c r="FB10" vm="919">
        <f ca="1"/>
        <v>3.91</v>
      </c>
      <c r="FC10" vm="954">
        <f ca="1"/>
        <v>3.96</v>
      </c>
      <c r="FD10" vm="948">
        <f ca="1"/>
        <v>4.12</v>
      </c>
      <c r="FE10" vm="910">
        <f ca="1"/>
        <v>4.1500000000000004</v>
      </c>
      <c r="FF10" vm="948">
        <f ca="1"/>
        <v>4.12</v>
      </c>
      <c r="FG10" vm="941">
        <f ca="1"/>
        <v>4.08</v>
      </c>
      <c r="FH10" vm="955">
        <f ca="1"/>
        <v>3.9</v>
      </c>
      <c r="FI10" vm="956">
        <f ca="1"/>
        <v>3.52</v>
      </c>
      <c r="FJ10" vm="957">
        <f ca="1"/>
        <v>3.65</v>
      </c>
      <c r="FK10" vm="958">
        <f ca="1"/>
        <v>3.74</v>
      </c>
      <c r="FL10" vm="958">
        <f ca="1"/>
        <v>3.74</v>
      </c>
      <c r="FM10" vm="959">
        <f ca="1"/>
        <v>3.8</v>
      </c>
      <c r="FN10" vm="959">
        <f ca="1"/>
        <v>3.8</v>
      </c>
      <c r="FO10" vm="960">
        <f ca="1"/>
        <v>3.81</v>
      </c>
      <c r="FP10" vm="961">
        <f ca="1"/>
        <v>3.6</v>
      </c>
      <c r="FQ10" vm="962">
        <f ca="1"/>
        <v>3.72</v>
      </c>
      <c r="FR10" vm="958">
        <f ca="1"/>
        <v>3.74</v>
      </c>
      <c r="FS10" vm="963">
        <f ca="1"/>
        <v>3.75</v>
      </c>
      <c r="FT10" vm="964">
        <f ca="1"/>
        <v>3.64</v>
      </c>
      <c r="FU10" vm="965">
        <f ca="1"/>
        <v>3.62</v>
      </c>
      <c r="FV10" vm="966">
        <f ca="1"/>
        <v>3.54</v>
      </c>
      <c r="FW10" vm="967">
        <f ca="1"/>
        <v>3.4</v>
      </c>
      <c r="FX10" vm="968">
        <f ca="1"/>
        <v>3.39</v>
      </c>
      <c r="FY10" vm="969">
        <f ca="1"/>
        <v>3.45</v>
      </c>
      <c r="FZ10" vm="970">
        <f ca="1"/>
        <v>3.61</v>
      </c>
      <c r="GA10" vm="971">
        <f ca="1"/>
        <v>3.68</v>
      </c>
      <c r="GB10" vm="972">
        <f ca="1"/>
        <v>3.73</v>
      </c>
      <c r="GC10" vm="973">
        <f ca="1"/>
        <v>3.67</v>
      </c>
      <c r="GD10" vm="956">
        <f ca="1"/>
        <v>3.52</v>
      </c>
      <c r="GE10" vm="974">
        <f ca="1"/>
        <v>3.43</v>
      </c>
      <c r="GF10" vm="969">
        <f ca="1"/>
        <v>3.45</v>
      </c>
      <c r="GG10" vm="975">
        <f ca="1"/>
        <v>3.56</v>
      </c>
      <c r="GH10" vm="969">
        <f ca="1"/>
        <v>3.45</v>
      </c>
      <c r="GI10" vm="976">
        <f ca="1"/>
        <v>3.31</v>
      </c>
      <c r="GJ10" vm="977">
        <f ca="1"/>
        <v>3.3</v>
      </c>
      <c r="GK10" vm="978">
        <f ca="1"/>
        <v>3.46</v>
      </c>
      <c r="GL10" vm="975">
        <f ca="1"/>
        <v>3.56</v>
      </c>
      <c r="GM10" vm="979">
        <f ca="1"/>
        <v>3.42</v>
      </c>
      <c r="GN10" vm="980">
        <f ca="1"/>
        <v>3.63</v>
      </c>
      <c r="GO10" vm="981">
        <f ca="1"/>
        <v>3.55</v>
      </c>
      <c r="GP10" vm="982">
        <f ca="1"/>
        <v>3.69</v>
      </c>
      <c r="GQ10" vm="970">
        <f ca="1"/>
        <v>3.61</v>
      </c>
      <c r="GR10" vm="975">
        <f ca="1"/>
        <v>3.56</v>
      </c>
      <c r="GS10" vm="964">
        <f ca="1"/>
        <v>3.64</v>
      </c>
      <c r="GT10" vm="980">
        <f ca="1"/>
        <v>3.63</v>
      </c>
      <c r="GU10" vm="970">
        <f ca="1"/>
        <v>3.61</v>
      </c>
      <c r="GV10" t="e" vm="567">
        <f ca="1"/>
        <v>#N/A</v>
      </c>
      <c r="GW10" t="e" vm="567">
        <f ca="1"/>
        <v>#N/A</v>
      </c>
      <c r="GX10" vm="983">
        <f ca="1"/>
        <v>3.41</v>
      </c>
      <c r="GY10" vm="984">
        <f ca="1"/>
        <v>3.34</v>
      </c>
      <c r="GZ10" vm="985">
        <f ca="1"/>
        <v>3.19</v>
      </c>
      <c r="HA10" vm="986">
        <f ca="1"/>
        <v>3.06</v>
      </c>
      <c r="HB10" vm="987">
        <f ca="1"/>
        <v>3.08</v>
      </c>
      <c r="HC10" vm="988">
        <f ca="1"/>
        <v>3.05</v>
      </c>
      <c r="HD10" vm="989">
        <f ca="1"/>
        <v>3.03</v>
      </c>
      <c r="HE10" vm="990">
        <f ca="1"/>
        <v>2.92</v>
      </c>
      <c r="HF10" vm="991">
        <f ca="1"/>
        <v>2.83</v>
      </c>
      <c r="HG10" vm="992">
        <f ca="1"/>
        <v>2.93</v>
      </c>
      <c r="HH10" vm="993">
        <f ca="1"/>
        <v>2.86</v>
      </c>
      <c r="HI10" vm="994">
        <f ca="1"/>
        <v>2.81</v>
      </c>
      <c r="HJ10" vm="995">
        <f ca="1"/>
        <v>2.75</v>
      </c>
      <c r="HK10" vm="996">
        <f ca="1"/>
        <v>2.82</v>
      </c>
      <c r="HL10" vm="997">
        <f ca="1"/>
        <v>2.8</v>
      </c>
      <c r="HM10" vm="998">
        <f ca="1"/>
        <v>2.77</v>
      </c>
      <c r="HN10" vm="993">
        <f ca="1"/>
        <v>2.86</v>
      </c>
      <c r="HO10" vm="999">
        <f ca="1"/>
        <v>2.76</v>
      </c>
      <c r="HP10" vm="995">
        <f ca="1"/>
        <v>2.75</v>
      </c>
      <c r="HQ10" vm="1000">
        <f ca="1"/>
        <v>2.78</v>
      </c>
      <c r="HR10" vm="998">
        <f ca="1"/>
        <v>2.77</v>
      </c>
      <c r="HS10" vm="1001">
        <f ca="1"/>
        <v>2.72</v>
      </c>
      <c r="HT10" vm="1002">
        <f ca="1"/>
        <v>2.5099999999999998</v>
      </c>
      <c r="HU10" vm="1003">
        <f ca="1"/>
        <v>2.57</v>
      </c>
      <c r="HV10" vm="1004">
        <f ca="1"/>
        <v>2.4700000000000002</v>
      </c>
      <c r="HW10" vm="1004">
        <f ca="1"/>
        <v>2.4700000000000002</v>
      </c>
      <c r="HX10" vm="1005">
        <f ca="1"/>
        <v>2.38</v>
      </c>
      <c r="HY10" vm="1006">
        <f ca="1"/>
        <v>2.42</v>
      </c>
      <c r="HZ10" vm="1007">
        <f ca="1"/>
        <v>2.31</v>
      </c>
      <c r="IA10" vm="1004">
        <f ca="1"/>
        <v>2.4700000000000002</v>
      </c>
      <c r="IB10" vm="1002">
        <f ca="1"/>
        <v>2.5099999999999998</v>
      </c>
      <c r="IC10" vm="1008">
        <f ca="1"/>
        <v>2.5</v>
      </c>
      <c r="ID10" vm="1001">
        <f ca="1"/>
        <v>2.72</v>
      </c>
      <c r="IE10" vm="1009">
        <f ca="1"/>
        <v>2.5499999999999998</v>
      </c>
      <c r="IF10" vm="1010">
        <f ca="1"/>
        <v>2.4500000000000002</v>
      </c>
      <c r="IG10" vm="1011">
        <f ca="1"/>
        <v>2.3199999999999998</v>
      </c>
      <c r="IH10" vm="1012">
        <f ca="1"/>
        <v>2.2599999999999998</v>
      </c>
      <c r="II10" vm="1013">
        <f ca="1"/>
        <v>2.2799999999999998</v>
      </c>
      <c r="IJ10" vm="1013">
        <f ca="1"/>
        <v>2.2799999999999998</v>
      </c>
      <c r="IK10" vm="1014">
        <f ca="1"/>
        <v>2.33</v>
      </c>
      <c r="IL10" vm="1015">
        <f ca="1"/>
        <v>2.35</v>
      </c>
      <c r="IM10" vm="1011">
        <f ca="1"/>
        <v>2.3199999999999998</v>
      </c>
      <c r="IN10" vm="1016">
        <f ca="1"/>
        <v>2.37</v>
      </c>
      <c r="IO10" vm="1016">
        <f ca="1"/>
        <v>2.37</v>
      </c>
      <c r="IP10" vm="1014">
        <f ca="1"/>
        <v>2.33</v>
      </c>
      <c r="IQ10" vm="1017">
        <f ca="1"/>
        <v>2.34</v>
      </c>
      <c r="IR10" vm="1005">
        <f ca="1"/>
        <v>2.38</v>
      </c>
      <c r="IS10" vm="558">
        <f ca="1"/>
        <v>2.27</v>
      </c>
      <c r="IT10" vm="558">
        <f ca="1"/>
        <v>2.27</v>
      </c>
      <c r="IU10" vm="1018">
        <f ca="1"/>
        <v>2.2400000000000002</v>
      </c>
      <c r="IV10" vm="560">
        <f ca="1"/>
        <v>2.2000000000000002</v>
      </c>
      <c r="IW10" vm="1011">
        <f ca="1"/>
        <v>2.3199999999999998</v>
      </c>
      <c r="IX10" vm="1014">
        <f ca="1"/>
        <v>2.33</v>
      </c>
      <c r="IY10" vm="565">
        <f ca="1"/>
        <v>2.2200000000000002</v>
      </c>
      <c r="IZ10" vm="546">
        <f ca="1"/>
        <v>2.1800000000000002</v>
      </c>
      <c r="JA10" vm="564">
        <f ca="1"/>
        <v>2.19</v>
      </c>
      <c r="JB10" vm="560">
        <f ca="1"/>
        <v>2.2000000000000002</v>
      </c>
      <c r="JC10" vm="1019">
        <f ca="1"/>
        <v>2.16</v>
      </c>
      <c r="JD10" vm="1019">
        <f ca="1"/>
        <v>2.16</v>
      </c>
      <c r="JE10" vm="544">
        <f ca="1"/>
        <v>2.08</v>
      </c>
      <c r="JF10" vm="568">
        <f ca="1"/>
        <v>1.9850000000000001</v>
      </c>
      <c r="JG10" vm="584">
        <f ca="1"/>
        <v>1.905</v>
      </c>
    </row>
    <row r="11" spans="1:267" ht="35.25" customHeight="1">
      <c r="A11" s="752"/>
      <c r="B11" s="753"/>
      <c r="C11" s="120" t="e" vm="2">
        <v>#VALUE!</v>
      </c>
      <c r="D11" s="121" t="str">
        <v>Banking Services</v>
      </c>
      <c r="E11" s="122">
        <v>35</v>
      </c>
      <c r="F11" s="123">
        <v>27.35</v>
      </c>
      <c r="G11" s="123">
        <v>957.25</v>
      </c>
      <c r="H11" s="123">
        <v>-28.70000000000001</v>
      </c>
      <c r="I11" s="124">
        <v>-2.9108981185658512E-2</v>
      </c>
      <c r="J11" s="123">
        <v>-4.8999999999999773</v>
      </c>
      <c r="K11" s="125"/>
      <c r="M11" cm="1" vm="1020">
        <f t="array" aca="1" ref="M11:JG11" ca="1">TRANSPOSE(_xlfn.STOCKHISTORY(C11, TODAY()-365, TODAY(), 0, 0, 1))</f>
        <v>24.13</v>
      </c>
      <c r="N11" vm="1021">
        <f ca="1"/>
        <v>24.22</v>
      </c>
      <c r="O11" vm="1022">
        <f ca="1"/>
        <v>23.92</v>
      </c>
      <c r="P11" vm="1023">
        <f ca="1"/>
        <v>23.54</v>
      </c>
      <c r="Q11" vm="1024">
        <f ca="1"/>
        <v>23.81</v>
      </c>
      <c r="R11" vm="1025">
        <f ca="1"/>
        <v>24.24</v>
      </c>
      <c r="S11" vm="1026">
        <f ca="1"/>
        <v>24.71</v>
      </c>
      <c r="T11" vm="1027">
        <f ca="1"/>
        <v>24.7</v>
      </c>
      <c r="U11" vm="1028">
        <f ca="1"/>
        <v>25.23</v>
      </c>
      <c r="V11" vm="1029">
        <f ca="1"/>
        <v>25.46</v>
      </c>
      <c r="W11" vm="1030">
        <f ca="1"/>
        <v>25.03</v>
      </c>
      <c r="X11" vm="1031">
        <f ca="1"/>
        <v>24.98</v>
      </c>
      <c r="Y11" vm="1032">
        <f ca="1"/>
        <v>25.05</v>
      </c>
      <c r="Z11" vm="1033">
        <f ca="1"/>
        <v>24.93</v>
      </c>
      <c r="AA11" vm="1034">
        <f ca="1"/>
        <v>25.29</v>
      </c>
      <c r="AB11" vm="1035">
        <f ca="1"/>
        <v>25.56</v>
      </c>
      <c r="AC11" vm="1036">
        <f ca="1"/>
        <v>25.6</v>
      </c>
      <c r="AD11" vm="1037">
        <f ca="1"/>
        <v>25.53</v>
      </c>
      <c r="AE11" vm="1038">
        <f ca="1"/>
        <v>25.11</v>
      </c>
      <c r="AF11" vm="1039">
        <f ca="1"/>
        <v>24.57</v>
      </c>
      <c r="AG11" vm="1040">
        <f ca="1"/>
        <v>24.85</v>
      </c>
      <c r="AH11" vm="1041">
        <f ca="1"/>
        <v>24.9</v>
      </c>
      <c r="AI11" vm="1042">
        <f ca="1"/>
        <v>25.15</v>
      </c>
      <c r="AJ11" vm="1043">
        <f ca="1"/>
        <v>24.64</v>
      </c>
      <c r="AK11" vm="1044">
        <f ca="1"/>
        <v>25.14</v>
      </c>
      <c r="AL11" vm="1045">
        <f ca="1"/>
        <v>25.26</v>
      </c>
      <c r="AM11" vm="1046">
        <f ca="1"/>
        <v>25.7</v>
      </c>
      <c r="AN11" vm="1047">
        <f ca="1"/>
        <v>26.31</v>
      </c>
      <c r="AO11" vm="1048">
        <f ca="1"/>
        <v>26.39</v>
      </c>
      <c r="AP11" vm="1049">
        <f ca="1"/>
        <v>26.43</v>
      </c>
      <c r="AQ11" vm="1050">
        <f ca="1"/>
        <v>26.65</v>
      </c>
      <c r="AR11" vm="1051">
        <f ca="1"/>
        <v>26.24</v>
      </c>
      <c r="AS11" vm="1052">
        <f ca="1"/>
        <v>26.12</v>
      </c>
      <c r="AT11" vm="1053">
        <f ca="1"/>
        <v>26.1</v>
      </c>
      <c r="AU11" vm="1054">
        <f ca="1"/>
        <v>26.14</v>
      </c>
      <c r="AV11" vm="1055">
        <f ca="1"/>
        <v>26.25</v>
      </c>
      <c r="AW11" vm="1051">
        <f ca="1"/>
        <v>26.24</v>
      </c>
      <c r="AX11" vm="1056">
        <f ca="1"/>
        <v>26.01</v>
      </c>
      <c r="AY11" vm="1057">
        <f ca="1"/>
        <v>25.93</v>
      </c>
      <c r="AZ11" vm="1052">
        <f ca="1"/>
        <v>26.12</v>
      </c>
      <c r="BA11" vm="1058">
        <f ca="1"/>
        <v>25.94</v>
      </c>
      <c r="BB11" vm="1059">
        <f ca="1"/>
        <v>25.84</v>
      </c>
      <c r="BC11" vm="1060">
        <f ca="1"/>
        <v>25.97</v>
      </c>
      <c r="BD11" vm="1061">
        <f ca="1"/>
        <v>26.17</v>
      </c>
      <c r="BE11" vm="1062">
        <f ca="1"/>
        <v>26.13</v>
      </c>
      <c r="BF11" vm="1063">
        <f ca="1"/>
        <v>25.91</v>
      </c>
      <c r="BG11" vm="1064">
        <f ca="1"/>
        <v>26</v>
      </c>
      <c r="BH11" vm="1053">
        <f ca="1"/>
        <v>26.1</v>
      </c>
      <c r="BI11" vm="1065">
        <f ca="1"/>
        <v>26.23</v>
      </c>
      <c r="BJ11" vm="1066">
        <f ca="1"/>
        <v>26.34</v>
      </c>
      <c r="BK11" vm="1067">
        <f ca="1"/>
        <v>26.63</v>
      </c>
      <c r="BL11" vm="1068">
        <f ca="1"/>
        <v>26.72</v>
      </c>
      <c r="BM11" vm="1069">
        <f ca="1"/>
        <v>26.83</v>
      </c>
      <c r="BN11" vm="1070">
        <f ca="1"/>
        <v>26.79</v>
      </c>
      <c r="BO11" vm="1068">
        <f ca="1"/>
        <v>26.72</v>
      </c>
      <c r="BP11" vm="1071">
        <f ca="1"/>
        <v>26.84</v>
      </c>
      <c r="BQ11" vm="1068">
        <f ca="1"/>
        <v>26.72</v>
      </c>
      <c r="BR11" vm="1072">
        <f ca="1"/>
        <v>26.68</v>
      </c>
      <c r="BS11" vm="1073">
        <f ca="1"/>
        <v>26.5</v>
      </c>
      <c r="BT11" vm="1074">
        <f ca="1"/>
        <v>26.21</v>
      </c>
      <c r="BU11" vm="1048">
        <f ca="1"/>
        <v>26.39</v>
      </c>
      <c r="BV11" vm="1075">
        <f ca="1"/>
        <v>26.46</v>
      </c>
      <c r="BW11" vm="1076">
        <f ca="1"/>
        <v>26.66</v>
      </c>
      <c r="BX11" vm="1077">
        <f ca="1"/>
        <v>26.61</v>
      </c>
      <c r="BY11" vm="1078">
        <f ca="1"/>
        <v>26.91</v>
      </c>
      <c r="BZ11" vm="1079">
        <f ca="1"/>
        <v>26.77</v>
      </c>
      <c r="CA11" vm="1076">
        <f ca="1"/>
        <v>26.66</v>
      </c>
      <c r="CB11" vm="1080">
        <f ca="1"/>
        <v>27.23</v>
      </c>
      <c r="CC11" vm="1081">
        <f ca="1"/>
        <v>27.25</v>
      </c>
      <c r="CD11" vm="1082">
        <f ca="1"/>
        <v>27.37</v>
      </c>
      <c r="CE11" vm="1083">
        <f ca="1"/>
        <v>26.56</v>
      </c>
      <c r="CF11" vm="1084">
        <f ca="1"/>
        <v>26.78</v>
      </c>
      <c r="CG11" vm="1085">
        <f ca="1"/>
        <v>27.09</v>
      </c>
      <c r="CH11" vm="1086">
        <f ca="1"/>
        <v>26.81</v>
      </c>
      <c r="CI11" vm="1087">
        <f ca="1"/>
        <v>26.54</v>
      </c>
      <c r="CJ11" vm="1088">
        <f ca="1"/>
        <v>25.96</v>
      </c>
      <c r="CK11" vm="1089">
        <f ca="1"/>
        <v>26.22</v>
      </c>
      <c r="CL11" vm="1090">
        <f ca="1"/>
        <v>26.05</v>
      </c>
      <c r="CM11" vm="1091">
        <f ca="1"/>
        <v>26.37</v>
      </c>
      <c r="CN11" vm="1092">
        <f ca="1"/>
        <v>26.02</v>
      </c>
      <c r="CO11" vm="1093">
        <f ca="1"/>
        <v>26.44</v>
      </c>
      <c r="CP11" vm="1094">
        <f ca="1"/>
        <v>26.47</v>
      </c>
      <c r="CQ11" vm="1050">
        <f ca="1"/>
        <v>26.65</v>
      </c>
      <c r="CR11" vm="1095">
        <f ca="1"/>
        <v>26.88</v>
      </c>
      <c r="CS11" vm="1096">
        <f ca="1"/>
        <v>26.82</v>
      </c>
      <c r="CT11" vm="1097">
        <f ca="1"/>
        <v>26.71</v>
      </c>
      <c r="CU11" vm="1085">
        <f ca="1"/>
        <v>27.09</v>
      </c>
      <c r="CV11" vm="1098">
        <f ca="1"/>
        <v>26.95</v>
      </c>
      <c r="CW11" vm="1099">
        <f ca="1"/>
        <v>26.73</v>
      </c>
      <c r="CX11" vm="1095">
        <f ca="1"/>
        <v>26.88</v>
      </c>
      <c r="CY11" vm="1100">
        <f ca="1"/>
        <v>27.12</v>
      </c>
      <c r="CZ11" vm="1101">
        <f ca="1"/>
        <v>27.51</v>
      </c>
      <c r="DA11" vm="1102">
        <f ca="1"/>
        <v>26.64</v>
      </c>
      <c r="DB11" vm="1079">
        <f ca="1"/>
        <v>26.77</v>
      </c>
      <c r="DC11" vm="1083">
        <f ca="1"/>
        <v>26.56</v>
      </c>
      <c r="DD11" vm="1103">
        <f ca="1"/>
        <v>26.62</v>
      </c>
      <c r="DE11" vm="1075">
        <f ca="1"/>
        <v>26.46</v>
      </c>
      <c r="DF11" vm="1104">
        <f ca="1"/>
        <v>26.67</v>
      </c>
      <c r="DG11" vm="1105">
        <f ca="1"/>
        <v>26.86</v>
      </c>
      <c r="DH11" vm="1106">
        <f ca="1"/>
        <v>27.01</v>
      </c>
      <c r="DI11" vm="1107">
        <f ca="1"/>
        <v>26.87</v>
      </c>
      <c r="DJ11" vm="1108">
        <f ca="1"/>
        <v>26.42</v>
      </c>
      <c r="DK11" vm="1099">
        <f ca="1"/>
        <v>26.73</v>
      </c>
      <c r="DL11" vm="1091">
        <f ca="1"/>
        <v>26.37</v>
      </c>
      <c r="DM11" vm="1109">
        <f ca="1"/>
        <v>26.09</v>
      </c>
      <c r="DN11" vm="1110">
        <f ca="1"/>
        <v>26.18</v>
      </c>
      <c r="DO11" vm="1052">
        <f ca="1"/>
        <v>26.12</v>
      </c>
      <c r="DP11" vm="1111">
        <f ca="1"/>
        <v>26.11</v>
      </c>
      <c r="DQ11" vm="1089">
        <f ca="1"/>
        <v>26.22</v>
      </c>
      <c r="DR11" vm="1112">
        <f ca="1"/>
        <v>26.04</v>
      </c>
      <c r="DS11" vm="1065">
        <f ca="1"/>
        <v>26.23</v>
      </c>
      <c r="DT11" vm="1113">
        <f ca="1"/>
        <v>26.15</v>
      </c>
      <c r="DU11" vm="1053">
        <f ca="1"/>
        <v>26.1</v>
      </c>
      <c r="DV11" vm="1047">
        <f ca="1"/>
        <v>26.31</v>
      </c>
      <c r="DW11" vm="1074">
        <f ca="1"/>
        <v>26.21</v>
      </c>
      <c r="DX11" vm="1114">
        <f ca="1"/>
        <v>26.08</v>
      </c>
      <c r="DY11" vm="1089">
        <f ca="1"/>
        <v>26.22</v>
      </c>
      <c r="DZ11" vm="1051">
        <f ca="1"/>
        <v>26.24</v>
      </c>
      <c r="EA11" vm="1115">
        <f ca="1"/>
        <v>26.26</v>
      </c>
      <c r="EB11" vm="1092">
        <f ca="1"/>
        <v>26.02</v>
      </c>
      <c r="EC11" vm="1088">
        <f ca="1"/>
        <v>25.96</v>
      </c>
      <c r="ED11" vm="1116">
        <f ca="1"/>
        <v>25.65</v>
      </c>
      <c r="EE11" vm="1117">
        <f ca="1"/>
        <v>25.47</v>
      </c>
      <c r="EF11" vm="1118">
        <f ca="1"/>
        <v>25.74</v>
      </c>
      <c r="EG11" vm="1112">
        <f ca="1"/>
        <v>26.04</v>
      </c>
      <c r="EH11" vm="1112">
        <f ca="1"/>
        <v>26.04</v>
      </c>
      <c r="EI11" vm="1058">
        <f ca="1"/>
        <v>25.94</v>
      </c>
      <c r="EJ11" vm="1119">
        <f ca="1"/>
        <v>25.98</v>
      </c>
      <c r="EK11" vm="1063">
        <f ca="1"/>
        <v>25.91</v>
      </c>
      <c r="EL11" vm="1120">
        <f ca="1"/>
        <v>25.77</v>
      </c>
      <c r="EM11" vm="1057">
        <f ca="1"/>
        <v>25.93</v>
      </c>
      <c r="EN11" vm="1121">
        <f ca="1"/>
        <v>26.55</v>
      </c>
      <c r="EO11" vm="1066">
        <f ca="1"/>
        <v>26.34</v>
      </c>
      <c r="EP11" vm="1122">
        <f ca="1"/>
        <v>26.32</v>
      </c>
      <c r="EQ11" vm="1087">
        <f ca="1"/>
        <v>26.54</v>
      </c>
      <c r="ER11" vm="1123">
        <f ca="1"/>
        <v>26.69</v>
      </c>
      <c r="ES11" vm="1124">
        <f ca="1"/>
        <v>26.92</v>
      </c>
      <c r="ET11" vm="1125">
        <f ca="1"/>
        <v>26.97</v>
      </c>
      <c r="EU11" vm="1126">
        <f ca="1"/>
        <v>27.22</v>
      </c>
      <c r="EV11" vm="1127">
        <f ca="1"/>
        <v>27.27</v>
      </c>
      <c r="EW11" vm="1128">
        <f ca="1"/>
        <v>27.7</v>
      </c>
      <c r="EX11" vm="1129">
        <f ca="1"/>
        <v>27.72</v>
      </c>
      <c r="EY11" vm="1130">
        <f ca="1"/>
        <v>27.45</v>
      </c>
      <c r="EZ11" vm="1131">
        <f ca="1"/>
        <v>27.63</v>
      </c>
      <c r="FA11" vm="1101">
        <f ca="1"/>
        <v>27.51</v>
      </c>
      <c r="FB11" vm="1132">
        <f ca="1"/>
        <v>27.41</v>
      </c>
      <c r="FC11" vm="1133">
        <f ca="1"/>
        <v>27.39</v>
      </c>
      <c r="FD11" vm="1134">
        <f ca="1"/>
        <v>27.4</v>
      </c>
      <c r="FE11" vm="1135">
        <f ca="1"/>
        <v>27.68</v>
      </c>
      <c r="FF11" vm="1136">
        <f ca="1"/>
        <v>27.53</v>
      </c>
      <c r="FG11" vm="1137">
        <f ca="1"/>
        <v>27.64</v>
      </c>
      <c r="FH11" vm="1138">
        <f ca="1"/>
        <v>27.54</v>
      </c>
      <c r="FI11" vm="1139">
        <f ca="1"/>
        <v>27.73</v>
      </c>
      <c r="FJ11" vm="1140">
        <f ca="1"/>
        <v>28.34</v>
      </c>
      <c r="FK11" vm="1141">
        <f ca="1"/>
        <v>28.49</v>
      </c>
      <c r="FL11" vm="1142">
        <f ca="1"/>
        <v>28.7</v>
      </c>
      <c r="FM11" vm="1143">
        <f ca="1"/>
        <v>28.86</v>
      </c>
      <c r="FN11" vm="1144">
        <f ca="1"/>
        <v>28.67</v>
      </c>
      <c r="FO11" vm="1145">
        <f ca="1"/>
        <v>28.85</v>
      </c>
      <c r="FP11" vm="1146">
        <f ca="1"/>
        <v>28.4</v>
      </c>
      <c r="FQ11" vm="1147">
        <f ca="1"/>
        <v>28.45</v>
      </c>
      <c r="FR11" vm="1148">
        <f ca="1"/>
        <v>28.18</v>
      </c>
      <c r="FS11" vm="1149">
        <f ca="1"/>
        <v>28.23</v>
      </c>
      <c r="FT11" vm="1150">
        <f ca="1"/>
        <v>28.14</v>
      </c>
      <c r="FU11" vm="1151">
        <f ca="1"/>
        <v>28.2</v>
      </c>
      <c r="FV11" vm="1152">
        <f ca="1"/>
        <v>27.89</v>
      </c>
      <c r="FW11" vm="1153">
        <f ca="1"/>
        <v>27.34</v>
      </c>
      <c r="FX11" vm="1154">
        <f ca="1"/>
        <v>27.1</v>
      </c>
      <c r="FY11" vm="1078">
        <f ca="1"/>
        <v>26.91</v>
      </c>
      <c r="FZ11" vm="1155">
        <f ca="1"/>
        <v>27.07</v>
      </c>
      <c r="GA11" vm="1156">
        <f ca="1"/>
        <v>27.35</v>
      </c>
      <c r="GB11" vm="1157">
        <f ca="1"/>
        <v>27.58</v>
      </c>
      <c r="GC11" vm="1158">
        <f ca="1"/>
        <v>27.49</v>
      </c>
      <c r="GD11" vm="1159">
        <f ca="1"/>
        <v>27.24</v>
      </c>
      <c r="GE11" vm="1160">
        <f ca="1"/>
        <v>27.83</v>
      </c>
      <c r="GF11" vm="1127">
        <f ca="1"/>
        <v>27.27</v>
      </c>
      <c r="GG11" vm="1161">
        <f ca="1"/>
        <v>27.8</v>
      </c>
      <c r="GH11" vm="1162">
        <f ca="1"/>
        <v>27.78</v>
      </c>
      <c r="GI11" vm="1163">
        <f ca="1"/>
        <v>27.55</v>
      </c>
      <c r="GJ11" vm="1164">
        <f ca="1"/>
        <v>27.99</v>
      </c>
      <c r="GK11" vm="1165">
        <f ca="1"/>
        <v>28.38</v>
      </c>
      <c r="GL11" vm="1146">
        <f ca="1"/>
        <v>28.4</v>
      </c>
      <c r="GM11" vm="1166">
        <f ca="1"/>
        <v>28.46</v>
      </c>
      <c r="GN11" vm="1167">
        <f ca="1"/>
        <v>28.54</v>
      </c>
      <c r="GO11" vm="1168">
        <f ca="1"/>
        <v>28.58</v>
      </c>
      <c r="GP11" vm="1169">
        <f ca="1"/>
        <v>28.65</v>
      </c>
      <c r="GQ11" vm="1170">
        <f ca="1"/>
        <v>28.79</v>
      </c>
      <c r="GR11" vm="1169">
        <f ca="1"/>
        <v>28.65</v>
      </c>
      <c r="GS11" vm="1171">
        <f ca="1"/>
        <v>28.83</v>
      </c>
      <c r="GT11" vm="1172">
        <f ca="1"/>
        <v>28.9</v>
      </c>
      <c r="GU11" vm="1143">
        <f ca="1"/>
        <v>28.86</v>
      </c>
      <c r="GV11" vm="1173">
        <f ca="1"/>
        <v>28.74</v>
      </c>
      <c r="GW11" vm="1172">
        <f ca="1"/>
        <v>28.9</v>
      </c>
      <c r="GX11" vm="1174">
        <f ca="1"/>
        <v>29.3</v>
      </c>
      <c r="GY11" vm="1175">
        <f ca="1"/>
        <v>29.45</v>
      </c>
      <c r="GZ11" vm="1176">
        <f ca="1"/>
        <v>28.71</v>
      </c>
      <c r="HA11" vm="1147">
        <f ca="1"/>
        <v>28.45</v>
      </c>
      <c r="HB11" vm="1151">
        <f ca="1"/>
        <v>28.2</v>
      </c>
      <c r="HC11" vm="1168">
        <f ca="1"/>
        <v>28.58</v>
      </c>
      <c r="HD11" vm="1142">
        <f ca="1"/>
        <v>28.7</v>
      </c>
      <c r="HE11" vm="1177">
        <f ca="1"/>
        <v>28.93</v>
      </c>
      <c r="HF11" vm="1178">
        <f ca="1"/>
        <v>29.11</v>
      </c>
      <c r="HG11" vm="1179">
        <f ca="1"/>
        <v>28.89</v>
      </c>
      <c r="HH11" vm="1180">
        <f ca="1"/>
        <v>30.15</v>
      </c>
      <c r="HI11" vm="1181">
        <f ca="1"/>
        <v>29.66</v>
      </c>
      <c r="HJ11" vm="1182">
        <f ca="1"/>
        <v>29.87</v>
      </c>
      <c r="HK11" vm="1183">
        <f ca="1"/>
        <v>29.4</v>
      </c>
      <c r="HL11" vm="1184">
        <f ca="1"/>
        <v>29.23</v>
      </c>
      <c r="HM11" vm="1185">
        <f ca="1"/>
        <v>28.91</v>
      </c>
      <c r="HN11" vm="1176">
        <f ca="1"/>
        <v>28.71</v>
      </c>
      <c r="HO11" vm="1186">
        <f ca="1"/>
        <v>28.57</v>
      </c>
      <c r="HP11" vm="1149">
        <f ca="1"/>
        <v>28.23</v>
      </c>
      <c r="HQ11" vm="1187">
        <f ca="1"/>
        <v>28.47</v>
      </c>
      <c r="HR11" vm="1147">
        <f ca="1"/>
        <v>28.45</v>
      </c>
      <c r="HS11" vm="1188">
        <f ca="1"/>
        <v>28.32</v>
      </c>
      <c r="HT11" vm="1189">
        <f ca="1"/>
        <v>27.65</v>
      </c>
      <c r="HU11" vm="1190">
        <f ca="1"/>
        <v>27.2</v>
      </c>
      <c r="HV11" vm="1191">
        <f ca="1"/>
        <v>27.3</v>
      </c>
      <c r="HW11" vm="1192">
        <f ca="1"/>
        <v>27.38</v>
      </c>
      <c r="HX11" vm="1193">
        <f ca="1"/>
        <v>27.6</v>
      </c>
      <c r="HY11" vm="1194">
        <f ca="1"/>
        <v>27.96</v>
      </c>
      <c r="HZ11" vm="1195">
        <f ca="1"/>
        <v>28.04</v>
      </c>
      <c r="IA11" vm="1140">
        <f ca="1"/>
        <v>28.34</v>
      </c>
      <c r="IB11" vm="1196">
        <f ca="1"/>
        <v>28.63</v>
      </c>
      <c r="IC11" vm="1197">
        <f ca="1"/>
        <v>28.69</v>
      </c>
      <c r="ID11" vm="1196">
        <f ca="1"/>
        <v>28.63</v>
      </c>
      <c r="IE11" vm="1141">
        <f ca="1"/>
        <v>28.49</v>
      </c>
      <c r="IF11" vm="1166">
        <f ca="1"/>
        <v>28.46</v>
      </c>
      <c r="IG11" vm="1198">
        <f ca="1"/>
        <v>28.59</v>
      </c>
      <c r="IH11" vm="1199">
        <f ca="1"/>
        <v>28.75</v>
      </c>
      <c r="II11" vm="1171">
        <f ca="1"/>
        <v>28.83</v>
      </c>
      <c r="IJ11" vm="1200">
        <f ca="1"/>
        <v>28.53</v>
      </c>
      <c r="IK11" vm="1201">
        <f ca="1"/>
        <v>28.72</v>
      </c>
      <c r="IL11" vm="1167">
        <f ca="1"/>
        <v>28.54</v>
      </c>
      <c r="IM11" vm="1176">
        <f ca="1"/>
        <v>28.71</v>
      </c>
      <c r="IN11" vm="1179">
        <f ca="1"/>
        <v>28.89</v>
      </c>
      <c r="IO11" vm="1202">
        <f ca="1"/>
        <v>29.25</v>
      </c>
      <c r="IP11" vm="1203">
        <f ca="1"/>
        <v>29.32</v>
      </c>
      <c r="IQ11" vm="1204">
        <f ca="1"/>
        <v>28.84</v>
      </c>
      <c r="IR11" vm="1183">
        <f ca="1"/>
        <v>29.4</v>
      </c>
      <c r="IS11" vm="1205">
        <f ca="1"/>
        <v>29.61</v>
      </c>
      <c r="IT11" vm="1206">
        <f ca="1"/>
        <v>28.97</v>
      </c>
      <c r="IU11" vm="1207">
        <f ca="1"/>
        <v>29.42</v>
      </c>
      <c r="IV11" vm="1208">
        <f ca="1"/>
        <v>29.39</v>
      </c>
      <c r="IW11" vm="1209">
        <f ca="1"/>
        <v>29.24</v>
      </c>
      <c r="IX11" vm="1209">
        <f ca="1"/>
        <v>29.24</v>
      </c>
      <c r="IY11" vm="1210">
        <f ca="1"/>
        <v>29.57</v>
      </c>
      <c r="IZ11" vm="1211">
        <f ca="1"/>
        <v>29.38</v>
      </c>
      <c r="JA11" vm="1175">
        <f ca="1"/>
        <v>29.45</v>
      </c>
      <c r="JB11" vm="1212">
        <f ca="1"/>
        <v>29.41</v>
      </c>
      <c r="JC11" vm="1213">
        <f ca="1"/>
        <v>29.07</v>
      </c>
      <c r="JD11" vm="1142">
        <f ca="1"/>
        <v>28.7</v>
      </c>
      <c r="JE11" vm="1188">
        <f ca="1"/>
        <v>28.32</v>
      </c>
      <c r="JF11" vm="1214">
        <f ca="1"/>
        <v>28.17</v>
      </c>
      <c r="JG11" vm="1156">
        <f ca="1"/>
        <v>27.35</v>
      </c>
    </row>
    <row r="12" spans="1:267" ht="35.25" customHeight="1">
      <c r="A12" s="752"/>
      <c r="B12" s="753"/>
      <c r="C12" s="120" t="e" vm="9">
        <v>#VALUE!</v>
      </c>
      <c r="D12" s="121" t="str">
        <v>Software &amp; IT Services</v>
      </c>
      <c r="E12" s="122">
        <v>1376</v>
      </c>
      <c r="F12" s="123">
        <v>1.325</v>
      </c>
      <c r="G12" s="123">
        <v>1823.2</v>
      </c>
      <c r="H12" s="123">
        <v>-27.520000000000024</v>
      </c>
      <c r="I12" s="124">
        <v>-1.4869888475836444E-2</v>
      </c>
      <c r="J12" s="123">
        <v>323.36000000000013</v>
      </c>
      <c r="K12" s="125"/>
      <c r="M12" cm="1" vm="558">
        <f t="array" aca="1" ref="M12:JG12" ca="1">TRANSPOSE(_xlfn.STOCKHISTORY(C12, TODAY()-365, TODAY(), 0, 0, 1))</f>
        <v>2.27</v>
      </c>
      <c r="N12" vm="558">
        <f ca="1"/>
        <v>2.27</v>
      </c>
      <c r="O12" vm="566">
        <f ca="1"/>
        <v>2.14</v>
      </c>
      <c r="P12" vm="566">
        <f ca="1"/>
        <v>2.14</v>
      </c>
      <c r="Q12" vm="545">
        <f ca="1"/>
        <v>2.21</v>
      </c>
      <c r="R12" vm="1014">
        <f ca="1"/>
        <v>2.33</v>
      </c>
      <c r="S12" vm="1005">
        <f ca="1"/>
        <v>2.38</v>
      </c>
      <c r="T12" vm="1013">
        <f ca="1"/>
        <v>2.2799999999999998</v>
      </c>
      <c r="U12" vm="1215">
        <f ca="1"/>
        <v>2.44</v>
      </c>
      <c r="V12" vm="1016">
        <f ca="1"/>
        <v>2.37</v>
      </c>
      <c r="W12" vm="1216">
        <f ca="1"/>
        <v>2.29</v>
      </c>
      <c r="X12" vm="1014">
        <f ca="1"/>
        <v>2.33</v>
      </c>
      <c r="Y12" vm="1019">
        <f ca="1"/>
        <v>2.16</v>
      </c>
      <c r="Z12" t="e" vm="567">
        <f ca="1"/>
        <v>#N/A</v>
      </c>
      <c r="AA12" vm="1003">
        <f ca="1"/>
        <v>2.57</v>
      </c>
      <c r="AB12" vm="1217">
        <f ca="1"/>
        <v>2.59</v>
      </c>
      <c r="AC12" vm="998">
        <f ca="1"/>
        <v>2.77</v>
      </c>
      <c r="AD12" vm="1218">
        <f ca="1"/>
        <v>2.62</v>
      </c>
      <c r="AE12" vm="1218">
        <f ca="1"/>
        <v>2.62</v>
      </c>
      <c r="AF12" vm="1218">
        <f ca="1"/>
        <v>2.62</v>
      </c>
      <c r="AG12" vm="1219">
        <f ca="1"/>
        <v>2.46</v>
      </c>
      <c r="AH12" vm="1005">
        <f ca="1"/>
        <v>2.38</v>
      </c>
      <c r="AI12" vm="1005">
        <f ca="1"/>
        <v>2.38</v>
      </c>
      <c r="AJ12" vm="1013">
        <f ca="1"/>
        <v>2.2799999999999998</v>
      </c>
      <c r="AK12" vm="1015">
        <f ca="1"/>
        <v>2.35</v>
      </c>
      <c r="AL12" vm="1007">
        <f ca="1"/>
        <v>2.31</v>
      </c>
      <c r="AM12" vm="1018">
        <f ca="1"/>
        <v>2.2400000000000002</v>
      </c>
      <c r="AN12" vm="546">
        <f ca="1"/>
        <v>2.1800000000000002</v>
      </c>
      <c r="AO12" vm="561">
        <f ca="1"/>
        <v>2.13</v>
      </c>
      <c r="AP12" vm="547">
        <f ca="1"/>
        <v>2.09</v>
      </c>
      <c r="AQ12" vm="562">
        <f ca="1"/>
        <v>2.15</v>
      </c>
      <c r="AR12" vm="1220">
        <f ca="1"/>
        <v>2.12</v>
      </c>
      <c r="AS12" vm="547">
        <f ca="1"/>
        <v>2.09</v>
      </c>
      <c r="AT12" vm="564">
        <f ca="1"/>
        <v>2.19</v>
      </c>
      <c r="AU12" vm="566">
        <f ca="1"/>
        <v>2.14</v>
      </c>
      <c r="AV12" vm="1221">
        <f ca="1"/>
        <v>2.25</v>
      </c>
      <c r="AW12" vm="564">
        <f ca="1"/>
        <v>2.19</v>
      </c>
      <c r="AX12" vm="562">
        <f ca="1"/>
        <v>2.15</v>
      </c>
      <c r="AY12" vm="566">
        <f ca="1"/>
        <v>2.14</v>
      </c>
      <c r="AZ12" vm="559">
        <f ca="1"/>
        <v>2.17</v>
      </c>
      <c r="BA12" vm="1222">
        <f ca="1"/>
        <v>2.11</v>
      </c>
      <c r="BB12" vm="561">
        <f ca="1"/>
        <v>2.13</v>
      </c>
      <c r="BC12" vm="543">
        <f ca="1"/>
        <v>2.1</v>
      </c>
      <c r="BD12" vm="543">
        <f ca="1"/>
        <v>2.1</v>
      </c>
      <c r="BE12" vm="552">
        <f ca="1"/>
        <v>2.0299999999999998</v>
      </c>
      <c r="BF12" vm="557">
        <f ca="1"/>
        <v>2.0099999999999998</v>
      </c>
      <c r="BG12" vm="549">
        <f ca="1"/>
        <v>2.02</v>
      </c>
      <c r="BH12" vm="547">
        <f ca="1"/>
        <v>2.09</v>
      </c>
      <c r="BI12" vm="546">
        <f ca="1"/>
        <v>2.1800000000000002</v>
      </c>
      <c r="BJ12" vm="546">
        <f ca="1"/>
        <v>2.1800000000000002</v>
      </c>
      <c r="BK12" vm="546">
        <f ca="1"/>
        <v>2.1800000000000002</v>
      </c>
      <c r="BL12" vm="546">
        <f ca="1"/>
        <v>2.1800000000000002</v>
      </c>
      <c r="BM12" vm="562">
        <f ca="1"/>
        <v>2.15</v>
      </c>
      <c r="BN12" vm="564">
        <f ca="1"/>
        <v>2.19</v>
      </c>
      <c r="BO12" vm="1012">
        <f ca="1"/>
        <v>2.2599999999999998</v>
      </c>
      <c r="BP12" vm="545">
        <f ca="1"/>
        <v>2.21</v>
      </c>
      <c r="BQ12" vm="545">
        <f ca="1"/>
        <v>2.21</v>
      </c>
      <c r="BR12" vm="566">
        <f ca="1"/>
        <v>2.14</v>
      </c>
      <c r="BS12" vm="543">
        <f ca="1"/>
        <v>2.1</v>
      </c>
      <c r="BT12" vm="544">
        <f ca="1"/>
        <v>2.08</v>
      </c>
      <c r="BU12" vm="544">
        <f ca="1"/>
        <v>2.08</v>
      </c>
      <c r="BV12" vm="542">
        <f ca="1"/>
        <v>2.0699999999999998</v>
      </c>
      <c r="BW12" vm="548">
        <f ca="1"/>
        <v>2.06</v>
      </c>
      <c r="BX12" vm="542">
        <f ca="1"/>
        <v>2.0699999999999998</v>
      </c>
      <c r="BY12" vm="1220">
        <f ca="1"/>
        <v>2.12</v>
      </c>
      <c r="BZ12" vm="1019">
        <f ca="1"/>
        <v>2.16</v>
      </c>
      <c r="CA12" vm="561">
        <f ca="1"/>
        <v>2.13</v>
      </c>
      <c r="CB12" vm="542">
        <f ca="1"/>
        <v>2.0699999999999998</v>
      </c>
      <c r="CC12" vm="548">
        <f ca="1"/>
        <v>2.06</v>
      </c>
      <c r="CD12" vm="1223">
        <f ca="1"/>
        <v>2.36</v>
      </c>
      <c r="CE12" vm="521">
        <f ca="1"/>
        <v>1.81</v>
      </c>
      <c r="CF12" vm="528">
        <f ca="1"/>
        <v>1.72</v>
      </c>
      <c r="CG12" vm="514">
        <f ca="1"/>
        <v>1.825</v>
      </c>
      <c r="CH12" vm="1224">
        <f ca="1"/>
        <v>1.6850000000000001</v>
      </c>
      <c r="CI12" vm="575">
        <f ca="1"/>
        <v>1.76</v>
      </c>
      <c r="CJ12" vm="513">
        <f ca="1"/>
        <v>1.75</v>
      </c>
      <c r="CK12" vm="529">
        <f ca="1"/>
        <v>1.7450000000000001</v>
      </c>
      <c r="CL12" vm="531">
        <f ca="1"/>
        <v>1.6950000000000001</v>
      </c>
      <c r="CM12" vm="1225">
        <f ca="1"/>
        <v>1.65</v>
      </c>
      <c r="CN12" vm="595">
        <f ca="1"/>
        <v>1.655</v>
      </c>
      <c r="CO12" vm="577">
        <f ca="1"/>
        <v>1.74</v>
      </c>
      <c r="CP12" vm="578">
        <f ca="1"/>
        <v>1.7649999999999999</v>
      </c>
      <c r="CQ12" vm="532">
        <f ca="1"/>
        <v>1.79</v>
      </c>
      <c r="CR12" vm="588">
        <f ca="1"/>
        <v>1.82</v>
      </c>
      <c r="CS12" vm="524">
        <f ca="1"/>
        <v>1.8049999999999999</v>
      </c>
      <c r="CT12" vm="537">
        <f ca="1"/>
        <v>1.84</v>
      </c>
      <c r="CU12" vm="534">
        <f ca="1"/>
        <v>1.835</v>
      </c>
      <c r="CV12" vm="1226">
        <f ca="1"/>
        <v>1.7949999999999999</v>
      </c>
      <c r="CW12" vm="1227">
        <f ca="1"/>
        <v>1.7250000000000001</v>
      </c>
      <c r="CX12" vm="574">
        <f ca="1"/>
        <v>1.77</v>
      </c>
      <c r="CY12" vm="529">
        <f ca="1"/>
        <v>1.7450000000000001</v>
      </c>
      <c r="CZ12" vm="510">
        <f ca="1"/>
        <v>1.73</v>
      </c>
      <c r="DA12" vm="575">
        <f ca="1"/>
        <v>1.76</v>
      </c>
      <c r="DB12" vm="537">
        <f ca="1"/>
        <v>1.84</v>
      </c>
      <c r="DC12" vm="534">
        <f ca="1"/>
        <v>1.835</v>
      </c>
      <c r="DD12" vm="537">
        <f ca="1"/>
        <v>1.84</v>
      </c>
      <c r="DE12" vm="554">
        <f ca="1"/>
        <v>1.87</v>
      </c>
      <c r="DF12" vm="518">
        <f ca="1"/>
        <v>1.875</v>
      </c>
      <c r="DG12" vm="585">
        <f ca="1"/>
        <v>1.845</v>
      </c>
      <c r="DH12" vm="585">
        <f ca="1"/>
        <v>1.845</v>
      </c>
      <c r="DI12" vm="582">
        <f ca="1"/>
        <v>1.915</v>
      </c>
      <c r="DJ12" vm="516">
        <f ca="1"/>
        <v>1.88</v>
      </c>
      <c r="DK12" vm="582">
        <f ca="1"/>
        <v>1.915</v>
      </c>
      <c r="DL12" vm="519">
        <f ca="1"/>
        <v>1.9</v>
      </c>
      <c r="DM12" vm="582">
        <f ca="1"/>
        <v>1.915</v>
      </c>
      <c r="DN12" vm="519">
        <f ca="1"/>
        <v>1.9</v>
      </c>
      <c r="DO12" vm="588">
        <f ca="1"/>
        <v>1.82</v>
      </c>
      <c r="DP12" vm="514">
        <f ca="1"/>
        <v>1.825</v>
      </c>
      <c r="DQ12" vm="536">
        <f ca="1"/>
        <v>1.86</v>
      </c>
      <c r="DR12" vm="1228">
        <f ca="1"/>
        <v>1.925</v>
      </c>
      <c r="DS12" vm="1229">
        <f ca="1"/>
        <v>1.9450000000000001</v>
      </c>
      <c r="DT12" vm="533">
        <f ca="1"/>
        <v>1.895</v>
      </c>
      <c r="DU12" vm="579">
        <f ca="1"/>
        <v>1.83</v>
      </c>
      <c r="DV12" vm="584">
        <f ca="1"/>
        <v>1.905</v>
      </c>
      <c r="DW12" vm="552">
        <f ca="1"/>
        <v>2.0299999999999998</v>
      </c>
      <c r="DX12" vm="587">
        <f ca="1"/>
        <v>1.96</v>
      </c>
      <c r="DY12" vm="568">
        <f ca="1"/>
        <v>1.9850000000000001</v>
      </c>
      <c r="DZ12" vm="558">
        <f ca="1"/>
        <v>2.27</v>
      </c>
      <c r="EA12" vm="565">
        <f ca="1"/>
        <v>2.2200000000000002</v>
      </c>
      <c r="EB12" vm="1019">
        <f ca="1"/>
        <v>2.16</v>
      </c>
      <c r="EC12" vm="546">
        <f ca="1"/>
        <v>2.1800000000000002</v>
      </c>
      <c r="ED12" vm="1019">
        <f ca="1"/>
        <v>2.16</v>
      </c>
      <c r="EE12" vm="543">
        <f ca="1"/>
        <v>2.1</v>
      </c>
      <c r="EF12" vm="562">
        <f ca="1"/>
        <v>2.15</v>
      </c>
      <c r="EG12" vm="560">
        <f ca="1"/>
        <v>2.2000000000000002</v>
      </c>
      <c r="EH12" vm="564">
        <f ca="1"/>
        <v>2.19</v>
      </c>
      <c r="EI12" vm="566">
        <f ca="1"/>
        <v>2.14</v>
      </c>
      <c r="EJ12" vm="561">
        <f ca="1"/>
        <v>2.13</v>
      </c>
      <c r="EK12" vm="548">
        <f ca="1"/>
        <v>2.06</v>
      </c>
      <c r="EL12" vm="547">
        <f ca="1"/>
        <v>2.09</v>
      </c>
      <c r="EM12" vm="548">
        <f ca="1"/>
        <v>2.06</v>
      </c>
      <c r="EN12" vm="543">
        <f ca="1"/>
        <v>2.1</v>
      </c>
      <c r="EO12" vm="559">
        <f ca="1"/>
        <v>2.17</v>
      </c>
      <c r="EP12" vm="1019">
        <f ca="1"/>
        <v>2.16</v>
      </c>
      <c r="EQ12" vm="1019">
        <f ca="1"/>
        <v>2.16</v>
      </c>
      <c r="ER12" vm="1019">
        <f ca="1"/>
        <v>2.16</v>
      </c>
      <c r="ES12" vm="1019">
        <f ca="1"/>
        <v>2.16</v>
      </c>
      <c r="ET12" vm="545">
        <f ca="1"/>
        <v>2.21</v>
      </c>
      <c r="EU12" vm="1019">
        <f ca="1"/>
        <v>2.16</v>
      </c>
      <c r="EV12" vm="561">
        <f ca="1"/>
        <v>2.13</v>
      </c>
      <c r="EW12" vm="562">
        <f ca="1"/>
        <v>2.15</v>
      </c>
      <c r="EX12" vm="543">
        <f ca="1"/>
        <v>2.1</v>
      </c>
      <c r="EY12" vm="548">
        <f ca="1"/>
        <v>2.06</v>
      </c>
      <c r="EZ12" vm="548">
        <f ca="1"/>
        <v>2.06</v>
      </c>
      <c r="FA12" vm="550">
        <f ca="1"/>
        <v>2.04</v>
      </c>
      <c r="FB12" vm="586">
        <f ca="1"/>
        <v>1.9650000000000001</v>
      </c>
      <c r="FC12" vm="543">
        <f ca="1"/>
        <v>2.1</v>
      </c>
      <c r="FD12" vm="566">
        <f ca="1"/>
        <v>2.14</v>
      </c>
      <c r="FE12" vm="560">
        <f ca="1"/>
        <v>2.2000000000000002</v>
      </c>
      <c r="FF12" vm="1019">
        <f ca="1"/>
        <v>2.16</v>
      </c>
      <c r="FG12" vm="543">
        <f ca="1"/>
        <v>2.1</v>
      </c>
      <c r="FH12" vm="542">
        <f ca="1"/>
        <v>2.0699999999999998</v>
      </c>
      <c r="FI12" vm="1220">
        <f ca="1"/>
        <v>2.12</v>
      </c>
      <c r="FJ12" vm="543">
        <f ca="1"/>
        <v>2.1</v>
      </c>
      <c r="FK12" vm="543">
        <f ca="1"/>
        <v>2.1</v>
      </c>
      <c r="FL12" vm="548">
        <f ca="1"/>
        <v>2.06</v>
      </c>
      <c r="FM12" vm="543">
        <f ca="1"/>
        <v>2.1</v>
      </c>
      <c r="FN12" vm="550">
        <f ca="1"/>
        <v>2.04</v>
      </c>
      <c r="FO12" vm="541">
        <f ca="1"/>
        <v>2</v>
      </c>
      <c r="FP12" vm="520">
        <f ca="1"/>
        <v>1.91</v>
      </c>
      <c r="FQ12" vm="1228">
        <f ca="1"/>
        <v>1.925</v>
      </c>
      <c r="FR12" vm="569">
        <f ca="1"/>
        <v>1.99</v>
      </c>
      <c r="FS12" vm="571">
        <f ca="1"/>
        <v>1.94</v>
      </c>
      <c r="FT12" vm="570">
        <f ca="1"/>
        <v>1.92</v>
      </c>
      <c r="FU12" vm="584">
        <f ca="1"/>
        <v>1.905</v>
      </c>
      <c r="FV12" vm="556">
        <f ca="1"/>
        <v>1.9350000000000001</v>
      </c>
      <c r="FW12" vm="517">
        <f ca="1"/>
        <v>1.885</v>
      </c>
      <c r="FX12" vm="520">
        <f ca="1"/>
        <v>1.91</v>
      </c>
      <c r="FY12" vm="581">
        <f ca="1"/>
        <v>1.95</v>
      </c>
      <c r="FZ12" vm="549">
        <f ca="1"/>
        <v>2.02</v>
      </c>
      <c r="GA12" vm="549">
        <f ca="1"/>
        <v>2.02</v>
      </c>
      <c r="GB12" vm="549">
        <f ca="1"/>
        <v>2.02</v>
      </c>
      <c r="GC12" vm="568">
        <f ca="1"/>
        <v>1.9850000000000001</v>
      </c>
      <c r="GD12" vm="516">
        <f ca="1"/>
        <v>1.88</v>
      </c>
      <c r="GE12" vm="533">
        <f ca="1"/>
        <v>1.895</v>
      </c>
      <c r="GF12" vm="516">
        <f ca="1"/>
        <v>1.88</v>
      </c>
      <c r="GG12" vm="533">
        <f ca="1"/>
        <v>1.895</v>
      </c>
      <c r="GH12" vm="514">
        <f ca="1"/>
        <v>1.825</v>
      </c>
      <c r="GI12" vm="522">
        <f ca="1"/>
        <v>1.8</v>
      </c>
      <c r="GJ12" vm="537">
        <f ca="1"/>
        <v>1.84</v>
      </c>
      <c r="GK12" vm="518">
        <f ca="1"/>
        <v>1.875</v>
      </c>
      <c r="GL12" vm="523">
        <f ca="1"/>
        <v>1.85</v>
      </c>
      <c r="GM12" vm="585">
        <f ca="1"/>
        <v>1.845</v>
      </c>
      <c r="GN12" vm="517">
        <f ca="1"/>
        <v>1.885</v>
      </c>
      <c r="GO12" vm="581">
        <f ca="1"/>
        <v>1.95</v>
      </c>
      <c r="GP12" vm="557">
        <f ca="1"/>
        <v>2.0099999999999998</v>
      </c>
      <c r="GQ12" vm="550">
        <f ca="1"/>
        <v>2.04</v>
      </c>
      <c r="GR12" vm="543">
        <f ca="1"/>
        <v>2.1</v>
      </c>
      <c r="GS12" vm="562">
        <f ca="1"/>
        <v>2.15</v>
      </c>
      <c r="GT12" vm="545">
        <f ca="1"/>
        <v>2.21</v>
      </c>
      <c r="GU12" vm="1018">
        <f ca="1"/>
        <v>2.2400000000000002</v>
      </c>
      <c r="GV12" vm="1019">
        <f ca="1"/>
        <v>2.16</v>
      </c>
      <c r="GW12" vm="546">
        <f ca="1"/>
        <v>2.1800000000000002</v>
      </c>
      <c r="GX12" vm="561">
        <f ca="1"/>
        <v>2.13</v>
      </c>
      <c r="GY12" vm="560">
        <f ca="1"/>
        <v>2.2000000000000002</v>
      </c>
      <c r="GZ12" vm="545">
        <f ca="1"/>
        <v>2.21</v>
      </c>
      <c r="HA12" vm="1012">
        <f ca="1"/>
        <v>2.2599999999999998</v>
      </c>
      <c r="HB12" vm="1018">
        <f ca="1"/>
        <v>2.2400000000000002</v>
      </c>
      <c r="HC12" vm="563">
        <f ca="1"/>
        <v>2.23</v>
      </c>
      <c r="HD12" vm="1013">
        <f ca="1"/>
        <v>2.2799999999999998</v>
      </c>
      <c r="HE12" vm="1012">
        <f ca="1"/>
        <v>2.2599999999999998</v>
      </c>
      <c r="HF12" vm="565">
        <f ca="1"/>
        <v>2.2200000000000002</v>
      </c>
      <c r="HG12" vm="1012">
        <f ca="1"/>
        <v>2.2599999999999998</v>
      </c>
      <c r="HH12" vm="562">
        <f ca="1"/>
        <v>2.15</v>
      </c>
      <c r="HI12" vm="517">
        <f ca="1"/>
        <v>1.885</v>
      </c>
      <c r="HJ12" vm="579">
        <f ca="1"/>
        <v>1.83</v>
      </c>
      <c r="HK12" vm="521">
        <f ca="1"/>
        <v>1.81</v>
      </c>
      <c r="HL12" vm="577">
        <f ca="1"/>
        <v>1.74</v>
      </c>
      <c r="HM12" vm="1227">
        <f ca="1"/>
        <v>1.7250000000000001</v>
      </c>
      <c r="HN12" vm="577">
        <f ca="1"/>
        <v>1.74</v>
      </c>
      <c r="HO12" vm="526">
        <f ca="1"/>
        <v>1.7050000000000001</v>
      </c>
      <c r="HP12" vm="595">
        <f ca="1"/>
        <v>1.655</v>
      </c>
      <c r="HQ12" vm="1230">
        <f ca="1"/>
        <v>1.615</v>
      </c>
      <c r="HR12" vm="1231">
        <f ca="1"/>
        <v>1.575</v>
      </c>
      <c r="HS12" vm="594">
        <f ca="1"/>
        <v>1.645</v>
      </c>
      <c r="HT12" vm="1232">
        <f ca="1"/>
        <v>1.58</v>
      </c>
      <c r="HU12" vm="1233">
        <f ca="1"/>
        <v>1.6</v>
      </c>
      <c r="HV12" vm="1233">
        <f ca="1"/>
        <v>1.6</v>
      </c>
      <c r="HW12" vm="616">
        <f ca="1"/>
        <v>1.55</v>
      </c>
      <c r="HX12" vm="618">
        <f ca="1"/>
        <v>1.5249999999999999</v>
      </c>
      <c r="HY12" vm="614">
        <f ca="1"/>
        <v>1.49</v>
      </c>
      <c r="HZ12" vm="1234">
        <f ca="1"/>
        <v>1.385</v>
      </c>
      <c r="IA12" vm="611">
        <f ca="1"/>
        <v>1.46</v>
      </c>
      <c r="IB12" vm="609">
        <f ca="1"/>
        <v>1.4950000000000001</v>
      </c>
      <c r="IC12" vm="606">
        <f ca="1"/>
        <v>1.47</v>
      </c>
      <c r="ID12" vm="620">
        <f ca="1"/>
        <v>1.4650000000000001</v>
      </c>
      <c r="IE12" vm="606">
        <f ca="1"/>
        <v>1.47</v>
      </c>
      <c r="IF12" vm="615">
        <f ca="1"/>
        <v>1.54</v>
      </c>
      <c r="IG12" vm="1235">
        <f ca="1"/>
        <v>1.53</v>
      </c>
      <c r="IH12" vm="615">
        <f ca="1"/>
        <v>1.54</v>
      </c>
      <c r="II12" vm="615">
        <f ca="1"/>
        <v>1.54</v>
      </c>
      <c r="IJ12" vm="615">
        <f ca="1"/>
        <v>1.54</v>
      </c>
      <c r="IK12" vm="603">
        <f ca="1"/>
        <v>1.5349999999999999</v>
      </c>
      <c r="IL12" vm="616">
        <f ca="1"/>
        <v>1.55</v>
      </c>
      <c r="IM12" vm="1235">
        <f ca="1"/>
        <v>1.53</v>
      </c>
      <c r="IN12" vm="618">
        <f ca="1"/>
        <v>1.5249999999999999</v>
      </c>
      <c r="IO12" vm="1236">
        <f ca="1"/>
        <v>1.5449999999999999</v>
      </c>
      <c r="IP12" vm="593">
        <f ca="1"/>
        <v>1.56</v>
      </c>
      <c r="IQ12" vm="1236">
        <f ca="1"/>
        <v>1.5449999999999999</v>
      </c>
      <c r="IR12" vm="615">
        <f ca="1"/>
        <v>1.54</v>
      </c>
      <c r="IS12" vm="1237">
        <f ca="1"/>
        <v>1.4450000000000001</v>
      </c>
      <c r="IT12" vm="1238">
        <f ca="1"/>
        <v>1.395</v>
      </c>
      <c r="IU12" vm="1237">
        <f ca="1"/>
        <v>1.4450000000000001</v>
      </c>
      <c r="IV12" vm="612">
        <f ca="1"/>
        <v>1.43</v>
      </c>
      <c r="IW12" vm="612">
        <f ca="1"/>
        <v>1.43</v>
      </c>
      <c r="IX12" vm="1237">
        <f ca="1"/>
        <v>1.4450000000000001</v>
      </c>
      <c r="IY12" vm="1239">
        <f ca="1"/>
        <v>1.415</v>
      </c>
      <c r="IZ12" vm="1240">
        <f ca="1"/>
        <v>1.375</v>
      </c>
      <c r="JA12" vm="605">
        <f ca="1"/>
        <v>1.4</v>
      </c>
      <c r="JB12" vm="1239">
        <f ca="1"/>
        <v>1.415</v>
      </c>
      <c r="JC12" vm="1241">
        <f ca="1"/>
        <v>1.42</v>
      </c>
      <c r="JD12" vm="1239">
        <f ca="1"/>
        <v>1.415</v>
      </c>
      <c r="JE12" vm="1242">
        <f ca="1"/>
        <v>1.37</v>
      </c>
      <c r="JF12" vm="1243">
        <f ca="1"/>
        <v>1.345</v>
      </c>
      <c r="JG12" vm="1244">
        <f ca="1"/>
        <v>1.325</v>
      </c>
    </row>
    <row r="13" spans="1:267" ht="35.25" customHeight="1">
      <c r="A13" s="752"/>
      <c r="B13" s="753"/>
      <c r="C13" s="120"/>
      <c r="D13" s="121"/>
      <c r="E13" s="122"/>
      <c r="F13" s="123"/>
      <c r="G13" s="123"/>
      <c r="H13" s="123"/>
      <c r="I13" s="124"/>
      <c r="J13" s="123"/>
      <c r="K13" s="125"/>
    </row>
    <row r="14" spans="1:267" ht="15" thickBot="1">
      <c r="A14" s="752"/>
      <c r="B14" s="753"/>
      <c r="C14" s="739" t="s">
        <v>454</v>
      </c>
      <c r="D14" s="740"/>
      <c r="E14" s="740"/>
      <c r="F14" s="740"/>
      <c r="G14" s="740"/>
      <c r="H14" s="740"/>
      <c r="I14" s="740"/>
      <c r="J14" s="740"/>
      <c r="K14" s="741"/>
    </row>
    <row r="15" spans="1:267" ht="15" thickBot="1">
      <c r="A15" s="752"/>
      <c r="B15" s="753"/>
      <c r="C15" s="126" t="s">
        <v>449</v>
      </c>
      <c r="D15" s="34" t="s">
        <v>451</v>
      </c>
      <c r="E15" s="756" t="s">
        <v>455</v>
      </c>
      <c r="F15" s="756"/>
      <c r="G15" s="756"/>
      <c r="H15" s="756"/>
      <c r="I15" s="756"/>
      <c r="J15" s="756"/>
      <c r="K15" s="757"/>
    </row>
    <row r="16" spans="1:267" ht="42.75" customHeight="1">
      <c r="A16" s="752"/>
      <c r="B16" s="753"/>
      <c r="C16" s="127" t="str" cm="1">
        <f t="array" ref="C16:C20">_xlfn.UNIQUE(_xlfn.ANCHORARRAY(D7))</f>
        <v>Investment Banking &amp; Investment Services</v>
      </c>
      <c r="D16" s="107" cm="1">
        <f t="array" ref="D16:D20">SUMIF(_xlfn.ANCHORARRAY(D7),_xlfn.ANCHORARRAY( C16),_xlfn.ANCHORARRAY( G7))</f>
        <v>13237.019999999999</v>
      </c>
      <c r="E16" s="108"/>
      <c r="F16" s="32"/>
      <c r="G16" s="32"/>
      <c r="H16" s="32"/>
      <c r="I16" s="135"/>
      <c r="J16" s="136"/>
      <c r="K16" s="137"/>
    </row>
    <row r="17" spans="1:11" ht="33.75" customHeight="1">
      <c r="A17" s="752"/>
      <c r="B17" s="753"/>
      <c r="C17" s="128" t="str">
        <v>Electronic Equipment &amp; Parts</v>
      </c>
      <c r="D17" s="107">
        <v>5814</v>
      </c>
      <c r="E17" s="33"/>
      <c r="I17" s="129"/>
      <c r="K17" s="125"/>
    </row>
    <row r="18" spans="1:11" ht="33" customHeight="1">
      <c r="A18" s="752"/>
      <c r="B18" s="753"/>
      <c r="C18" s="128" t="str">
        <v>Banking Services</v>
      </c>
      <c r="D18" s="107">
        <v>6302.45</v>
      </c>
      <c r="E18" s="33"/>
      <c r="I18" s="129"/>
      <c r="K18" s="125"/>
    </row>
    <row r="19" spans="1:11" ht="36" customHeight="1">
      <c r="A19" s="752"/>
      <c r="B19" s="753"/>
      <c r="C19" s="128" t="str">
        <v>Aerospace &amp; Defense</v>
      </c>
      <c r="D19" s="107">
        <v>1323.9749999999999</v>
      </c>
      <c r="E19" s="33"/>
      <c r="I19" s="129"/>
      <c r="K19" s="125"/>
    </row>
    <row r="20" spans="1:11" ht="36" customHeight="1">
      <c r="A20" s="752"/>
      <c r="B20" s="753"/>
      <c r="C20" s="128" t="str">
        <v>Software &amp; IT Services</v>
      </c>
      <c r="D20" s="107">
        <v>1823.2</v>
      </c>
      <c r="E20" s="33"/>
      <c r="I20" s="129"/>
      <c r="K20" s="125"/>
    </row>
    <row r="21" spans="1:11" ht="30.75" customHeight="1">
      <c r="A21" s="752"/>
      <c r="B21" s="753"/>
      <c r="C21" s="128"/>
      <c r="D21" s="107"/>
      <c r="E21" s="33"/>
      <c r="I21" s="129"/>
      <c r="K21" s="125"/>
    </row>
    <row r="22" spans="1:11">
      <c r="A22" s="752"/>
      <c r="B22" s="753"/>
      <c r="C22" s="129"/>
      <c r="E22" s="33"/>
      <c r="I22" s="129"/>
      <c r="K22" s="125"/>
    </row>
    <row r="23" spans="1:11">
      <c r="A23" s="752"/>
      <c r="B23" s="753"/>
      <c r="C23" s="129"/>
      <c r="E23" s="33"/>
      <c r="I23" s="129"/>
      <c r="K23" s="125"/>
    </row>
    <row r="24" spans="1:11">
      <c r="A24" s="752"/>
      <c r="B24" s="753"/>
      <c r="C24" s="129"/>
      <c r="E24" s="33"/>
      <c r="I24" s="129"/>
      <c r="K24" s="125"/>
    </row>
    <row r="25" spans="1:11">
      <c r="A25" s="752"/>
      <c r="B25" s="753"/>
      <c r="C25" s="129"/>
      <c r="E25" s="33"/>
      <c r="I25" s="129"/>
      <c r="K25" s="125"/>
    </row>
    <row r="26" spans="1:11">
      <c r="A26" s="752"/>
      <c r="B26" s="753"/>
      <c r="C26" s="129"/>
      <c r="E26" s="33"/>
      <c r="I26" s="129"/>
      <c r="K26" s="125"/>
    </row>
    <row r="27" spans="1:11">
      <c r="A27" s="752"/>
      <c r="B27" s="753"/>
      <c r="C27" s="129"/>
      <c r="E27" s="33"/>
      <c r="I27" s="129"/>
      <c r="K27" s="125"/>
    </row>
    <row r="28" spans="1:11">
      <c r="A28" s="752"/>
      <c r="B28" s="753"/>
      <c r="C28" s="129"/>
      <c r="E28" s="33"/>
      <c r="I28" s="129"/>
      <c r="K28" s="125"/>
    </row>
    <row r="29" spans="1:11">
      <c r="A29" s="752"/>
      <c r="B29" s="753"/>
      <c r="C29" s="129"/>
      <c r="E29" s="33"/>
      <c r="I29" s="129"/>
      <c r="K29" s="125"/>
    </row>
    <row r="30" spans="1:11">
      <c r="A30" s="752"/>
      <c r="B30" s="753"/>
      <c r="C30" s="129"/>
      <c r="E30" s="33"/>
      <c r="I30" s="129"/>
      <c r="K30" s="125"/>
    </row>
    <row r="31" spans="1:11">
      <c r="A31" s="752"/>
      <c r="B31" s="753"/>
      <c r="C31" s="129"/>
      <c r="E31" s="33"/>
      <c r="I31" s="129"/>
      <c r="K31" s="125"/>
    </row>
    <row r="32" spans="1:11">
      <c r="A32" s="752"/>
      <c r="B32" s="753"/>
      <c r="C32" s="129"/>
      <c r="E32" s="33"/>
      <c r="I32" s="129"/>
      <c r="K32" s="125"/>
    </row>
    <row r="33" spans="1:11" ht="24.75" customHeight="1">
      <c r="A33" s="752"/>
      <c r="B33" s="753"/>
      <c r="C33" s="129"/>
      <c r="E33" s="33"/>
      <c r="I33" s="129"/>
      <c r="K33" s="125"/>
    </row>
    <row r="34" spans="1:11" ht="22.5" customHeight="1">
      <c r="A34" s="752"/>
      <c r="B34" s="753"/>
      <c r="C34" s="129"/>
      <c r="E34" s="33"/>
      <c r="I34" s="129"/>
      <c r="K34" s="125"/>
    </row>
    <row r="35" spans="1:11">
      <c r="A35" s="752"/>
      <c r="B35" s="753"/>
      <c r="C35" s="129"/>
      <c r="E35" s="33"/>
      <c r="I35" s="129"/>
      <c r="K35" s="125"/>
    </row>
    <row r="36" spans="1:11" ht="3.75" customHeight="1" thickBot="1">
      <c r="A36" s="754"/>
      <c r="B36" s="755"/>
      <c r="C36" s="130"/>
      <c r="D36" s="131"/>
      <c r="E36" s="132"/>
      <c r="F36" s="131"/>
      <c r="G36" s="131"/>
      <c r="H36" s="131"/>
      <c r="I36" s="130"/>
      <c r="J36" s="131"/>
      <c r="K36" s="133"/>
    </row>
  </sheetData>
  <mergeCells count="16">
    <mergeCell ref="A7:B7"/>
    <mergeCell ref="C5:K5"/>
    <mergeCell ref="C14:K14"/>
    <mergeCell ref="C1:E4"/>
    <mergeCell ref="G1:G2"/>
    <mergeCell ref="F1:F4"/>
    <mergeCell ref="G3:G4"/>
    <mergeCell ref="H1:I2"/>
    <mergeCell ref="H3:H4"/>
    <mergeCell ref="I3:I4"/>
    <mergeCell ref="J1:J2"/>
    <mergeCell ref="A8:B36"/>
    <mergeCell ref="J3:J4"/>
    <mergeCell ref="E15:K15"/>
    <mergeCell ref="H6:I6"/>
    <mergeCell ref="B1:B4"/>
  </mergeCells>
  <conditionalFormatting sqref="G7:G13">
    <cfRule type="dataBar" priority="4">
      <dataBar>
        <cfvo type="min"/>
        <cfvo type="max"/>
        <color rgb="FF008AEF"/>
      </dataBar>
      <extLst>
        <ext xmlns:x14="http://schemas.microsoft.com/office/spreadsheetml/2009/9/main" uri="{B025F937-C7B1-47D3-B67F-A62EFF666E3E}">
          <x14:id>{C1EBDE44-A377-466C-94AE-62DA17279F7B}</x14:id>
        </ext>
      </extLst>
    </cfRule>
  </conditionalFormatting>
  <conditionalFormatting sqref="D16:D21">
    <cfRule type="dataBar" priority="2">
      <dataBar>
        <cfvo type="min"/>
        <cfvo type="max"/>
        <color rgb="FF638EC6"/>
      </dataBar>
      <extLst>
        <ext xmlns:x14="http://schemas.microsoft.com/office/spreadsheetml/2009/9/main" uri="{B025F937-C7B1-47D3-B67F-A62EFF666E3E}">
          <x14:id>{8F56B9F4-6281-409C-98F3-9DE11D70DE5C}</x14:id>
        </ext>
      </extLst>
    </cfRule>
  </conditionalFormatting>
  <conditionalFormatting sqref="D16:D21">
    <cfRule type="dataBar" priority="1">
      <dataBar>
        <cfvo type="min"/>
        <cfvo type="max"/>
        <color rgb="FF008AEF"/>
      </dataBar>
      <extLst>
        <ext xmlns:x14="http://schemas.microsoft.com/office/spreadsheetml/2009/9/main" uri="{B025F937-C7B1-47D3-B67F-A62EFF666E3E}">
          <x14:id>{67592C71-CFF5-4C9A-AC36-3082D6BDDBB7}</x14:id>
        </ext>
      </extLst>
    </cfRule>
  </conditionalFormatting>
  <hyperlinks>
    <hyperlink ref="A7:B7" location="'Home'!A1" display="Home" xr:uid="{16FEAF61-7CE9-4A74-9739-993EA03095F8}"/>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C1EBDE44-A377-466C-94AE-62DA17279F7B}">
            <x14:dataBar minLength="0" maxLength="100" border="1" negativeBarBorderColorSameAsPositive="0">
              <x14:cfvo type="autoMin"/>
              <x14:cfvo type="autoMax"/>
              <x14:borderColor rgb="FF008AEF"/>
              <x14:negativeFillColor rgb="FFFF0000"/>
              <x14:negativeBorderColor rgb="FFFF0000"/>
              <x14:axisColor rgb="FF000000"/>
            </x14:dataBar>
          </x14:cfRule>
          <xm:sqref>G7:G13</xm:sqref>
        </x14:conditionalFormatting>
        <x14:conditionalFormatting xmlns:xm="http://schemas.microsoft.com/office/excel/2006/main">
          <x14:cfRule type="dataBar" id="{8F56B9F4-6281-409C-98F3-9DE11D70DE5C}">
            <x14:dataBar minLength="0" maxLength="100" border="1" negativeBarColorSameAsPositive="1" negativeBarBorderColorSameAsPositive="0" axisPosition="none">
              <x14:cfvo type="autoMin"/>
              <x14:cfvo type="autoMax"/>
              <x14:borderColor rgb="FF638EC6"/>
              <x14:negativeBorderColor rgb="FF638EC6"/>
            </x14:dataBar>
          </x14:cfRule>
          <xm:sqref>D16:D21</xm:sqref>
        </x14:conditionalFormatting>
        <x14:conditionalFormatting xmlns:xm="http://schemas.microsoft.com/office/excel/2006/main">
          <x14:cfRule type="dataBar" id="{67592C71-CFF5-4C9A-AC36-3082D6BDDBB7}">
            <x14:dataBar minLength="0" maxLength="100" border="1" negativeBarColorSameAsPositive="1" negativeBarBorderColorSameAsPositive="0" axisPosition="none">
              <x14:cfvo type="autoMin"/>
              <x14:cfvo type="autoMax"/>
              <x14:borderColor rgb="FF008AEF"/>
              <x14:negativeBorderColor rgb="FF638EC6"/>
            </x14:dataBar>
          </x14:cfRule>
          <xm:sqref>D16:D21</xm:sqref>
        </x14:conditionalFormatting>
        <x14:conditionalFormatting xmlns:xm="http://schemas.microsoft.com/office/excel/2006/main">
          <x14:cfRule type="iconSet" priority="3" id="{12186161-1E45-47C9-934E-21AB84D6C28F}">
            <x14:iconSet iconSet="3Triangles">
              <x14:cfvo type="percent">
                <xm:f>0</xm:f>
              </x14:cfvo>
              <x14:cfvo type="num">
                <xm:f>0</xm:f>
              </x14:cfvo>
              <x14:cfvo type="num" gte="0">
                <xm:f>0</xm:f>
              </x14:cfvo>
            </x14:iconSet>
          </x14:cfRule>
          <xm:sqref>I3:I4</xm:sqref>
        </x14:conditionalFormatting>
        <x14:conditionalFormatting xmlns:xm="http://schemas.microsoft.com/office/excel/2006/main">
          <x14:cfRule type="iconSet" priority="5" id="{FEB69D76-1D61-43B0-909C-23781D99D858}">
            <x14:iconSet iconSet="3Triangles">
              <x14:cfvo type="percent">
                <xm:f>0</xm:f>
              </x14:cfvo>
              <x14:cfvo type="num">
                <xm:f>0</xm:f>
              </x14:cfvo>
              <x14:cfvo type="num" gte="0">
                <xm:f>0</xm:f>
              </x14:cfvo>
            </x14:iconSet>
          </x14:cfRule>
          <xm:sqref>I7:I13</xm:sqref>
        </x14:conditionalFormatting>
      </x14:conditionalFormattings>
    </ext>
    <ext xmlns:x14="http://schemas.microsoft.com/office/spreadsheetml/2009/9/main" uri="{05C60535-1F16-4fd2-B633-F4F36F0B64E0}">
      <x14:sparklineGroups xmlns:xm="http://schemas.microsoft.com/office/excel/2006/main">
        <x14:sparklineGroup lineWeight="1.5" displayEmptyCellsAs="gap" negative="1" xr2:uid="{B5D8F293-DB61-4C10-8F84-179A713B8B07}">
          <x14:colorSeries theme="4"/>
          <x14:colorNegative theme="5"/>
          <x14:colorAxis rgb="FF000000"/>
          <x14:colorMarkers theme="4" tint="-0.249977111117893"/>
          <x14:colorFirst theme="4" tint="-0.249977111117893"/>
          <x14:colorLast theme="4" tint="-0.249977111117893"/>
          <x14:colorHigh theme="4" tint="-0.249977111117893"/>
          <x14:colorLow theme="4" tint="-0.249977111117893"/>
          <x14:sparklines>
            <x14:sparkline>
              <xm:f>'Stock Investment Tracker'!M7:JF7</xm:f>
              <xm:sqref>K7</xm:sqref>
            </x14:sparkline>
            <x14:sparkline>
              <xm:f>'Stock Investment Tracker'!M8:JF8</xm:f>
              <xm:sqref>K8</xm:sqref>
            </x14:sparkline>
            <x14:sparkline>
              <xm:f>'Stock Investment Tracker'!M9:JF9</xm:f>
              <xm:sqref>K9</xm:sqref>
            </x14:sparkline>
            <x14:sparkline>
              <xm:f>'Stock Investment Tracker'!M10:JF10</xm:f>
              <xm:sqref>K10</xm:sqref>
            </x14:sparkline>
            <x14:sparkline>
              <xm:f>'Stock Investment Tracker'!M11:JF11</xm:f>
              <xm:sqref>K11</xm:sqref>
            </x14:sparkline>
            <x14:sparkline>
              <xm:f>'Stock Investment Tracker'!M12:JF12</xm:f>
              <xm:sqref>K12</xm:sqref>
            </x14:sparkline>
            <x14:sparkline>
              <xm:f>'Stock Investment Tracker'!M13:JF13</xm:f>
              <xm:sqref>K13</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88776-C531-4994-9EEB-4F67235EB571}">
  <sheetPr codeName="Sheet11">
    <tabColor rgb="FF548235"/>
  </sheetPr>
  <dimension ref="A1:K9"/>
  <sheetViews>
    <sheetView zoomScale="70" zoomScaleNormal="70" workbookViewId="0">
      <selection activeCell="F17" sqref="F17"/>
    </sheetView>
  </sheetViews>
  <sheetFormatPr defaultRowHeight="14.5"/>
  <cols>
    <col min="1" max="1" width="29.26953125" customWidth="1"/>
    <col min="2" max="2" width="14.81640625" customWidth="1"/>
    <col min="3" max="3" width="17.1796875" customWidth="1"/>
    <col min="4" max="5" width="16.81640625" customWidth="1"/>
    <col min="6" max="6" width="12.453125" customWidth="1"/>
    <col min="7" max="7" width="11.26953125" customWidth="1"/>
    <col min="8" max="8" width="13.7265625" customWidth="1"/>
    <col min="10" max="10" width="13.1796875" bestFit="1" customWidth="1"/>
    <col min="11" max="11" width="14.7265625" bestFit="1" customWidth="1"/>
  </cols>
  <sheetData>
    <row r="1" spans="1:11">
      <c r="A1" s="761" t="s">
        <v>456</v>
      </c>
      <c r="B1" s="761"/>
      <c r="C1" s="761"/>
      <c r="D1" s="761"/>
      <c r="E1" s="761"/>
      <c r="F1" s="761"/>
      <c r="G1" s="761"/>
      <c r="H1" s="761"/>
    </row>
    <row r="2" spans="1:11">
      <c r="A2" s="761"/>
      <c r="B2" s="761"/>
      <c r="C2" s="761"/>
      <c r="D2" s="761"/>
      <c r="E2" s="761"/>
      <c r="F2" s="761"/>
      <c r="G2" s="761"/>
      <c r="H2" s="761"/>
    </row>
    <row r="3" spans="1:11">
      <c r="A3" s="761"/>
      <c r="B3" s="761"/>
      <c r="C3" s="761"/>
      <c r="D3" s="761"/>
      <c r="E3" s="761"/>
      <c r="F3" s="761"/>
      <c r="G3" s="761"/>
      <c r="H3" s="761"/>
    </row>
    <row r="4" spans="1:11">
      <c r="A4" s="141" t="s">
        <v>457</v>
      </c>
      <c r="B4" s="141" t="s">
        <v>458</v>
      </c>
      <c r="C4" s="141" t="s">
        <v>459</v>
      </c>
      <c r="D4" s="141" t="s">
        <v>460</v>
      </c>
      <c r="E4" s="141" t="s">
        <v>461</v>
      </c>
      <c r="F4" s="141" t="s">
        <v>436</v>
      </c>
      <c r="G4" s="141" t="s">
        <v>462</v>
      </c>
      <c r="H4" s="141" t="s">
        <v>463</v>
      </c>
      <c r="J4" s="134" t="s">
        <v>457</v>
      </c>
      <c r="K4" t="s">
        <v>464</v>
      </c>
    </row>
    <row r="5" spans="1:11">
      <c r="A5" s="142" t="e" vm="1245">
        <v>#VALUE!</v>
      </c>
      <c r="B5" s="142" t="str" cm="1">
        <f t="array" ref="B5">_FV(WatchList[[#This Row],[Stocks]],"Exchange abbreviation",TRUE)</f>
        <v>XASX</v>
      </c>
      <c r="C5" s="142" t="str" cm="1">
        <f t="array" ref="C5">_FV(WatchList[[#This Row],[Stocks]],"Ticker symbol",TRUE)</f>
        <v>BLD</v>
      </c>
      <c r="D5" s="143" cm="1">
        <f t="array" ref="D5">_FV(WatchList[[#This Row],[Stocks]],"52 week high",TRUE)</f>
        <v>7.43</v>
      </c>
      <c r="E5" s="143" cm="1">
        <f t="array" ref="E5">_FV(WatchList[[#This Row],[Stocks]],"52 week low",TRUE)</f>
        <v>4.79</v>
      </c>
      <c r="F5" s="143" cm="1">
        <f t="array" ref="F5">_FV(WatchList[[#This Row],[Stocks]],"Price")</f>
        <v>5.81</v>
      </c>
      <c r="G5" s="143" cm="1">
        <f t="array" ref="G5">_FV(WatchList[[#This Row],[Stocks]],"P/E",TRUE)</f>
        <v>11.26</v>
      </c>
      <c r="H5" s="143" cm="1">
        <f t="array" ref="H5">_FV(WatchList[[#This Row],[Stocks]],"Change")</f>
        <v>-0.1</v>
      </c>
    </row>
    <row r="6" spans="1:11">
      <c r="A6" s="142" t="e" vm="1246">
        <v>#VALUE!</v>
      </c>
      <c r="B6" s="142" t="str" cm="1">
        <f t="array" ref="B6">_FV(WatchList[[#This Row],[Stocks]],"Exchange abbreviation",TRUE)</f>
        <v>XASX</v>
      </c>
      <c r="C6" s="142" t="str" cm="1">
        <f t="array" ref="C6">_FV(WatchList[[#This Row],[Stocks]],"Ticker symbol",TRUE)</f>
        <v>ASB</v>
      </c>
      <c r="D6" s="143" cm="1">
        <f t="array" ref="D6">_FV(WatchList[[#This Row],[Stocks]],"52 week high",TRUE)</f>
        <v>2.66</v>
      </c>
      <c r="E6" s="143" cm="1">
        <f t="array" ref="E6">_FV(WatchList[[#This Row],[Stocks]],"52 week low",TRUE)</f>
        <v>1.61</v>
      </c>
      <c r="F6" s="143" cm="1">
        <f t="array" ref="F6">_FV(WatchList[[#This Row],[Stocks]],"Price")</f>
        <v>1.95</v>
      </c>
      <c r="G6" s="143" cm="1">
        <f t="array" ref="G6">_FV(WatchList[[#This Row],[Stocks]],"P/E",TRUE)</f>
        <v>8.76</v>
      </c>
      <c r="H6" s="143" cm="1">
        <f t="array" ref="H6">_FV(WatchList[[#This Row],[Stocks]],"Change")</f>
        <v>-0.03</v>
      </c>
      <c r="J6" s="134" t="s">
        <v>458</v>
      </c>
      <c r="K6" s="134" t="s">
        <v>459</v>
      </c>
    </row>
    <row r="7" spans="1:11">
      <c r="A7" s="142" t="e" vm="1247">
        <v>#VALUE!</v>
      </c>
      <c r="B7" s="142" t="str" cm="1">
        <f t="array" ref="B7">_FV(WatchList[[#This Row],[Stocks]],"Exchange abbreviation",TRUE)</f>
        <v>XNYS</v>
      </c>
      <c r="C7" s="142" t="str" cm="1">
        <f t="array" ref="C7">_FV(WatchList[[#This Row],[Stocks]],"Ticker symbol",TRUE)</f>
        <v>NKE</v>
      </c>
      <c r="D7" s="143" cm="1">
        <f t="array" ref="D7">_FV(WatchList[[#This Row],[Stocks]],"52 week high",TRUE)</f>
        <v>179.1</v>
      </c>
      <c r="E7" s="143" cm="1">
        <f t="array" ref="E7">_FV(WatchList[[#This Row],[Stocks]],"52 week low",TRUE)</f>
        <v>125.44</v>
      </c>
      <c r="F7" s="143" cm="1">
        <f t="array" ref="F7">_FV(WatchList[[#This Row],[Stocks]],"Price")</f>
        <v>143.61500000000001</v>
      </c>
      <c r="G7" s="143" cm="1">
        <f t="array" ref="G7">_FV(WatchList[[#This Row],[Stocks]],"P/E",TRUE)</f>
        <v>38.252299999999998</v>
      </c>
      <c r="H7" s="143" cm="1">
        <f t="array" ref="H7">_FV(WatchList[[#This Row],[Stocks]],"Change")</f>
        <v>-2.3849999999999998</v>
      </c>
      <c r="J7" t="s">
        <v>465</v>
      </c>
      <c r="K7" t="s">
        <v>466</v>
      </c>
    </row>
    <row r="8" spans="1:11">
      <c r="J8" t="s">
        <v>465</v>
      </c>
      <c r="K8" t="s">
        <v>467</v>
      </c>
    </row>
    <row r="9" spans="1:11">
      <c r="J9" t="s">
        <v>468</v>
      </c>
      <c r="K9" t="s">
        <v>469</v>
      </c>
    </row>
  </sheetData>
  <mergeCells count="1">
    <mergeCell ref="A1:H3"/>
  </mergeCell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6F69F-924F-4C74-A638-19662359B249}">
  <sheetPr codeName="Sheet12">
    <tabColor rgb="FF548235"/>
  </sheetPr>
  <dimension ref="A1:IW25"/>
  <sheetViews>
    <sheetView workbookViewId="0">
      <selection sqref="A1:H3"/>
    </sheetView>
  </sheetViews>
  <sheetFormatPr defaultRowHeight="14.5"/>
  <cols>
    <col min="1" max="1" width="11.1796875" customWidth="1"/>
    <col min="2" max="2" width="25.7265625" bestFit="1" customWidth="1"/>
  </cols>
  <sheetData>
    <row r="1" spans="1:257">
      <c r="A1" s="134" t="s">
        <v>457</v>
      </c>
      <c r="B1" t="s">
        <v>470</v>
      </c>
    </row>
    <row r="3" spans="1:257">
      <c r="A3" s="134" t="s">
        <v>458</v>
      </c>
      <c r="B3" s="134" t="s">
        <v>459</v>
      </c>
    </row>
    <row r="4" spans="1:257">
      <c r="A4" t="s">
        <v>465</v>
      </c>
      <c r="B4" t="s">
        <v>467</v>
      </c>
      <c r="C4" cm="1" vm="1248">
        <f t="array" aca="1" ref="C4:IW4" ca="1">TRANSPOSE(_xlfn.STOCKHISTORY(A4&amp;":"&amp;B4, TODAY()-365, TODAY(), 0, 0, 1))</f>
        <v>5.03</v>
      </c>
      <c r="D4" vm="876">
        <f ca="1"/>
        <v>5.08</v>
      </c>
      <c r="E4" vm="1249">
        <f ca="1"/>
        <v>4.83</v>
      </c>
      <c r="F4" vm="1250">
        <f ca="1"/>
        <v>4.84</v>
      </c>
      <c r="G4" vm="1251">
        <f ca="1"/>
        <v>4.99</v>
      </c>
      <c r="H4" vm="874">
        <f ca="1"/>
        <v>5.2</v>
      </c>
      <c r="I4" vm="1252">
        <f ca="1"/>
        <v>5.36</v>
      </c>
      <c r="J4" vm="889">
        <f ca="1"/>
        <v>5.42</v>
      </c>
      <c r="K4" vm="1253">
        <f ca="1"/>
        <v>5.47</v>
      </c>
      <c r="L4" vm="901">
        <f ca="1"/>
        <v>5.41</v>
      </c>
      <c r="M4" vm="883">
        <f ca="1"/>
        <v>5.01</v>
      </c>
      <c r="N4" vm="903">
        <f ca="1"/>
        <v>5.0599999999999996</v>
      </c>
      <c r="O4" vm="1254">
        <f ca="1"/>
        <v>5.07</v>
      </c>
      <c r="P4" vm="1255">
        <f ca="1"/>
        <v>5.04</v>
      </c>
      <c r="Q4" vm="1256">
        <f ca="1"/>
        <v>5.09</v>
      </c>
      <c r="R4" vm="903">
        <f ca="1"/>
        <v>5.0599999999999996</v>
      </c>
      <c r="S4" vm="868">
        <f ca="1"/>
        <v>5.12</v>
      </c>
      <c r="T4" vm="868">
        <f ca="1"/>
        <v>5.12</v>
      </c>
      <c r="U4" vm="902">
        <f ca="1"/>
        <v>5.1100000000000003</v>
      </c>
      <c r="V4" vm="876">
        <f ca="1"/>
        <v>5.08</v>
      </c>
      <c r="W4" vm="865">
        <f ca="1"/>
        <v>5.15</v>
      </c>
      <c r="X4" vm="902">
        <f ca="1"/>
        <v>5.1100000000000003</v>
      </c>
      <c r="Y4" vm="884">
        <f ca="1"/>
        <v>5.24</v>
      </c>
      <c r="Z4" vm="866">
        <f ca="1"/>
        <v>5.18</v>
      </c>
      <c r="AA4" vm="894">
        <f ca="1"/>
        <v>5.3</v>
      </c>
      <c r="AB4" vm="872">
        <f ca="1"/>
        <v>5.29</v>
      </c>
      <c r="AC4" vm="890">
        <f ca="1"/>
        <v>5.37</v>
      </c>
      <c r="AD4" vm="872">
        <f ca="1"/>
        <v>5.29</v>
      </c>
      <c r="AE4" vm="1257">
        <f ca="1"/>
        <v>5.28</v>
      </c>
      <c r="AF4" vm="1252">
        <f ca="1"/>
        <v>5.36</v>
      </c>
      <c r="AG4" vm="892">
        <f ca="1"/>
        <v>5.52</v>
      </c>
      <c r="AH4" vm="1258">
        <f ca="1"/>
        <v>5.56</v>
      </c>
      <c r="AI4" vm="1259">
        <f ca="1"/>
        <v>5.53</v>
      </c>
      <c r="AJ4" vm="1260">
        <f ca="1"/>
        <v>5.65</v>
      </c>
      <c r="AK4" vm="1261">
        <f ca="1"/>
        <v>5.66</v>
      </c>
      <c r="AL4" vm="1262">
        <f ca="1"/>
        <v>5.67</v>
      </c>
      <c r="AM4" vm="1263">
        <f ca="1"/>
        <v>5.62</v>
      </c>
      <c r="AN4" vm="1264">
        <f ca="1"/>
        <v>5.5</v>
      </c>
      <c r="AO4" vm="1265">
        <f ca="1"/>
        <v>5.48</v>
      </c>
      <c r="AP4" vm="1264">
        <f ca="1"/>
        <v>5.5</v>
      </c>
      <c r="AQ4" vm="1266">
        <f ca="1"/>
        <v>5.4</v>
      </c>
      <c r="AR4" vm="1266">
        <f ca="1"/>
        <v>5.4</v>
      </c>
      <c r="AS4" vm="1253">
        <f ca="1"/>
        <v>5.47</v>
      </c>
      <c r="AT4" vm="1267">
        <f ca="1"/>
        <v>5.49</v>
      </c>
      <c r="AU4" vm="1268">
        <f ca="1"/>
        <v>5.44</v>
      </c>
      <c r="AV4" vm="900">
        <f ca="1"/>
        <v>5.35</v>
      </c>
      <c r="AW4" vm="1267">
        <f ca="1"/>
        <v>5.49</v>
      </c>
      <c r="AX4" vm="1269">
        <f ca="1"/>
        <v>5.86</v>
      </c>
      <c r="AY4" vm="1270">
        <f ca="1"/>
        <v>5.85</v>
      </c>
      <c r="AZ4" vm="1271">
        <f ca="1"/>
        <v>5.83</v>
      </c>
      <c r="BA4" vm="1272">
        <f ca="1"/>
        <v>5.94</v>
      </c>
      <c r="BB4" vm="1273">
        <f ca="1"/>
        <v>5.96</v>
      </c>
      <c r="BC4" vm="1274">
        <f ca="1"/>
        <v>5.95</v>
      </c>
      <c r="BD4" vm="1274">
        <f ca="1"/>
        <v>5.95</v>
      </c>
      <c r="BE4" vm="1275">
        <f ca="1"/>
        <v>5.98</v>
      </c>
      <c r="BF4" vm="1276">
        <f ca="1"/>
        <v>6.01</v>
      </c>
      <c r="BG4" vm="1274">
        <f ca="1"/>
        <v>5.95</v>
      </c>
      <c r="BH4" vm="1277">
        <f ca="1"/>
        <v>6.06</v>
      </c>
      <c r="BI4" vm="1275">
        <f ca="1"/>
        <v>5.98</v>
      </c>
      <c r="BJ4" vm="1278">
        <f ca="1"/>
        <v>6.05</v>
      </c>
      <c r="BK4" vm="1279">
        <f ca="1"/>
        <v>6.15</v>
      </c>
      <c r="BL4" vm="1280">
        <f ca="1"/>
        <v>6.23</v>
      </c>
      <c r="BM4" vm="1281">
        <f ca="1"/>
        <v>6.26</v>
      </c>
      <c r="BN4" vm="1282">
        <f ca="1"/>
        <v>6.3</v>
      </c>
      <c r="BO4" vm="1283">
        <f ca="1"/>
        <v>6.35</v>
      </c>
      <c r="BP4" vm="1284">
        <f ca="1"/>
        <v>6.28</v>
      </c>
      <c r="BQ4" vm="1285">
        <f ca="1"/>
        <v>6.2</v>
      </c>
      <c r="BR4" vm="1286">
        <f ca="1"/>
        <v>6.17</v>
      </c>
      <c r="BS4" vm="1284">
        <f ca="1"/>
        <v>6.28</v>
      </c>
      <c r="BT4" vm="1287">
        <f ca="1"/>
        <v>6.33</v>
      </c>
      <c r="BU4" vm="1288">
        <f ca="1"/>
        <v>6.4</v>
      </c>
      <c r="BV4" vm="1289">
        <f ca="1"/>
        <v>6.44</v>
      </c>
      <c r="BW4" vm="1290">
        <f ca="1"/>
        <v>6.5</v>
      </c>
      <c r="BX4" vm="1291">
        <f ca="1"/>
        <v>6.72</v>
      </c>
      <c r="BY4" vm="1292">
        <f ca="1"/>
        <v>6.8</v>
      </c>
      <c r="BZ4" vm="1293">
        <f ca="1"/>
        <v>6.76</v>
      </c>
      <c r="CA4" vm="1294">
        <f ca="1"/>
        <v>6.77</v>
      </c>
      <c r="CB4" vm="1295">
        <f ca="1"/>
        <v>6.78</v>
      </c>
      <c r="CC4" vm="1296">
        <f ca="1"/>
        <v>6.79</v>
      </c>
      <c r="CD4" vm="1297">
        <f ca="1"/>
        <v>6.75</v>
      </c>
      <c r="CE4" vm="1295">
        <f ca="1"/>
        <v>6.78</v>
      </c>
      <c r="CF4" vm="1295">
        <f ca="1"/>
        <v>6.78</v>
      </c>
      <c r="CG4" vm="1298">
        <f ca="1"/>
        <v>6.73</v>
      </c>
      <c r="CH4" vm="1299">
        <f ca="1"/>
        <v>6.74</v>
      </c>
      <c r="CI4" vm="1292">
        <f ca="1"/>
        <v>6.8</v>
      </c>
      <c r="CJ4" vm="1299">
        <f ca="1"/>
        <v>6.74</v>
      </c>
      <c r="CK4" vm="1300">
        <f ca="1"/>
        <v>6.86</v>
      </c>
      <c r="CL4" vm="1301">
        <f ca="1"/>
        <v>6.81</v>
      </c>
      <c r="CM4" vm="1302">
        <f ca="1"/>
        <v>6.82</v>
      </c>
      <c r="CN4" vm="1303">
        <f ca="1"/>
        <v>6.91</v>
      </c>
      <c r="CO4" vm="1303">
        <f ca="1"/>
        <v>6.91</v>
      </c>
      <c r="CP4" vm="1304">
        <f ca="1"/>
        <v>6.92</v>
      </c>
      <c r="CQ4" vm="1304">
        <f ca="1"/>
        <v>6.92</v>
      </c>
      <c r="CR4" vm="1305">
        <f ca="1"/>
        <v>6.85</v>
      </c>
      <c r="CS4" vm="1306">
        <f ca="1"/>
        <v>6.88</v>
      </c>
      <c r="CT4" vm="1307">
        <f ca="1"/>
        <v>6.83</v>
      </c>
      <c r="CU4" vm="1293">
        <f ca="1"/>
        <v>6.76</v>
      </c>
      <c r="CV4" vm="1296">
        <f ca="1"/>
        <v>6.79</v>
      </c>
      <c r="CW4" vm="1293">
        <f ca="1"/>
        <v>6.76</v>
      </c>
      <c r="CX4" vm="1298">
        <f ca="1"/>
        <v>6.73</v>
      </c>
      <c r="CY4" vm="1295">
        <f ca="1"/>
        <v>6.78</v>
      </c>
      <c r="CZ4" vm="1308">
        <f ca="1"/>
        <v>6.87</v>
      </c>
      <c r="DA4" vm="1305">
        <f ca="1"/>
        <v>6.85</v>
      </c>
      <c r="DB4" vm="1309">
        <f ca="1"/>
        <v>7.16</v>
      </c>
      <c r="DC4" vm="1310">
        <f ca="1"/>
        <v>6.9</v>
      </c>
      <c r="DD4" vm="1311">
        <f ca="1"/>
        <v>7.34</v>
      </c>
      <c r="DE4" vm="1311">
        <f ca="1"/>
        <v>7.34</v>
      </c>
      <c r="DF4" vm="1311">
        <f ca="1"/>
        <v>7.34</v>
      </c>
      <c r="DG4" vm="1312">
        <f ca="1"/>
        <v>7.35</v>
      </c>
      <c r="DH4" vm="1313">
        <f ca="1"/>
        <v>7.36</v>
      </c>
      <c r="DI4" vm="1313">
        <f ca="1"/>
        <v>7.36</v>
      </c>
      <c r="DJ4" vm="1314">
        <f ca="1"/>
        <v>7.37</v>
      </c>
      <c r="DK4" vm="1315">
        <f ca="1"/>
        <v>7.38</v>
      </c>
      <c r="DL4" vm="1316">
        <f ca="1"/>
        <v>7.4</v>
      </c>
      <c r="DM4" vm="1317">
        <f ca="1"/>
        <v>7.39</v>
      </c>
      <c r="DN4" vm="1317">
        <f ca="1"/>
        <v>7.39</v>
      </c>
      <c r="DO4" vm="1317">
        <f ca="1"/>
        <v>7.39</v>
      </c>
      <c r="DP4" vm="1317">
        <f ca="1"/>
        <v>7.39</v>
      </c>
      <c r="DQ4" vm="1312">
        <f ca="1"/>
        <v>7.35</v>
      </c>
      <c r="DR4" vm="1315">
        <f ca="1"/>
        <v>7.38</v>
      </c>
      <c r="DS4" vm="1315">
        <f ca="1"/>
        <v>7.38</v>
      </c>
      <c r="DT4" vm="1315">
        <f ca="1"/>
        <v>7.38</v>
      </c>
      <c r="DU4" vm="1315">
        <f ca="1"/>
        <v>7.38</v>
      </c>
      <c r="DV4" vm="1316">
        <f ca="1"/>
        <v>7.4</v>
      </c>
      <c r="DW4" vm="1316">
        <f ca="1"/>
        <v>7.4</v>
      </c>
      <c r="DX4" vm="1318">
        <f ca="1"/>
        <v>7.41</v>
      </c>
      <c r="DY4" vm="1318">
        <f ca="1"/>
        <v>7.41</v>
      </c>
      <c r="DZ4" vm="1316">
        <f ca="1"/>
        <v>7.4</v>
      </c>
      <c r="EA4" vm="1316">
        <f ca="1"/>
        <v>7.4</v>
      </c>
      <c r="EB4" vm="1311">
        <f ca="1"/>
        <v>7.34</v>
      </c>
      <c r="EC4" vm="1319">
        <f ca="1"/>
        <v>7.18</v>
      </c>
      <c r="ED4" vm="1306">
        <f ca="1"/>
        <v>6.88</v>
      </c>
      <c r="EE4" vm="1320">
        <f ca="1"/>
        <v>7.13</v>
      </c>
      <c r="EF4" vm="1321">
        <f ca="1"/>
        <v>7.08</v>
      </c>
      <c r="EG4" vm="1322">
        <f ca="1"/>
        <v>7.11</v>
      </c>
      <c r="EH4" vm="1323">
        <f ca="1"/>
        <v>7.03</v>
      </c>
      <c r="EI4" vm="1324">
        <f ca="1"/>
        <v>7.04</v>
      </c>
      <c r="EJ4" vm="1325">
        <f ca="1"/>
        <v>7.01</v>
      </c>
      <c r="EK4" vm="1326">
        <f ca="1"/>
        <v>7.02</v>
      </c>
      <c r="EL4" vm="1327">
        <f ca="1"/>
        <v>6.97</v>
      </c>
      <c r="EM4" vm="1328">
        <f ca="1"/>
        <v>6.95</v>
      </c>
      <c r="EN4" vm="1307">
        <f ca="1"/>
        <v>6.83</v>
      </c>
      <c r="EO4" vm="1296">
        <f ca="1"/>
        <v>6.79</v>
      </c>
      <c r="EP4" vm="1329">
        <f ca="1"/>
        <v>6.71</v>
      </c>
      <c r="EQ4" vm="1330">
        <f ca="1"/>
        <v>6.66</v>
      </c>
      <c r="ER4" vm="1298">
        <f ca="1"/>
        <v>6.73</v>
      </c>
      <c r="ES4" vm="1305">
        <f ca="1"/>
        <v>6.85</v>
      </c>
      <c r="ET4" vm="1331">
        <f ca="1"/>
        <v>6.47</v>
      </c>
      <c r="EU4" vm="1282">
        <f ca="1"/>
        <v>6.3</v>
      </c>
      <c r="EV4" vm="1332">
        <f ca="1"/>
        <v>6.14</v>
      </c>
      <c r="EW4" vm="1333">
        <f ca="1"/>
        <v>6.12</v>
      </c>
      <c r="EX4" vm="1334">
        <f ca="1"/>
        <v>6.09</v>
      </c>
      <c r="EY4" vm="1335">
        <f ca="1"/>
        <v>6.1</v>
      </c>
      <c r="EZ4" vm="1336">
        <f ca="1"/>
        <v>6.02</v>
      </c>
      <c r="FA4" vm="1337">
        <f ca="1"/>
        <v>5.97</v>
      </c>
      <c r="FB4" vm="1338">
        <f ca="1"/>
        <v>6.03</v>
      </c>
      <c r="FC4" vm="1274">
        <f ca="1"/>
        <v>5.95</v>
      </c>
      <c r="FD4" vm="1339">
        <f ca="1"/>
        <v>5.99</v>
      </c>
      <c r="FE4" vm="1269">
        <f ca="1"/>
        <v>5.86</v>
      </c>
      <c r="FF4" vm="1340">
        <f ca="1"/>
        <v>5.79</v>
      </c>
      <c r="FG4" vm="1341">
        <f ca="1"/>
        <v>5.87</v>
      </c>
      <c r="FH4" vm="1342">
        <f ca="1"/>
        <v>6</v>
      </c>
      <c r="FI4" vm="1343">
        <f ca="1"/>
        <v>6.11</v>
      </c>
      <c r="FJ4" vm="1344">
        <f ca="1"/>
        <v>6.07</v>
      </c>
      <c r="FK4" vm="1345">
        <f ca="1"/>
        <v>6.16</v>
      </c>
      <c r="FL4" vm="1344">
        <f ca="1"/>
        <v>6.07</v>
      </c>
      <c r="FM4" vm="1334">
        <f ca="1"/>
        <v>6.09</v>
      </c>
      <c r="FN4" vm="1337">
        <f ca="1"/>
        <v>5.97</v>
      </c>
      <c r="FO4" vm="1276">
        <f ca="1"/>
        <v>6.01</v>
      </c>
      <c r="FP4" vm="1346">
        <f ca="1"/>
        <v>6.21</v>
      </c>
      <c r="FQ4" vm="1334">
        <f ca="1"/>
        <v>6.09</v>
      </c>
      <c r="FR4" vm="1277">
        <f ca="1"/>
        <v>6.06</v>
      </c>
      <c r="FS4" vm="1279">
        <f ca="1"/>
        <v>6.15</v>
      </c>
      <c r="FT4" vm="1276">
        <f ca="1"/>
        <v>6.01</v>
      </c>
      <c r="FU4" vm="1332">
        <f ca="1"/>
        <v>6.14</v>
      </c>
      <c r="FV4" vm="1337">
        <f ca="1"/>
        <v>5.97</v>
      </c>
      <c r="FW4" vm="1347">
        <f ca="1"/>
        <v>6.22</v>
      </c>
      <c r="FX4" vm="1348">
        <f ca="1"/>
        <v>6.24</v>
      </c>
      <c r="FY4" vm="1349">
        <f ca="1"/>
        <v>6.25</v>
      </c>
      <c r="FZ4" vm="1284">
        <f ca="1"/>
        <v>6.28</v>
      </c>
      <c r="GA4" vm="1350">
        <f ca="1"/>
        <v>6.19</v>
      </c>
      <c r="GB4" vm="1348">
        <f ca="1"/>
        <v>6.24</v>
      </c>
      <c r="GC4" vm="1351">
        <f ca="1"/>
        <v>6.18</v>
      </c>
      <c r="GD4" vm="1280">
        <f ca="1"/>
        <v>6.23</v>
      </c>
      <c r="GE4" vm="1352">
        <f ca="1"/>
        <v>6.27</v>
      </c>
      <c r="GF4" vm="1353">
        <f ca="1"/>
        <v>6.31</v>
      </c>
      <c r="GG4" vm="1352">
        <f ca="1"/>
        <v>6.27</v>
      </c>
      <c r="GH4" vm="1348">
        <f ca="1"/>
        <v>6.24</v>
      </c>
      <c r="GI4" vm="1349">
        <f ca="1"/>
        <v>6.25</v>
      </c>
      <c r="GJ4" vm="1353">
        <f ca="1"/>
        <v>6.31</v>
      </c>
      <c r="GK4" vm="1354">
        <f ca="1"/>
        <v>6.36</v>
      </c>
      <c r="GL4" vm="1355">
        <f ca="1"/>
        <v>6.37</v>
      </c>
      <c r="GM4" vm="1288">
        <f ca="1"/>
        <v>6.4</v>
      </c>
      <c r="GN4" vm="1356">
        <f ca="1"/>
        <v>6.32</v>
      </c>
      <c r="GO4" vm="1357">
        <f ca="1"/>
        <v>6.61</v>
      </c>
      <c r="GP4" vm="1358">
        <f ca="1"/>
        <v>6.38</v>
      </c>
      <c r="GQ4" vm="1359">
        <f ca="1"/>
        <v>6.41</v>
      </c>
      <c r="GR4" vm="1360">
        <f ca="1"/>
        <v>6.34</v>
      </c>
      <c r="GS4" vm="1290">
        <f ca="1"/>
        <v>6.5</v>
      </c>
      <c r="GT4" vm="1290">
        <f ca="1"/>
        <v>6.5</v>
      </c>
      <c r="GU4" vm="1361">
        <f ca="1"/>
        <v>6.63</v>
      </c>
      <c r="GV4" vm="1293">
        <f ca="1"/>
        <v>6.76</v>
      </c>
      <c r="GW4" vm="1357">
        <f ca="1"/>
        <v>6.61</v>
      </c>
      <c r="GX4" vm="1362">
        <f ca="1"/>
        <v>6.57</v>
      </c>
      <c r="GY4" vm="1290">
        <f ca="1"/>
        <v>6.5</v>
      </c>
      <c r="GZ4" vm="1290">
        <f ca="1"/>
        <v>6.5</v>
      </c>
      <c r="HA4" vm="1363">
        <f ca="1"/>
        <v>6.45</v>
      </c>
      <c r="HB4" vm="1364">
        <f ca="1"/>
        <v>6.29</v>
      </c>
      <c r="HC4" vm="1282">
        <f ca="1"/>
        <v>6.3</v>
      </c>
      <c r="HD4" vm="1287">
        <f ca="1"/>
        <v>6.33</v>
      </c>
      <c r="HE4" vm="1354">
        <f ca="1"/>
        <v>6.36</v>
      </c>
      <c r="HF4" vm="1354">
        <f ca="1"/>
        <v>6.36</v>
      </c>
      <c r="HG4" vm="1363">
        <f ca="1"/>
        <v>6.45</v>
      </c>
      <c r="HH4" vm="1288">
        <f ca="1"/>
        <v>6.4</v>
      </c>
      <c r="HI4" vm="1287">
        <f ca="1"/>
        <v>6.33</v>
      </c>
      <c r="HJ4" vm="1280">
        <f ca="1"/>
        <v>6.23</v>
      </c>
      <c r="HK4" vm="1333">
        <f ca="1"/>
        <v>6.12</v>
      </c>
      <c r="HL4" vm="1279">
        <f ca="1"/>
        <v>6.15</v>
      </c>
      <c r="HM4" vm="1365">
        <f ca="1"/>
        <v>6.08</v>
      </c>
      <c r="HN4" vm="1366">
        <f ca="1"/>
        <v>6.04</v>
      </c>
      <c r="HO4" vm="1286">
        <f ca="1"/>
        <v>6.17</v>
      </c>
      <c r="HP4" vm="1352">
        <f ca="1"/>
        <v>6.27</v>
      </c>
      <c r="HQ4" vm="1343">
        <f ca="1"/>
        <v>6.11</v>
      </c>
      <c r="HR4" vm="1334">
        <f ca="1"/>
        <v>6.09</v>
      </c>
      <c r="HS4" vm="1335">
        <f ca="1"/>
        <v>6.1</v>
      </c>
      <c r="HT4" vm="1336">
        <f ca="1"/>
        <v>6.02</v>
      </c>
      <c r="HU4" vm="1338">
        <f ca="1"/>
        <v>6.03</v>
      </c>
      <c r="HV4" vm="1365">
        <f ca="1"/>
        <v>6.08</v>
      </c>
      <c r="HW4" vm="1273">
        <f ca="1"/>
        <v>5.96</v>
      </c>
      <c r="HX4" vm="1367">
        <f ca="1"/>
        <v>5.91</v>
      </c>
      <c r="HY4" vm="1272">
        <f ca="1"/>
        <v>5.94</v>
      </c>
      <c r="HZ4" vm="1342">
        <f ca="1"/>
        <v>6</v>
      </c>
      <c r="IA4" vm="1336">
        <f ca="1"/>
        <v>6.02</v>
      </c>
      <c r="IB4" vm="1276">
        <f ca="1"/>
        <v>6.01</v>
      </c>
      <c r="IC4" vm="1277">
        <f ca="1"/>
        <v>6.06</v>
      </c>
      <c r="ID4" vm="1277">
        <f ca="1"/>
        <v>6.06</v>
      </c>
      <c r="IE4" vm="1333">
        <f ca="1"/>
        <v>6.12</v>
      </c>
      <c r="IF4" vm="1351">
        <f ca="1"/>
        <v>6.18</v>
      </c>
      <c r="IG4" vm="1335">
        <f ca="1"/>
        <v>6.1</v>
      </c>
      <c r="IH4" vm="1285">
        <f ca="1"/>
        <v>6.2</v>
      </c>
      <c r="II4" vm="1364">
        <f ca="1"/>
        <v>6.29</v>
      </c>
      <c r="IJ4" vm="1344">
        <f ca="1"/>
        <v>6.07</v>
      </c>
      <c r="IK4" vm="1344">
        <f ca="1"/>
        <v>6.07</v>
      </c>
      <c r="IL4" vm="1276">
        <f ca="1"/>
        <v>6.01</v>
      </c>
      <c r="IM4" vm="1342">
        <f ca="1"/>
        <v>6</v>
      </c>
      <c r="IN4" vm="1276">
        <f ca="1"/>
        <v>6.01</v>
      </c>
      <c r="IO4" vm="1368">
        <f ca="1"/>
        <v>5.93</v>
      </c>
      <c r="IP4" vm="1369">
        <f ca="1"/>
        <v>5.78</v>
      </c>
      <c r="IQ4" vm="1369">
        <f ca="1"/>
        <v>5.78</v>
      </c>
      <c r="IR4" vm="1340">
        <f ca="1"/>
        <v>5.79</v>
      </c>
      <c r="IS4" vm="1370">
        <f ca="1"/>
        <v>5.77</v>
      </c>
      <c r="IT4" vm="1371">
        <f ca="1"/>
        <v>5.74</v>
      </c>
      <c r="IU4" vm="1269">
        <f ca="1"/>
        <v>5.86</v>
      </c>
      <c r="IV4" vm="1367">
        <f ca="1"/>
        <v>5.91</v>
      </c>
      <c r="IW4" vm="1372">
        <f ca="1"/>
        <v>5.81</v>
      </c>
    </row>
    <row r="6" spans="1:257">
      <c r="A6" t="str" cm="1">
        <f t="array" aca="1" ref="A6:F25" ca="1">_xlfn.STOCKHISTORY(A4&amp;":"&amp;B4, TODAY()-30, TODAY(), 0, 1, 0, 5, 2, 3, 4, 1)</f>
        <v>Date</v>
      </c>
      <c r="B6" t="str">
        <f ca="1"/>
        <v>Volume</v>
      </c>
      <c r="C6" t="str">
        <f ca="1"/>
        <v>Open</v>
      </c>
      <c r="D6" t="str">
        <f ca="1"/>
        <v>High</v>
      </c>
      <c r="E6" t="str">
        <f ca="1"/>
        <v>Low</v>
      </c>
      <c r="F6" t="str">
        <f ca="1"/>
        <v>Close</v>
      </c>
    </row>
    <row r="7" spans="1:257">
      <c r="A7" vm="246">
        <f ca="1"/>
        <v>44559</v>
      </c>
      <c r="B7" vm="1373">
        <f ca="1"/>
        <v>811097</v>
      </c>
      <c r="C7" vm="1334">
        <f ca="1"/>
        <v>6.09</v>
      </c>
      <c r="D7" vm="1351">
        <f ca="1"/>
        <v>6.18</v>
      </c>
      <c r="E7" vm="1334">
        <f ca="1"/>
        <v>6.09</v>
      </c>
      <c r="F7" vm="1333">
        <f ca="1"/>
        <v>6.12</v>
      </c>
    </row>
    <row r="8" spans="1:257">
      <c r="A8" vm="247">
        <f ca="1"/>
        <v>44560</v>
      </c>
      <c r="B8" vm="1374">
        <f ca="1"/>
        <v>423886</v>
      </c>
      <c r="C8" vm="1286">
        <f ca="1"/>
        <v>6.17</v>
      </c>
      <c r="D8" vm="1351">
        <f ca="1"/>
        <v>6.18</v>
      </c>
      <c r="E8" vm="1333">
        <f ca="1"/>
        <v>6.12</v>
      </c>
      <c r="F8" vm="1351">
        <f ca="1"/>
        <v>6.18</v>
      </c>
    </row>
    <row r="9" spans="1:257">
      <c r="A9" vm="248">
        <f ca="1"/>
        <v>44561</v>
      </c>
      <c r="B9" vm="1375">
        <f ca="1"/>
        <v>314793</v>
      </c>
      <c r="C9" vm="1351">
        <f ca="1"/>
        <v>6.18</v>
      </c>
      <c r="D9" vm="1376">
        <f ca="1"/>
        <v>6.1950000000000003</v>
      </c>
      <c r="E9" vm="1335">
        <f ca="1"/>
        <v>6.1</v>
      </c>
      <c r="F9" vm="1335">
        <f ca="1"/>
        <v>6.1</v>
      </c>
    </row>
    <row r="10" spans="1:257">
      <c r="A10" vm="249">
        <f ca="1"/>
        <v>44565</v>
      </c>
      <c r="B10" vm="1377">
        <f ca="1"/>
        <v>383280</v>
      </c>
      <c r="C10" vm="1365">
        <f ca="1"/>
        <v>6.08</v>
      </c>
      <c r="D10" vm="1346">
        <f ca="1"/>
        <v>6.21</v>
      </c>
      <c r="E10" vm="1365">
        <f ca="1"/>
        <v>6.08</v>
      </c>
      <c r="F10" vm="1285">
        <f ca="1"/>
        <v>6.2</v>
      </c>
    </row>
    <row r="11" spans="1:257">
      <c r="A11" vm="250">
        <f ca="1"/>
        <v>44566</v>
      </c>
      <c r="B11" vm="1378">
        <f ca="1"/>
        <v>618348</v>
      </c>
      <c r="C11" vm="1285">
        <f ca="1"/>
        <v>6.2</v>
      </c>
      <c r="D11" vm="1287">
        <f ca="1"/>
        <v>6.33</v>
      </c>
      <c r="E11" vm="1350">
        <f ca="1"/>
        <v>6.19</v>
      </c>
      <c r="F11" vm="1364">
        <f ca="1"/>
        <v>6.29</v>
      </c>
    </row>
    <row r="12" spans="1:257">
      <c r="A12" vm="251">
        <f ca="1"/>
        <v>44567</v>
      </c>
      <c r="B12" vm="1379">
        <f ca="1"/>
        <v>696593</v>
      </c>
      <c r="C12" vm="1279">
        <f ca="1"/>
        <v>6.15</v>
      </c>
      <c r="D12" vm="1352">
        <f ca="1"/>
        <v>6.27</v>
      </c>
      <c r="E12" vm="1278">
        <f ca="1"/>
        <v>6.05</v>
      </c>
      <c r="F12" vm="1344">
        <f ca="1"/>
        <v>6.07</v>
      </c>
    </row>
    <row r="13" spans="1:257">
      <c r="A13" vm="252">
        <f ca="1"/>
        <v>44568</v>
      </c>
      <c r="B13" vm="1380">
        <f ca="1"/>
        <v>429896</v>
      </c>
      <c r="C13" vm="1365">
        <f ca="1"/>
        <v>6.08</v>
      </c>
      <c r="D13" vm="1332">
        <f ca="1"/>
        <v>6.14</v>
      </c>
      <c r="E13" vm="1278">
        <f ca="1"/>
        <v>6.05</v>
      </c>
      <c r="F13" vm="1344">
        <f ca="1"/>
        <v>6.07</v>
      </c>
    </row>
    <row r="14" spans="1:257">
      <c r="A14" vm="253">
        <f ca="1"/>
        <v>44571</v>
      </c>
      <c r="B14" vm="1381">
        <f ca="1"/>
        <v>572147</v>
      </c>
      <c r="C14" vm="1278">
        <f ca="1"/>
        <v>6.05</v>
      </c>
      <c r="D14" vm="1335">
        <f ca="1"/>
        <v>6.1</v>
      </c>
      <c r="E14" vm="1342">
        <f ca="1"/>
        <v>6</v>
      </c>
      <c r="F14" vm="1276">
        <f ca="1"/>
        <v>6.01</v>
      </c>
    </row>
    <row r="15" spans="1:257">
      <c r="A15" vm="254">
        <f ca="1"/>
        <v>44572</v>
      </c>
      <c r="B15" vm="1382">
        <f ca="1"/>
        <v>957337</v>
      </c>
      <c r="C15" vm="1276">
        <f ca="1"/>
        <v>6.01</v>
      </c>
      <c r="D15" vm="1365">
        <f ca="1"/>
        <v>6.08</v>
      </c>
      <c r="E15" vm="1339">
        <f ca="1"/>
        <v>5.99</v>
      </c>
      <c r="F15" vm="1342">
        <f ca="1"/>
        <v>6</v>
      </c>
    </row>
    <row r="16" spans="1:257">
      <c r="A16" vm="255">
        <f ca="1"/>
        <v>44573</v>
      </c>
      <c r="B16" vm="1383">
        <f ca="1"/>
        <v>530149</v>
      </c>
      <c r="C16" vm="1336">
        <f ca="1"/>
        <v>6.02</v>
      </c>
      <c r="D16" vm="1344">
        <f ca="1"/>
        <v>6.07</v>
      </c>
      <c r="E16" vm="1275">
        <f ca="1"/>
        <v>5.98</v>
      </c>
      <c r="F16" vm="1276">
        <f ca="1"/>
        <v>6.01</v>
      </c>
    </row>
    <row r="17" spans="1:6">
      <c r="A17" vm="256">
        <f ca="1"/>
        <v>44574</v>
      </c>
      <c r="B17" vm="1384">
        <f ca="1"/>
        <v>530331</v>
      </c>
      <c r="C17" vm="1338">
        <f ca="1"/>
        <v>6.03</v>
      </c>
      <c r="D17" vm="1278">
        <f ca="1"/>
        <v>6.05</v>
      </c>
      <c r="E17" vm="1368">
        <f ca="1"/>
        <v>5.93</v>
      </c>
      <c r="F17" vm="1368">
        <f ca="1"/>
        <v>5.93</v>
      </c>
    </row>
    <row r="18" spans="1:6">
      <c r="A18" vm="257">
        <f ca="1"/>
        <v>44575</v>
      </c>
      <c r="B18" vm="1385">
        <f ca="1"/>
        <v>1159971</v>
      </c>
      <c r="C18" vm="1272">
        <f ca="1"/>
        <v>5.94</v>
      </c>
      <c r="D18" vm="1339">
        <f ca="1"/>
        <v>5.99</v>
      </c>
      <c r="E18" vm="1369">
        <f ca="1"/>
        <v>5.78</v>
      </c>
      <c r="F18" vm="1369">
        <f ca="1"/>
        <v>5.78</v>
      </c>
    </row>
    <row r="19" spans="1:6">
      <c r="A19" vm="258">
        <f ca="1"/>
        <v>44578</v>
      </c>
      <c r="B19" vm="1386">
        <f ca="1"/>
        <v>1636720</v>
      </c>
      <c r="C19" vm="1340">
        <f ca="1"/>
        <v>5.79</v>
      </c>
      <c r="D19" vm="1270">
        <f ca="1"/>
        <v>5.85</v>
      </c>
      <c r="E19" vm="1387">
        <f ca="1"/>
        <v>5.72</v>
      </c>
      <c r="F19" vm="1369">
        <f ca="1"/>
        <v>5.78</v>
      </c>
    </row>
    <row r="20" spans="1:6">
      <c r="A20" vm="259">
        <f ca="1"/>
        <v>44579</v>
      </c>
      <c r="B20" vm="1388">
        <f ca="1"/>
        <v>1053948</v>
      </c>
      <c r="C20" vm="1369">
        <f ca="1"/>
        <v>5.78</v>
      </c>
      <c r="D20" vm="1389">
        <f ca="1"/>
        <v>5.8250000000000002</v>
      </c>
      <c r="E20" vm="1390">
        <f ca="1"/>
        <v>5.75</v>
      </c>
      <c r="F20" vm="1340">
        <f ca="1"/>
        <v>5.79</v>
      </c>
    </row>
    <row r="21" spans="1:6">
      <c r="A21" vm="260">
        <f ca="1"/>
        <v>44580</v>
      </c>
      <c r="B21" vm="1391">
        <f ca="1"/>
        <v>712061</v>
      </c>
      <c r="C21" vm="1340">
        <f ca="1"/>
        <v>5.79</v>
      </c>
      <c r="D21" vm="1270">
        <f ca="1"/>
        <v>5.85</v>
      </c>
      <c r="E21" vm="1390">
        <f ca="1"/>
        <v>5.75</v>
      </c>
      <c r="F21" vm="1370">
        <f ca="1"/>
        <v>5.77</v>
      </c>
    </row>
    <row r="22" spans="1:6">
      <c r="A22" vm="261">
        <f ca="1"/>
        <v>44581</v>
      </c>
      <c r="B22" vm="1392">
        <f ca="1"/>
        <v>1786992</v>
      </c>
      <c r="C22" vm="1390">
        <f ca="1"/>
        <v>5.75</v>
      </c>
      <c r="D22" vm="1393">
        <f ca="1"/>
        <v>5.7750000000000004</v>
      </c>
      <c r="E22" vm="1262">
        <f ca="1"/>
        <v>5.67</v>
      </c>
      <c r="F22" vm="1371">
        <f ca="1"/>
        <v>5.74</v>
      </c>
    </row>
    <row r="23" spans="1:6">
      <c r="A23" vm="262">
        <f ca="1"/>
        <v>44582</v>
      </c>
      <c r="B23" vm="1394">
        <f ca="1"/>
        <v>1421493</v>
      </c>
      <c r="C23" vm="1395">
        <f ca="1"/>
        <v>5.73</v>
      </c>
      <c r="D23" vm="1396">
        <f ca="1"/>
        <v>5.9</v>
      </c>
      <c r="E23" vm="1387">
        <f ca="1"/>
        <v>5.72</v>
      </c>
      <c r="F23" vm="1269">
        <f ca="1"/>
        <v>5.86</v>
      </c>
    </row>
    <row r="24" spans="1:6">
      <c r="A24" vm="263">
        <f ca="1"/>
        <v>44585</v>
      </c>
      <c r="B24" vm="1397">
        <f ca="1"/>
        <v>1250325</v>
      </c>
      <c r="C24" vm="1398">
        <f ca="1"/>
        <v>5.89</v>
      </c>
      <c r="D24" vm="1368">
        <f ca="1"/>
        <v>5.93</v>
      </c>
      <c r="E24" vm="1372">
        <f ca="1"/>
        <v>5.81</v>
      </c>
      <c r="F24" vm="1367">
        <f ca="1"/>
        <v>5.91</v>
      </c>
    </row>
    <row r="25" spans="1:6">
      <c r="A25" vm="264">
        <f ca="1"/>
        <v>44586</v>
      </c>
      <c r="B25" vm="1399">
        <f ca="1"/>
        <v>1677629</v>
      </c>
      <c r="C25" vm="1396">
        <f ca="1"/>
        <v>5.9</v>
      </c>
      <c r="D25" vm="1367">
        <f ca="1"/>
        <v>5.91</v>
      </c>
      <c r="E25" vm="1400">
        <f ca="1"/>
        <v>5.71</v>
      </c>
      <c r="F25" vm="1372">
        <f ca="1"/>
        <v>5.81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EE555-0047-4FD7-A109-3C0FE293A53D}">
  <sheetPr codeName="Sheet13">
    <tabColor rgb="FF548235"/>
  </sheetPr>
  <dimension ref="A1:IW25"/>
  <sheetViews>
    <sheetView workbookViewId="0">
      <selection sqref="A1:H3"/>
    </sheetView>
  </sheetViews>
  <sheetFormatPr defaultRowHeight="14.5"/>
  <cols>
    <col min="1" max="1" width="11.81640625" customWidth="1"/>
    <col min="2" max="2" width="26.453125" bestFit="1" customWidth="1"/>
  </cols>
  <sheetData>
    <row r="1" spans="1:257">
      <c r="A1" s="134" t="s">
        <v>457</v>
      </c>
      <c r="B1" t="s">
        <v>471</v>
      </c>
    </row>
    <row r="3" spans="1:257">
      <c r="A3" s="134" t="s">
        <v>458</v>
      </c>
      <c r="B3" s="134" t="s">
        <v>459</v>
      </c>
    </row>
    <row r="4" spans="1:257">
      <c r="A4" t="s">
        <v>465</v>
      </c>
      <c r="B4" t="s">
        <v>466</v>
      </c>
      <c r="C4" cm="1" vm="1002">
        <f t="array" aca="1" ref="C4:IW4" ca="1">TRANSPOSE(_xlfn.STOCKHISTORY(A4&amp;":"&amp;B4, TODAY()-365, TODAY(), 0, 0, 1))</f>
        <v>2.5099999999999998</v>
      </c>
      <c r="D4" vm="1217">
        <f ca="1"/>
        <v>2.59</v>
      </c>
      <c r="E4" vm="1002">
        <f ca="1"/>
        <v>2.5099999999999998</v>
      </c>
      <c r="F4" vm="1003">
        <f ca="1"/>
        <v>2.57</v>
      </c>
      <c r="G4" vm="1401">
        <f ca="1"/>
        <v>2.52</v>
      </c>
      <c r="H4" vm="1402">
        <f ca="1"/>
        <v>2.5299999999999998</v>
      </c>
      <c r="I4" vm="1002">
        <f ca="1"/>
        <v>2.5099999999999998</v>
      </c>
      <c r="J4" vm="1004">
        <f ca="1"/>
        <v>2.4700000000000002</v>
      </c>
      <c r="K4" vm="1401">
        <f ca="1"/>
        <v>2.52</v>
      </c>
      <c r="L4" vm="1002">
        <f ca="1"/>
        <v>2.5099999999999998</v>
      </c>
      <c r="M4" vm="1403">
        <f ca="1"/>
        <v>2.48</v>
      </c>
      <c r="N4" vm="1009">
        <f ca="1"/>
        <v>2.5499999999999998</v>
      </c>
      <c r="O4" vm="1002">
        <f ca="1"/>
        <v>2.5099999999999998</v>
      </c>
      <c r="P4" vm="1008">
        <f ca="1"/>
        <v>2.5</v>
      </c>
      <c r="Q4" vm="1002">
        <f ca="1"/>
        <v>2.5099999999999998</v>
      </c>
      <c r="R4" vm="1404">
        <f ca="1"/>
        <v>2.58</v>
      </c>
      <c r="S4" vm="1008">
        <f ca="1"/>
        <v>2.5</v>
      </c>
      <c r="T4" vm="1002">
        <f ca="1"/>
        <v>2.5099999999999998</v>
      </c>
      <c r="U4" vm="1008">
        <f ca="1"/>
        <v>2.5</v>
      </c>
      <c r="V4" vm="1004">
        <f ca="1"/>
        <v>2.4700000000000002</v>
      </c>
      <c r="W4" vm="560">
        <f ca="1"/>
        <v>2.2000000000000002</v>
      </c>
      <c r="X4" vm="545">
        <f ca="1"/>
        <v>2.21</v>
      </c>
      <c r="Y4" vm="1405">
        <f ca="1"/>
        <v>2.2999999999999998</v>
      </c>
      <c r="Z4" vm="1016">
        <f ca="1"/>
        <v>2.37</v>
      </c>
      <c r="AA4" vm="1003">
        <f ca="1"/>
        <v>2.57</v>
      </c>
      <c r="AB4" vm="1009">
        <f ca="1"/>
        <v>2.5499999999999998</v>
      </c>
      <c r="AC4" vm="1004">
        <f ca="1"/>
        <v>2.4700000000000002</v>
      </c>
      <c r="AD4" vm="1219">
        <f ca="1"/>
        <v>2.46</v>
      </c>
      <c r="AE4" vm="1010">
        <f ca="1"/>
        <v>2.4500000000000002</v>
      </c>
      <c r="AF4" vm="1406">
        <f ca="1"/>
        <v>2.41</v>
      </c>
      <c r="AG4" vm="1407">
        <f ca="1"/>
        <v>2.39</v>
      </c>
      <c r="AH4" vm="1408">
        <f ca="1"/>
        <v>2.4900000000000002</v>
      </c>
      <c r="AI4" vm="1004">
        <f ca="1"/>
        <v>2.4700000000000002</v>
      </c>
      <c r="AJ4" vm="1010">
        <f ca="1"/>
        <v>2.4500000000000002</v>
      </c>
      <c r="AK4" vm="1010">
        <f ca="1"/>
        <v>2.4500000000000002</v>
      </c>
      <c r="AL4" vm="1010">
        <f ca="1"/>
        <v>2.4500000000000002</v>
      </c>
      <c r="AM4" vm="1406">
        <f ca="1"/>
        <v>2.41</v>
      </c>
      <c r="AN4" vm="1017">
        <f ca="1"/>
        <v>2.34</v>
      </c>
      <c r="AO4" vm="1012">
        <f ca="1"/>
        <v>2.2599999999999998</v>
      </c>
      <c r="AP4" vm="545">
        <f ca="1"/>
        <v>2.21</v>
      </c>
      <c r="AQ4" vm="560">
        <f ca="1"/>
        <v>2.2000000000000002</v>
      </c>
      <c r="AR4" vm="546">
        <f ca="1"/>
        <v>2.1800000000000002</v>
      </c>
      <c r="AS4" vm="1019">
        <f ca="1"/>
        <v>2.16</v>
      </c>
      <c r="AT4" vm="1011">
        <f ca="1"/>
        <v>2.3199999999999998</v>
      </c>
      <c r="AU4" vm="545">
        <f ca="1"/>
        <v>2.21</v>
      </c>
      <c r="AV4" vm="560">
        <f ca="1"/>
        <v>2.2000000000000002</v>
      </c>
      <c r="AW4" vm="1018">
        <f ca="1"/>
        <v>2.2400000000000002</v>
      </c>
      <c r="AX4" vm="1015">
        <f ca="1"/>
        <v>2.35</v>
      </c>
      <c r="AY4" vm="1406">
        <f ca="1"/>
        <v>2.41</v>
      </c>
      <c r="AZ4" vm="1406">
        <f ca="1"/>
        <v>2.41</v>
      </c>
      <c r="BA4" vm="1409">
        <f ca="1"/>
        <v>2.4300000000000002</v>
      </c>
      <c r="BB4" vm="1215">
        <f ca="1"/>
        <v>2.44</v>
      </c>
      <c r="BC4" vm="1409">
        <f ca="1"/>
        <v>2.4300000000000002</v>
      </c>
      <c r="BD4" vm="1005">
        <f ca="1"/>
        <v>2.38</v>
      </c>
      <c r="BE4" vm="1004">
        <f ca="1"/>
        <v>2.4700000000000002</v>
      </c>
      <c r="BF4" vm="1009">
        <f ca="1"/>
        <v>2.5499999999999998</v>
      </c>
      <c r="BG4" vm="1410">
        <f ca="1"/>
        <v>2.56</v>
      </c>
      <c r="BH4" vm="1408">
        <f ca="1"/>
        <v>2.4900000000000002</v>
      </c>
      <c r="BI4" vm="1008">
        <f ca="1"/>
        <v>2.5</v>
      </c>
      <c r="BJ4" vm="1219">
        <f ca="1"/>
        <v>2.46</v>
      </c>
      <c r="BK4" vm="1403">
        <f ca="1"/>
        <v>2.48</v>
      </c>
      <c r="BL4" vm="1002">
        <f ca="1"/>
        <v>2.5099999999999998</v>
      </c>
      <c r="BM4" vm="1403">
        <f ca="1"/>
        <v>2.48</v>
      </c>
      <c r="BN4" vm="1408">
        <f ca="1"/>
        <v>2.4900000000000002</v>
      </c>
      <c r="BO4" vm="1010">
        <f ca="1"/>
        <v>2.4500000000000002</v>
      </c>
      <c r="BP4" vm="1004">
        <f ca="1"/>
        <v>2.4700000000000002</v>
      </c>
      <c r="BQ4" vm="1406">
        <f ca="1"/>
        <v>2.41</v>
      </c>
      <c r="BR4" vm="1407">
        <f ca="1"/>
        <v>2.39</v>
      </c>
      <c r="BS4" vm="1016">
        <f ca="1"/>
        <v>2.37</v>
      </c>
      <c r="BT4" vm="1014">
        <f ca="1"/>
        <v>2.33</v>
      </c>
      <c r="BU4" vm="1016">
        <f ca="1"/>
        <v>2.37</v>
      </c>
      <c r="BV4" vm="1407">
        <f ca="1"/>
        <v>2.39</v>
      </c>
      <c r="BW4" vm="1215">
        <f ca="1"/>
        <v>2.44</v>
      </c>
      <c r="BX4" vm="1016">
        <f ca="1"/>
        <v>2.37</v>
      </c>
      <c r="BY4" vm="1014">
        <f ca="1"/>
        <v>2.33</v>
      </c>
      <c r="BZ4" vm="1012">
        <f ca="1"/>
        <v>2.2599999999999998</v>
      </c>
      <c r="CA4" vm="1221">
        <f ca="1"/>
        <v>2.25</v>
      </c>
      <c r="CB4" vm="558">
        <f ca="1"/>
        <v>2.27</v>
      </c>
      <c r="CC4" vm="1221">
        <f ca="1"/>
        <v>2.25</v>
      </c>
      <c r="CD4" vm="1221">
        <f ca="1"/>
        <v>2.25</v>
      </c>
      <c r="CE4" vm="1018">
        <f ca="1"/>
        <v>2.2400000000000002</v>
      </c>
      <c r="CF4" vm="1013">
        <f ca="1"/>
        <v>2.2799999999999998</v>
      </c>
      <c r="CG4" vm="1405">
        <f ca="1"/>
        <v>2.2999999999999998</v>
      </c>
      <c r="CH4" vm="1017">
        <f ca="1"/>
        <v>2.34</v>
      </c>
      <c r="CI4" vm="1017">
        <f ca="1"/>
        <v>2.34</v>
      </c>
      <c r="CJ4" vm="1015">
        <f ca="1"/>
        <v>2.35</v>
      </c>
      <c r="CK4" vm="1005">
        <f ca="1"/>
        <v>2.38</v>
      </c>
      <c r="CL4" vm="1012">
        <f ca="1"/>
        <v>2.2599999999999998</v>
      </c>
      <c r="CM4" vm="565">
        <f ca="1"/>
        <v>2.2200000000000002</v>
      </c>
      <c r="CN4" vm="565">
        <f ca="1"/>
        <v>2.2200000000000002</v>
      </c>
      <c r="CO4" vm="563">
        <f ca="1"/>
        <v>2.23</v>
      </c>
      <c r="CP4" vm="1018">
        <f ca="1"/>
        <v>2.2400000000000002</v>
      </c>
      <c r="CQ4" vm="1014">
        <f ca="1"/>
        <v>2.33</v>
      </c>
      <c r="CR4" vm="1007">
        <f ca="1"/>
        <v>2.31</v>
      </c>
      <c r="CS4" vm="1011">
        <f ca="1"/>
        <v>2.3199999999999998</v>
      </c>
      <c r="CT4" vm="558">
        <f ca="1"/>
        <v>2.27</v>
      </c>
      <c r="CU4" vm="1014">
        <f ca="1"/>
        <v>2.33</v>
      </c>
      <c r="CV4" vm="1220">
        <f ca="1"/>
        <v>2.12</v>
      </c>
      <c r="CW4" vm="541">
        <f ca="1"/>
        <v>2</v>
      </c>
      <c r="CX4" vm="547">
        <f ca="1"/>
        <v>2.09</v>
      </c>
      <c r="CY4" vm="566">
        <f ca="1"/>
        <v>2.14</v>
      </c>
      <c r="CZ4" vm="547">
        <f ca="1"/>
        <v>2.09</v>
      </c>
      <c r="DA4" vm="547">
        <f ca="1"/>
        <v>2.09</v>
      </c>
      <c r="DB4" vm="550">
        <f ca="1"/>
        <v>2.04</v>
      </c>
      <c r="DC4" vm="548">
        <f ca="1"/>
        <v>2.06</v>
      </c>
      <c r="DD4" vm="548">
        <f ca="1"/>
        <v>2.06</v>
      </c>
      <c r="DE4" vm="548">
        <f ca="1"/>
        <v>2.06</v>
      </c>
      <c r="DF4" vm="547">
        <f ca="1"/>
        <v>2.09</v>
      </c>
      <c r="DG4" vm="551">
        <f ca="1"/>
        <v>2.0499999999999998</v>
      </c>
      <c r="DH4" vm="544">
        <f ca="1"/>
        <v>2.08</v>
      </c>
      <c r="DI4" vm="548">
        <f ca="1"/>
        <v>2.06</v>
      </c>
      <c r="DJ4" vm="544">
        <f ca="1"/>
        <v>2.08</v>
      </c>
      <c r="DK4" vm="547">
        <f ca="1"/>
        <v>2.09</v>
      </c>
      <c r="DL4" vm="547">
        <f ca="1"/>
        <v>2.09</v>
      </c>
      <c r="DM4" vm="1222">
        <f ca="1"/>
        <v>2.11</v>
      </c>
      <c r="DN4" vm="551">
        <f ca="1"/>
        <v>2.0499999999999998</v>
      </c>
      <c r="DO4" vm="550">
        <f ca="1"/>
        <v>2.04</v>
      </c>
      <c r="DP4" vm="551">
        <f ca="1"/>
        <v>2.0499999999999998</v>
      </c>
      <c r="DQ4" vm="1222">
        <f ca="1"/>
        <v>2.11</v>
      </c>
      <c r="DR4" vm="543">
        <f ca="1"/>
        <v>2.1</v>
      </c>
      <c r="DS4" vm="564">
        <f ca="1"/>
        <v>2.19</v>
      </c>
      <c r="DT4" vm="559">
        <f ca="1"/>
        <v>2.17</v>
      </c>
      <c r="DU4" vm="559">
        <f ca="1"/>
        <v>2.17</v>
      </c>
      <c r="DV4" vm="559">
        <f ca="1"/>
        <v>2.17</v>
      </c>
      <c r="DW4" vm="1019">
        <f ca="1"/>
        <v>2.16</v>
      </c>
      <c r="DX4" vm="560">
        <f ca="1"/>
        <v>2.2000000000000002</v>
      </c>
      <c r="DY4" vm="559">
        <f ca="1"/>
        <v>2.17</v>
      </c>
      <c r="DZ4" vm="1019">
        <f ca="1"/>
        <v>2.16</v>
      </c>
      <c r="EA4" vm="1220">
        <f ca="1"/>
        <v>2.12</v>
      </c>
      <c r="EB4" vm="1019">
        <f ca="1"/>
        <v>2.16</v>
      </c>
      <c r="EC4" vm="1019">
        <f ca="1"/>
        <v>2.16</v>
      </c>
      <c r="ED4" vm="546">
        <f ca="1"/>
        <v>2.1800000000000002</v>
      </c>
      <c r="EE4" vm="545">
        <f ca="1"/>
        <v>2.21</v>
      </c>
      <c r="EF4" vm="546">
        <f ca="1"/>
        <v>2.1800000000000002</v>
      </c>
      <c r="EG4" vm="560">
        <f ca="1"/>
        <v>2.2000000000000002</v>
      </c>
      <c r="EH4" vm="1221">
        <f ca="1"/>
        <v>2.25</v>
      </c>
      <c r="EI4" vm="558">
        <f ca="1"/>
        <v>2.27</v>
      </c>
      <c r="EJ4" vm="1011">
        <f ca="1"/>
        <v>2.3199999999999998</v>
      </c>
      <c r="EK4" vm="1216">
        <f ca="1"/>
        <v>2.29</v>
      </c>
      <c r="EL4" vm="1011">
        <f ca="1"/>
        <v>2.3199999999999998</v>
      </c>
      <c r="EM4" vm="1411">
        <f ca="1"/>
        <v>2.4</v>
      </c>
      <c r="EN4" vm="1403">
        <f ca="1"/>
        <v>2.48</v>
      </c>
      <c r="EO4" vm="1219">
        <f ca="1"/>
        <v>2.46</v>
      </c>
      <c r="EP4" vm="1411">
        <f ca="1"/>
        <v>2.4</v>
      </c>
      <c r="EQ4" vm="1219">
        <f ca="1"/>
        <v>2.46</v>
      </c>
      <c r="ER4" vm="1006">
        <f ca="1"/>
        <v>2.42</v>
      </c>
      <c r="ES4" vm="1002">
        <f ca="1"/>
        <v>2.5099999999999998</v>
      </c>
      <c r="ET4" vm="546">
        <f ca="1"/>
        <v>2.1800000000000002</v>
      </c>
      <c r="EU4" vm="544">
        <f ca="1"/>
        <v>2.08</v>
      </c>
      <c r="EV4" vm="581">
        <f ca="1"/>
        <v>1.95</v>
      </c>
      <c r="EW4" vm="581">
        <f ca="1"/>
        <v>1.95</v>
      </c>
      <c r="EX4" vm="586">
        <f ca="1"/>
        <v>1.9650000000000001</v>
      </c>
      <c r="EY4" vm="555">
        <f ca="1"/>
        <v>1.9550000000000001</v>
      </c>
      <c r="EZ4" vm="539">
        <f ca="1"/>
        <v>1.9750000000000001</v>
      </c>
      <c r="FA4" vm="582">
        <f ca="1"/>
        <v>1.915</v>
      </c>
      <c r="FB4" vm="582">
        <f ca="1"/>
        <v>1.915</v>
      </c>
      <c r="FC4" vm="584">
        <f ca="1"/>
        <v>1.905</v>
      </c>
      <c r="FD4" vm="515">
        <f ca="1"/>
        <v>1.855</v>
      </c>
      <c r="FE4" vm="521">
        <f ca="1"/>
        <v>1.81</v>
      </c>
      <c r="FF4" vm="529">
        <f ca="1"/>
        <v>1.7450000000000001</v>
      </c>
      <c r="FG4" vm="575">
        <f ca="1"/>
        <v>1.76</v>
      </c>
      <c r="FH4" vm="510">
        <f ca="1"/>
        <v>1.73</v>
      </c>
      <c r="FI4" vm="528">
        <f ca="1"/>
        <v>1.72</v>
      </c>
      <c r="FJ4" vm="1224">
        <f ca="1"/>
        <v>1.6850000000000001</v>
      </c>
      <c r="FK4" vm="510">
        <f ca="1"/>
        <v>1.73</v>
      </c>
      <c r="FL4" vm="590">
        <f ca="1"/>
        <v>1.7150000000000001</v>
      </c>
      <c r="FM4" vm="576">
        <f ca="1"/>
        <v>1.68</v>
      </c>
      <c r="FN4" vm="512">
        <f ca="1"/>
        <v>1.675</v>
      </c>
      <c r="FO4" vm="575">
        <f ca="1"/>
        <v>1.76</v>
      </c>
      <c r="FP4" vm="585">
        <f ca="1"/>
        <v>1.845</v>
      </c>
      <c r="FQ4" vm="523">
        <f ca="1"/>
        <v>1.85</v>
      </c>
      <c r="FR4" vm="585">
        <f ca="1"/>
        <v>1.845</v>
      </c>
      <c r="FS4" vm="536">
        <f ca="1"/>
        <v>1.86</v>
      </c>
      <c r="FT4" vm="536">
        <f ca="1"/>
        <v>1.86</v>
      </c>
      <c r="FU4" vm="516">
        <f ca="1"/>
        <v>1.88</v>
      </c>
      <c r="FV4" vm="554">
        <f ca="1"/>
        <v>1.87</v>
      </c>
      <c r="FW4" vm="535">
        <f ca="1"/>
        <v>1.89</v>
      </c>
      <c r="FX4" vm="554">
        <f ca="1"/>
        <v>1.87</v>
      </c>
      <c r="FY4" vm="538">
        <f ca="1"/>
        <v>1.93</v>
      </c>
      <c r="FZ4" vm="519">
        <f ca="1"/>
        <v>1.9</v>
      </c>
      <c r="GA4" vm="538">
        <f ca="1"/>
        <v>1.93</v>
      </c>
      <c r="GB4" vm="584">
        <f ca="1"/>
        <v>1.905</v>
      </c>
      <c r="GC4" vm="533">
        <f ca="1"/>
        <v>1.895</v>
      </c>
      <c r="GD4" vm="519">
        <f ca="1"/>
        <v>1.9</v>
      </c>
      <c r="GE4" vm="518">
        <f ca="1"/>
        <v>1.875</v>
      </c>
      <c r="GF4" vm="516">
        <f ca="1"/>
        <v>1.88</v>
      </c>
      <c r="GG4" vm="533">
        <f ca="1"/>
        <v>1.895</v>
      </c>
      <c r="GH4" vm="517">
        <f ca="1"/>
        <v>1.885</v>
      </c>
      <c r="GI4" vm="519">
        <f ca="1"/>
        <v>1.9</v>
      </c>
      <c r="GJ4" vm="516">
        <f ca="1"/>
        <v>1.88</v>
      </c>
      <c r="GK4" vm="533">
        <f ca="1"/>
        <v>1.895</v>
      </c>
      <c r="GL4" vm="533">
        <f ca="1"/>
        <v>1.895</v>
      </c>
      <c r="GM4" vm="533">
        <f ca="1"/>
        <v>1.895</v>
      </c>
      <c r="GN4" vm="533">
        <f ca="1"/>
        <v>1.895</v>
      </c>
      <c r="GO4" vm="518">
        <f ca="1"/>
        <v>1.875</v>
      </c>
      <c r="GP4" vm="516">
        <f ca="1"/>
        <v>1.88</v>
      </c>
      <c r="GQ4" vm="519">
        <f ca="1"/>
        <v>1.9</v>
      </c>
      <c r="GR4" vm="519">
        <f ca="1"/>
        <v>1.9</v>
      </c>
      <c r="GS4" vm="554">
        <f ca="1"/>
        <v>1.87</v>
      </c>
      <c r="GT4" vm="535">
        <f ca="1"/>
        <v>1.89</v>
      </c>
      <c r="GU4" vm="533">
        <f ca="1"/>
        <v>1.895</v>
      </c>
      <c r="GV4" vm="535">
        <f ca="1"/>
        <v>1.89</v>
      </c>
      <c r="GW4" vm="578">
        <f ca="1"/>
        <v>1.7649999999999999</v>
      </c>
      <c r="GX4" vm="572">
        <f ca="1"/>
        <v>1.78</v>
      </c>
      <c r="GY4" vm="518">
        <f ca="1"/>
        <v>1.875</v>
      </c>
      <c r="GZ4" vm="570">
        <f ca="1"/>
        <v>1.92</v>
      </c>
      <c r="HA4" vm="520">
        <f ca="1"/>
        <v>1.91</v>
      </c>
      <c r="HB4" vm="520">
        <f ca="1"/>
        <v>1.91</v>
      </c>
      <c r="HC4" vm="516">
        <f ca="1"/>
        <v>1.88</v>
      </c>
      <c r="HD4" vm="517">
        <f ca="1"/>
        <v>1.885</v>
      </c>
      <c r="HE4" vm="580">
        <f ca="1"/>
        <v>1.865</v>
      </c>
      <c r="HF4" vm="515">
        <f ca="1"/>
        <v>1.855</v>
      </c>
      <c r="HG4" vm="515">
        <f ca="1"/>
        <v>1.855</v>
      </c>
      <c r="HH4" vm="516">
        <f ca="1"/>
        <v>1.88</v>
      </c>
      <c r="HI4" vm="518">
        <f ca="1"/>
        <v>1.875</v>
      </c>
      <c r="HJ4" vm="534">
        <f ca="1"/>
        <v>1.835</v>
      </c>
      <c r="HK4" vm="522">
        <f ca="1"/>
        <v>1.8</v>
      </c>
      <c r="HL4" vm="514">
        <f ca="1"/>
        <v>1.825</v>
      </c>
      <c r="HM4" vm="588">
        <f ca="1"/>
        <v>1.82</v>
      </c>
      <c r="HN4" vm="514">
        <f ca="1"/>
        <v>1.825</v>
      </c>
      <c r="HO4" vm="585">
        <f ca="1"/>
        <v>1.845</v>
      </c>
      <c r="HP4" vm="579">
        <f ca="1"/>
        <v>1.83</v>
      </c>
      <c r="HQ4" vm="585">
        <f ca="1"/>
        <v>1.845</v>
      </c>
      <c r="HR4" vm="523">
        <f ca="1"/>
        <v>1.85</v>
      </c>
      <c r="HS4" vm="515">
        <f ca="1"/>
        <v>1.855</v>
      </c>
      <c r="HT4" vm="570">
        <f ca="1"/>
        <v>1.92</v>
      </c>
      <c r="HU4" vm="535">
        <f ca="1"/>
        <v>1.89</v>
      </c>
      <c r="HV4" vm="582">
        <f ca="1"/>
        <v>1.915</v>
      </c>
      <c r="HW4" vm="517">
        <f ca="1"/>
        <v>1.885</v>
      </c>
      <c r="HX4" vm="518">
        <f ca="1"/>
        <v>1.875</v>
      </c>
      <c r="HY4" vm="570">
        <f ca="1"/>
        <v>1.92</v>
      </c>
      <c r="HZ4" vm="516">
        <f ca="1"/>
        <v>1.88</v>
      </c>
      <c r="IA4" vm="516">
        <f ca="1"/>
        <v>1.88</v>
      </c>
      <c r="IB4" vm="520">
        <f ca="1"/>
        <v>1.91</v>
      </c>
      <c r="IC4" vm="1228">
        <f ca="1"/>
        <v>1.925</v>
      </c>
      <c r="ID4" vm="1228">
        <f ca="1"/>
        <v>1.925</v>
      </c>
      <c r="IE4" vm="553">
        <f ca="1"/>
        <v>1.97</v>
      </c>
      <c r="IF4" vm="581">
        <f ca="1"/>
        <v>1.95</v>
      </c>
      <c r="IG4" vm="581">
        <f ca="1"/>
        <v>1.95</v>
      </c>
      <c r="IH4" vm="539">
        <f ca="1"/>
        <v>1.9750000000000001</v>
      </c>
      <c r="II4" vm="541">
        <f ca="1"/>
        <v>2</v>
      </c>
      <c r="IJ4" vm="587">
        <f ca="1"/>
        <v>1.96</v>
      </c>
      <c r="IK4" vm="587">
        <f ca="1"/>
        <v>1.96</v>
      </c>
      <c r="IL4" vm="586">
        <f ca="1"/>
        <v>1.9650000000000001</v>
      </c>
      <c r="IM4" vm="539">
        <f ca="1"/>
        <v>1.9750000000000001</v>
      </c>
      <c r="IN4" vm="586">
        <f ca="1"/>
        <v>1.9650000000000001</v>
      </c>
      <c r="IO4" vm="569">
        <f ca="1"/>
        <v>1.99</v>
      </c>
      <c r="IP4" vm="557">
        <f ca="1"/>
        <v>2.0099999999999998</v>
      </c>
      <c r="IQ4" vm="552">
        <f ca="1"/>
        <v>2.0299999999999998</v>
      </c>
      <c r="IR4" vm="552">
        <f ca="1"/>
        <v>2.0299999999999998</v>
      </c>
      <c r="IS4" vm="549">
        <f ca="1"/>
        <v>2.02</v>
      </c>
      <c r="IT4" vm="544">
        <f ca="1"/>
        <v>2.08</v>
      </c>
      <c r="IU4" vm="557">
        <f ca="1"/>
        <v>2.0099999999999998</v>
      </c>
      <c r="IV4" vm="540">
        <f ca="1"/>
        <v>1.98</v>
      </c>
      <c r="IW4" vm="581">
        <f ca="1"/>
        <v>1.95</v>
      </c>
    </row>
    <row r="6" spans="1:257">
      <c r="A6" t="str" cm="1">
        <f t="array" aca="1" ref="A6:F25" ca="1">_xlfn.STOCKHISTORY(A4&amp;":"&amp;B4, TODAY()-30, TODAY(), 0, 1, 0, 5, 2, 3, 4, 1)</f>
        <v>Date</v>
      </c>
      <c r="B6" t="str">
        <f ca="1"/>
        <v>Volume</v>
      </c>
      <c r="C6" t="str">
        <f ca="1"/>
        <v>Open</v>
      </c>
      <c r="D6" t="str">
        <f ca="1"/>
        <v>High</v>
      </c>
      <c r="E6" t="str">
        <f ca="1"/>
        <v>Low</v>
      </c>
      <c r="F6" t="str">
        <f ca="1"/>
        <v>Close</v>
      </c>
    </row>
    <row r="7" spans="1:257">
      <c r="A7" vm="246">
        <f ca="1"/>
        <v>44559</v>
      </c>
      <c r="B7" vm="1412">
        <f ca="1"/>
        <v>1276178</v>
      </c>
      <c r="C7" vm="1228">
        <f ca="1"/>
        <v>1.925</v>
      </c>
      <c r="D7" vm="539">
        <f ca="1"/>
        <v>1.9750000000000001</v>
      </c>
      <c r="E7" vm="1228">
        <f ca="1"/>
        <v>1.925</v>
      </c>
      <c r="F7" vm="553">
        <f ca="1"/>
        <v>1.97</v>
      </c>
    </row>
    <row r="8" spans="1:257">
      <c r="A8" vm="247">
        <f ca="1"/>
        <v>44560</v>
      </c>
      <c r="B8" vm="1413">
        <f ca="1"/>
        <v>292514</v>
      </c>
      <c r="C8" vm="586">
        <f ca="1"/>
        <v>1.9650000000000001</v>
      </c>
      <c r="D8" vm="586">
        <f ca="1"/>
        <v>1.9650000000000001</v>
      </c>
      <c r="E8" vm="1229">
        <f ca="1"/>
        <v>1.9450000000000001</v>
      </c>
      <c r="F8" vm="581">
        <f ca="1"/>
        <v>1.95</v>
      </c>
    </row>
    <row r="9" spans="1:257">
      <c r="A9" vm="248">
        <f ca="1"/>
        <v>44561</v>
      </c>
      <c r="B9" vm="1414">
        <f ca="1"/>
        <v>255406</v>
      </c>
      <c r="C9" vm="587">
        <f ca="1"/>
        <v>1.96</v>
      </c>
      <c r="D9" vm="539">
        <f ca="1"/>
        <v>1.9750000000000001</v>
      </c>
      <c r="E9" vm="1229">
        <f ca="1"/>
        <v>1.9450000000000001</v>
      </c>
      <c r="F9" vm="581">
        <f ca="1"/>
        <v>1.95</v>
      </c>
    </row>
    <row r="10" spans="1:257">
      <c r="A10" vm="249">
        <f ca="1"/>
        <v>44565</v>
      </c>
      <c r="B10" vm="1415">
        <f ca="1"/>
        <v>859419</v>
      </c>
      <c r="C10" vm="539">
        <f ca="1"/>
        <v>1.9750000000000001</v>
      </c>
      <c r="D10" vm="557">
        <f ca="1"/>
        <v>2.0099999999999998</v>
      </c>
      <c r="E10" vm="1416">
        <f ca="1"/>
        <v>1.9675</v>
      </c>
      <c r="F10" vm="539">
        <f ca="1"/>
        <v>1.9750000000000001</v>
      </c>
    </row>
    <row r="11" spans="1:257">
      <c r="A11" vm="250">
        <f ca="1"/>
        <v>44566</v>
      </c>
      <c r="B11" vm="1417">
        <f ca="1"/>
        <v>688628</v>
      </c>
      <c r="C11" vm="541">
        <f ca="1"/>
        <v>2</v>
      </c>
      <c r="D11" vm="552">
        <f ca="1"/>
        <v>2.0299999999999998</v>
      </c>
      <c r="E11" vm="568">
        <f ca="1"/>
        <v>1.9850000000000001</v>
      </c>
      <c r="F11" vm="541">
        <f ca="1"/>
        <v>2</v>
      </c>
    </row>
    <row r="12" spans="1:257">
      <c r="A12" vm="251">
        <f ca="1"/>
        <v>44567</v>
      </c>
      <c r="B12" vm="1418">
        <f ca="1"/>
        <v>534522</v>
      </c>
      <c r="C12" vm="568">
        <f ca="1"/>
        <v>1.9850000000000001</v>
      </c>
      <c r="D12" vm="583">
        <f ca="1"/>
        <v>1.9950000000000001</v>
      </c>
      <c r="E12" vm="1419">
        <f ca="1"/>
        <v>1.9475</v>
      </c>
      <c r="F12" vm="587">
        <f ca="1"/>
        <v>1.96</v>
      </c>
    </row>
    <row r="13" spans="1:257">
      <c r="A13" vm="252">
        <f ca="1"/>
        <v>44568</v>
      </c>
      <c r="B13" vm="1420">
        <f ca="1"/>
        <v>231647</v>
      </c>
      <c r="C13" vm="555">
        <f ca="1"/>
        <v>1.9550000000000001</v>
      </c>
      <c r="D13" vm="539">
        <f ca="1"/>
        <v>1.9750000000000001</v>
      </c>
      <c r="E13" vm="581">
        <f ca="1"/>
        <v>1.95</v>
      </c>
      <c r="F13" vm="587">
        <f ca="1"/>
        <v>1.96</v>
      </c>
    </row>
    <row r="14" spans="1:257">
      <c r="A14" vm="253">
        <f ca="1"/>
        <v>44571</v>
      </c>
      <c r="B14" vm="1421">
        <f ca="1"/>
        <v>235280</v>
      </c>
      <c r="C14" vm="540">
        <f ca="1"/>
        <v>1.98</v>
      </c>
      <c r="D14" vm="583">
        <f ca="1"/>
        <v>1.9950000000000001</v>
      </c>
      <c r="E14" vm="586">
        <f ca="1"/>
        <v>1.9650000000000001</v>
      </c>
      <c r="F14" vm="586">
        <f ca="1"/>
        <v>1.9650000000000001</v>
      </c>
    </row>
    <row r="15" spans="1:257">
      <c r="A15" vm="254">
        <f ca="1"/>
        <v>44572</v>
      </c>
      <c r="B15" vm="1422">
        <f ca="1"/>
        <v>224029</v>
      </c>
      <c r="C15" vm="586">
        <f ca="1"/>
        <v>1.9650000000000001</v>
      </c>
      <c r="D15" vm="569">
        <f ca="1"/>
        <v>1.99</v>
      </c>
      <c r="E15" vm="586">
        <f ca="1"/>
        <v>1.9650000000000001</v>
      </c>
      <c r="F15" vm="539">
        <f ca="1"/>
        <v>1.9750000000000001</v>
      </c>
    </row>
    <row r="16" spans="1:257">
      <c r="A16" vm="255">
        <f ca="1"/>
        <v>44573</v>
      </c>
      <c r="B16" vm="1423">
        <f ca="1"/>
        <v>673543</v>
      </c>
      <c r="C16" vm="568">
        <f ca="1"/>
        <v>1.9850000000000001</v>
      </c>
      <c r="D16" vm="541">
        <f ca="1"/>
        <v>2</v>
      </c>
      <c r="E16" vm="1424">
        <f ca="1"/>
        <v>1.9524999999999999</v>
      </c>
      <c r="F16" vm="586">
        <f ca="1"/>
        <v>1.9650000000000001</v>
      </c>
    </row>
    <row r="17" spans="1:6">
      <c r="A17" vm="256">
        <f ca="1"/>
        <v>44574</v>
      </c>
      <c r="B17" vm="1425">
        <f ca="1"/>
        <v>910138</v>
      </c>
      <c r="C17" vm="555">
        <f ca="1"/>
        <v>1.9550000000000001</v>
      </c>
      <c r="D17" vm="557">
        <f ca="1"/>
        <v>2.0099999999999998</v>
      </c>
      <c r="E17" vm="555">
        <f ca="1"/>
        <v>1.9550000000000001</v>
      </c>
      <c r="F17" vm="569">
        <f ca="1"/>
        <v>1.99</v>
      </c>
    </row>
    <row r="18" spans="1:6">
      <c r="A18" vm="257">
        <f ca="1"/>
        <v>44575</v>
      </c>
      <c r="B18" vm="1426">
        <f ca="1"/>
        <v>938792</v>
      </c>
      <c r="C18" vm="569">
        <f ca="1"/>
        <v>1.99</v>
      </c>
      <c r="D18" vm="1427">
        <f ca="1"/>
        <v>2.0150000000000001</v>
      </c>
      <c r="E18" vm="540">
        <f ca="1"/>
        <v>1.98</v>
      </c>
      <c r="F18" vm="557">
        <f ca="1"/>
        <v>2.0099999999999998</v>
      </c>
    </row>
    <row r="19" spans="1:6">
      <c r="A19" vm="258">
        <f ca="1"/>
        <v>44578</v>
      </c>
      <c r="B19" vm="1428">
        <f ca="1"/>
        <v>1467453</v>
      </c>
      <c r="C19" vm="568">
        <f ca="1"/>
        <v>1.9850000000000001</v>
      </c>
      <c r="D19" vm="550">
        <f ca="1"/>
        <v>2.04</v>
      </c>
      <c r="E19" vm="568">
        <f ca="1"/>
        <v>1.9850000000000001</v>
      </c>
      <c r="F19" vm="552">
        <f ca="1"/>
        <v>2.0299999999999998</v>
      </c>
    </row>
    <row r="20" spans="1:6">
      <c r="A20" vm="259">
        <f ca="1"/>
        <v>44579</v>
      </c>
      <c r="B20" vm="1429">
        <f ca="1"/>
        <v>1137519</v>
      </c>
      <c r="C20" vm="557">
        <f ca="1"/>
        <v>2.0099999999999998</v>
      </c>
      <c r="D20" vm="550">
        <f ca="1"/>
        <v>2.04</v>
      </c>
      <c r="E20" vm="541">
        <f ca="1"/>
        <v>2</v>
      </c>
      <c r="F20" vm="552">
        <f ca="1"/>
        <v>2.0299999999999998</v>
      </c>
    </row>
    <row r="21" spans="1:6">
      <c r="A21" vm="260">
        <f ca="1"/>
        <v>44580</v>
      </c>
      <c r="B21" vm="1430">
        <f ca="1"/>
        <v>1318824</v>
      </c>
      <c r="C21" vm="552">
        <f ca="1"/>
        <v>2.0299999999999998</v>
      </c>
      <c r="D21" vm="550">
        <f ca="1"/>
        <v>2.04</v>
      </c>
      <c r="E21" vm="557">
        <f ca="1"/>
        <v>2.0099999999999998</v>
      </c>
      <c r="F21" vm="549">
        <f ca="1"/>
        <v>2.02</v>
      </c>
    </row>
    <row r="22" spans="1:6">
      <c r="A22" vm="261">
        <f ca="1"/>
        <v>44581</v>
      </c>
      <c r="B22" vm="1431">
        <f ca="1"/>
        <v>957400</v>
      </c>
      <c r="C22" vm="549">
        <f ca="1"/>
        <v>2.02</v>
      </c>
      <c r="D22" vm="547">
        <f ca="1"/>
        <v>2.09</v>
      </c>
      <c r="E22" vm="541">
        <f ca="1"/>
        <v>2</v>
      </c>
      <c r="F22" vm="544">
        <f ca="1"/>
        <v>2.08</v>
      </c>
    </row>
    <row r="23" spans="1:6">
      <c r="A23" vm="262">
        <f ca="1"/>
        <v>44582</v>
      </c>
      <c r="B23" vm="1432">
        <f ca="1"/>
        <v>1084025</v>
      </c>
      <c r="C23" vm="544">
        <f ca="1"/>
        <v>2.08</v>
      </c>
      <c r="D23" vm="544">
        <f ca="1"/>
        <v>2.08</v>
      </c>
      <c r="E23" vm="569">
        <f ca="1"/>
        <v>1.99</v>
      </c>
      <c r="F23" vm="557">
        <f ca="1"/>
        <v>2.0099999999999998</v>
      </c>
    </row>
    <row r="24" spans="1:6">
      <c r="A24" vm="263">
        <f ca="1"/>
        <v>44585</v>
      </c>
      <c r="B24" vm="1433">
        <f ca="1"/>
        <v>1279002</v>
      </c>
      <c r="C24" vm="569">
        <f ca="1"/>
        <v>1.99</v>
      </c>
      <c r="D24" vm="557">
        <f ca="1"/>
        <v>2.0099999999999998</v>
      </c>
      <c r="E24" vm="1434">
        <f ca="1"/>
        <v>1.9624999999999999</v>
      </c>
      <c r="F24" vm="540">
        <f ca="1"/>
        <v>1.98</v>
      </c>
    </row>
    <row r="25" spans="1:6">
      <c r="A25" vm="264">
        <f ca="1"/>
        <v>44586</v>
      </c>
      <c r="B25" vm="1435">
        <f ca="1"/>
        <v>1157165</v>
      </c>
      <c r="C25" vm="553">
        <f ca="1"/>
        <v>1.97</v>
      </c>
      <c r="D25" vm="539">
        <f ca="1"/>
        <v>1.9750000000000001</v>
      </c>
      <c r="E25" vm="570">
        <f ca="1"/>
        <v>1.92</v>
      </c>
      <c r="F25" vm="581">
        <f ca="1"/>
        <v>1.95</v>
      </c>
    </row>
  </sheetData>
  <pageMargins left="0.7" right="0.7" top="0.75" bottom="0.75" header="0.3" footer="0.3"/>
</worksheet>
</file>

<file path=xl/worksheets/sheet16.xml><?xml version="1.0" encoding="UTF-8" standalone="yes"?>
<worksheet xmlns="http://schemas.openxmlformats.org/spreadsheetml/2006/main" xmlns:r="http://schemas.openxmlformats.org/officeDocument/2006/relationships" xmlns:mc="http://schemas.openxmlformats.org/markup-compatibility/2006" mc:Ignorable="x14ac xr xr2 xr3" xmlns:x14ac="http://schemas.microsoft.com/office/spreadsheetml/2009/9/ac" xmlns:xr="http://schemas.microsoft.com/office/spreadsheetml/2014/revision" xmlns:xr2="http://schemas.microsoft.com/office/spreadsheetml/2015/revision2" xmlns:xr3="http://schemas.microsoft.com/office/spreadsheetml/2016/revision3" xr:uid="{AE059E91-C724-434D-B7EE-193896D9505C}"><sheetPr codeName="Sheet15"><tabColor rgb="FFFFC000"/></sheetPr><dimension ref="A1:S82"/><sheetViews><sheetView showGridLines="0" topLeftCell="A29" zoomScale="85" zoomScaleNormal="85" workbookViewId="0"><selection activeCell="I58" sqref="I58"/></sheetView></sheetViews><sheetFormatPr defaultRowHeight="14.5"/><cols><col min="1" max="1" width="15.453125" customWidth="1"/><col min="2" max="2" width="21.1796875" customWidth="1"/><col min="3" max="3" width="22" customWidth="1"/><col min="4" max="4" width="20.1796875" style="1" bestFit="1" customWidth="1"/><col min="5" max="5" width="22.81640625" style="23" bestFit="1" customWidth="1"/><col min="6" max="6" width="24.7265625" bestFit="1" customWidth="1"/><col min="7" max="7" width="20.1796875" bestFit="1" customWidth="1"/><col min="8" max="8" width="26" bestFit="1" customWidth="1"/><col min="9" max="9" width="20.1796875" style="164" bestFit="1" customWidth="1"/><col min="10" max="10" width="22.81640625" bestFit="1" customWidth="1"/><col min="11" max="11" width="24.453125" style="23" bestFit="1" customWidth="1"/><col min="12" max="12" width="28.7265625" bestFit="1" customWidth="1"/><col min="13" max="13" width="19.453125" style="164" bestFit="1" customWidth="1"/><col min="14" max="14" width="30.81640625" customWidth="1"/><col min="15" max="15" width="14.81640625" customWidth="1"/></cols><sheetData><row r="1" spans="1:19" ht="26.25" customHeight="1"><c r="A1" s="51"/><c r="B1" s="766" t="s"><v>152</v></c><c r="C1" s="764" t="s"><v>472</v></c><c r="D1" s="765"/><c r="E1" s="765"/><c r="F1" s="765"/><c r="G1" s="765"/><c r="H1" s="765"/><c r="I1" s="765"/><c r="J1" s="765"/><c r="K1" s="765"/><c r="L1" s="765"/><c r="M1" s="765"/><c r="N1" s="765"/><c r="O1" s="765"/></row><row r="2" spans="1:19" ht="32.25" customHeight="1"><c r="A2" s="53"/><c r="B2" s="767"/><c r="C2" s="764"/><c r="D2" s="765"/><c r="E2" s="765"/><c r="F2" s="765"/><c r="G2" s="765"/><c r="H2" s="765"/><c r="I2" s="765"/><c r="J2" s="765"/><c r="K2" s="765"/><c r="L2" s="765"/><c r="M2" s="765"/><c r="N2" s="765"/><c r="O2" s="765"/></row><row r="3" spans="1:19" ht="26.25" customHeight="1"><c r="A3" s="53"/><c r="B3" s="58"/><c r="C3" s="764"/><c r="D3" s="765"/><c r="E3" s="765"/><c r="F3" s="765"/><c r="G3" s="765"/><c r="H3" s="765"/><c r="I3" s="765"/><c r="J3" s="765"/><c r="K3" s="765"/><c r="L3" s="765"/><c r="M3" s="765"/><c r="N3" s="765"/><c r="O3" s="765"/></row><row r="4" spans="1:19" ht="12.75" customHeight="1"><c r="A4" s="626" t="s"><v>38</v></c><c r="B4" s="627"/><c r="C4" s="764"/><c r="D4" s="765"/><c r="E4" s="765"/><c r="F4" s="765"/><c r="G4" s="765"/><c r="H4" s="765"/><c r="I4" s="765"/><c r="J4" s="765"/><c r="K4" s="765"/><c r="L4" s="765"/><c r="M4" s="765"/><c r="N4" s="765"/><c r="O4" s="765"/></row><row r="5" spans="1:19" ht="15" customHeight="1"><c r="A5" s="53"/><c r="B5" s="50"/><c r="C5" s="101"/><c r="D5" s="168"/><c r="E5" s="167"/><c r="F5" s="101"/><c r="G5" s="762" t="s"><v>473</v></c><c r="H5" s="762"/><c r="I5" s="762"/><c r="J5" s="762"/><c r="K5" s="762"/><c r="L5" s="101"/><c r="M5" s="163"/><c r="N5" s="101"/><c r="O5" s="101"/></row><row r="6" spans="1:19" ht="15" customHeight="1"><c r="A6" s="53"/><c r="B6" s="50"/><c r="C6" s="101"/><c r="D6" s="168"/><c r="E6" s="167"/><c r="F6" s="101"/><c r="G6" s="762"/><c r="H6" s="762"/><c r="I6" s="762"/><c r="J6" s="762"/><c r="K6" s="762"/><c r="L6" s="101"/><c r="M6" s="163"/><c r="N6" s="101"/><c r="O6" s="101"/></row><row r="7" spans="1:19" ht="18.5"><c r="A7" s="626"/><c r="B7" s="627"/><c r="C7" s="101"/><c r="D7" s="168"/><c r="E7" s="167"/><c r="F7" s="101"/><c r="G7" t="s"><v>474</v></c><c r="H7" t="s"><v>475</v></c><c r="I7" t="s"><v>476</v></c><c r="J7" t="s"><v>477</v></c><c r="K7" t="s"><v>478</v></c><c r="L7" s="101"/><c r="M7" s="163"/><c r="N7" s="101"/><c r="O7" s="101"/></row><row r="8" spans="1:19" ht="15.5"><c r="A8" s="53"/><c r="B8" s="55"/><c r="C8" s="101"/><c r="D8" s="168"/><c r="E8" s="167"/><c r="F8" s="101"/><c r="G8" s="1"><f>SUM(F:F)</f><v>2658433</v></c><c r="H8" s="22"><f ca="1">SUM(I12:I21)</f><v>2951614.8150367131</v></c><c r="I8" s="22"><f ca="1">SUMIFS(I:I,D:D,"&lt;&gt;HDB",D:D,"&lt;&gt;Condominium")</f><v>3101900.6189545211</v></c><c r="J8" s="22"><f ca="1">SUM(N12:N21)</f><v>293181.81503671268</v></c><c r="K8" s="22"><f ca="1">SUMIFS(J:J,D:D,"&lt;&gt;HDB",D:D,"&lt;&gt;Condominium")</f><v>5903229.6300734254</v></c><c r="L8" s="101"/><c r="M8" s="163"/><c r="N8" s="101"/><c r="O8" s="101"/></row><row r="9" spans="1:19" ht="15" customHeight="1"><c r="A9" s="53"/><c r="B9" s="50"/><c r="C9" s="101"/><c r="D9" s="168"/><c r="E9" s="167"/><c r="F9" s="101"/><c r="G9" s="763" t="s"><v>479</v></c><c r="H9" s="763"/><c r="I9" s="763"/><c r="J9" s="763"/><c r="K9" s="763"/><c r="L9" s="101"/><c r="M9" s="163"/><c r="N9" s="101"/><c r="O9" s="101"/></row><row r="10" spans="1:19" ht="15" customHeight="1"><c r="A10" s="53"/><c r="B10" s="50"/><c r="C10" s="101"/><c r="D10" s="168"/><c r="E10" s="167"/><c r="F10" s="101"/><c r="G10" s="763"/><c r="H10" s="763"/><c r="I10" s="763"/><c r="J10" s="763"/><c r="K10" s="763"/><c r="L10" s="101"/><c r="M10" s="163"/><c r="N10" s="101"/><c r="O10" s="101"/></row><row r="11" spans="1:19"><c r="A11" s="99"/><c r="B11" s="100"/><c r="C11" t="s"><v>480</v></c><c r="D11" s="23" t="s"><v>481</v></c><c r="E11" t="s"><v>482</v></c><c r="F11" s="1" t="s"><v>483</v></c><c r="G11" t="s"><v>484</v></c><c r="H11" t="s"><v>485</v></c><c r="I11" s="164" t="s"><v>486</v></c><c r="J11" s="22" t="s"><v>308</v></c><c r="K11" s="23" t="s"><v>487</v></c><c r="L11" s="22" t="s"><v>488</v></c><c r="M11" s="164" t="s"><v>489</v></c><c r="N11" t="s"><v>490</v></c><c r="O11" s="111"/></row><row r="12" spans="1:19"><c r="A12" s="99"/><c r="B12" s="100"/><c r="C12" t="s"><v>491</v></c><c r="D12" s="23"><v>43152</v></c><c r="E12" t="s"><v>492</v></c><c r="F12" s="1"><v>2000</v></c><c r="G12" s="24"><f t="shared" ref="G12:G21" ca="1" si="0">(TODAY()-D12)/365</f><v>3.9287671232876713</v></c><c r="H12" t="str"><f t="shared" ref="H12:H18" ca="1" si="1">IF(I12&lt;F12,"Depreciating","Appreciating")</f><v>Depreciating</v></c><c r="I12" s="164"><f t="shared" ref="I12:I21" ca="1" si="2">MAX(0,F12*(1+((_xlfn.XLOOKUP(E12,$R$12:$R$18,$S$12:$S$18)/100)*G12)))</f><v>0</v></c><c r="J12" s="175"><f t="shared" ref="J12:J21" ca="1" si="3">I12-F12</f><v>-2000</v></c><c r="K12" s="23"><v>45658</v></c><c r="L12" s="22"><f t="shared" ref="L12:L21" si="4">DATEDIF(D12,K12,"Y")</f><v>6</v></c><c r="M12" s="164"><f t="shared" ref="M12:M21" si="5">MAX(0,F12*(1+((_xlfn.XLOOKUP(E12,$R$12:$R$18,$S$12:$S$18)/100)*L12)))</f><v>0</v></c><c r="N12" s="22"><f t="shared" ref="N12:N18" ca="1" si="6">I12-F12</f><v>-2000</v></c><c r="O12" s="111"/><c r="R12" t="s"><v>493</v></c><c r="S12"><v>7.68</v></c></row><row r="13" spans="1:19"><c r="A13" s="99"/><c r="B13" s="100"/><c r="C13" t="s"><v>494</v></c><c r="D13" s="23"><v>43152</v></c><c r="E13" t="s"><v>495</v></c><c r="F13" s="1"><v>1200</v></c><c r="G13" s="24"><f t="shared" ca="1" si="0"/><v>3.9287671232876713</v></c><c r="H13" t="str"><f t="shared" ca="1" si="1"/><v>Depreciating</v></c><c r="I13" s="164"><f t="shared" ca="1" si="2"/><v>257.09589041095887</v></c><c r="J13" s="22"><f t="shared" ca="1" si="3"/><v>-942.90410958904113</v></c><c r="K13" s="23"><f>K12</f><v>45658</v></c><c r="L13" s="22"><f t="shared" si="4"/><v>6</v></c><c r="M13" s="164"><f t="shared" si="5"/><v>0</v></c><c r="N13" s="22"><f t="shared" ca="1" si="6"/><v>-942.90410958904113</v></c><c r="O13" s="111"/><c r="R13" t="s"><v>496</v></c><c r="S13"><v>-20</v></c></row><row r="14" spans="1:19"><c r="A14" s="99"/><c r="B14" s="100"/><c r="C14" t="s"><v>497</v></c><c r="D14" s="23"><v>43964</v></c><c r="E14" t="s"><v>498</v></c><c r="F14" s="1"><v>2040000</v></c><c r="G14" s="24"><f t="shared" ca="1" si="0"/><v>1.704109589041096</v></c><c r="H14" t="str"><f t="shared" ca="1" si="1"/><v>Appreciating</v></c><c r="I14" s="164"><f t="shared" ca="1" si="2"/><v>2306986.2575342469</v></c><c r="J14" s="22"><f t="shared" ca="1" si="3"/><v>266986.25753424689</v></c><c r="K14" s="23"><f t="shared" ref="K14:K20" si="7">K13</f><v>45658</v></c><c r="L14" s="22"><f t="shared" si="4"/><v>4</v></c><c r="M14" s="164"><f t="shared" si="5"/><v>2666688</v></c><c r="N14" s="22"><f t="shared" ca="1" si="6"/><v>266986.25753424689</v></c><c r="O14" s="111"/><c r="R14" t="s"><v>499</v></c><c r="S14"><v>10</v></c></row><row r="15" spans="1:19"><c r="A15" s="99"/><c r="B15" s="100"/><c r="C15" t="s"><v>500</v></c><c r="D15" s="23"><v>43717</v></c><c r="E15" t="s"><v>501</v></c><c r="F15" s="1"><v>267500</v></c><c r="G15" s="24"><f t="shared" ca="1" si="0"/><v>2.3808219178082193</v></c><c r="H15" t="str"><f t="shared" ca="1" si="1"/><v>Appreciating</v></c><c r="I15" s="164"><f t="shared" ca="1" si="2"/><v>331186.98630136991</v></c><c r="J15" s="22"><f t="shared" ca="1" si="3"/><v>63686.986301369907</v></c><c r="K15" s="23"><f t="shared" si="7"/><v>45658</v></c><c r="L15" s="22"><f t="shared" si="4"/><v>5</v></c><c r="M15" s="164"><f t="shared" si="5"/><v>401250</v></c><c r="N15" s="22"><f t="shared" ca="1" si="6"/><v>63686.986301369907</v></c><c r="O15" s="111"/><c r="R15" t="s"><v>502</v></c><c r="S15"><v>-33</v></c></row><row r="16" spans="1:19"><c r="A16" s="99"/><c r="B16" s="100"/><c r="C16" t="s"><v>503</v></c><c r="D16" s="23"><v>43768</v></c><c r="E16" t="s"><v>504</v></c><c r="F16" s="1"><v>100000</v></c><c r="G16" s="24"><f t="shared" ca="1" si="0"/><v>2.2410958904109588</v></c><c r="H16" t="str"><f t="shared" ca="1" si="1"/><v>Depreciating</v></c><c r="I16" s="164"><f t="shared" ca="1" si="2"/><v>82026.410958904104</v></c><c r="J16" s="22"><f t="shared" ca="1" si="3"/><v>-17973.589041095896</v></c><c r="K16" s="23"><f t="shared" si="7"/><v>45658</v></c><c r="L16" s="22"><f t="shared" si="4"/><v>5</v></c><c r="M16" s="164"><f t="shared" si="5"/><v>59900</v></c><c r="N16" s="22"><f t="shared" ca="1" si="6"/><v>-17973.589041095896</v></c><c r="O16" s="111"/><c r="R16" t="s"><v>505</v></c><c r="S16"><v>-8.02</v></c></row><row r="17" spans="1:19"><c r="A17" s="99"/><c r="B17" s="100"/><c r="C17" t="s"><v>506</v></c><c r="D17" s="23"><v>43862</v></c><c r="E17" t="s"><v>492</v></c><c r="F17" s="1"><v>1889</v></c><c r="G17" s="24"><f t="shared" ca="1" si="0"/><v>1.9835616438356165</v></c><c r="H17" t="str"><f t="shared" ca="1" si="1"/><v>Depreciating</v></c><c r="I17" s="164"><f t="shared" ca="1" si="2"/><v>652.50717808219179</v></c><c r="J17" s="22"><f t="shared" ca="1" si="3"/><v>-1236.4928219178082</v></c><c r="K17" s="23"><f t="shared" si="7"/><v>45658</v></c><c r="L17" s="22"><f t="shared" si="4"/><v>4</v></c><c r="M17" s="164"><f t="shared" si="5"/><v>0</v></c><c r="N17" s="22"><f t="shared" ca="1" si="6"/><v>-1236.4928219178082</v></c><c r="O17" s="111"/><c r="R17" t="s"><v>507</v></c><c r="S17"><v>-10</v></c></row><row r="18" spans="1:19"><c r="A18" s="99"/><c r="B18" s="100"/><c r="C18" t="s"><v>508</v></c><c r="D18" s="23"><v>43133</v></c><c r="E18" t="s"><v>495</v></c><c r="F18" s="1"><v>789</v></c><c r="G18" s="24"><f t="shared" ca="1" si="0"/><v>3.9808219178082194</v></c><c r="H18" t="str"><f t="shared" ca="1" si="1"/><v>Depreciating</v></c><c r="I18" s="164"><f t="shared" ca="1" si="2"/><v>160.82630136986299</v></c><c r="J18" s="22"><f t="shared" ca="1" si="3"/><v>-628.17369863013698</v></c><c r="K18" s="23"><f t="shared" si="7"/><v>45658</v></c><c r="L18" s="22"><f t="shared" si="4"/><v>6</v></c><c r="M18" s="164"><f t="shared" si="5"/><v>0</v></c><c r="N18" s="22"><f t="shared" ca="1" si="6"/><v>-628.17369863013698</v></c><c r="O18" s="111"/><c r="R18" t="s"><v>509</v></c><c r="S18"><v>-10</v></c></row><row r="19" spans="1:19" ht="15.75" customHeight="1"><c r="A19" s="99"/><c r="B19" s="100"/><c r="C19" t="s"><v>510</v></c><c r="D19" s="23"><v>44441</v></c><c r="E19" t="s"><v>492</v></c><c r="F19" s="1"><v>1299</v></c><c r="G19" s="24"><f t="shared" ca="1" si="0"/><v>0.39726027397260272</v></c><c r="H19" t="str"><f t="shared" ref="H19:H21" ca="1" si="8">IF(I19&lt;F19,"Depreciating","Appreciating")</f><v>Depreciating</v></c><c r="I19" s="164"><f t="shared" ca="1" si="2"/><v>1128.7064383561644</v></c><c r="J19" s="22"><f t="shared" ca="1" si="3"/><v>-170.29356164383557</v></c><c r="K19" s="23"><f t="shared" si="7"/><v>45658</v></c><c r="L19" s="22"><f t="shared" si="4"/><v>3</v></c><c r="M19" s="164"><f t="shared" si="5"/><v>12.990000000000011</v></c><c r="N19" s="22"><f t="shared" ref="N19:N21" ca="1" si="9">I19-F19</f><v>-170.29356164383557</v></c><c r="O19" s="111"/></row><row r="20" spans="1:19"><c r="A20" s="99"/><c r="B20" s="100"/><c r="C20" s="102" t="s"><v>511</v></c><c r="D20" s="23"><v>44320</v></c><c r="E20" t="s"><v>504</v></c><c r="F20" s="1"><v>242888</v></c><c r="G20" s="24"><f t="shared" ca="1" si="0"/><v>0.72876712328767124</v></c><c r="H20" t="str"><f t="shared" ca="1" si="8"/><v>Depreciating</v></c><c r="I20" s="164"><f t="shared" ca="1" si="2"/><v>228691.89511890413</v></c><c r="J20" s="22"><f t="shared" ca="1" si="3"/><v>-14196.104881095875</v></c><c r="K20" s="23"><f t="shared" si="7"/><v>45658</v></c><c r="L20" s="22"><f t="shared" si="4"/><v>3</v></c><c r="M20" s="164"><f t="shared" si="5"/><v>184449.14720000001</v></c><c r="N20" s="22"><f t="shared" ca="1" si="9"/><v>-14196.104881095875</v></c><c r="O20" s="111"/></row><row r="21" spans="1:19"><c r="A21" s="99"/><c r="B21" s="100"/><c r="C21" t="s"><v>512</v></c><c r="D21" s="23"><v>43863</v></c><c r="E21" t="s"><v>495</v></c><c r="F21" s="1"><v>868</v></c><c r="G21" s="24"><f t="shared" ca="1" si="0"/><v>1.9808219178082191</v></c><c r="H21" t="str"><f t="shared" ca="1" si="8"/><v>Depreciating</v></c><c r="I21" s="164"><f t="shared" ca="1" si="2"/><v>524.12931506849316</v></c><c r="J21" s="22"><f t="shared" ca="1" si="3"/><v>-343.87068493150684</v></c><c r="K21" s="23"><f>K20</f><v>45658</v></c><c r="L21" s="22"><f t="shared" si="4"/><v>4</v></c><c r="M21" s="164"><f t="shared" si="5"/><v>173.59999999999997</v></c><c r="N21" s="22"><f t="shared" ca="1" si="9"/><v>-343.87068493150684</v></c><c r="O21" s="111"/></row><row r="22" spans="1:19"><c r="A22" s="99"/><c r="B22" s="100"/><c r="C22" s="2"/><c r="D22" s="109"/><c r="E22" s="110"/><c r="F22" s="2"/><c r="G22" s="2"/><c r="H22" s="2"/><c r="I22" s="165"/><c r="J22" s="2"/><c r="K22" s="110"/><c r="L22" s="2"/><c r="M22" s="165"/><c r="N22" s="2"/><c r="O22" s="111"/></row><row r="23" spans="1:19"><c r="A23" s="99"/><c r="B23" s="100"/><c r="C23" s="101"/><c r="D23" s="101" t="s"><v>251</v></c><c r="E23" s="101" t="s"><v>513</v></c><c r="F23" s="101"/><c r="G23" s="101" t="s"><v>251</v></c><c r="H23" s="101" t="s"><v>514</v></c><c r="I23" s="163"/><c r="J23" s="101" t="s"><v>251</v></c><c r="K23" s="101" t="s"><v>513</v></c><c r="L23" s="101" t="s"><v>515</v></c><c r="M23" s="101" t="s"><v>516</v></c><c r="N23" s="101"/><c r="O23" s="101"/></row><row r="24" spans="1:19"><c r="A24" s="99"/><c r="B24" s="100"/><c r="C24" s="101"/><c r="D24" s="166" t="s"><v>498</v></c><c r="E24" s="589"><v>2040000</v></c><c r="F24" s="101"/><c r="G24" s="166" t="s"><v>498</v></c><c r="H24" s="589"><v>1</v></c><c r="I24" s="163"/><c r="J24" s="166" t="s"><v>498</v></c><c r="K24" s="589"><v>2040000</v></c><c r="L24" s="589"><v>2306986.2575342469</v></c><c r="M24" s="589"><v>266986.25753424689</v></c><c r="N24" s="101"/><c r="O24" s="101"/></row><row r="25" spans="1:19"><c r="A25" s="99"/><c r="B25" s="100"/><c r="C25" s="101"/><c r="D25" s="166" t="s"><v>492</v></c><c r="E25" s="589"><v>5188</v></c><c r="F25" s="101"/><c r="G25" s="166" t="s"><v>492</v></c><c r="H25" s="589"><v>3</v></c><c r="I25" s="163"/><c r="J25" s="166" t="s"><v>492</v></c><c r="K25" s="589"><v>5188</v></c><c r="L25" s="589"><v>1781.2136164383562</v></c><c r="M25" s="589"><v>-3406.7863835616436</v></c><c r="N25" s="101"/><c r="O25" s="101"/></row><row r="26" spans="1:19"><c r="A26" s="99"/><c r="B26" s="100"/><c r="C26" s="101"/><c r="D26" s="166" t="s"><v>501</v></c><c r="E26" s="589"><v>267500</v></c><c r="F26" s="101"/><c r="G26" s="166" t="s"><v>501</v></c><c r="H26" s="589"><v>1</v></c><c r="I26" s="163"/><c r="J26" s="166" t="s"><v>501</v></c><c r="K26" s="589"><v>267500</v></c><c r="L26" s="589"><v>331186.98630136991</v></c><c r="M26" s="589"><v>63686.986301369907</v></c><c r="N26" s="101"/><c r="O26" s="101"/></row><row r="27" spans="1:19"><c r="A27" s="99"/><c r="B27" s="100"/><c r="C27" s="101"/><c r="D27" s="166" t="s"><v>495</v></c><c r="E27" s="589"><v>2857</v></c><c r="F27" s="101"/><c r="G27" s="166" t="s"><v>495</v></c><c r="H27" s="589"><v>3</v></c><c r="I27" s="163"/><c r="J27" s="166" t="s"><v>495</v></c><c r="K27" s="589"><v>2857</v></c><c r="L27" s="589"><v>942.05150684931505</v></c><c r="M27" s="589"><v>-1914.948493150685</v></c><c r="N27" s="101"/><c r="O27" s="101"/></row><row r="28" spans="1:19"><c r="A28" s="99"/><c r="B28" s="100"/><c r="C28" s="101"/><c r="D28" s="166" t="s"><v>504</v></c><c r="E28" s="589"><v>342888</v></c><c r="F28" s="101"/><c r="G28" s="166" t="s"><v>504</v></c><c r="H28" s="589"><v>2</v></c><c r="I28" s="163"/><c r="J28" s="166" t="s"><v>504</v></c><c r="K28" s="589"><v>342888</v></c><c r="L28" s="589"><v>310718.30607780826</v></c><c r="M28" s="589"><v>-32169.693922191771</v></c><c r="N28" s="101"/><c r="O28" s="101"/></row><row r="29" spans="1:19"><c r="A29" s="99"/><c r="B29" s="100"/><c r="C29" s="101"/><c r="D29" s="166" t="s"><v>83</v></c><c r="E29" s="589"><v>2658433</v></c><c r="F29" s="101"/><c r="G29" s="166" t="s"><v>83</v></c><c r="H29" s="589"><v>10</v></c><c r="I29" s="163"/><c r="J29" s="166" t="s"><v>83</v></c><c r="K29" s="589"><v>2658433</v></c><c r="L29" s="589"><v>2951614.8150367127</v></c><c r="M29" s="589"><v>293181.81503671268</v></c><c r="N29" s="101"/><c r="O29" s="101"/></row><row r="30" spans="1:19"><c r="A30" s="99"/><c r="B30" s="100"/><c r="C30" s="101"/><c r="D30" s="101"/><c r="E30" s="167"/><c r="F30" s="101"/><c r="G30" s="101"/><c r="H30" s="101"/><c r="I30" s="163"/><c r="J30" s="101"/><c r="K30" s="167"/><c r="L30" s="101"/><c r="M30" s="163"/><c r="N30" s="101"/><c r="O30" s="101"/></row><row r="31" spans="1:19"><c r="A31" s="99"/><c r="B31" s="100"/><c r="C31" s="101"/><c r="D31" s="101"/><c r="E31" s="101"/><c r="F31" s="101"/><c r="G31" s="101"/><c r="H31" s="101"/><c r="I31" s="163"/><c r="J31" s="101"/><c r="K31" s="167"/><c r="L31" s="101"/><c r="M31" s="163"/><c r="N31" s="101"/><c r="O31" s="101"/></row><row r="32" spans="1:19"><c r="A32" s="99"/><c r="B32" s="100"/><c r="C32" s="101"/><c r="D32" s="101"/><c r="E32" s="101"/><c r="F32" s="101"/><c r="G32" s="101"/><c r="H32" s="101"/><c r="I32" s="163"/><c r="J32" s="101"/><c r="K32" s="167"/><c r="L32" s="101"/><c r="M32" s="163"/><c r="N32" s="101"/><c r="O32" s="101"/></row><row r="33" spans="1:15"><c r="A33" s="99"/><c r="B33" s="100"/><c r="C33" s="101"/><c r="D33" s="101"/><c r="E33" s="101"/><c r="F33" s="101"/><c r="G33" s="101"/><c r="H33" s="101"/><c r="I33" s="163"/><c r="J33" s="101"/><c r="K33" s="167"/><c r="L33" s="101"/><c r="M33" s="163"/><c r="N33" s="101"/><c r="O33" s="101"/></row><row r="34" spans="1:15"><c r="A34" s="99"/><c r="B34" s="100"/><c r="C34" s="101"/><c r="D34" s="101"/><c r="E34" s="101"/><c r="F34" s="101"/><c r="G34" s="101"/><c r="H34" s="101"/><c r="I34" s="163"/><c r="J34" s="101"/><c r="K34" s="167"/><c r="L34" s="101"/><c r="M34" s="163"/><c r="N34" s="101"/><c r="O34" s="101"/></row><row r="35" spans="1:15"><c r="A35" s="99"/><c r="B35" s="100"/><c r="C35" s="101"/><c r="D35" s="101"/><c r="E35" s="101"/><c r="F35" s="101"/><c r="G35" s="101"/><c r="H35" s="101"/><c r="I35" s="163"/><c r="J35" s="101"/><c r="K35" s="167"/><c r="L35" s="101"/><c r="M35" s="163"/><c r="N35" s="101"/><c r="O35" s="101"/></row><row r="36" spans="1:15"><c r="A36" s="99"/><c r="B36" s="100"/><c r="C36" s="101"/><c r="D36" s="101"/><c r="E36" s="101"/><c r="F36" s="101"/><c r="G36" s="101"/><c r="H36" s="101"/><c r="I36" s="163"/><c r="J36" s="101"/><c r="K36" s="167"/><c r="L36" s="101"/><c r="M36" s="163"/><c r="N36" s="101"/><c r="O36" s="101"/></row><row r="37" spans="1:15"><c r="A37" s="99"/><c r="B37" s="100"/><c r="C37" s="101"/><c r="D37" s="101"/><c r="E37" s="101"/><c r="F37" s="101"/><c r="G37" s="101"/><c r="H37" s="101"/><c r="I37" s="163"/><c r="J37" s="101"/><c r="K37" s="167"/><c r="L37" s="101"/><c r="M37" s="163"/><c r="N37" s="101"/><c r="O37" s="101"/></row><row r="38" spans="1:15"><c r="A38" s="99"/><c r="B38" s="100"/><c r="C38" s="101"/><c r="D38" s="101"/><c r="E38" s="101"/><c r="F38" s="101"/><c r="G38" s="101"/><c r="H38" s="101"/><c r="I38" s="163"/><c r="J38" s="101"/><c r="K38" s="167"/><c r="L38" s="101"/><c r="M38" s="163"/><c r="N38" s="101"/><c r="O38" s="101"/></row><row r="39" spans="1:15"><c r="A39" s="99"/><c r="B39" s="100"/><c r="C39" s="101"/><c r="D39" s="101"/><c r="E39" s="101"/><c r="F39" s="101"/><c r="G39" s="101"/><c r="H39" s="101"/><c r="I39" s="163"/><c r="J39" s="101"/><c r="K39" s="167"/><c r="L39" s="101"/><c r="M39" s="163"/><c r="N39" s="101"/><c r="O39" s="101"/></row><row r="40" spans="1:15"><c r="A40" s="99"/><c r="B40" s="100"/><c r="C40" s="101"/><c r="D40" s="101"/><c r="E40" s="101"/><c r="F40" s="101"/><c r="G40" s="101"/><c r="H40" s="101"/><c r="I40" s="163"/><c r="J40" s="101"/><c r="K40" s="167"/><c r="L40" s="101"/><c r="M40" s="163"/><c r="N40" s="101"/><c r="O40" s="101"/></row><row r="41" spans="1:15"><c r="A41" s="99"/><c r="B41" s="100"/><c r="C41" s="101"/><c r="D41" s="168"/><c r="E41" s="167"/><c r="F41" s="101"/><c r="G41" s="101"/><c r="H41" s="101"/><c r="I41" s="163"/><c r="J41" s="101"/><c r="K41" s="167"/><c r="L41" s="101"/><c r="M41" s="163"/><c r="N41" s="101"/><c r="O41" s="101"/></row><row r="42" spans="1:15"><c r="A42" s="99"/><c r="B42" s="100"/><c r="C42" s="101"/><c r="D42" s="168"/><c r="E42" s="167"/><c r="F42" s="101"/><c r="G42" s="101"/><c r="H42" s="101"/><c r="I42" s="163"/><c r="J42" s="101"/><c r="K42" s="167"/><c r="L42" s="101"/><c r="M42" s="163"/><c r="N42" s="101"/><c r="O42" s="101"/></row><row r="43" spans="1:15"><c r="A43" s="99"/><c r="B43" s="100"/><c r="C43" s="101"/><c r="D43" s="168"/><c r="E43" s="167"/><c r="F43" s="101"/><c r="G43" s="101"/><c r="H43" s="101"/><c r="I43" s="163"/><c r="J43" s="101"/><c r="K43" s="167"/><c r="L43" s="101"/><c r="M43" s="163"/><c r="N43" s="101"/><c r="O43" s="101"/></row><row r="44" spans="1:15"><c r="A44" s="99"/><c r="B44" s="100"/><c r="C44" s="101"/><c r="D44" s="168"/><c r="E44" s="167"/><c r="F44" s="101"/><c r="G44" s="101"/><c r="H44" s="101"/><c r="I44" s="163"/><c r="J44" s="101"/><c r="K44" s="167"/><c r="L44" s="101"/><c r="M44" s="163"/><c r="N44" s="101"/><c r="O44" s="101"/></row><row r="45" spans="1:15"><c r="A45" s="99"/><c r="B45" s="100"/><c r="C45" s="101"/><c r="D45" s="168"/><c r="E45" s="167"/><c r="F45" s="101"/><c r="G45" s="101"/><c r="H45" s="101"/><c r="I45" s="163"/><c r="J45" s="101"/><c r="K45" s="167"/><c r="L45" s="101"/><c r="M45" s="163"/><c r="N45" s="101"/><c r="O45" s="101"/></row><row r="46" spans="1:15"><c r="A46" s="99"/><c r="B46" s="100"/><c r="C46" s="101"/><c r="D46" s="168"/><c r="E46" s="167"/><c r="F46" s="101"/><c r="G46" s="101"/><c r="H46" s="101"/><c r="I46" s="163"/><c r="J46" s="101"/><c r="K46" s="167"/><c r="L46" s="101"/><c r="M46" s="163"/><c r="N46" s="101"/><c r="O46" s="101"/></row><row r="47" spans="1:15"><c r="A47" s="99"/><c r="B47" s="100"/><c r="C47" s="101"/><c r="D47" s="168"/><c r="E47" s="167"/><c r="F47" s="101"/><c r="G47" s="101"/><c r="H47" s="101"/><c r="I47" s="163"/><c r="J47" s="101"/><c r="K47" s="167"/><c r="L47" s="101"/><c r="M47" s="163"/><c r="N47" s="101"/><c r="O47" s="101"/></row><row r="48" spans="1:15"><c r="A48" s="99"/><c r="B48" s="100"/><c r="C48" s="101"/><c r="D48" s="168"/><c r="E48" s="167"/><c r="F48" s="101"/><c r="G48" s="101"/><c r="H48" s="101"/><c r="I48" s="163"/><c r="J48" s="101"/><c r="K48" s="167"/><c r="L48" s="101"/><c r="M48" s="163"/><c r="N48" s="101"/><c r="O48" s="101"/></row><row r="49" spans="1:15"><c r="A49" s="99"/><c r="B49" s="100"/><c r="C49" s="101"/><c r="D49" s="168"/><c r="E49" s="167"/><c r="F49" s="101"/><c r="G49" s="101"/><c r="H49" s="101"/><c r="I49" s="163"/><c r="J49" s="101"/><c r="K49" s="167"/><c r="L49" s="101"/><c r="M49" s="163"/><c r="N49" s="101"/><c r="O49" s="101"/></row><row r="50" spans="1:15"><c r="A50" s="99"/><c r="B50" s="100"/><c r="C50" s="101"/><c r="D50" s="168"/><c r="E50" s="167"/><c r="F50" s="101"/><c r="G50" s="101"/><c r="H50" s="101"/><c r="I50" s="163"/><c r="J50" s="101"/><c r="K50" s="167"/><c r="L50" s="101"/><c r="M50" s="163"/><c r="N50" s="101"/><c r="O50" s="101"/></row><row r="51" spans="1:15"><c r="A51" s="99"/><c r="B51" s="100"/><c r="C51" s="101"/><c r="D51" s="168"/><c r="E51" s="167"/><c r="F51" s="101"/><c r="G51" s="101"/><c r="H51" s="101"/><c r="I51" s="163"/><c r="J51" s="101"/><c r="K51" s="167"/><c r="L51" s="101"/><c r="M51" s="163"/><c r="N51" s="101"/><c r="O51" s="101"/></row><row r="52" spans="1:15"><c r="A52" s="99"/><c r="B52" s="100"/><c r="C52" s="101"/><c r="D52" s="168"/><c r="E52" s="167"/><c r="F52" s="101"/><c r="G52" s="101"/><c r="H52" s="101"/><c r="I52" s="163"/><c r="J52" s="101"/><c r="K52" s="167"/><c r="L52" s="101"/><c r="M52" s="163"/><c r="N52" s="101"/><c r="O52" s="101"/></row><row r="53" spans="1:15"><c r="A53" s="53"/><c r="B53" s="50"/><c r="C53" s="101"/><c r="D53" s="168"/><c r="E53" s="167"/><c r="F53" s="101"/><c r="G53" s="101"/><c r="H53" s="101"/><c r="I53" s="163"/><c r="J53" s="101"/><c r="K53" s="167"/><c r="L53" s="101"/><c r="M53" s="163"/><c r="N53" s="101"/><c r="O53" s="101"/></row><row r="54" spans="1:15"><c r="A54" s="53"/><c r="B54" s="50"/><c r="C54" s="101"/><c r="D54" s="168"/><c r="E54" s="167"/><c r="F54" s="101"/><c r="G54" s="101"/><c r="H54" s="101"/><c r="I54" s="163"/><c r="J54" s="101"/><c r="K54" s="167"/><c r="L54" s="101"/><c r="M54" s="163"/><c r="N54" s="101"/><c r="O54" s="101"/></row><row r="55" spans="1:15"><c r="A55" s="53"/><c r="B55" s="50"/><c r="C55" s="101"/><c r="D55" s="168"/><c r="E55" s="167"/><c r="F55" s="101"/><c r="G55" s="101"/><c r="H55" s="101"/><c r="I55" s="101" t="s"><v>251</v></c><c r="J55" s="101" t="s"><v>513</v></c><c r="K55" s="101" t="s"><v>517</v></c><c r="L55" s="101" t="s"><v>518</v></c><c r="M55" s="163"/><c r="N55" s="101"/><c r="O55" s="101"/></row><row r="56" spans="1:15"><c r="A56" s="53"/><c r="B56" s="50"/><c r="C56" s="101"/><c r="D56" s="168"/><c r="E56" s="167"/><c r="F56" s="101"/><c r="G56" s="101"/><c r="H56" s="101"/><c r="I56" s="166" t="s"><v>498</v></c><c r="J56" s="589"><v>2040000</v></c><c r="K56" s="589"><v>2666688</v></c><c r="L56" s="589"><v>266986.25753424689</v></c><c r="M56" s="163"/><c r="N56" s="101"/><c r="O56" s="101"/></row><row r="57" spans="1:15"><c r="A57" s="53"/><c r="B57" s="50"/><c r="C57" s="101"/><c r="D57" s="168"/><c r="E57" s="167"/><c r="F57" s="101"/><c r="G57" s="101"/><c r="H57" s="101"/><c r="I57" s="166" t="s"><v>492</v></c><c r="J57" s="589"><v>5188</v></c><c r="K57" s="589"><v>12.990000000000011</v></c><c r="L57" s="589"><v>-3406.7863835616436</v></c><c r="M57" s="163"/><c r="N57" s="101"/><c r="O57" s="101"/></row><row r="58" spans="1:15"><c r="A58" s="53"/><c r="B58" s="50"/><c r="C58" s="101"/><c r="D58" s="101"/><c r="E58" s="101"/><c r="F58" s="101"/><c r="G58" s="101"/><c r="H58" s="101"/><c r="I58" s="166" t="s"><v>501</v></c><c r="J58" s="589"><v>267500</v></c><c r="K58" s="589"><v>401250</v></c><c r="L58" s="589"><v>63686.986301369907</v></c><c r="M58" s="163"/><c r="N58" s="101"/><c r="O58" s="101"/></row><row r="59" spans="1:15"><c r="A59" s="53"/><c r="B59" s="50"/><c r="C59" s="101"/><c r="D59" s="101"/><c r="E59" s="101"/><c r="F59" s="101"/><c r="G59" s="101"/><c r="H59" s="101"/><c r="I59" s="166" t="s"><v>495</v></c><c r="J59" s="589"><v>2857</v></c><c r="K59" s="589"><v>173.59999999999997</v></c><c r="L59" s="589"><v>-1914.948493150685</v></c><c r="M59" s="163"/><c r="N59" s="101"/><c r="O59" s="101"/></row><row r="60" spans="1:15"><c r="A60" s="53"/><c r="B60" s="50"/><c r="C60" s="101"/><c r="D60" s="101"/><c r="E60" s="101"/><c r="F60" s="101"/><c r="G60" s="101"/><c r="H60" s="101"/><c r="I60" s="166" t="s"><v>504</v></c><c r="J60" s="589"><v>342888</v></c><c r="K60" s="589"><v>244349.14720000001</v></c><c r="L60" s="589"><v>-32169.693922191771</v></c><c r="M60" s="163"/><c r="N60" s="101"/><c r="O60" s="101"/></row><row r="61" spans="1:15"><c r="A61" s="53"/><c r="B61" s="50"/><c r="C61" s="101"/><c r="D61" s="101"/><c r="E61" s="101"/><c r="F61" s="101"/><c r="G61" s="101"/><c r="H61" s="101"/><c r="I61" s="166" t="s"><v>83</v></c><c r="J61" s="589"><v>2658433</v></c><c r="K61" s="589"><v>3312473.7372000003</v></c><c r="L61" s="589"><v>293181.81503671268</v></c><c r="M61" s="163"/><c r="N61" s="101"/><c r="O61" s="101"/></row><row r="62" spans="1:15"><c r="A62" s="53"/><c r="B62" s="50"/><c r="C62" s="101"/><c r="D62" s="101"/><c r="E62" s="101"/><c r="F62" s="101"/><c r="G62" s="101"/><c r="H62" s="101"/><c r="I62" s="163"/><c r="J62" s="101"/><c r="K62" s="167"/><c r="L62" s="101"/><c r="M62" s="163"/><c r="N62" s="101"/><c r="O62" s="101"/></row><row r="63" spans="1:15"><c r="A63" s="53"/><c r="B63" s="50"/><c r="C63" s="101"/><c r="D63" s="101"/><c r="E63" s="101"/><c r="F63" s="101"/><c r="G63" s="101"/><c r="H63" s="101"/><c r="I63" s="101"/><c r="J63" s="101"/><c r="K63" s="101"/><c r="L63" s="101"/><c r="M63" s="163"/><c r="N63" s="101"/><c r="O63" s="101"/></row><row r="64" spans="1:15"><c r="A64" s="53"/><c r="B64" s="50"/><c r="C64" s="101"/><c r="D64" s="101"/><c r="E64" s="101"/><c r="F64" s="101"/><c r="G64" s="101"/><c r="H64" s="101"/><c r="I64" s="101"/><c r="J64" s="101"/><c r="K64" s="101"/><c r="L64" s="101"/><c r="M64" s="163"/><c r="N64" s="101"/><c r="O64" s="101"/></row><row r="65" spans="1:15"><c r="A65" s="53"/><c r="B65" s="50"/><c r="C65" s="101"/><c r="D65" s="101"/><c r="E65" s="101"/><c r="F65" s="101"/><c r="G65" s="101"/><c r="H65" s="101"/><c r="I65" s="101"/><c r="J65" s="101"/><c r="K65" s="101"/><c r="L65" s="101"/><c r="M65" s="163"/><c r="N65" s="101"/><c r="O65" s="101"/></row><row r="66" spans="1:15"><c r="A66" s="53"/><c r="B66" s="50"/><c r="C66" s="101"/><c r="D66" s="168"/><c r="E66" s="167"/><c r="F66" s="101"/><c r="G66" s="101"/><c r="H66" s="101"/><c r="I66" s="101"/><c r="J66" s="101"/><c r="K66" s="101"/><c r="L66" s="101"/><c r="M66" s="163"/><c r="N66" s="101"/><c r="O66" s="101"/></row><row r="67" spans="1:15"><c r="A67" s="53"/><c r="B67" s="50"/><c r="C67" s="101"/><c r="D67" s="168"/><c r="E67" s="167"/><c r="F67" s="101"/><c r="G67" s="101"/><c r="H67" s="101"/><c r="I67" s="101"/><c r="J67" s="101"/><c r="K67" s="101"/><c r="L67" s="101"/><c r="M67" s="163"/><c r="N67" s="101"/><c r="O67" s="101"/></row><row r="68" spans="1:15"><c r="A68" s="53"/><c r="B68" s="50"/><c r="C68" s="101"/><c r="D68" s="168"/><c r="E68" s="167"/><c r="F68" s="101"/><c r="G68" s="101"/><c r="H68" s="101"/><c r="I68" s="101"/><c r="J68" s="101"/><c r="K68" s="101"/><c r="L68" s="101"/><c r="M68" s="163"/><c r="N68" s="101"/><c r="O68" s="101"/></row><row r="69" spans="1:15"><c r="A69" s="53"/><c r="B69" s="50"/><c r="C69" s="101"/><c r="D69" s="168"/><c r="E69" s="167"/><c r="F69" s="101"/><c r="G69" s="101"/><c r="H69" s="101"/><c r="I69" s="163"/><c r="J69" s="101"/><c r="K69" s="167"/><c r="L69" s="101"/><c r="M69" s="163"/><c r="N69" s="101"/><c r="O69" s="101"/></row><row r="70" spans="1:15"><c r="A70" s="53"/><c r="B70" s="50"/><c r="C70" s="101"/><c r="D70" s="168"/><c r="E70" s="167"/><c r="F70" s="101"/><c r="G70" s="101"/><c r="H70" s="101"/><c r="I70" s="163"/><c r="J70" s="101"/><c r="K70" s="167"/><c r="L70" s="101"/><c r="M70" s="163"/><c r="N70" s="101"/><c r="O70" s="101"/></row><row r="71" spans="1:15"><c r="A71" s="53"/><c r="B71" s="50"/><c r="C71" s="101"/><c r="D71" s="168"/><c r="E71" s="167"/><c r="F71" s="101"/><c r="G71" s="101"/><c r="H71" s="101"/><c r="I71" s="163"/><c r="J71" s="101"/><c r="K71" s="167"/><c r="L71" s="101"/><c r="M71" s="163"/><c r="N71" s="101"/><c r="O71" s="101"/></row><row r="72" spans="1:15"><c r="A72" s="53"/><c r="B72" s="50"/><c r="C72" s="101"/><c r="D72" s="168"/><c r="E72" s="167"/><c r="F72" s="101"/><c r="G72" s="101"/><c r="H72" s="101"/><c r="I72" s="163"/><c r="J72" s="101"/><c r="K72" s="167"/><c r="L72" s="101"/><c r="M72" s="163"/><c r="N72" s="101"/><c r="O72" s="101"/></row><row r="73" spans="1:15"><c r="A73" s="53"/><c r="B73" s="50"/><c r="C73" s="101"/><c r="D73" s="168"/><c r="E73" s="167"/><c r="F73" s="101"/><c r="G73" s="101"/><c r="H73" s="101"/><c r="I73" s="163"/><c r="J73" s="101"/><c r="K73" s="167"/><c r="L73" s="101"/><c r="M73" s="163"/><c r="N73" s="101"/><c r="O73" s="101"/></row><row r="74" spans="1:15"><c r="A74" s="53"/><c r="B74" s="50"/><c r="C74" s="101"/><c r="D74" s="168"/><c r="E74" s="167"/><c r="F74" s="101"/><c r="G74" s="101"/><c r="H74" s="101"/><c r="I74" s="163"/><c r="J74" s="101"/><c r="K74" s="167"/><c r="L74" s="101"/><c r="M74" s="163"/><c r="N74" s="101"/><c r="O74" s="101"/></row><row r="75" spans="1:15"><c r="A75" s="53"/><c r="B75" s="50"/><c r="C75" s="101"/><c r="D75" s="168"/><c r="E75" s="167"/><c r="F75" s="101"/><c r="G75" s="101"/><c r="H75" s="101"/><c r="I75" s="163"/><c r="J75" s="101"/><c r="K75" s="167"/><c r="L75" s="101"/><c r="M75" s="163"/><c r="N75" s="101"/><c r="O75" s="101"/></row><row r="76" spans="1:15"><c r="A76" s="53"/><c r="B76" s="50"/><c r="C76" s="101"/><c r="D76" s="168"/><c r="E76" s="167"/><c r="F76" s="101"/><c r="G76" s="101"/><c r="H76" s="101"/><c r="I76" s="163"/><c r="J76" s="101"/><c r="K76" s="167"/><c r="L76" s="101"/><c r="M76" s="163"/><c r="N76" s="101"/><c r="O76" s="101"/></row><row r="77" spans="1:15"><c r="A77" s="53"/><c r="B77" s="50"/><c r="C77" s="101"/><c r="D77" s="168"/><c r="E77" s="167"/><c r="F77" s="101"/><c r="G77" s="101"/><c r="H77" s="101"/><c r="I77" s="163"/><c r="J77" s="101"/><c r="K77" s="167"/><c r="L77" s="101"/><c r="M77" s="163"/><c r="N77" s="101"/><c r="O77" s="101"/></row><row r="78" spans="1:15"><c r="A78" s="53"/><c r="B78" s="50"/><c r="C78" s="101"/><c r="D78" s="168"/><c r="E78" s="167"/><c r="F78" s="101"/><c r="G78" s="101"/><c r="H78" s="101"/><c r="I78" s="163"/><c r="J78" s="101"/><c r="K78" s="167"/><c r="L78" s="101"/><c r="M78" s="163"/><c r="N78" s="101"/><c r="O78" s="101"/></row><row r="79" spans="1:15"><c r="A79" s="53"/><c r="B79" s="50"/><c r="C79" s="101"/><c r="D79" s="168"/><c r="E79" s="167"/><c r="F79" s="101"/><c r="G79" s="101"/><c r="H79" s="101"/><c r="I79" s="163"/><c r="J79" s="101"/><c r="K79" s="167"/><c r="L79" s="101"/><c r="M79" s="163"/><c r="N79" s="101"/><c r="O79" s="101"/></row><row r="80" spans="1:15"><c r="A80" s="53"/><c r="B80" s="50"/><c r="C80" s="101"/><c r="D80" s="168"/><c r="E80" s="167"/><c r="F80" s="101"/><c r="G80" s="101"/><c r="H80" s="101"/><c r="I80" s="163"/><c r="J80" s="101"/><c r="K80" s="167"/><c r="L80" s="101"/><c r="M80" s="163"/><c r="N80" s="101"/><c r="O80" s="101"/></row><row r="81" spans="1:15"><c r="A81" s="53"/><c r="B81" s="50"/><c r="O81" s="101"/></row><row r="82" spans="1:15"><c r="A82" s="56"/><c r="B82" s="57"/><c r="O82" s="101"/></row></sheetData><mergeCells count="6"><mergeCell ref="G5:K6"/><mergeCell ref="G9:K10"/><mergeCell ref="C1:O4"/><mergeCell ref="A4:B4"/><mergeCell ref="A7:B7"/><mergeCell ref="B1:B2"/></mergeCells><dataValidations count="3"><dataValidation operator="greaterThan" allowBlank="1" showInputMessage="1" showErrorMessage="1" sqref="K7:K8 E41:E47 E66:E1048576 D11:E21" xr:uid="{AE086BD7-75A8-45E2-81A2-419614BDFDA2}"/><dataValidation type="list" allowBlank="1" showInputMessage="1" showErrorMessage="1" sqref="J7:J8 E11 D41:D47 D66:D1048576" xr:uid="{8A0311E0-B6BE-4C6E-BE60-5020912D4EDB}"><formula1>"HDB, Condominium, Vehicles,  Computer, Furniture"</formula1></dataValidation><dataValidation type="list" allowBlank="1" showInputMessage="1" showErrorMessage="1" sqref="E12:E21" xr:uid="{5C9919A0-77D2-4000-8302-E25AB59022EB}"><formula1>"HDB, Condominium, Vehicles, Home Appliance, Electronic Equipment, Tools, Equipment"</formula1></dataValidation></dataValidations><hyperlinks><hyperlink ref="A4:B4" location="'Home'!A1" display="Home" xr:uid="{5B3B236B-1A3C-46AD-9932-A9D3A4130BAF}"/></hyperlinks><pageMargins left="0.7" right="0.7" top="0.75" bottom="0.75" header="0.3" footer="0.3"/><pageSetup paperSize="9" orientation="portrait" horizontalDpi="300" verticalDpi="300" r:id="rId5"/><drawing r:id="rId6"/><controls><mc:AlternateContent xmlns:mc="http://schemas.openxmlformats.org/markup-compatibility/2006"><mc:Choice Requires="x14"><control shapeId="27656" r:id="rId7" name="CommandButton1"><controlPr defaultSize="0" autoLine="0" r:id="rId8"><anchor moveWithCells="1"><from><xdr:col>12</xdr:col><xdr:colOff>368300</xdr:colOff><xdr:row>0</xdr:row><xdr:rowOff>260350</xdr:rowOff></from><to><xdr:col>14</xdr:col><xdr:colOff>533400</xdr:colOff><xdr:row>2</xdr:row><xdr:rowOff>273050</xdr:rowOff></to></anchor></controlPr></control></mc:Choice><mc:Fallback><control shapeId="27656" r:id="rId7" name="CommandButton1"/></mc:Fallback></mc:AlternateContent></controls><tableParts count="2"><tablePart r:id="rId9"/><tablePart r:id="rId10"/></tableParts></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7B91D-809B-4E10-A429-61EE890942F0}">
  <sheetPr codeName="Sheet16">
    <tabColor rgb="FFFFC000"/>
  </sheetPr>
  <dimension ref="A1:J49"/>
  <sheetViews>
    <sheetView topLeftCell="A5" workbookViewId="0">
      <selection activeCell="E30" sqref="E30"/>
    </sheetView>
  </sheetViews>
  <sheetFormatPr defaultRowHeight="14.5"/>
  <cols>
    <col min="2" max="2" width="20.1796875" customWidth="1"/>
    <col min="3" max="3" width="15.7265625" customWidth="1"/>
    <col min="4" max="4" width="50.26953125" customWidth="1"/>
    <col min="5" max="5" width="50.1796875" customWidth="1"/>
    <col min="6" max="6" width="17.7265625" style="176" customWidth="1"/>
    <col min="7" max="7" width="18.81640625" bestFit="1" customWidth="1"/>
    <col min="8" max="8" width="18.26953125" bestFit="1" customWidth="1"/>
    <col min="10" max="11" width="17.81640625" bestFit="1" customWidth="1"/>
    <col min="12" max="12" width="28.81640625" bestFit="1" customWidth="1"/>
    <col min="16384" max="16384" width="9.1796875" bestFit="1" customWidth="1"/>
  </cols>
  <sheetData>
    <row r="1" spans="1:10">
      <c r="A1" s="138"/>
      <c r="B1" s="769" t="s">
        <v>152</v>
      </c>
      <c r="C1" s="2"/>
      <c r="D1" s="772" t="s">
        <v>519</v>
      </c>
      <c r="E1" s="2"/>
      <c r="F1" s="219"/>
      <c r="G1" s="219"/>
      <c r="H1" s="219"/>
      <c r="I1" s="219"/>
      <c r="J1" s="2"/>
    </row>
    <row r="2" spans="1:10">
      <c r="A2" s="139"/>
      <c r="B2" s="770"/>
      <c r="C2" s="2"/>
      <c r="D2" s="772"/>
      <c r="E2" s="2"/>
      <c r="F2" s="219"/>
      <c r="G2" s="219"/>
      <c r="H2" s="219"/>
      <c r="I2" s="219"/>
      <c r="J2" s="2"/>
    </row>
    <row r="3" spans="1:10" ht="15" customHeight="1">
      <c r="A3" s="139"/>
      <c r="B3" s="770"/>
      <c r="C3" s="2"/>
      <c r="D3" s="772"/>
      <c r="E3" s="2"/>
      <c r="F3" s="219"/>
      <c r="G3" s="219"/>
      <c r="H3" s="219"/>
      <c r="I3" s="219"/>
      <c r="J3" s="2"/>
    </row>
    <row r="4" spans="1:10" ht="18" customHeight="1">
      <c r="A4" s="139"/>
      <c r="B4" s="770"/>
      <c r="C4" s="2"/>
      <c r="D4" s="772" t="s">
        <v>520</v>
      </c>
      <c r="E4" s="2"/>
      <c r="F4" s="219"/>
      <c r="G4" s="219"/>
      <c r="H4" s="219"/>
      <c r="I4" s="219"/>
      <c r="J4" s="2"/>
    </row>
    <row r="5" spans="1:10" ht="33.75" customHeight="1">
      <c r="A5" s="139"/>
      <c r="B5" s="227"/>
      <c r="C5" s="2"/>
      <c r="D5" s="772"/>
      <c r="E5" s="2"/>
      <c r="F5" s="219"/>
      <c r="G5" s="219"/>
      <c r="H5" s="219"/>
      <c r="I5" s="219"/>
      <c r="J5" s="2"/>
    </row>
    <row r="6" spans="1:10">
      <c r="A6" s="139"/>
      <c r="B6" s="227"/>
      <c r="C6" s="2"/>
      <c r="D6" s="2"/>
      <c r="E6" s="2"/>
      <c r="F6" s="219"/>
      <c r="G6" s="219"/>
      <c r="H6" s="219"/>
      <c r="I6" s="219"/>
      <c r="J6" s="2"/>
    </row>
    <row r="7" spans="1:10" ht="18.5">
      <c r="A7" s="690" t="s">
        <v>38</v>
      </c>
      <c r="B7" s="771"/>
      <c r="C7" s="2"/>
      <c r="D7" s="2"/>
      <c r="E7" s="2"/>
      <c r="F7" s="219"/>
      <c r="G7" s="219"/>
      <c r="H7" s="219"/>
      <c r="I7" s="219"/>
      <c r="J7" s="2"/>
    </row>
    <row r="8" spans="1:10">
      <c r="A8" s="139"/>
      <c r="B8" s="227"/>
      <c r="C8" s="2"/>
      <c r="D8" s="2"/>
      <c r="E8" s="2"/>
      <c r="F8" s="219"/>
      <c r="G8" s="219"/>
      <c r="H8" s="219"/>
      <c r="I8" s="219"/>
      <c r="J8" s="2"/>
    </row>
    <row r="9" spans="1:10">
      <c r="A9" s="139"/>
      <c r="B9" s="227"/>
      <c r="C9" s="2"/>
      <c r="D9" s="2"/>
      <c r="E9" s="2"/>
      <c r="F9" s="219"/>
      <c r="G9" s="219"/>
      <c r="H9" s="219"/>
      <c r="I9" s="219"/>
      <c r="J9" s="2"/>
    </row>
    <row r="10" spans="1:10" ht="15" customHeight="1">
      <c r="A10" s="139"/>
      <c r="B10" s="227"/>
      <c r="C10" s="2"/>
      <c r="D10" s="2"/>
      <c r="E10" s="2"/>
      <c r="F10" s="219"/>
      <c r="G10" s="219"/>
      <c r="H10" s="219"/>
      <c r="I10" s="219"/>
      <c r="J10" s="2"/>
    </row>
    <row r="11" spans="1:10" ht="15" customHeight="1">
      <c r="A11" s="139"/>
      <c r="B11" s="227"/>
      <c r="C11" s="2"/>
      <c r="D11" s="2"/>
      <c r="E11" s="2"/>
      <c r="F11" s="219"/>
      <c r="G11" s="219"/>
      <c r="H11" s="219"/>
      <c r="I11" s="219"/>
      <c r="J11" s="2"/>
    </row>
    <row r="12" spans="1:10" ht="15" customHeight="1">
      <c r="A12" s="139"/>
      <c r="B12" s="227"/>
      <c r="C12" s="2"/>
      <c r="D12" s="2"/>
      <c r="E12" s="2"/>
      <c r="F12" s="219"/>
      <c r="G12" s="219"/>
      <c r="H12" s="219"/>
      <c r="I12" s="219"/>
      <c r="J12" s="2"/>
    </row>
    <row r="13" spans="1:10" ht="15" customHeight="1">
      <c r="A13" s="139"/>
      <c r="B13" s="227"/>
      <c r="C13" s="2"/>
      <c r="D13" s="2"/>
      <c r="E13" s="2"/>
      <c r="F13" s="219"/>
      <c r="G13" s="134" t="s">
        <v>521</v>
      </c>
      <c r="H13" t="s">
        <v>522</v>
      </c>
      <c r="I13" s="219"/>
      <c r="J13" s="2"/>
    </row>
    <row r="14" spans="1:10">
      <c r="A14" s="139"/>
      <c r="B14" s="227"/>
      <c r="C14" s="2"/>
      <c r="D14" s="2"/>
      <c r="E14" s="2"/>
      <c r="F14" s="219"/>
      <c r="G14" t="s">
        <v>523</v>
      </c>
      <c r="H14" s="164">
        <v>706</v>
      </c>
      <c r="I14" s="219"/>
      <c r="J14" s="2"/>
    </row>
    <row r="15" spans="1:10">
      <c r="A15" s="139"/>
      <c r="B15" s="227"/>
      <c r="C15" s="2"/>
      <c r="D15" s="2"/>
      <c r="E15" s="2"/>
      <c r="F15" s="219"/>
      <c r="G15" t="s">
        <v>524</v>
      </c>
      <c r="H15" s="164">
        <v>158</v>
      </c>
      <c r="I15" s="219"/>
      <c r="J15" s="2"/>
    </row>
    <row r="16" spans="1:10">
      <c r="A16" s="139"/>
      <c r="B16" s="227"/>
      <c r="C16" s="2"/>
      <c r="D16" s="2"/>
      <c r="E16" s="2"/>
      <c r="F16" s="219"/>
      <c r="G16" t="s">
        <v>525</v>
      </c>
      <c r="H16" s="164">
        <v>122</v>
      </c>
      <c r="I16" s="219"/>
      <c r="J16" s="2"/>
    </row>
    <row r="17" spans="1:10">
      <c r="A17" s="139"/>
      <c r="B17" s="227"/>
      <c r="C17" s="2"/>
      <c r="D17" s="2"/>
      <c r="E17" s="2"/>
      <c r="F17" s="219"/>
      <c r="G17" t="s">
        <v>526</v>
      </c>
      <c r="H17" s="164">
        <v>95</v>
      </c>
      <c r="I17" s="219"/>
      <c r="J17" s="2"/>
    </row>
    <row r="18" spans="1:10">
      <c r="A18" s="139"/>
      <c r="B18" s="227"/>
      <c r="C18" s="2"/>
      <c r="D18" s="2"/>
      <c r="E18" s="2"/>
      <c r="F18" s="219"/>
      <c r="G18" t="s">
        <v>527</v>
      </c>
      <c r="H18" s="164">
        <v>60.5</v>
      </c>
      <c r="I18" s="219"/>
      <c r="J18" s="2"/>
    </row>
    <row r="19" spans="1:10">
      <c r="A19" s="139"/>
      <c r="B19" s="227"/>
      <c r="C19" s="2"/>
      <c r="D19" s="2"/>
      <c r="E19" s="2"/>
      <c r="F19" s="219"/>
      <c r="G19" t="s">
        <v>528</v>
      </c>
      <c r="H19" s="164">
        <v>36</v>
      </c>
      <c r="I19" s="219"/>
      <c r="J19" s="2"/>
    </row>
    <row r="20" spans="1:10">
      <c r="A20" s="139"/>
      <c r="B20" s="227"/>
      <c r="C20" s="2"/>
      <c r="D20" s="2"/>
      <c r="E20" s="2"/>
      <c r="F20" s="219"/>
      <c r="G20" t="s">
        <v>83</v>
      </c>
      <c r="H20" s="164">
        <v>1177.5</v>
      </c>
      <c r="I20" s="219"/>
      <c r="J20" s="2"/>
    </row>
    <row r="21" spans="1:10">
      <c r="A21" s="139"/>
      <c r="B21" s="227"/>
      <c r="C21" s="2"/>
      <c r="D21" s="2"/>
      <c r="E21" s="2"/>
      <c r="F21" s="219"/>
      <c r="G21" s="219"/>
      <c r="H21" s="219"/>
      <c r="I21" s="219"/>
      <c r="J21" s="2"/>
    </row>
    <row r="22" spans="1:10">
      <c r="A22" s="139"/>
      <c r="B22" s="227"/>
      <c r="C22" s="2"/>
      <c r="D22" s="2"/>
      <c r="E22" s="2"/>
      <c r="F22" s="219"/>
      <c r="G22" s="219"/>
      <c r="H22" s="219"/>
      <c r="I22" s="219"/>
      <c r="J22" s="2"/>
    </row>
    <row r="23" spans="1:10" ht="17.5" customHeight="1">
      <c r="A23" s="139"/>
      <c r="B23" s="227"/>
      <c r="C23" s="2"/>
      <c r="D23" s="218" t="s">
        <v>529</v>
      </c>
      <c r="E23" s="221" t="s">
        <v>530</v>
      </c>
      <c r="F23" s="219"/>
      <c r="G23" s="219"/>
      <c r="H23" s="219"/>
      <c r="I23" s="219"/>
      <c r="J23" s="2"/>
    </row>
    <row r="24" spans="1:10" ht="15" customHeight="1">
      <c r="A24" s="139"/>
      <c r="B24" s="227"/>
      <c r="C24" s="2"/>
      <c r="D24" s="177" t="s">
        <v>531</v>
      </c>
      <c r="E24" s="222">
        <f>IFERROR((ROUNDUP(NPER(E32/12,-E33,E31,0),0)),"N/A")</f>
        <v>3</v>
      </c>
      <c r="F24" s="219"/>
      <c r="G24" s="219"/>
      <c r="H24" s="219"/>
      <c r="I24" s="219"/>
      <c r="J24" s="2"/>
    </row>
    <row r="25" spans="1:10" ht="15" customHeight="1">
      <c r="A25" s="139"/>
      <c r="B25" s="227"/>
      <c r="C25" s="2"/>
      <c r="D25" s="177" t="s">
        <v>532</v>
      </c>
      <c r="E25" s="222">
        <f>IFERROR(ROUNDUP(NPER(E32/12,-E34,E31,0),0),"N/A")</f>
        <v>2</v>
      </c>
      <c r="F25" s="219"/>
      <c r="G25" s="219"/>
      <c r="H25" s="219"/>
      <c r="I25" s="219"/>
      <c r="J25" s="2"/>
    </row>
    <row r="26" spans="1:10" ht="15" customHeight="1">
      <c r="A26" s="139"/>
      <c r="B26" s="227"/>
      <c r="C26" s="2"/>
      <c r="D26" s="177" t="s">
        <v>533</v>
      </c>
      <c r="E26" s="399">
        <f>IFERROR(((NPER(E32/12,-E33,E31,0)*E33)-E31),"N/A")</f>
        <v>10.151390688772153</v>
      </c>
      <c r="F26" s="219"/>
      <c r="G26" s="219"/>
      <c r="H26" s="219"/>
      <c r="I26" s="219"/>
      <c r="J26" s="2"/>
    </row>
    <row r="27" spans="1:10" ht="15" customHeight="1">
      <c r="A27" s="139"/>
      <c r="B27" s="227"/>
      <c r="C27" s="2"/>
      <c r="D27" s="177" t="s">
        <v>534</v>
      </c>
      <c r="E27" s="399">
        <f>IFERROR(((NPER(E32/12,-E34,E31,0)*E34)-E31),"N/A")</f>
        <v>7.0926683910521433</v>
      </c>
      <c r="F27" s="219"/>
      <c r="G27" s="219"/>
      <c r="H27" s="219"/>
      <c r="I27" s="219"/>
      <c r="J27" s="2"/>
    </row>
    <row r="28" spans="1:10" ht="17.5" customHeight="1">
      <c r="A28" s="139"/>
      <c r="B28" s="227"/>
      <c r="C28" s="2"/>
      <c r="D28" s="178" t="s">
        <v>535</v>
      </c>
      <c r="E28" s="223" t="s">
        <v>536</v>
      </c>
      <c r="F28" s="219"/>
      <c r="G28" s="219"/>
      <c r="H28" s="219"/>
      <c r="I28" s="219"/>
      <c r="J28" s="2"/>
    </row>
    <row r="29" spans="1:10" ht="14.5" customHeight="1">
      <c r="A29" s="139"/>
      <c r="B29" s="227"/>
      <c r="C29" s="2"/>
      <c r="D29" s="396" t="s">
        <v>537</v>
      </c>
      <c r="E29" s="397">
        <f>H20</f>
        <v>1177.5</v>
      </c>
      <c r="F29" s="219"/>
      <c r="G29" s="219"/>
      <c r="H29" s="219"/>
      <c r="I29" s="219"/>
      <c r="J29" s="2"/>
    </row>
    <row r="30" spans="1:10" ht="14.25" customHeight="1">
      <c r="A30" s="394"/>
      <c r="B30" s="227"/>
      <c r="C30" s="2"/>
      <c r="D30" s="396" t="s">
        <v>538</v>
      </c>
      <c r="E30" s="397">
        <v>300</v>
      </c>
      <c r="F30" s="219"/>
      <c r="G30" s="219"/>
      <c r="H30" s="219"/>
      <c r="I30" s="219"/>
      <c r="J30" s="2"/>
    </row>
    <row r="31" spans="1:10" ht="14.25" customHeight="1">
      <c r="A31" s="394"/>
      <c r="B31" s="227"/>
      <c r="C31" s="2"/>
      <c r="D31" s="179" t="s">
        <v>539</v>
      </c>
      <c r="E31" s="398">
        <f>E29-E30</f>
        <v>877.5</v>
      </c>
      <c r="F31" s="219"/>
      <c r="G31" s="219"/>
      <c r="H31" s="219"/>
      <c r="I31" s="219"/>
      <c r="J31" s="2"/>
    </row>
    <row r="32" spans="1:10" ht="14.25" customHeight="1">
      <c r="A32" s="394"/>
      <c r="B32" s="227"/>
      <c r="C32" s="2"/>
      <c r="D32" s="179" t="s">
        <v>540</v>
      </c>
      <c r="E32" s="225">
        <v>7.0000000000000007E-2</v>
      </c>
      <c r="F32" s="219"/>
      <c r="G32" s="219"/>
      <c r="H32" s="219"/>
      <c r="I32" s="219"/>
      <c r="J32" s="2"/>
    </row>
    <row r="33" spans="1:10">
      <c r="A33" s="394"/>
      <c r="B33" s="227"/>
      <c r="C33" s="2"/>
      <c r="D33" s="179" t="s">
        <v>541</v>
      </c>
      <c r="E33" s="224">
        <v>300</v>
      </c>
      <c r="F33" s="219"/>
      <c r="G33" s="219"/>
      <c r="H33" s="219"/>
      <c r="I33" s="219"/>
      <c r="J33" s="2"/>
    </row>
    <row r="34" spans="1:10" ht="14.5" customHeight="1">
      <c r="A34" s="394"/>
      <c r="B34" s="394"/>
      <c r="C34" s="2"/>
      <c r="D34" s="220" t="s">
        <v>542</v>
      </c>
      <c r="E34" s="226">
        <v>500</v>
      </c>
      <c r="F34" s="219"/>
      <c r="G34" s="219"/>
      <c r="H34" s="219"/>
      <c r="I34" s="219"/>
      <c r="J34" s="2"/>
    </row>
    <row r="35" spans="1:10" ht="14.5" customHeight="1">
      <c r="A35" s="394"/>
      <c r="B35" s="394"/>
      <c r="C35" s="2"/>
      <c r="D35" s="768" t="s">
        <v>543</v>
      </c>
      <c r="E35" s="768"/>
      <c r="F35" s="2"/>
      <c r="G35" s="2"/>
      <c r="H35" s="219"/>
      <c r="I35" s="219"/>
      <c r="J35" s="2"/>
    </row>
    <row r="36" spans="1:10" ht="14.5" customHeight="1">
      <c r="A36" s="394"/>
      <c r="B36" s="394"/>
      <c r="C36" s="2"/>
      <c r="D36" s="768"/>
      <c r="E36" s="768"/>
      <c r="F36" s="2"/>
      <c r="G36" s="2"/>
      <c r="H36" s="219"/>
      <c r="I36" s="219"/>
      <c r="J36" s="2"/>
    </row>
    <row r="37" spans="1:10">
      <c r="A37" s="394"/>
      <c r="B37" s="394"/>
      <c r="C37" s="2"/>
      <c r="D37" s="395" t="s">
        <v>27</v>
      </c>
      <c r="E37" t="s">
        <v>480</v>
      </c>
      <c r="F37" t="s">
        <v>521</v>
      </c>
      <c r="G37" t="s">
        <v>544</v>
      </c>
      <c r="H37" s="219"/>
      <c r="I37" s="2"/>
    </row>
    <row r="38" spans="1:10">
      <c r="A38" s="394"/>
      <c r="B38" s="394"/>
      <c r="C38" s="2"/>
      <c r="D38" s="482">
        <v>44531</v>
      </c>
      <c r="E38" t="s">
        <v>545</v>
      </c>
      <c r="F38"/>
      <c r="G38" s="164"/>
      <c r="H38" s="219"/>
      <c r="I38" s="2"/>
    </row>
    <row r="39" spans="1:10">
      <c r="A39" s="394"/>
      <c r="B39" s="394"/>
      <c r="C39" s="2"/>
      <c r="D39" s="482">
        <v>44531</v>
      </c>
      <c r="E39" t="s">
        <v>546</v>
      </c>
      <c r="F39" t="s">
        <v>527</v>
      </c>
      <c r="G39" s="164">
        <v>8.5</v>
      </c>
      <c r="H39" s="219"/>
      <c r="I39" s="2"/>
    </row>
    <row r="40" spans="1:10">
      <c r="A40" s="394"/>
      <c r="B40" s="394"/>
      <c r="C40" s="2"/>
      <c r="D40" s="482">
        <v>44533</v>
      </c>
      <c r="E40" t="s">
        <v>547</v>
      </c>
      <c r="F40" t="s">
        <v>525</v>
      </c>
      <c r="G40" s="164">
        <v>122</v>
      </c>
      <c r="H40" s="219"/>
      <c r="I40" s="2"/>
    </row>
    <row r="41" spans="1:10">
      <c r="A41" s="394"/>
      <c r="B41" s="394"/>
      <c r="C41" s="2"/>
      <c r="D41" s="482">
        <v>44535</v>
      </c>
      <c r="E41" t="s">
        <v>548</v>
      </c>
      <c r="F41" t="s">
        <v>524</v>
      </c>
      <c r="G41" s="164">
        <v>158</v>
      </c>
      <c r="H41" s="219"/>
      <c r="I41" s="2"/>
    </row>
    <row r="42" spans="1:10">
      <c r="A42" s="394"/>
      <c r="B42" s="227"/>
      <c r="C42" s="2"/>
      <c r="D42" s="482">
        <v>44536</v>
      </c>
      <c r="E42" t="s">
        <v>549</v>
      </c>
      <c r="F42" t="s">
        <v>528</v>
      </c>
      <c r="G42" s="164">
        <v>36</v>
      </c>
      <c r="H42" s="219"/>
      <c r="I42" s="2"/>
    </row>
    <row r="43" spans="1:10">
      <c r="A43" s="394"/>
      <c r="B43" s="394"/>
      <c r="C43" s="2"/>
      <c r="D43" s="482">
        <v>44542</v>
      </c>
      <c r="E43" t="s">
        <v>550</v>
      </c>
      <c r="F43" t="s">
        <v>527</v>
      </c>
      <c r="G43" s="164">
        <v>52</v>
      </c>
      <c r="H43" s="219"/>
      <c r="I43" s="2"/>
    </row>
    <row r="44" spans="1:10">
      <c r="A44" s="394"/>
      <c r="B44" s="394"/>
      <c r="C44" s="2"/>
      <c r="D44" s="482">
        <v>44548</v>
      </c>
      <c r="E44" t="s">
        <v>551</v>
      </c>
      <c r="F44" t="s">
        <v>526</v>
      </c>
      <c r="G44" s="164">
        <v>95</v>
      </c>
      <c r="H44" s="219"/>
      <c r="I44" s="2"/>
    </row>
    <row r="45" spans="1:10">
      <c r="A45" s="394"/>
      <c r="B45" s="394"/>
      <c r="C45" s="2"/>
      <c r="D45" s="482">
        <v>44555</v>
      </c>
      <c r="E45" t="s">
        <v>552</v>
      </c>
      <c r="F45" t="s">
        <v>523</v>
      </c>
      <c r="G45" s="164">
        <v>40</v>
      </c>
      <c r="H45" s="219"/>
      <c r="I45" s="2"/>
    </row>
    <row r="46" spans="1:10">
      <c r="A46" s="394"/>
      <c r="B46" s="394"/>
      <c r="C46" s="2"/>
      <c r="D46" s="482">
        <v>44555</v>
      </c>
      <c r="E46" t="s">
        <v>553</v>
      </c>
      <c r="F46" s="176" t="s">
        <v>554</v>
      </c>
      <c r="G46" s="164">
        <v>500</v>
      </c>
      <c r="H46" s="219"/>
      <c r="I46" s="2"/>
    </row>
    <row r="47" spans="1:10">
      <c r="A47" s="394"/>
      <c r="B47" s="394"/>
      <c r="C47" s="2"/>
      <c r="D47" s="482">
        <v>44561</v>
      </c>
      <c r="E47" t="s">
        <v>555</v>
      </c>
      <c r="F47" s="176" t="s">
        <v>523</v>
      </c>
      <c r="G47" s="164">
        <v>666</v>
      </c>
      <c r="H47" s="219"/>
      <c r="I47" s="2"/>
    </row>
    <row r="48" spans="1:10">
      <c r="F48"/>
    </row>
    <row r="49" spans="6:6">
      <c r="F49"/>
    </row>
  </sheetData>
  <mergeCells count="5">
    <mergeCell ref="D35:E36"/>
    <mergeCell ref="B1:B4"/>
    <mergeCell ref="A7:B7"/>
    <mergeCell ref="D1:D3"/>
    <mergeCell ref="D4:D5"/>
  </mergeCells>
  <phoneticPr fontId="33" type="noConversion"/>
  <dataValidations count="1">
    <dataValidation type="list" allowBlank="1" showInputMessage="1" showErrorMessage="1" sqref="F38:F47" xr:uid="{78669019-25D8-40A2-825C-621A6B30EEDD}">
      <formula1>"Air &amp; Trans.,Lodging,Fuel,Phone,Meals &amp; Tips,Entertainment,Other"</formula1>
    </dataValidation>
  </dataValidations>
  <hyperlinks>
    <hyperlink ref="A7:B7" location="'Home'!A1" display="Home" xr:uid="{7CA3B251-68F5-4143-A7A3-A7E4AE341C26}"/>
  </hyperlinks>
  <pageMargins left="0.7" right="0.7" top="0.75" bottom="0.75" header="0.3" footer="0.3"/>
  <drawing r:id="rId2"/>
  <legacyDrawing r:id="rId3"/>
  <controls>
    <mc:AlternateContent xmlns:mc="http://schemas.openxmlformats.org/markup-compatibility/2006">
      <mc:Choice Requires="x14">
        <control shapeId="28675" r:id="rId4" name="CommandButton2">
          <controlPr defaultSize="0" autoLine="0" r:id="rId5">
            <anchor moveWithCells="1">
              <from>
                <xdr:col>7</xdr:col>
                <xdr:colOff>127000</xdr:colOff>
                <xdr:row>39</xdr:row>
                <xdr:rowOff>0</xdr:rowOff>
              </from>
              <to>
                <xdr:col>8</xdr:col>
                <xdr:colOff>6350</xdr:colOff>
                <xdr:row>40</xdr:row>
                <xdr:rowOff>158750</xdr:rowOff>
              </to>
            </anchor>
          </controlPr>
        </control>
      </mc:Choice>
      <mc:Fallback>
        <control shapeId="28675" r:id="rId4" name="CommandButton2"/>
      </mc:Fallback>
    </mc:AlternateContent>
    <mc:AlternateContent xmlns:mc="http://schemas.openxmlformats.org/markup-compatibility/2006">
      <mc:Choice Requires="x14">
        <control shapeId="28673" r:id="rId6" name="CommandButton1">
          <controlPr defaultSize="0" autoLine="0" r:id="rId7">
            <anchor moveWithCells="1">
              <from>
                <xdr:col>7</xdr:col>
                <xdr:colOff>107950</xdr:colOff>
                <xdr:row>36</xdr:row>
                <xdr:rowOff>25400</xdr:rowOff>
              </from>
              <to>
                <xdr:col>8</xdr:col>
                <xdr:colOff>450850</xdr:colOff>
                <xdr:row>38</xdr:row>
                <xdr:rowOff>107950</xdr:rowOff>
              </to>
            </anchor>
          </controlPr>
        </control>
      </mc:Choice>
      <mc:Fallback>
        <control shapeId="28673" r:id="rId6" name="CommandButton1"/>
      </mc:Fallback>
    </mc:AlternateContent>
  </controls>
  <tableParts count="1">
    <tablePart r:id="rId8"/>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F311-E275-470D-BC9A-E1F60A3A91F1}">
  <sheetPr codeName="Sheet17"/>
  <dimension ref="A1:I33"/>
  <sheetViews>
    <sheetView workbookViewId="0">
      <selection activeCell="G16" sqref="G16"/>
    </sheetView>
  </sheetViews>
  <sheetFormatPr defaultRowHeight="14.5"/>
  <cols>
    <col min="1" max="1" width="13" customWidth="1"/>
    <col min="2" max="2" width="15.453125" customWidth="1"/>
    <col min="4" max="4" width="36.81640625" customWidth="1"/>
    <col min="5" max="5" width="39.7265625" customWidth="1"/>
    <col min="6" max="6" width="36" customWidth="1"/>
    <col min="7" max="7" width="37.54296875" customWidth="1"/>
    <col min="8" max="8" width="37.7265625" customWidth="1"/>
    <col min="9" max="9" width="13.26953125" bestFit="1" customWidth="1"/>
    <col min="10" max="13" width="30.7265625" bestFit="1" customWidth="1"/>
  </cols>
  <sheetData>
    <row r="1" spans="1:9">
      <c r="A1" s="138"/>
      <c r="B1" s="759" t="s">
        <v>152</v>
      </c>
      <c r="C1" s="2"/>
      <c r="D1" s="773" t="s">
        <v>556</v>
      </c>
      <c r="E1" s="773"/>
      <c r="F1" s="773"/>
      <c r="G1" s="2"/>
      <c r="H1" s="2"/>
      <c r="I1" s="2"/>
    </row>
    <row r="2" spans="1:9">
      <c r="A2" s="139"/>
      <c r="B2" s="760"/>
      <c r="C2" s="2"/>
      <c r="D2" s="773"/>
      <c r="E2" s="773"/>
      <c r="F2" s="773"/>
      <c r="G2" s="2"/>
      <c r="H2" s="2"/>
      <c r="I2" s="2"/>
    </row>
    <row r="3" spans="1:9">
      <c r="A3" s="139"/>
      <c r="B3" s="760"/>
      <c r="C3" s="2"/>
      <c r="D3" s="2"/>
      <c r="E3" s="2"/>
      <c r="F3" s="2"/>
      <c r="G3" s="2"/>
      <c r="H3" s="2"/>
      <c r="I3" s="2"/>
    </row>
    <row r="4" spans="1:9">
      <c r="A4" s="139"/>
      <c r="B4" s="760"/>
      <c r="C4" s="2"/>
      <c r="D4" s="2"/>
      <c r="E4" s="2"/>
      <c r="F4" s="2"/>
      <c r="G4" s="2"/>
      <c r="H4" s="2"/>
      <c r="I4" s="2"/>
    </row>
    <row r="5" spans="1:9">
      <c r="A5" s="139"/>
      <c r="B5" s="140"/>
      <c r="C5" s="2"/>
      <c r="D5" t="s">
        <v>557</v>
      </c>
      <c r="E5" t="s">
        <v>558</v>
      </c>
      <c r="F5" t="s">
        <v>559</v>
      </c>
      <c r="G5" t="s">
        <v>533</v>
      </c>
      <c r="H5" t="s">
        <v>534</v>
      </c>
      <c r="I5" s="2"/>
    </row>
    <row r="6" spans="1:9">
      <c r="A6" s="139"/>
      <c r="B6" s="140"/>
      <c r="C6" s="2"/>
      <c r="D6" t="s">
        <v>560</v>
      </c>
      <c r="E6">
        <v>8</v>
      </c>
      <c r="F6">
        <v>9</v>
      </c>
      <c r="G6" s="22">
        <v>1122</v>
      </c>
      <c r="H6" s="22">
        <v>1222</v>
      </c>
      <c r="I6" s="2"/>
    </row>
    <row r="7" spans="1:9" ht="18.5">
      <c r="A7" s="690" t="s">
        <v>38</v>
      </c>
      <c r="B7" s="738"/>
      <c r="C7" s="2"/>
      <c r="D7" t="s">
        <v>561</v>
      </c>
      <c r="E7">
        <v>12</v>
      </c>
      <c r="F7">
        <v>8</v>
      </c>
      <c r="G7" s="22">
        <v>1889</v>
      </c>
      <c r="H7" s="22">
        <v>1300</v>
      </c>
      <c r="I7" s="2"/>
    </row>
    <row r="8" spans="1:9">
      <c r="A8" s="139"/>
      <c r="B8" s="140"/>
      <c r="C8" s="2"/>
      <c r="D8" t="s">
        <v>562</v>
      </c>
      <c r="E8">
        <v>3</v>
      </c>
      <c r="F8">
        <v>2</v>
      </c>
      <c r="G8" s="22">
        <v>200</v>
      </c>
      <c r="H8" s="22">
        <v>180</v>
      </c>
      <c r="I8" s="2"/>
    </row>
    <row r="9" spans="1:9">
      <c r="A9" s="139"/>
      <c r="B9" s="140"/>
      <c r="C9" s="2"/>
      <c r="D9" t="s">
        <v>563</v>
      </c>
      <c r="E9">
        <v>4</v>
      </c>
      <c r="F9">
        <v>3</v>
      </c>
      <c r="G9" s="22">
        <v>400</v>
      </c>
      <c r="H9" s="22">
        <v>355</v>
      </c>
      <c r="I9" s="2"/>
    </row>
    <row r="10" spans="1:9">
      <c r="A10" s="139"/>
      <c r="B10" s="140"/>
      <c r="C10" s="2"/>
      <c r="D10" t="s">
        <v>564</v>
      </c>
      <c r="E10">
        <v>6</v>
      </c>
      <c r="F10">
        <v>5</v>
      </c>
      <c r="G10" s="22">
        <v>522</v>
      </c>
      <c r="H10" s="22">
        <v>456</v>
      </c>
      <c r="I10" s="2"/>
    </row>
    <row r="11" spans="1:9">
      <c r="A11" s="139"/>
      <c r="B11" s="140"/>
      <c r="C11" s="2"/>
      <c r="D11" t="s">
        <v>565</v>
      </c>
      <c r="E11">
        <v>9</v>
      </c>
      <c r="F11">
        <v>8</v>
      </c>
      <c r="G11" s="22">
        <f t="shared" ref="G11" ca="1" si="0">RANDBETWEEN(100,3000)</f>
        <v>1210</v>
      </c>
      <c r="H11" s="22">
        <f t="shared" ref="H11" ca="1" si="1">RANDBETWEEN(100,2000)</f>
        <v>120</v>
      </c>
      <c r="I11" s="2"/>
    </row>
    <row r="12" spans="1:9">
      <c r="A12" s="139"/>
      <c r="B12" s="140"/>
      <c r="C12" s="2"/>
      <c r="D12" t="s">
        <v>566</v>
      </c>
      <c r="E12">
        <v>2</v>
      </c>
      <c r="F12">
        <v>2</v>
      </c>
      <c r="G12" s="22">
        <v>211</v>
      </c>
      <c r="H12" s="22">
        <v>211</v>
      </c>
      <c r="I12" s="2"/>
    </row>
    <row r="13" spans="1:9">
      <c r="A13" s="139"/>
      <c r="B13" s="140"/>
      <c r="C13" s="2"/>
      <c r="D13" t="s">
        <v>567</v>
      </c>
      <c r="E13">
        <v>11</v>
      </c>
      <c r="F13">
        <v>8</v>
      </c>
      <c r="G13" s="22">
        <v>2311</v>
      </c>
      <c r="H13" s="22">
        <v>1981</v>
      </c>
      <c r="I13" s="2"/>
    </row>
    <row r="14" spans="1:9">
      <c r="A14" s="139"/>
      <c r="B14" s="140"/>
      <c r="C14" s="2"/>
      <c r="D14" t="s">
        <v>568</v>
      </c>
      <c r="E14">
        <v>2</v>
      </c>
      <c r="F14">
        <v>2</v>
      </c>
      <c r="G14" s="22">
        <v>199</v>
      </c>
      <c r="H14" s="22">
        <v>199</v>
      </c>
      <c r="I14" s="2"/>
    </row>
    <row r="15" spans="1:9">
      <c r="A15" s="139"/>
      <c r="B15" s="140"/>
      <c r="C15" s="2"/>
      <c r="D15" t="s">
        <v>568</v>
      </c>
      <c r="E15">
        <v>2</v>
      </c>
      <c r="F15">
        <v>2</v>
      </c>
      <c r="G15" s="22">
        <v>120</v>
      </c>
      <c r="H15" s="22">
        <v>120</v>
      </c>
      <c r="I15" s="2"/>
    </row>
    <row r="16" spans="1:9">
      <c r="A16" s="139"/>
      <c r="B16" s="140"/>
      <c r="C16" s="2"/>
      <c r="D16" s="2"/>
      <c r="E16" s="2"/>
      <c r="F16" s="2"/>
      <c r="G16" s="2"/>
      <c r="H16" s="2"/>
      <c r="I16" s="2"/>
    </row>
    <row r="17" spans="1:9">
      <c r="A17" s="139"/>
      <c r="B17" s="140"/>
      <c r="C17" s="2"/>
      <c r="D17" s="2"/>
      <c r="E17" s="2"/>
      <c r="F17" s="2"/>
      <c r="G17" s="2"/>
      <c r="H17" s="2"/>
      <c r="I17" s="2"/>
    </row>
    <row r="18" spans="1:9">
      <c r="A18" s="139"/>
      <c r="B18" s="140"/>
      <c r="C18" s="2"/>
      <c r="D18" s="2"/>
      <c r="E18" s="2"/>
      <c r="F18" s="2"/>
      <c r="G18" s="2"/>
      <c r="H18" s="2"/>
      <c r="I18" s="2"/>
    </row>
    <row r="19" spans="1:9">
      <c r="A19" s="139"/>
      <c r="B19" s="140"/>
      <c r="C19" s="2"/>
      <c r="D19" s="2"/>
      <c r="E19" s="2"/>
      <c r="F19" s="2"/>
      <c r="G19" s="2"/>
      <c r="H19" s="2"/>
      <c r="I19" s="2"/>
    </row>
    <row r="20" spans="1:9">
      <c r="A20" s="139"/>
      <c r="B20" s="140"/>
      <c r="C20" s="2"/>
      <c r="D20" s="2"/>
      <c r="E20" s="2"/>
      <c r="F20" s="2"/>
      <c r="G20" s="2"/>
      <c r="H20" s="2"/>
      <c r="I20" s="2"/>
    </row>
    <row r="21" spans="1:9">
      <c r="A21" s="139"/>
      <c r="B21" s="140"/>
      <c r="C21" s="2"/>
      <c r="D21" s="2"/>
      <c r="E21" s="2"/>
      <c r="F21" s="2"/>
      <c r="G21" s="2"/>
      <c r="H21" s="2"/>
      <c r="I21" s="2"/>
    </row>
    <row r="22" spans="1:9">
      <c r="A22" s="139"/>
      <c r="B22" s="140"/>
      <c r="C22" s="2"/>
      <c r="D22" t="s">
        <v>569</v>
      </c>
      <c r="E22" t="s">
        <v>570</v>
      </c>
      <c r="F22" s="2"/>
      <c r="G22" s="2"/>
      <c r="H22" s="2"/>
      <c r="I22" s="2"/>
    </row>
    <row r="23" spans="1:9">
      <c r="A23" s="139"/>
      <c r="B23" s="140"/>
      <c r="C23" s="2"/>
      <c r="D23" s="22">
        <f ca="1">SUM(G6:G15)</f>
        <v>8184</v>
      </c>
      <c r="E23" s="22">
        <f ca="1">SUM(H6:H15)</f>
        <v>6144</v>
      </c>
      <c r="F23" s="2"/>
      <c r="G23" s="2"/>
      <c r="H23" s="2"/>
      <c r="I23" s="2"/>
    </row>
    <row r="24" spans="1:9">
      <c r="A24" s="139"/>
      <c r="B24" s="140"/>
      <c r="C24" s="2"/>
      <c r="D24" s="2"/>
      <c r="E24" s="2"/>
      <c r="F24" s="2"/>
      <c r="G24" s="2"/>
      <c r="H24" s="2"/>
      <c r="I24" s="2"/>
    </row>
    <row r="25" spans="1:9">
      <c r="A25" s="139"/>
      <c r="B25" s="140"/>
      <c r="C25" s="2"/>
      <c r="D25" s="2"/>
      <c r="E25" s="2"/>
      <c r="F25" s="2"/>
      <c r="G25" s="2"/>
      <c r="H25" s="2"/>
      <c r="I25" s="2"/>
    </row>
    <row r="26" spans="1:9">
      <c r="A26" s="139"/>
      <c r="B26" s="140"/>
      <c r="C26" s="2"/>
      <c r="D26" s="2"/>
      <c r="E26" s="2"/>
      <c r="F26" s="2"/>
      <c r="G26" s="2"/>
      <c r="H26" s="2"/>
      <c r="I26" s="2"/>
    </row>
    <row r="27" spans="1:9">
      <c r="A27" s="139"/>
      <c r="B27" s="140"/>
      <c r="C27" s="2"/>
      <c r="D27" s="2"/>
      <c r="E27" s="2"/>
      <c r="F27" s="2"/>
      <c r="G27" s="2"/>
      <c r="H27" s="2"/>
      <c r="I27" s="2"/>
    </row>
    <row r="28" spans="1:9">
      <c r="A28" s="139"/>
      <c r="B28" s="140"/>
      <c r="C28" s="2"/>
      <c r="D28" s="2"/>
      <c r="E28" s="2"/>
      <c r="F28" s="2"/>
      <c r="G28" s="2"/>
      <c r="H28" s="2"/>
      <c r="I28" s="2"/>
    </row>
    <row r="29" spans="1:9">
      <c r="A29" s="139"/>
      <c r="B29" s="140"/>
      <c r="C29" s="2"/>
      <c r="D29" s="2"/>
      <c r="E29" s="2"/>
      <c r="F29" s="2"/>
      <c r="G29" s="2"/>
      <c r="H29" s="2"/>
      <c r="I29" s="2"/>
    </row>
    <row r="30" spans="1:9">
      <c r="A30" s="684"/>
      <c r="B30" s="753"/>
      <c r="C30" s="2"/>
      <c r="D30" s="2"/>
      <c r="E30" s="2"/>
      <c r="F30" s="2"/>
      <c r="G30" s="2"/>
      <c r="H30" s="2"/>
      <c r="I30" s="2"/>
    </row>
    <row r="31" spans="1:9">
      <c r="A31" s="684"/>
      <c r="B31" s="753"/>
      <c r="C31" s="2"/>
      <c r="D31" s="2"/>
      <c r="E31" s="2"/>
      <c r="F31" s="2"/>
      <c r="G31" s="2"/>
      <c r="H31" s="2"/>
      <c r="I31" s="2"/>
    </row>
    <row r="32" spans="1:9">
      <c r="A32" s="684"/>
      <c r="B32" s="753"/>
      <c r="C32" s="2"/>
      <c r="D32" s="2"/>
      <c r="E32" s="2"/>
      <c r="F32" s="2"/>
      <c r="G32" s="2"/>
      <c r="H32" s="2"/>
      <c r="I32" s="2"/>
    </row>
    <row r="33" spans="1:9">
      <c r="A33" s="684"/>
      <c r="B33" s="753"/>
      <c r="C33" s="2"/>
      <c r="D33" s="2"/>
      <c r="E33" s="2"/>
      <c r="F33" s="2"/>
      <c r="G33" s="2"/>
      <c r="H33" s="2"/>
      <c r="I33" s="2"/>
    </row>
  </sheetData>
  <mergeCells count="4">
    <mergeCell ref="B1:B4"/>
    <mergeCell ref="A7:B7"/>
    <mergeCell ref="A30:B33"/>
    <mergeCell ref="D1:F2"/>
  </mergeCells>
  <conditionalFormatting sqref="E6:F15">
    <cfRule type="cellIs" dxfId="9" priority="3" operator="greaterThan">
      <formula>5</formula>
    </cfRule>
  </conditionalFormatting>
  <conditionalFormatting sqref="G6:H15">
    <cfRule type="cellIs" dxfId="8" priority="1" operator="greaterThan">
      <formula>2000</formula>
    </cfRule>
  </conditionalFormatting>
  <hyperlinks>
    <hyperlink ref="A7:B7" location="'Home'!A1" display="Home" xr:uid="{62EF3A1B-86C3-4C91-9D2A-F9BBAAD755A1}"/>
  </hyperlinks>
  <pageMargins left="0.7" right="0.7" top="0.75" bottom="0.75" header="0.3" footer="0.3"/>
  <drawing r:id="rId1"/>
  <legacyDrawing r:id="rId2"/>
  <controls>
    <mc:AlternateContent xmlns:mc="http://schemas.openxmlformats.org/markup-compatibility/2006">
      <mc:Choice Requires="x14">
        <control shapeId="29697" r:id="rId3" name="CommandButton1">
          <controlPr defaultSize="0" autoLine="0" r:id="rId4">
            <anchor moveWithCells="1">
              <from>
                <xdr:col>7</xdr:col>
                <xdr:colOff>1174750</xdr:colOff>
                <xdr:row>1</xdr:row>
                <xdr:rowOff>12700</xdr:rowOff>
              </from>
              <to>
                <xdr:col>8</xdr:col>
                <xdr:colOff>107950</xdr:colOff>
                <xdr:row>3</xdr:row>
                <xdr:rowOff>82550</xdr:rowOff>
              </to>
            </anchor>
          </controlPr>
        </control>
      </mc:Choice>
      <mc:Fallback>
        <control shapeId="29697" r:id="rId3" name="CommandButton1"/>
      </mc:Fallback>
    </mc:AlternateContent>
  </controls>
  <tableParts count="2">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E65C7-1CEA-4076-9FD8-01FC7854C088}">
  <sheetPr codeName="Sheet26"/>
  <dimension ref="A1:E92"/>
  <sheetViews>
    <sheetView workbookViewId="0">
      <selection activeCell="P30" sqref="P30"/>
    </sheetView>
  </sheetViews>
  <sheetFormatPr defaultRowHeight="14.5"/>
  <cols>
    <col min="1" max="1" width="9.81640625" bestFit="1" customWidth="1"/>
    <col min="2" max="2" width="9.26953125" bestFit="1" customWidth="1"/>
    <col min="3" max="3" width="16.81640625" customWidth="1"/>
    <col min="4" max="4" width="31.54296875" customWidth="1"/>
    <col min="5" max="5" width="31.7265625" customWidth="1"/>
  </cols>
  <sheetData>
    <row r="1" spans="1:5">
      <c r="A1" t="s">
        <v>27</v>
      </c>
      <c r="B1" t="s">
        <v>571</v>
      </c>
      <c r="C1" t="s">
        <v>572</v>
      </c>
      <c r="D1" t="s">
        <v>573</v>
      </c>
      <c r="E1" t="s">
        <v>574</v>
      </c>
    </row>
    <row r="2" spans="1:5">
      <c r="A2" s="23">
        <v>44207</v>
      </c>
      <c r="B2">
        <v>0.75588599999999995</v>
      </c>
    </row>
    <row r="3" spans="1:5">
      <c r="A3" s="23">
        <v>44214</v>
      </c>
      <c r="B3">
        <v>0.75097100000000006</v>
      </c>
    </row>
    <row r="4" spans="1:5">
      <c r="A4" s="23">
        <v>44221</v>
      </c>
      <c r="B4">
        <v>0.75294399999999995</v>
      </c>
    </row>
    <row r="5" spans="1:5">
      <c r="A5" s="23">
        <v>44228</v>
      </c>
      <c r="B5">
        <v>0.75165899999999997</v>
      </c>
    </row>
    <row r="6" spans="1:5">
      <c r="A6" s="23">
        <v>44235</v>
      </c>
      <c r="B6">
        <v>0.75000800000000001</v>
      </c>
    </row>
    <row r="7" spans="1:5">
      <c r="A7" s="23">
        <v>44242</v>
      </c>
      <c r="B7">
        <v>0.75468299999999999</v>
      </c>
    </row>
    <row r="8" spans="1:5">
      <c r="A8" s="23">
        <v>44249</v>
      </c>
      <c r="B8">
        <v>0.75545799999999996</v>
      </c>
    </row>
    <row r="9" spans="1:5">
      <c r="A9" s="23">
        <v>44256</v>
      </c>
      <c r="B9">
        <v>0.75238899999999997</v>
      </c>
    </row>
    <row r="10" spans="1:5">
      <c r="A10" s="23">
        <v>44263</v>
      </c>
      <c r="B10">
        <v>0.74582899999999996</v>
      </c>
    </row>
    <row r="11" spans="1:5">
      <c r="A11" s="23">
        <v>44270</v>
      </c>
      <c r="B11">
        <v>0.74409199999999998</v>
      </c>
    </row>
    <row r="12" spans="1:5">
      <c r="A12" s="23">
        <v>44277</v>
      </c>
      <c r="B12">
        <v>0.74393100000000001</v>
      </c>
    </row>
    <row r="13" spans="1:5">
      <c r="A13" s="23">
        <v>44284</v>
      </c>
      <c r="B13">
        <v>0.74299700000000002</v>
      </c>
    </row>
    <row r="14" spans="1:5">
      <c r="A14" s="23">
        <v>44291</v>
      </c>
      <c r="B14">
        <v>0.74309099999999995</v>
      </c>
    </row>
    <row r="15" spans="1:5">
      <c r="A15" s="23">
        <v>44298</v>
      </c>
      <c r="B15">
        <v>0.74571200000000004</v>
      </c>
    </row>
    <row r="16" spans="1:5">
      <c r="A16" s="23">
        <v>44305</v>
      </c>
      <c r="B16">
        <v>0.74934400000000001</v>
      </c>
    </row>
    <row r="17" spans="1:2">
      <c r="A17" s="23">
        <v>44312</v>
      </c>
      <c r="B17">
        <v>0.75343800000000005</v>
      </c>
    </row>
    <row r="18" spans="1:2">
      <c r="A18" s="23">
        <v>44319</v>
      </c>
      <c r="B18">
        <v>0.75169900000000001</v>
      </c>
    </row>
    <row r="19" spans="1:2">
      <c r="A19" s="23">
        <v>44326</v>
      </c>
      <c r="B19">
        <v>0.75493900000000003</v>
      </c>
    </row>
    <row r="20" spans="1:2">
      <c r="A20" s="23">
        <v>44333</v>
      </c>
      <c r="B20">
        <v>0.75027200000000005</v>
      </c>
    </row>
    <row r="21" spans="1:2">
      <c r="A21" s="23">
        <v>44340</v>
      </c>
      <c r="B21">
        <v>0.75109499999999996</v>
      </c>
    </row>
    <row r="22" spans="1:2">
      <c r="A22" s="23">
        <v>44347</v>
      </c>
      <c r="B22">
        <v>0.755687</v>
      </c>
    </row>
    <row r="23" spans="1:2">
      <c r="A23" s="23">
        <v>44354</v>
      </c>
      <c r="B23">
        <v>0.75509300000000001</v>
      </c>
    </row>
    <row r="24" spans="1:2">
      <c r="A24" s="23">
        <v>44361</v>
      </c>
      <c r="B24">
        <v>0.754301</v>
      </c>
    </row>
    <row r="25" spans="1:2">
      <c r="A25" s="23">
        <v>44368</v>
      </c>
      <c r="B25">
        <v>0.74351699999999998</v>
      </c>
    </row>
    <row r="26" spans="1:2">
      <c r="A26" s="23">
        <v>44375</v>
      </c>
      <c r="B26">
        <v>0.74491200000000002</v>
      </c>
    </row>
    <row r="27" spans="1:2">
      <c r="A27" s="23">
        <v>44382</v>
      </c>
      <c r="B27">
        <v>0.74217</v>
      </c>
    </row>
    <row r="28" spans="1:2">
      <c r="A28" s="23">
        <v>44389</v>
      </c>
      <c r="B28">
        <v>0.74031800000000003</v>
      </c>
    </row>
    <row r="29" spans="1:2">
      <c r="A29" s="23">
        <v>44396</v>
      </c>
      <c r="B29">
        <v>0.73708799999999997</v>
      </c>
    </row>
    <row r="30" spans="1:2">
      <c r="A30" s="23">
        <v>44403</v>
      </c>
      <c r="B30">
        <v>0.734981</v>
      </c>
    </row>
    <row r="31" spans="1:2">
      <c r="A31" s="23">
        <v>44410</v>
      </c>
      <c r="B31">
        <v>0.73821999999999999</v>
      </c>
    </row>
    <row r="32" spans="1:2">
      <c r="A32" s="23">
        <v>44417</v>
      </c>
      <c r="B32">
        <v>0.73739200000000005</v>
      </c>
    </row>
    <row r="33" spans="1:2">
      <c r="A33" s="23">
        <v>44424</v>
      </c>
      <c r="B33">
        <v>0.73833400000000005</v>
      </c>
    </row>
    <row r="34" spans="1:2">
      <c r="A34" s="23">
        <v>44431</v>
      </c>
      <c r="B34">
        <v>0.73453800000000002</v>
      </c>
    </row>
    <row r="35" spans="1:2">
      <c r="A35" s="23">
        <v>44438</v>
      </c>
      <c r="B35">
        <v>0.74330099999999999</v>
      </c>
    </row>
    <row r="36" spans="1:2">
      <c r="A36" s="23">
        <v>44445</v>
      </c>
      <c r="B36">
        <v>0.74576799999999999</v>
      </c>
    </row>
    <row r="37" spans="1:2">
      <c r="A37" s="23">
        <v>44452</v>
      </c>
      <c r="B37">
        <v>0.74561200000000005</v>
      </c>
    </row>
    <row r="38" spans="1:2">
      <c r="A38" s="23">
        <v>44459</v>
      </c>
      <c r="B38">
        <v>0.74134500000000003</v>
      </c>
    </row>
    <row r="39" spans="1:2">
      <c r="A39" s="23">
        <v>44466</v>
      </c>
      <c r="B39">
        <v>0.73906000000000005</v>
      </c>
    </row>
    <row r="40" spans="1:2">
      <c r="A40" s="23">
        <v>44473</v>
      </c>
      <c r="B40">
        <v>0.73751699999999998</v>
      </c>
    </row>
    <row r="41" spans="1:2">
      <c r="A41" s="23">
        <v>44480</v>
      </c>
      <c r="B41">
        <v>0.73787700000000001</v>
      </c>
    </row>
    <row r="42" spans="1:2">
      <c r="A42" s="23">
        <v>44487</v>
      </c>
      <c r="B42">
        <v>0.74159200000000003</v>
      </c>
    </row>
    <row r="43" spans="1:2">
      <c r="A43" s="23">
        <v>44494</v>
      </c>
      <c r="B43">
        <v>0.74189499999999997</v>
      </c>
    </row>
    <row r="44" spans="1:2">
      <c r="A44" s="23">
        <v>44501</v>
      </c>
      <c r="B44">
        <v>0.74121800000000004</v>
      </c>
    </row>
    <row r="45" spans="1:2">
      <c r="A45" s="23">
        <v>44508</v>
      </c>
      <c r="B45">
        <v>0.74073</v>
      </c>
    </row>
    <row r="46" spans="1:2">
      <c r="A46" s="23">
        <v>44515</v>
      </c>
      <c r="B46">
        <v>0.73958500000000005</v>
      </c>
    </row>
    <row r="47" spans="1:2">
      <c r="A47" s="23">
        <v>44522</v>
      </c>
      <c r="B47">
        <v>0.73412299999999997</v>
      </c>
    </row>
    <row r="48" spans="1:2">
      <c r="A48" s="23">
        <v>44529</v>
      </c>
      <c r="B48">
        <v>0.72995900000000002</v>
      </c>
    </row>
    <row r="49" spans="1:5">
      <c r="A49" s="23">
        <v>44536</v>
      </c>
      <c r="B49">
        <v>0.72948500000000005</v>
      </c>
    </row>
    <row r="50" spans="1:5">
      <c r="A50" s="23">
        <v>44543</v>
      </c>
      <c r="B50">
        <v>0.73322900000000002</v>
      </c>
    </row>
    <row r="51" spans="1:5">
      <c r="A51" s="23">
        <v>44550</v>
      </c>
      <c r="B51">
        <v>0.73148100000000005</v>
      </c>
    </row>
    <row r="52" spans="1:5">
      <c r="A52" s="23">
        <v>44557</v>
      </c>
      <c r="B52">
        <v>0.73655099999999996</v>
      </c>
    </row>
    <row r="53" spans="1:5">
      <c r="A53" s="23">
        <v>44564</v>
      </c>
      <c r="B53">
        <v>0.74171299999999996</v>
      </c>
    </row>
    <row r="54" spans="1:5">
      <c r="A54" s="23">
        <v>44571</v>
      </c>
      <c r="B54">
        <v>0.74021199999999998</v>
      </c>
      <c r="C54">
        <v>0.74021199999999998</v>
      </c>
      <c r="D54" s="388">
        <v>0.74021199999999998</v>
      </c>
      <c r="E54" s="388">
        <v>0.74021199999999998</v>
      </c>
    </row>
    <row r="55" spans="1:5">
      <c r="A55" s="23">
        <v>44578</v>
      </c>
      <c r="C55">
        <f t="shared" ref="C55:C92" si="0">_xlfn.FORECAST.ETS(A55,$B$2:$B$54,$A$2:$A$54,1,1)</f>
        <v>0.74011221960151208</v>
      </c>
      <c r="D55" s="388">
        <f t="shared" ref="D55:D92" si="1">C55-_xlfn.FORECAST.ETS.CONFINT(A55,$B$2:$B$54,$A$2:$A$54,0.95,1,1)</f>
        <v>0.73198060448973157</v>
      </c>
      <c r="E55" s="388">
        <f t="shared" ref="E55:E92" si="2">C55+_xlfn.FORECAST.ETS.CONFINT(A55,$B$2:$B$54,$A$2:$A$54,0.95,1,1)</f>
        <v>0.74824383471329259</v>
      </c>
    </row>
    <row r="56" spans="1:5">
      <c r="A56" s="23">
        <v>44585</v>
      </c>
      <c r="C56">
        <f t="shared" si="0"/>
        <v>0.73924339130042926</v>
      </c>
      <c r="D56" s="388">
        <f t="shared" si="1"/>
        <v>0.73111173959646303</v>
      </c>
      <c r="E56" s="388">
        <f t="shared" si="2"/>
        <v>0.7473750430043955</v>
      </c>
    </row>
    <row r="57" spans="1:5">
      <c r="A57" s="23">
        <v>44592</v>
      </c>
      <c r="C57">
        <f t="shared" si="0"/>
        <v>0.73853088192693994</v>
      </c>
      <c r="D57" s="388">
        <f t="shared" si="1"/>
        <v>0.73039916517060577</v>
      </c>
      <c r="E57" s="388">
        <f t="shared" si="2"/>
        <v>0.74666259868327411</v>
      </c>
    </row>
    <row r="58" spans="1:5">
      <c r="A58" s="23">
        <v>44599</v>
      </c>
      <c r="C58">
        <f t="shared" si="0"/>
        <v>0.7364859477782264</v>
      </c>
      <c r="D58" s="388">
        <f t="shared" si="1"/>
        <v>0.72835412937860911</v>
      </c>
      <c r="E58" s="388">
        <f t="shared" si="2"/>
        <v>0.7446177661778437</v>
      </c>
    </row>
    <row r="59" spans="1:5">
      <c r="A59" s="23">
        <v>44606</v>
      </c>
      <c r="C59">
        <f t="shared" si="0"/>
        <v>0.73671086518854023</v>
      </c>
      <c r="D59" s="388">
        <f t="shared" si="1"/>
        <v>0.7285789004248272</v>
      </c>
      <c r="E59" s="388">
        <f t="shared" si="2"/>
        <v>0.74484282995225326</v>
      </c>
    </row>
    <row r="60" spans="1:5">
      <c r="A60" s="23">
        <v>44613</v>
      </c>
      <c r="C60">
        <f t="shared" si="0"/>
        <v>0.73892030976899259</v>
      </c>
      <c r="D60" s="388">
        <f t="shared" si="1"/>
        <v>0.73078814579171558</v>
      </c>
      <c r="E60" s="388">
        <f t="shared" si="2"/>
        <v>0.7470524737462696</v>
      </c>
    </row>
    <row r="61" spans="1:5">
      <c r="A61" s="23">
        <v>44620</v>
      </c>
      <c r="C61">
        <f t="shared" si="0"/>
        <v>0.73972761415068122</v>
      </c>
      <c r="D61" s="388">
        <f t="shared" si="1"/>
        <v>0.73159518998344553</v>
      </c>
      <c r="E61" s="388">
        <f t="shared" si="2"/>
        <v>0.74786003831791692</v>
      </c>
    </row>
    <row r="62" spans="1:5">
      <c r="A62" s="23">
        <v>44627</v>
      </c>
      <c r="C62">
        <f t="shared" si="0"/>
        <v>0.73907405901535628</v>
      </c>
      <c r="D62" s="388">
        <f t="shared" si="1"/>
        <v>0.73094130555713877</v>
      </c>
      <c r="E62" s="388">
        <f t="shared" si="2"/>
        <v>0.74720681247357379</v>
      </c>
    </row>
    <row r="63" spans="1:5">
      <c r="A63" s="23">
        <v>44634</v>
      </c>
      <c r="C63">
        <f t="shared" si="0"/>
        <v>0.73209280497917717</v>
      </c>
      <c r="D63" s="388">
        <f t="shared" si="1"/>
        <v>0.72395964500727317</v>
      </c>
      <c r="E63" s="388">
        <f t="shared" si="2"/>
        <v>0.74022596495108117</v>
      </c>
    </row>
    <row r="64" spans="1:5">
      <c r="A64" s="23">
        <v>44641</v>
      </c>
      <c r="C64">
        <f t="shared" si="0"/>
        <v>0.73351227188073065</v>
      </c>
      <c r="D64" s="388">
        <f t="shared" si="1"/>
        <v>0.72537862005443121</v>
      </c>
      <c r="E64" s="388">
        <f t="shared" si="2"/>
        <v>0.74164592370703009</v>
      </c>
    </row>
    <row r="65" spans="1:5">
      <c r="A65" s="23">
        <v>44648</v>
      </c>
      <c r="C65">
        <f t="shared" si="0"/>
        <v>0.7316974310173</v>
      </c>
      <c r="D65" s="388">
        <f t="shared" si="1"/>
        <v>0.723563193882379</v>
      </c>
      <c r="E65" s="388">
        <f t="shared" si="2"/>
        <v>0.73983166815222101</v>
      </c>
    </row>
    <row r="66" spans="1:5">
      <c r="A66" s="23">
        <v>44655</v>
      </c>
      <c r="C66">
        <f t="shared" si="0"/>
        <v>0.72880217741059017</v>
      </c>
      <c r="D66" s="388">
        <f t="shared" si="1"/>
        <v>0.72066725340468207</v>
      </c>
      <c r="E66" s="388">
        <f t="shared" si="2"/>
        <v>0.73693710141649826</v>
      </c>
    </row>
    <row r="67" spans="1:5">
      <c r="A67" s="23">
        <v>44662</v>
      </c>
      <c r="C67">
        <f t="shared" si="0"/>
        <v>0.72543373533860056</v>
      </c>
      <c r="D67" s="388">
        <f t="shared" si="1"/>
        <v>0.71729801479754784</v>
      </c>
      <c r="E67" s="388">
        <f t="shared" si="2"/>
        <v>0.73356945587965328</v>
      </c>
    </row>
    <row r="68" spans="1:5">
      <c r="A68" s="23">
        <v>44669</v>
      </c>
      <c r="C68">
        <f t="shared" si="0"/>
        <v>0.72393602881875041</v>
      </c>
      <c r="D68" s="388">
        <f t="shared" si="1"/>
        <v>0.71579939398399961</v>
      </c>
      <c r="E68" s="388">
        <f t="shared" si="2"/>
        <v>0.73207266365350121</v>
      </c>
    </row>
    <row r="69" spans="1:5">
      <c r="A69" s="23">
        <v>44676</v>
      </c>
      <c r="C69">
        <f t="shared" si="0"/>
        <v>0.726199613434383</v>
      </c>
      <c r="D69" s="388">
        <f t="shared" si="1"/>
        <v>0.71806193846150856</v>
      </c>
      <c r="E69" s="388">
        <f t="shared" si="2"/>
        <v>0.73433728840725743</v>
      </c>
    </row>
    <row r="70" spans="1:5">
      <c r="A70" s="23">
        <v>44683</v>
      </c>
      <c r="C70">
        <f t="shared" si="0"/>
        <v>0.72517203613628767</v>
      </c>
      <c r="D70" s="388">
        <f t="shared" si="1"/>
        <v>0.71703318710472075</v>
      </c>
      <c r="E70" s="388">
        <f t="shared" si="2"/>
        <v>0.73331088516785459</v>
      </c>
    </row>
    <row r="71" spans="1:5">
      <c r="A71" s="23">
        <v>44690</v>
      </c>
      <c r="C71">
        <f t="shared" si="0"/>
        <v>0.72690950095010742</v>
      </c>
      <c r="D71" s="388">
        <f t="shared" si="1"/>
        <v>0.71876933587414737</v>
      </c>
      <c r="E71" s="388">
        <f t="shared" si="2"/>
        <v>0.73504966602606747</v>
      </c>
    </row>
    <row r="72" spans="1:5">
      <c r="A72" s="23">
        <v>44697</v>
      </c>
      <c r="C72">
        <f t="shared" si="0"/>
        <v>0.72761054353361443</v>
      </c>
      <c r="D72" s="388">
        <f t="shared" si="1"/>
        <v>0.7194689123747986</v>
      </c>
      <c r="E72" s="388">
        <f t="shared" si="2"/>
        <v>0.73575217469243026</v>
      </c>
    </row>
    <row r="73" spans="1:5">
      <c r="A73" s="23">
        <v>44704</v>
      </c>
      <c r="C73">
        <f t="shared" si="0"/>
        <v>0.73201045135732956</v>
      </c>
      <c r="D73" s="388">
        <f t="shared" si="1"/>
        <v>0.72386719603823679</v>
      </c>
      <c r="E73" s="388">
        <f t="shared" si="2"/>
        <v>0.74015370667642233</v>
      </c>
    </row>
    <row r="74" spans="1:5">
      <c r="A74" s="23">
        <v>44711</v>
      </c>
      <c r="C74">
        <f t="shared" si="0"/>
        <v>0.7344080061014302</v>
      </c>
      <c r="D74" s="388">
        <f t="shared" si="1"/>
        <v>0.72597184829688388</v>
      </c>
      <c r="E74" s="388">
        <f t="shared" si="2"/>
        <v>0.74284416390597652</v>
      </c>
    </row>
    <row r="75" spans="1:5">
      <c r="A75" s="23">
        <v>44718</v>
      </c>
      <c r="C75">
        <f t="shared" si="0"/>
        <v>0.73353917780034739</v>
      </c>
      <c r="D75" s="388">
        <f t="shared" si="1"/>
        <v>0.72510112339694721</v>
      </c>
      <c r="E75" s="388">
        <f t="shared" si="2"/>
        <v>0.74197723220374756</v>
      </c>
    </row>
    <row r="76" spans="1:5">
      <c r="A76" s="23">
        <v>44725</v>
      </c>
      <c r="C76">
        <f t="shared" si="0"/>
        <v>0.73282666842685806</v>
      </c>
      <c r="D76" s="388">
        <f t="shared" si="1"/>
        <v>0.72438654157540194</v>
      </c>
      <c r="E76" s="388">
        <f t="shared" si="2"/>
        <v>0.74126679527831418</v>
      </c>
    </row>
    <row r="77" spans="1:5">
      <c r="A77" s="23">
        <v>44732</v>
      </c>
      <c r="C77">
        <f t="shared" si="0"/>
        <v>0.73078173427814463</v>
      </c>
      <c r="D77" s="388">
        <f t="shared" si="1"/>
        <v>0.72233935142664341</v>
      </c>
      <c r="E77" s="388">
        <f t="shared" si="2"/>
        <v>0.73922411712964586</v>
      </c>
    </row>
    <row r="78" spans="1:5">
      <c r="A78" s="23">
        <v>44739</v>
      </c>
      <c r="C78">
        <f t="shared" si="0"/>
        <v>0.73100665168845835</v>
      </c>
      <c r="D78" s="388">
        <f t="shared" si="1"/>
        <v>0.72256182160200744</v>
      </c>
      <c r="E78" s="388">
        <f t="shared" si="2"/>
        <v>0.73945148177490927</v>
      </c>
    </row>
    <row r="79" spans="1:5">
      <c r="A79" s="23">
        <v>44746</v>
      </c>
      <c r="C79">
        <f t="shared" si="0"/>
        <v>0.73321609626891071</v>
      </c>
      <c r="D79" s="388">
        <f t="shared" si="1"/>
        <v>0.7247686200512401</v>
      </c>
      <c r="E79" s="388">
        <f t="shared" si="2"/>
        <v>0.74166357248658132</v>
      </c>
    </row>
    <row r="80" spans="1:5">
      <c r="A80" s="23">
        <v>44753</v>
      </c>
      <c r="C80">
        <f t="shared" si="0"/>
        <v>0.73402340065059934</v>
      </c>
      <c r="D80" s="388">
        <f t="shared" si="1"/>
        <v>0.7255730717673603</v>
      </c>
      <c r="E80" s="388">
        <f t="shared" si="2"/>
        <v>0.74247372953383839</v>
      </c>
    </row>
    <row r="81" spans="1:5">
      <c r="A81" s="23">
        <v>44760</v>
      </c>
      <c r="C81">
        <f t="shared" si="0"/>
        <v>0.7333698455152744</v>
      </c>
      <c r="D81" s="388">
        <f t="shared" si="1"/>
        <v>0.72491644981912151</v>
      </c>
      <c r="E81" s="388">
        <f t="shared" si="2"/>
        <v>0.74182324121142729</v>
      </c>
    </row>
    <row r="82" spans="1:5">
      <c r="A82" s="23">
        <v>44767</v>
      </c>
      <c r="C82">
        <f t="shared" si="0"/>
        <v>0.72638859147909529</v>
      </c>
      <c r="D82" s="388">
        <f t="shared" si="1"/>
        <v>0.7179319072366197</v>
      </c>
      <c r="E82" s="388">
        <f t="shared" si="2"/>
        <v>0.73484527572157088</v>
      </c>
    </row>
    <row r="83" spans="1:5">
      <c r="A83" s="23">
        <v>44774</v>
      </c>
      <c r="C83">
        <f t="shared" si="0"/>
        <v>0.72780805838064877</v>
      </c>
      <c r="D83" s="388">
        <f t="shared" si="1"/>
        <v>0.71934785630121667</v>
      </c>
      <c r="E83" s="388">
        <f t="shared" si="2"/>
        <v>0.73626826046008087</v>
      </c>
    </row>
    <row r="84" spans="1:5">
      <c r="A84" s="23">
        <v>44781</v>
      </c>
      <c r="C84">
        <f t="shared" si="0"/>
        <v>0.72599321751721813</v>
      </c>
      <c r="D84" s="388">
        <f t="shared" si="1"/>
        <v>0.71752926078376622</v>
      </c>
      <c r="E84" s="388">
        <f t="shared" si="2"/>
        <v>0.73445717425067003</v>
      </c>
    </row>
    <row r="85" spans="1:5">
      <c r="A85" s="23">
        <v>44788</v>
      </c>
      <c r="C85">
        <f t="shared" si="0"/>
        <v>0.7230979639105084</v>
      </c>
      <c r="D85" s="388">
        <f t="shared" si="1"/>
        <v>0.71463000821234757</v>
      </c>
      <c r="E85" s="388">
        <f t="shared" si="2"/>
        <v>0.73156591960866924</v>
      </c>
    </row>
    <row r="86" spans="1:5">
      <c r="A86" s="23">
        <v>44795</v>
      </c>
      <c r="C86">
        <f t="shared" si="0"/>
        <v>0.71972952183851868</v>
      </c>
      <c r="D86" s="388">
        <f t="shared" si="1"/>
        <v>0.71125731540619153</v>
      </c>
      <c r="E86" s="388">
        <f t="shared" si="2"/>
        <v>0.72820172827084584</v>
      </c>
    </row>
    <row r="87" spans="1:5">
      <c r="A87" s="23">
        <v>44802</v>
      </c>
      <c r="C87">
        <f t="shared" si="0"/>
        <v>0.71823181531866853</v>
      </c>
      <c r="D87" s="388">
        <f t="shared" si="1"/>
        <v>0.70975509896090783</v>
      </c>
      <c r="E87" s="388">
        <f t="shared" si="2"/>
        <v>0.72670853167642924</v>
      </c>
    </row>
    <row r="88" spans="1:5">
      <c r="A88" s="23">
        <v>44809</v>
      </c>
      <c r="C88">
        <f t="shared" si="0"/>
        <v>0.72049539993430112</v>
      </c>
      <c r="D88" s="388">
        <f t="shared" si="1"/>
        <v>0.71201390707713108</v>
      </c>
      <c r="E88" s="388">
        <f t="shared" si="2"/>
        <v>0.72897689279147115</v>
      </c>
    </row>
    <row r="89" spans="1:5">
      <c r="A89" s="23">
        <v>44816</v>
      </c>
      <c r="C89">
        <f t="shared" si="0"/>
        <v>0.71946782263620579</v>
      </c>
      <c r="D89" s="388">
        <f t="shared" si="1"/>
        <v>0.7109812793642255</v>
      </c>
      <c r="E89" s="388">
        <f t="shared" si="2"/>
        <v>0.72795436590818607</v>
      </c>
    </row>
    <row r="90" spans="1:5">
      <c r="A90" s="23">
        <v>44823</v>
      </c>
      <c r="C90">
        <f t="shared" si="0"/>
        <v>0.72120528745002555</v>
      </c>
      <c r="D90" s="388">
        <f t="shared" si="1"/>
        <v>0.71271341254991338</v>
      </c>
      <c r="E90" s="388">
        <f t="shared" si="2"/>
        <v>0.72969716235013771</v>
      </c>
    </row>
    <row r="91" spans="1:5">
      <c r="A91" s="23">
        <v>44830</v>
      </c>
      <c r="C91">
        <f t="shared" si="0"/>
        <v>0.72190633003353255</v>
      </c>
      <c r="D91" s="388">
        <f t="shared" si="1"/>
        <v>0.7134088350398039</v>
      </c>
      <c r="E91" s="388">
        <f t="shared" si="2"/>
        <v>0.7304038250272612</v>
      </c>
    </row>
    <row r="92" spans="1:5">
      <c r="A92" s="23">
        <v>44837</v>
      </c>
      <c r="C92">
        <f t="shared" si="0"/>
        <v>0.72630623785724768</v>
      </c>
      <c r="D92" s="388">
        <f t="shared" si="1"/>
        <v>0.71780282710029941</v>
      </c>
      <c r="E92" s="388">
        <f t="shared" si="2"/>
        <v>0.73480964861419595</v>
      </c>
    </row>
  </sheetData>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0E804-8700-4EBF-BC6E-D04787A43F3E}">
  <sheetPr codeName="Sheet27"/>
  <dimension ref="A1:E68"/>
  <sheetViews>
    <sheetView workbookViewId="0">
      <selection activeCell="N32" sqref="N32"/>
    </sheetView>
  </sheetViews>
  <sheetFormatPr defaultRowHeight="14.5"/>
  <cols>
    <col min="1" max="1" width="9.81640625" bestFit="1" customWidth="1"/>
    <col min="2" max="2" width="9.26953125" bestFit="1" customWidth="1"/>
    <col min="3" max="3" width="16.81640625" customWidth="1"/>
    <col min="4" max="4" width="31.54296875" customWidth="1"/>
    <col min="5" max="5" width="31.7265625" customWidth="1"/>
  </cols>
  <sheetData>
    <row r="1" spans="1:5">
      <c r="A1" t="s">
        <v>27</v>
      </c>
      <c r="B1" t="s">
        <v>571</v>
      </c>
      <c r="C1" t="s">
        <v>572</v>
      </c>
      <c r="D1" t="s">
        <v>573</v>
      </c>
      <c r="E1" t="s">
        <v>574</v>
      </c>
    </row>
    <row r="2" spans="1:5">
      <c r="A2" s="23">
        <v>44207</v>
      </c>
      <c r="B2">
        <v>0.61861999999999995</v>
      </c>
    </row>
    <row r="3" spans="1:5">
      <c r="A3" s="23">
        <v>44214</v>
      </c>
      <c r="B3">
        <v>0.62222999999999995</v>
      </c>
    </row>
    <row r="4" spans="1:5">
      <c r="A4" s="23">
        <v>44221</v>
      </c>
      <c r="B4">
        <v>0.61867000000000005</v>
      </c>
    </row>
    <row r="5" spans="1:5">
      <c r="A5" s="23">
        <v>44228</v>
      </c>
      <c r="B5">
        <v>0.61994700000000003</v>
      </c>
    </row>
    <row r="6" spans="1:5">
      <c r="A6" s="23">
        <v>44235</v>
      </c>
      <c r="B6">
        <v>0.622359</v>
      </c>
    </row>
    <row r="7" spans="1:5">
      <c r="A7" s="23">
        <v>44242</v>
      </c>
      <c r="B7">
        <v>0.622533</v>
      </c>
    </row>
    <row r="8" spans="1:5">
      <c r="A8" s="23">
        <v>44249</v>
      </c>
      <c r="B8">
        <v>0.62299899999999997</v>
      </c>
    </row>
    <row r="9" spans="1:5">
      <c r="A9" s="23">
        <v>44256</v>
      </c>
      <c r="B9">
        <v>0.62218799999999996</v>
      </c>
    </row>
    <row r="10" spans="1:5">
      <c r="A10" s="23">
        <v>44263</v>
      </c>
      <c r="B10">
        <v>0.62536700000000001</v>
      </c>
    </row>
    <row r="11" spans="1:5">
      <c r="A11" s="23">
        <v>44270</v>
      </c>
      <c r="B11">
        <v>0.622525</v>
      </c>
    </row>
    <row r="12" spans="1:5">
      <c r="A12" s="23">
        <v>44277</v>
      </c>
      <c r="B12">
        <v>0.62590400000000002</v>
      </c>
    </row>
    <row r="13" spans="1:5">
      <c r="A13" s="23">
        <v>44284</v>
      </c>
      <c r="B13">
        <v>0.63004000000000004</v>
      </c>
    </row>
    <row r="14" spans="1:5">
      <c r="A14" s="23">
        <v>44291</v>
      </c>
      <c r="B14">
        <v>0.63153599999999999</v>
      </c>
    </row>
    <row r="15" spans="1:5">
      <c r="A15" s="23">
        <v>44298</v>
      </c>
      <c r="B15">
        <v>0.62636999999999998</v>
      </c>
    </row>
    <row r="16" spans="1:5">
      <c r="A16" s="23">
        <v>44305</v>
      </c>
      <c r="B16">
        <v>0.62586399999999998</v>
      </c>
    </row>
    <row r="17" spans="1:2">
      <c r="A17" s="23">
        <v>44312</v>
      </c>
      <c r="B17">
        <v>0.62304099999999996</v>
      </c>
    </row>
    <row r="18" spans="1:2">
      <c r="A18" s="23">
        <v>44319</v>
      </c>
      <c r="B18">
        <v>0.625</v>
      </c>
    </row>
    <row r="19" spans="1:2">
      <c r="A19" s="23">
        <v>44326</v>
      </c>
      <c r="B19">
        <v>0.62036999999999998</v>
      </c>
    </row>
    <row r="20" spans="1:2">
      <c r="A20" s="23">
        <v>44333</v>
      </c>
      <c r="B20">
        <v>0.61753999999999998</v>
      </c>
    </row>
    <row r="21" spans="1:2">
      <c r="A21" s="23">
        <v>44340</v>
      </c>
      <c r="B21">
        <v>0.61652300000000004</v>
      </c>
    </row>
    <row r="22" spans="1:2">
      <c r="A22" s="23">
        <v>44347</v>
      </c>
      <c r="B22">
        <v>0.61983600000000005</v>
      </c>
    </row>
    <row r="23" spans="1:2">
      <c r="A23" s="23">
        <v>44354</v>
      </c>
      <c r="B23">
        <v>0.62058000000000002</v>
      </c>
    </row>
    <row r="24" spans="1:2">
      <c r="A24" s="23">
        <v>44361</v>
      </c>
      <c r="B24">
        <v>0.62278900000000004</v>
      </c>
    </row>
    <row r="25" spans="1:2">
      <c r="A25" s="23">
        <v>44368</v>
      </c>
      <c r="B25">
        <v>0.62634000000000001</v>
      </c>
    </row>
    <row r="26" spans="1:2">
      <c r="A26" s="23">
        <v>44375</v>
      </c>
      <c r="B26">
        <v>0.62370999999999999</v>
      </c>
    </row>
    <row r="27" spans="1:2">
      <c r="A27" s="23">
        <v>44382</v>
      </c>
      <c r="B27">
        <v>0.62590800000000002</v>
      </c>
    </row>
    <row r="28" spans="1:2">
      <c r="A28" s="23">
        <v>44389</v>
      </c>
      <c r="B28">
        <v>0.62316899999999997</v>
      </c>
    </row>
    <row r="29" spans="1:2">
      <c r="A29" s="23">
        <v>44396</v>
      </c>
      <c r="B29">
        <v>0.62395</v>
      </c>
    </row>
    <row r="30" spans="1:2">
      <c r="A30" s="23">
        <v>44403</v>
      </c>
      <c r="B30">
        <v>0.62420799999999999</v>
      </c>
    </row>
    <row r="31" spans="1:2">
      <c r="A31" s="23">
        <v>44410</v>
      </c>
      <c r="B31">
        <v>0.62208399999999997</v>
      </c>
    </row>
    <row r="32" spans="1:2">
      <c r="A32" s="23">
        <v>44417</v>
      </c>
      <c r="B32">
        <v>0.62756999999999996</v>
      </c>
    </row>
    <row r="33" spans="1:2">
      <c r="A33" s="23">
        <v>44424</v>
      </c>
      <c r="B33">
        <v>0.625614</v>
      </c>
    </row>
    <row r="34" spans="1:2">
      <c r="A34" s="23">
        <v>44431</v>
      </c>
      <c r="B34">
        <v>0.62754200000000004</v>
      </c>
    </row>
    <row r="35" spans="1:2">
      <c r="A35" s="23">
        <v>44438</v>
      </c>
      <c r="B35">
        <v>0.62944500000000003</v>
      </c>
    </row>
    <row r="36" spans="1:2">
      <c r="A36" s="23">
        <v>44445</v>
      </c>
      <c r="B36">
        <v>0.62680199999999997</v>
      </c>
    </row>
    <row r="37" spans="1:2">
      <c r="A37" s="23">
        <v>44452</v>
      </c>
      <c r="B37">
        <v>0.63079499999999999</v>
      </c>
    </row>
    <row r="38" spans="1:2">
      <c r="A38" s="23">
        <v>44459</v>
      </c>
      <c r="B38">
        <v>0.63172799999999996</v>
      </c>
    </row>
    <row r="39" spans="1:2">
      <c r="A39" s="23">
        <v>44466</v>
      </c>
      <c r="B39">
        <v>0.63022699999999998</v>
      </c>
    </row>
    <row r="40" spans="1:2">
      <c r="A40" s="23">
        <v>44473</v>
      </c>
      <c r="B40">
        <v>0.63512199999999996</v>
      </c>
    </row>
    <row r="41" spans="1:2">
      <c r="A41" s="23">
        <v>44480</v>
      </c>
      <c r="B41">
        <v>0.63788900000000004</v>
      </c>
    </row>
    <row r="42" spans="1:2">
      <c r="A42" s="23">
        <v>44487</v>
      </c>
      <c r="B42">
        <v>0.6391</v>
      </c>
    </row>
    <row r="43" spans="1:2">
      <c r="A43" s="23">
        <v>44494</v>
      </c>
      <c r="B43">
        <v>0.63697000000000004</v>
      </c>
    </row>
    <row r="44" spans="1:2">
      <c r="A44" s="23">
        <v>44501</v>
      </c>
      <c r="B44">
        <v>0.64110999999999996</v>
      </c>
    </row>
    <row r="45" spans="1:2">
      <c r="A45" s="23">
        <v>44508</v>
      </c>
      <c r="B45">
        <v>0.64020900000000003</v>
      </c>
    </row>
    <row r="46" spans="1:2">
      <c r="A46" s="23">
        <v>44515</v>
      </c>
      <c r="B46">
        <v>0.64627000000000001</v>
      </c>
    </row>
    <row r="47" spans="1:2">
      <c r="A47" s="23">
        <v>44522</v>
      </c>
      <c r="B47">
        <v>0.65097799999999995</v>
      </c>
    </row>
    <row r="48" spans="1:2">
      <c r="A48" s="23">
        <v>44529</v>
      </c>
      <c r="B48">
        <v>0.64639599999999997</v>
      </c>
    </row>
    <row r="49" spans="1:5">
      <c r="A49" s="23">
        <v>44536</v>
      </c>
      <c r="B49">
        <v>0.64532</v>
      </c>
    </row>
    <row r="50" spans="1:5">
      <c r="A50" s="23">
        <v>44543</v>
      </c>
      <c r="B50">
        <v>0.64804600000000001</v>
      </c>
    </row>
    <row r="51" spans="1:5">
      <c r="A51" s="23">
        <v>44550</v>
      </c>
      <c r="B51">
        <v>0.65054599999999996</v>
      </c>
    </row>
    <row r="52" spans="1:5">
      <c r="A52" s="23">
        <v>44557</v>
      </c>
      <c r="B52">
        <v>0.65019499999999997</v>
      </c>
    </row>
    <row r="53" spans="1:5">
      <c r="A53" s="23">
        <v>44564</v>
      </c>
      <c r="B53">
        <v>0.65203100000000003</v>
      </c>
    </row>
    <row r="54" spans="1:5">
      <c r="A54" s="23">
        <v>44571</v>
      </c>
      <c r="B54">
        <v>0.64905000000000002</v>
      </c>
      <c r="C54">
        <v>0.64905000000000002</v>
      </c>
      <c r="D54" s="388">
        <v>0.64905000000000002</v>
      </c>
      <c r="E54" s="388">
        <v>0.64905000000000002</v>
      </c>
    </row>
    <row r="55" spans="1:5">
      <c r="A55" s="23">
        <v>44578</v>
      </c>
      <c r="C55">
        <f t="shared" ref="C55:C68" si="0">_xlfn.FORECAST.ETS(A55,$B$2:$B$54,$A$2:$A$54,1,1)</f>
        <v>0.65081598300085419</v>
      </c>
      <c r="D55" s="388">
        <f t="shared" ref="D55:D68" si="1">C55-_xlfn.FORECAST.ETS.CONFINT(A55,$B$2:$B$54,$A$2:$A$54,0.95,1,1)</f>
        <v>0.64513252369838248</v>
      </c>
      <c r="E55" s="388">
        <f t="shared" ref="E55:E68" si="2">C55+_xlfn.FORECAST.ETS.CONFINT(A55,$B$2:$B$54,$A$2:$A$54,0.95,1,1)</f>
        <v>0.65649944230332591</v>
      </c>
    </row>
    <row r="56" spans="1:5">
      <c r="A56" s="23">
        <v>44585</v>
      </c>
      <c r="C56">
        <f t="shared" si="0"/>
        <v>0.65127135776402523</v>
      </c>
      <c r="D56" s="388">
        <f t="shared" si="1"/>
        <v>0.64387314930919026</v>
      </c>
      <c r="E56" s="388">
        <f t="shared" si="2"/>
        <v>0.65866956621886019</v>
      </c>
    </row>
    <row r="57" spans="1:5">
      <c r="A57" s="23">
        <v>44592</v>
      </c>
      <c r="C57">
        <f t="shared" si="0"/>
        <v>0.65172673252719626</v>
      </c>
      <c r="D57" s="388">
        <f t="shared" si="1"/>
        <v>0.64239746339250547</v>
      </c>
      <c r="E57" s="388">
        <f t="shared" si="2"/>
        <v>0.66105600166188705</v>
      </c>
    </row>
    <row r="58" spans="1:5">
      <c r="A58" s="23">
        <v>44599</v>
      </c>
      <c r="C58">
        <f t="shared" si="0"/>
        <v>0.65218210729036741</v>
      </c>
      <c r="D58" s="388">
        <f t="shared" si="1"/>
        <v>0.64073651517005614</v>
      </c>
      <c r="E58" s="388">
        <f t="shared" si="2"/>
        <v>0.66362769941067867</v>
      </c>
    </row>
    <row r="59" spans="1:5">
      <c r="A59" s="23">
        <v>44606</v>
      </c>
      <c r="C59">
        <f t="shared" si="0"/>
        <v>0.65263748205353844</v>
      </c>
      <c r="D59" s="388">
        <f t="shared" si="1"/>
        <v>0.63891061117430792</v>
      </c>
      <c r="E59" s="388">
        <f t="shared" si="2"/>
        <v>0.66636435293276897</v>
      </c>
    </row>
    <row r="60" spans="1:5">
      <c r="A60" s="23">
        <v>44613</v>
      </c>
      <c r="C60">
        <f t="shared" si="0"/>
        <v>0.65309285681670948</v>
      </c>
      <c r="D60" s="388">
        <f t="shared" si="1"/>
        <v>0.63693408134819485</v>
      </c>
      <c r="E60" s="388">
        <f t="shared" si="2"/>
        <v>0.66925163228522411</v>
      </c>
    </row>
    <row r="61" spans="1:5">
      <c r="A61" s="23">
        <v>44620</v>
      </c>
      <c r="C61">
        <f t="shared" si="0"/>
        <v>0.65354823157988051</v>
      </c>
      <c r="D61" s="388">
        <f t="shared" si="1"/>
        <v>0.63481768841883712</v>
      </c>
      <c r="E61" s="388">
        <f t="shared" si="2"/>
        <v>0.6722787747409239</v>
      </c>
    </row>
    <row r="62" spans="1:5">
      <c r="A62" s="23">
        <v>44627</v>
      </c>
      <c r="C62">
        <f t="shared" si="0"/>
        <v>0.65400360634305155</v>
      </c>
      <c r="D62" s="388">
        <f t="shared" si="1"/>
        <v>0.6325699132843331</v>
      </c>
      <c r="E62" s="388">
        <f t="shared" si="2"/>
        <v>0.67543729940177</v>
      </c>
    </row>
    <row r="63" spans="1:5">
      <c r="A63" s="23">
        <v>44634</v>
      </c>
      <c r="C63">
        <f t="shared" si="0"/>
        <v>0.65445898110622258</v>
      </c>
      <c r="D63" s="388">
        <f t="shared" si="1"/>
        <v>0.63019768632775774</v>
      </c>
      <c r="E63" s="388">
        <f t="shared" si="2"/>
        <v>0.67872027588468742</v>
      </c>
    </row>
    <row r="64" spans="1:5">
      <c r="A64" s="23">
        <v>44641</v>
      </c>
      <c r="C64">
        <f t="shared" si="0"/>
        <v>0.65491435586939373</v>
      </c>
      <c r="D64" s="388">
        <f t="shared" si="1"/>
        <v>0.62770682984648751</v>
      </c>
      <c r="E64" s="388">
        <f t="shared" si="2"/>
        <v>0.68212188189229994</v>
      </c>
    </row>
    <row r="65" spans="1:5">
      <c r="A65" s="23">
        <v>44648</v>
      </c>
      <c r="C65">
        <f t="shared" si="0"/>
        <v>0.65536973063256476</v>
      </c>
      <c r="D65" s="388">
        <f t="shared" si="1"/>
        <v>0.62510234077785842</v>
      </c>
      <c r="E65" s="388">
        <f t="shared" si="2"/>
        <v>0.6856371204872711</v>
      </c>
    </row>
    <row r="66" spans="1:5">
      <c r="A66" s="23">
        <v>44655</v>
      </c>
      <c r="C66">
        <f t="shared" si="0"/>
        <v>0.6558251053957358</v>
      </c>
      <c r="D66" s="388">
        <f t="shared" si="1"/>
        <v>0.62238858015881393</v>
      </c>
      <c r="E66" s="388">
        <f t="shared" si="2"/>
        <v>0.68926163063265766</v>
      </c>
    </row>
    <row r="67" spans="1:5">
      <c r="A67" s="23">
        <v>44662</v>
      </c>
      <c r="C67">
        <f t="shared" si="0"/>
        <v>0.65628048015890683</v>
      </c>
      <c r="D67" s="388">
        <f t="shared" si="1"/>
        <v>0.61956940536127258</v>
      </c>
      <c r="E67" s="388">
        <f t="shared" si="2"/>
        <v>0.69299155495654108</v>
      </c>
    </row>
    <row r="68" spans="1:5">
      <c r="A68" s="23">
        <v>44669</v>
      </c>
      <c r="C68">
        <f t="shared" si="0"/>
        <v>0.65673585492207787</v>
      </c>
      <c r="D68" s="388">
        <f t="shared" si="1"/>
        <v>0.61664826564741482</v>
      </c>
      <c r="E68" s="388">
        <f t="shared" si="2"/>
        <v>0.69682344419674092</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A024-49CA-446F-89E8-95816661AD5D}">
  <sheetPr codeName="Sheet28"/>
  <dimension ref="A1:E68"/>
  <sheetViews>
    <sheetView workbookViewId="0">
      <selection activeCell="N32" sqref="N32"/>
    </sheetView>
  </sheetViews>
  <sheetFormatPr defaultRowHeight="14.5"/>
  <cols>
    <col min="1" max="1" width="9.81640625" bestFit="1" customWidth="1"/>
    <col min="2" max="2" width="9.26953125" bestFit="1" customWidth="1"/>
    <col min="3" max="3" width="16.81640625" customWidth="1"/>
    <col min="4" max="4" width="31.54296875" customWidth="1"/>
    <col min="5" max="5" width="31.7265625" customWidth="1"/>
  </cols>
  <sheetData>
    <row r="1" spans="1:5">
      <c r="A1" t="s">
        <v>27</v>
      </c>
      <c r="B1" t="s">
        <v>571</v>
      </c>
      <c r="C1" t="s">
        <v>572</v>
      </c>
      <c r="D1" t="s">
        <v>573</v>
      </c>
      <c r="E1" t="s">
        <v>574</v>
      </c>
    </row>
    <row r="2" spans="1:5">
      <c r="A2" s="23">
        <v>44207</v>
      </c>
      <c r="B2">
        <v>78.369698</v>
      </c>
    </row>
    <row r="3" spans="1:5">
      <c r="A3" s="23">
        <v>44214</v>
      </c>
      <c r="B3">
        <v>78.022002999999998</v>
      </c>
    </row>
    <row r="4" spans="1:5">
      <c r="A4" s="23">
        <v>44221</v>
      </c>
      <c r="B4">
        <v>78.133003000000002</v>
      </c>
    </row>
    <row r="5" spans="1:5">
      <c r="A5" s="23">
        <v>44228</v>
      </c>
      <c r="B5">
        <v>78.699996999999996</v>
      </c>
    </row>
    <row r="6" spans="1:5">
      <c r="A6" s="23">
        <v>44235</v>
      </c>
      <c r="B6">
        <v>79.036002999999994</v>
      </c>
    </row>
    <row r="7" spans="1:5">
      <c r="A7" s="23">
        <v>44242</v>
      </c>
      <c r="B7">
        <v>79.275002000000001</v>
      </c>
    </row>
    <row r="8" spans="1:5">
      <c r="A8" s="23">
        <v>44249</v>
      </c>
      <c r="B8">
        <v>79.721001000000001</v>
      </c>
    </row>
    <row r="9" spans="1:5">
      <c r="A9" s="23">
        <v>44256</v>
      </c>
      <c r="B9">
        <v>80.097999999999999</v>
      </c>
    </row>
    <row r="10" spans="1:5">
      <c r="A10" s="23">
        <v>44263</v>
      </c>
      <c r="B10">
        <v>80.832001000000005</v>
      </c>
    </row>
    <row r="11" spans="1:5">
      <c r="A11" s="23">
        <v>44270</v>
      </c>
      <c r="B11">
        <v>81.178000999999995</v>
      </c>
    </row>
    <row r="12" spans="1:5">
      <c r="A12" s="23">
        <v>44277</v>
      </c>
      <c r="B12">
        <v>80.989998</v>
      </c>
    </row>
    <row r="13" spans="1:5">
      <c r="A13" s="23">
        <v>44284</v>
      </c>
      <c r="B13">
        <v>81.500702000000004</v>
      </c>
    </row>
    <row r="14" spans="1:5">
      <c r="A14" s="23">
        <v>44291</v>
      </c>
      <c r="B14">
        <v>82.228995999999995</v>
      </c>
    </row>
    <row r="15" spans="1:5">
      <c r="A15" s="23">
        <v>44298</v>
      </c>
      <c r="B15">
        <v>81.783996999999999</v>
      </c>
    </row>
    <row r="16" spans="1:5">
      <c r="A16" s="23">
        <v>44305</v>
      </c>
      <c r="B16">
        <v>81.390404000000004</v>
      </c>
    </row>
    <row r="17" spans="1:2">
      <c r="A17" s="23">
        <v>44312</v>
      </c>
      <c r="B17">
        <v>81.239898999999994</v>
      </c>
    </row>
    <row r="18" spans="1:2">
      <c r="A18" s="23">
        <v>44319</v>
      </c>
      <c r="B18">
        <v>82.148003000000003</v>
      </c>
    </row>
    <row r="19" spans="1:2">
      <c r="A19" s="23">
        <v>44326</v>
      </c>
      <c r="B19">
        <v>81.971001000000001</v>
      </c>
    </row>
    <row r="20" spans="1:2">
      <c r="A20" s="23">
        <v>44333</v>
      </c>
      <c r="B20">
        <v>82.075996000000004</v>
      </c>
    </row>
    <row r="21" spans="1:2">
      <c r="A21" s="23">
        <v>44340</v>
      </c>
      <c r="B21">
        <v>81.769699000000003</v>
      </c>
    </row>
    <row r="22" spans="1:2">
      <c r="A22" s="23">
        <v>44347</v>
      </c>
      <c r="B22">
        <v>83.052002000000002</v>
      </c>
    </row>
    <row r="23" spans="1:2">
      <c r="A23" s="23">
        <v>44354</v>
      </c>
      <c r="B23">
        <v>82.769997000000004</v>
      </c>
    </row>
    <row r="24" spans="1:2">
      <c r="A24" s="23">
        <v>44361</v>
      </c>
      <c r="B24">
        <v>82.744399999999999</v>
      </c>
    </row>
    <row r="25" spans="1:2">
      <c r="A25" s="23">
        <v>44368</v>
      </c>
      <c r="B25">
        <v>81.918998999999999</v>
      </c>
    </row>
    <row r="26" spans="1:2">
      <c r="A26" s="23">
        <v>44375</v>
      </c>
      <c r="B26">
        <v>82.533996999999999</v>
      </c>
    </row>
    <row r="27" spans="1:2">
      <c r="A27" s="23">
        <v>44382</v>
      </c>
      <c r="B27">
        <v>82.471001000000001</v>
      </c>
    </row>
    <row r="28" spans="1:2">
      <c r="A28" s="23">
        <v>44389</v>
      </c>
      <c r="B28">
        <v>81.577003000000005</v>
      </c>
    </row>
    <row r="29" spans="1:2">
      <c r="A29" s="23">
        <v>44396</v>
      </c>
      <c r="B29">
        <v>80.996002000000004</v>
      </c>
    </row>
    <row r="30" spans="1:2">
      <c r="A30" s="23">
        <v>44403</v>
      </c>
      <c r="B30">
        <v>81.235000999999997</v>
      </c>
    </row>
    <row r="31" spans="1:2">
      <c r="A31" s="23">
        <v>44410</v>
      </c>
      <c r="B31">
        <v>80.967003000000005</v>
      </c>
    </row>
    <row r="32" spans="1:2">
      <c r="A32" s="23">
        <v>44417</v>
      </c>
      <c r="B32">
        <v>81.272696999999994</v>
      </c>
    </row>
    <row r="33" spans="1:2">
      <c r="A33" s="23">
        <v>44424</v>
      </c>
      <c r="B33">
        <v>80.878997999999996</v>
      </c>
    </row>
    <row r="34" spans="1:2">
      <c r="A34" s="23">
        <v>44431</v>
      </c>
      <c r="B34">
        <v>80.663002000000006</v>
      </c>
    </row>
    <row r="35" spans="1:2">
      <c r="A35" s="23">
        <v>44438</v>
      </c>
      <c r="B35">
        <v>81.607596999999998</v>
      </c>
    </row>
    <row r="36" spans="1:2">
      <c r="A36" s="23">
        <v>44445</v>
      </c>
      <c r="B36">
        <v>81.835999000000001</v>
      </c>
    </row>
    <row r="37" spans="1:2">
      <c r="A37" s="23">
        <v>44452</v>
      </c>
      <c r="B37">
        <v>81.910895999999994</v>
      </c>
    </row>
    <row r="38" spans="1:2">
      <c r="A38" s="23">
        <v>44459</v>
      </c>
      <c r="B38">
        <v>81.486000000000004</v>
      </c>
    </row>
    <row r="39" spans="1:2">
      <c r="A39" s="23">
        <v>44466</v>
      </c>
      <c r="B39">
        <v>81.816299000000001</v>
      </c>
    </row>
    <row r="40" spans="1:2">
      <c r="A40" s="23">
        <v>44473</v>
      </c>
      <c r="B40">
        <v>81.776497000000006</v>
      </c>
    </row>
    <row r="41" spans="1:2">
      <c r="A41" s="23">
        <v>44480</v>
      </c>
      <c r="B41">
        <v>82.800499000000002</v>
      </c>
    </row>
    <row r="42" spans="1:2">
      <c r="A42" s="23">
        <v>44487</v>
      </c>
      <c r="B42">
        <v>84.760002</v>
      </c>
    </row>
    <row r="43" spans="1:2">
      <c r="A43" s="23">
        <v>44494</v>
      </c>
      <c r="B43">
        <v>84.265998999999994</v>
      </c>
    </row>
    <row r="44" spans="1:2">
      <c r="A44" s="23">
        <v>44501</v>
      </c>
      <c r="B44">
        <v>84.648003000000003</v>
      </c>
    </row>
    <row r="45" spans="1:2">
      <c r="A45" s="23">
        <v>44508</v>
      </c>
      <c r="B45">
        <v>84.032996999999995</v>
      </c>
    </row>
    <row r="46" spans="1:2">
      <c r="A46" s="23">
        <v>44515</v>
      </c>
      <c r="B46">
        <v>84.293998999999999</v>
      </c>
    </row>
    <row r="47" spans="1:2">
      <c r="A47" s="23">
        <v>44522</v>
      </c>
      <c r="B47">
        <v>83.781998000000002</v>
      </c>
    </row>
    <row r="48" spans="1:2">
      <c r="A48" s="23">
        <v>44529</v>
      </c>
      <c r="B48">
        <v>82.987999000000002</v>
      </c>
    </row>
    <row r="49" spans="1:5">
      <c r="A49" s="23">
        <v>44536</v>
      </c>
      <c r="B49">
        <v>82.429001</v>
      </c>
    </row>
    <row r="50" spans="1:5">
      <c r="A50" s="23">
        <v>44543</v>
      </c>
      <c r="B50">
        <v>83.204002000000003</v>
      </c>
    </row>
    <row r="51" spans="1:5">
      <c r="A51" s="23">
        <v>44550</v>
      </c>
      <c r="B51">
        <v>83.031998000000002</v>
      </c>
    </row>
    <row r="52" spans="1:5">
      <c r="A52" s="23">
        <v>44557</v>
      </c>
      <c r="B52">
        <v>84.183998000000003</v>
      </c>
    </row>
    <row r="53" spans="1:5">
      <c r="A53" s="23">
        <v>44564</v>
      </c>
      <c r="B53">
        <v>85.385002</v>
      </c>
    </row>
    <row r="54" spans="1:5">
      <c r="A54" s="23">
        <v>44571</v>
      </c>
      <c r="B54">
        <v>85.153499500000009</v>
      </c>
      <c r="C54">
        <v>85.153499500000009</v>
      </c>
      <c r="D54" s="388">
        <v>85.153499500000009</v>
      </c>
      <c r="E54" s="388">
        <v>85.153499500000009</v>
      </c>
    </row>
    <row r="55" spans="1:5">
      <c r="A55" s="23">
        <v>44578</v>
      </c>
      <c r="C55">
        <f t="shared" ref="C55:C68" si="0">_xlfn.FORECAST.ETS(A55,$B$2:$B$54,$A$2:$A$54,1,1)</f>
        <v>85.01471194315701</v>
      </c>
      <c r="D55" s="388">
        <f t="shared" ref="D55:D68" si="1">C55-_xlfn.FORECAST.ETS.CONFINT(A55,$B$2:$B$54,$A$2:$A$54,0.95,1,1)</f>
        <v>83.668694175069348</v>
      </c>
      <c r="E55" s="388">
        <f t="shared" ref="E55:E68" si="2">C55+_xlfn.FORECAST.ETS.CONFINT(A55,$B$2:$B$54,$A$2:$A$54,0.95,1,1)</f>
        <v>86.360729711244673</v>
      </c>
    </row>
    <row r="56" spans="1:5">
      <c r="A56" s="23">
        <v>44585</v>
      </c>
      <c r="C56">
        <f t="shared" si="0"/>
        <v>85.108674938032948</v>
      </c>
      <c r="D56" s="388">
        <f t="shared" si="1"/>
        <v>83.603178885030658</v>
      </c>
      <c r="E56" s="388">
        <f t="shared" si="2"/>
        <v>86.614170991035238</v>
      </c>
    </row>
    <row r="57" spans="1:5">
      <c r="A57" s="23">
        <v>44592</v>
      </c>
      <c r="C57">
        <f t="shared" si="0"/>
        <v>85.2026379329089</v>
      </c>
      <c r="D57" s="388">
        <f t="shared" si="1"/>
        <v>83.552459124922706</v>
      </c>
      <c r="E57" s="388">
        <f t="shared" si="2"/>
        <v>86.852816740895094</v>
      </c>
    </row>
    <row r="58" spans="1:5">
      <c r="A58" s="23">
        <v>44599</v>
      </c>
      <c r="C58">
        <f t="shared" si="0"/>
        <v>85.296600927784837</v>
      </c>
      <c r="D58" s="388">
        <f t="shared" si="1"/>
        <v>83.512929810762643</v>
      </c>
      <c r="E58" s="388">
        <f t="shared" si="2"/>
        <v>87.080272044807032</v>
      </c>
    </row>
    <row r="59" spans="1:5">
      <c r="A59" s="23">
        <v>44606</v>
      </c>
      <c r="C59">
        <f t="shared" si="0"/>
        <v>85.390563922660789</v>
      </c>
      <c r="D59" s="388">
        <f t="shared" si="1"/>
        <v>83.482240141105251</v>
      </c>
      <c r="E59" s="388">
        <f t="shared" si="2"/>
        <v>87.298887704216327</v>
      </c>
    </row>
    <row r="60" spans="1:5">
      <c r="A60" s="23">
        <v>44613</v>
      </c>
      <c r="C60">
        <f t="shared" si="0"/>
        <v>85.484526917536726</v>
      </c>
      <c r="D60" s="388">
        <f t="shared" si="1"/>
        <v>83.458756761149729</v>
      </c>
      <c r="E60" s="388">
        <f t="shared" si="2"/>
        <v>87.510297073923724</v>
      </c>
    </row>
    <row r="61" spans="1:5">
      <c r="A61" s="23">
        <v>44620</v>
      </c>
      <c r="C61">
        <f t="shared" si="0"/>
        <v>85.578489912412678</v>
      </c>
      <c r="D61" s="388">
        <f t="shared" si="1"/>
        <v>83.441290461963533</v>
      </c>
      <c r="E61" s="388">
        <f t="shared" si="2"/>
        <v>87.715689362861823</v>
      </c>
    </row>
    <row r="62" spans="1:5">
      <c r="A62" s="23">
        <v>44627</v>
      </c>
      <c r="C62">
        <f t="shared" si="0"/>
        <v>85.672452907288616</v>
      </c>
      <c r="D62" s="388">
        <f t="shared" si="1"/>
        <v>83.428943697979705</v>
      </c>
      <c r="E62" s="388">
        <f t="shared" si="2"/>
        <v>87.915962116597527</v>
      </c>
    </row>
    <row r="63" spans="1:5">
      <c r="A63" s="23">
        <v>44634</v>
      </c>
      <c r="C63">
        <f t="shared" si="0"/>
        <v>85.766415902164567</v>
      </c>
      <c r="D63" s="388">
        <f t="shared" si="1"/>
        <v>83.421019433804233</v>
      </c>
      <c r="E63" s="388">
        <f t="shared" si="2"/>
        <v>88.111812370524902</v>
      </c>
    </row>
    <row r="64" spans="1:5">
      <c r="A64" s="23">
        <v>44641</v>
      </c>
      <c r="C64">
        <f t="shared" si="0"/>
        <v>85.860378897040505</v>
      </c>
      <c r="D64" s="388">
        <f t="shared" si="1"/>
        <v>83.416963627554466</v>
      </c>
      <c r="E64" s="388">
        <f t="shared" si="2"/>
        <v>88.303794166526544</v>
      </c>
    </row>
    <row r="65" spans="1:5">
      <c r="A65" s="23">
        <v>44648</v>
      </c>
      <c r="C65">
        <f t="shared" si="0"/>
        <v>85.954341891916457</v>
      </c>
      <c r="D65" s="388">
        <f t="shared" si="1"/>
        <v>83.416327323033386</v>
      </c>
      <c r="E65" s="388">
        <f t="shared" si="2"/>
        <v>88.492356460799527</v>
      </c>
    </row>
    <row r="66" spans="1:5">
      <c r="A66" s="23">
        <v>44655</v>
      </c>
      <c r="C66">
        <f t="shared" si="0"/>
        <v>86.048304886792394</v>
      </c>
      <c r="D66" s="388">
        <f t="shared" si="1"/>
        <v>83.418740752674267</v>
      </c>
      <c r="E66" s="388">
        <f t="shared" si="2"/>
        <v>88.677869020910521</v>
      </c>
    </row>
    <row r="67" spans="1:5">
      <c r="A67" s="23">
        <v>44662</v>
      </c>
      <c r="C67">
        <f t="shared" si="0"/>
        <v>86.142267881668346</v>
      </c>
      <c r="D67" s="388">
        <f t="shared" si="1"/>
        <v>83.423895104910486</v>
      </c>
      <c r="E67" s="388">
        <f t="shared" si="2"/>
        <v>88.860640658426206</v>
      </c>
    </row>
    <row r="68" spans="1:5">
      <c r="A68" s="23">
        <v>44669</v>
      </c>
      <c r="C68">
        <f t="shared" si="0"/>
        <v>86.236230876544283</v>
      </c>
      <c r="D68" s="388">
        <f t="shared" si="1"/>
        <v>83.431529354220757</v>
      </c>
      <c r="E68" s="388">
        <f t="shared" si="2"/>
        <v>89.04093239886781</v>
      </c>
    </row>
  </sheetData>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9BB85-E9D0-4BF6-AE58-68FB48F74DB1}">
  <sheetPr codeName="Sheet29"/>
  <dimension ref="A1:E68"/>
  <sheetViews>
    <sheetView workbookViewId="0">
      <selection activeCell="O30" sqref="O30"/>
    </sheetView>
  </sheetViews>
  <sheetFormatPr defaultRowHeight="14.5"/>
  <cols>
    <col min="1" max="1" width="9.81640625" bestFit="1" customWidth="1"/>
    <col min="2" max="2" width="9.26953125" bestFit="1" customWidth="1"/>
    <col min="3" max="3" width="16.81640625" customWidth="1"/>
    <col min="4" max="4" width="31.54296875" customWidth="1"/>
    <col min="5" max="5" width="31.7265625" customWidth="1"/>
  </cols>
  <sheetData>
    <row r="1" spans="1:5">
      <c r="A1" t="s">
        <v>27</v>
      </c>
      <c r="B1" t="s">
        <v>571</v>
      </c>
      <c r="C1" t="s">
        <v>572</v>
      </c>
      <c r="D1" t="s">
        <v>573</v>
      </c>
      <c r="E1" t="s">
        <v>574</v>
      </c>
    </row>
    <row r="2" spans="1:5">
      <c r="A2" s="23">
        <v>44207</v>
      </c>
      <c r="B2">
        <v>0.55293000000000003</v>
      </c>
    </row>
    <row r="3" spans="1:5">
      <c r="A3" s="23">
        <v>44214</v>
      </c>
      <c r="B3">
        <v>0.55315000000000003</v>
      </c>
    </row>
    <row r="4" spans="1:5">
      <c r="A4" s="23">
        <v>44221</v>
      </c>
      <c r="B4">
        <v>0.55003000000000002</v>
      </c>
    </row>
    <row r="5" spans="1:5">
      <c r="A5" s="23">
        <v>44228</v>
      </c>
      <c r="B5">
        <v>0.54864999999999997</v>
      </c>
    </row>
    <row r="6" spans="1:5">
      <c r="A6" s="23">
        <v>44235</v>
      </c>
      <c r="B6">
        <v>0.54579999999999995</v>
      </c>
    </row>
    <row r="7" spans="1:5">
      <c r="A7" s="23">
        <v>44242</v>
      </c>
      <c r="B7">
        <v>0.54403000000000001</v>
      </c>
    </row>
    <row r="8" spans="1:5">
      <c r="A8" s="23">
        <v>44249</v>
      </c>
      <c r="B8">
        <v>0.53846499999999997</v>
      </c>
    </row>
    <row r="9" spans="1:5">
      <c r="A9" s="23">
        <v>44256</v>
      </c>
      <c r="B9">
        <v>0.53825000000000001</v>
      </c>
    </row>
    <row r="10" spans="1:5">
      <c r="A10" s="23">
        <v>44263</v>
      </c>
      <c r="B10">
        <v>0.53849999999999998</v>
      </c>
    </row>
    <row r="11" spans="1:5">
      <c r="A11" s="23">
        <v>44270</v>
      </c>
      <c r="B11">
        <v>0.53405000000000002</v>
      </c>
    </row>
    <row r="12" spans="1:5">
      <c r="A12" s="23">
        <v>44277</v>
      </c>
      <c r="B12">
        <v>0.53764999999999996</v>
      </c>
    </row>
    <row r="13" spans="1:5">
      <c r="A13" s="23">
        <v>44284</v>
      </c>
      <c r="B13">
        <v>0.53856999999999999</v>
      </c>
    </row>
    <row r="14" spans="1:5">
      <c r="A14" s="23">
        <v>44291</v>
      </c>
      <c r="B14">
        <v>0.53725999999999996</v>
      </c>
    </row>
    <row r="15" spans="1:5">
      <c r="A15" s="23">
        <v>44298</v>
      </c>
      <c r="B15">
        <v>0.54374999999999996</v>
      </c>
    </row>
    <row r="16" spans="1:5">
      <c r="A16" s="23">
        <v>44305</v>
      </c>
      <c r="B16">
        <v>0.54203000000000001</v>
      </c>
    </row>
    <row r="17" spans="1:2">
      <c r="A17" s="23">
        <v>44312</v>
      </c>
      <c r="B17">
        <v>0.54315999999999998</v>
      </c>
    </row>
    <row r="18" spans="1:2">
      <c r="A18" s="23">
        <v>44319</v>
      </c>
      <c r="B18">
        <v>0.54391</v>
      </c>
    </row>
    <row r="19" spans="1:2">
      <c r="A19" s="23">
        <v>44326</v>
      </c>
      <c r="B19">
        <v>0.53773000000000004</v>
      </c>
    </row>
    <row r="20" spans="1:2">
      <c r="A20" s="23">
        <v>44333</v>
      </c>
      <c r="B20">
        <v>0.53203</v>
      </c>
    </row>
    <row r="21" spans="1:2">
      <c r="A21" s="23">
        <v>44340</v>
      </c>
      <c r="B21">
        <v>0.53108</v>
      </c>
    </row>
    <row r="22" spans="1:2">
      <c r="A22" s="23">
        <v>44347</v>
      </c>
      <c r="B22">
        <v>0.53281000000000001</v>
      </c>
    </row>
    <row r="23" spans="1:2">
      <c r="A23" s="23">
        <v>44354</v>
      </c>
      <c r="B23">
        <v>0.53310999999999997</v>
      </c>
    </row>
    <row r="24" spans="1:2">
      <c r="A24" s="23">
        <v>44361</v>
      </c>
      <c r="B24">
        <v>0.53420000000000001</v>
      </c>
    </row>
    <row r="25" spans="1:2">
      <c r="A25" s="23">
        <v>44368</v>
      </c>
      <c r="B25">
        <v>0.53808</v>
      </c>
    </row>
    <row r="26" spans="1:2">
      <c r="A26" s="23">
        <v>44375</v>
      </c>
      <c r="B26">
        <v>0.53596999999999995</v>
      </c>
    </row>
    <row r="27" spans="1:2">
      <c r="A27" s="23">
        <v>44382</v>
      </c>
      <c r="B27">
        <v>0.53657999999999995</v>
      </c>
    </row>
    <row r="28" spans="1:2">
      <c r="A28" s="23">
        <v>44389</v>
      </c>
      <c r="B28">
        <v>0.53258000000000005</v>
      </c>
    </row>
    <row r="29" spans="1:2">
      <c r="A29" s="23">
        <v>44396</v>
      </c>
      <c r="B29">
        <v>0.53551000000000004</v>
      </c>
    </row>
    <row r="30" spans="1:2">
      <c r="A30" s="23">
        <v>44403</v>
      </c>
      <c r="B30">
        <v>0.53417000000000003</v>
      </c>
    </row>
    <row r="31" spans="1:2">
      <c r="A31" s="23">
        <v>44410</v>
      </c>
      <c r="B31">
        <v>0.53115999999999997</v>
      </c>
    </row>
    <row r="32" spans="1:2">
      <c r="A32" s="23">
        <v>44417</v>
      </c>
      <c r="B32">
        <v>0.53164999999999996</v>
      </c>
    </row>
    <row r="33" spans="1:2">
      <c r="A33" s="23">
        <v>44424</v>
      </c>
      <c r="B33">
        <v>0.53222000000000003</v>
      </c>
    </row>
    <row r="34" spans="1:2">
      <c r="A34" s="23">
        <v>44431</v>
      </c>
      <c r="B34">
        <v>0.53873000000000004</v>
      </c>
    </row>
    <row r="35" spans="1:2">
      <c r="A35" s="23">
        <v>44438</v>
      </c>
      <c r="B35">
        <v>0.53993999999999998</v>
      </c>
    </row>
    <row r="36" spans="1:2">
      <c r="A36" s="23">
        <v>44445</v>
      </c>
      <c r="B36">
        <v>0.53785400000000005</v>
      </c>
    </row>
    <row r="37" spans="1:2">
      <c r="A37" s="23">
        <v>44452</v>
      </c>
      <c r="B37">
        <v>0.53856000000000004</v>
      </c>
    </row>
    <row r="38" spans="1:2">
      <c r="A38" s="23">
        <v>44459</v>
      </c>
      <c r="B38">
        <v>0.53976000000000002</v>
      </c>
    </row>
    <row r="39" spans="1:2">
      <c r="A39" s="23">
        <v>44466</v>
      </c>
      <c r="B39">
        <v>0.54053799999999996</v>
      </c>
    </row>
    <row r="40" spans="1:2">
      <c r="A40" s="23">
        <v>44473</v>
      </c>
      <c r="B40">
        <v>0.54320999999999997</v>
      </c>
    </row>
    <row r="41" spans="1:2">
      <c r="A41" s="23">
        <v>44480</v>
      </c>
      <c r="B41">
        <v>0.54174999999999995</v>
      </c>
    </row>
    <row r="42" spans="1:2">
      <c r="A42" s="23">
        <v>44487</v>
      </c>
      <c r="B42">
        <v>0.53886999999999996</v>
      </c>
    </row>
    <row r="43" spans="1:2">
      <c r="A43" s="23">
        <v>44494</v>
      </c>
      <c r="B43">
        <v>0.53864000000000001</v>
      </c>
    </row>
    <row r="44" spans="1:2">
      <c r="A44" s="23">
        <v>44501</v>
      </c>
      <c r="B44">
        <v>0.54149000000000003</v>
      </c>
    </row>
    <row r="45" spans="1:2">
      <c r="A45" s="23">
        <v>44508</v>
      </c>
      <c r="B45">
        <v>0.54903000000000002</v>
      </c>
    </row>
    <row r="46" spans="1:2">
      <c r="A46" s="23">
        <v>44515</v>
      </c>
      <c r="B46">
        <v>0.55115999999999998</v>
      </c>
    </row>
    <row r="47" spans="1:2">
      <c r="A47" s="23">
        <v>44522</v>
      </c>
      <c r="B47">
        <v>0.54639400000000005</v>
      </c>
    </row>
    <row r="48" spans="1:2">
      <c r="A48" s="23">
        <v>44529</v>
      </c>
      <c r="B48">
        <v>0.54713999999999996</v>
      </c>
    </row>
    <row r="49" spans="1:5">
      <c r="A49" s="23">
        <v>44536</v>
      </c>
      <c r="B49">
        <v>0.55118</v>
      </c>
    </row>
    <row r="50" spans="1:5">
      <c r="A50" s="23">
        <v>44543</v>
      </c>
      <c r="B50">
        <v>0.55288000000000004</v>
      </c>
    </row>
    <row r="51" spans="1:5">
      <c r="A51" s="23">
        <v>44550</v>
      </c>
      <c r="B51">
        <v>0.55281000000000002</v>
      </c>
    </row>
    <row r="52" spans="1:5">
      <c r="A52" s="23">
        <v>44557</v>
      </c>
      <c r="B52">
        <v>0.549257</v>
      </c>
    </row>
    <row r="53" spans="1:5">
      <c r="A53" s="23">
        <v>44564</v>
      </c>
      <c r="B53">
        <v>0.54842999999999997</v>
      </c>
    </row>
    <row r="54" spans="1:5">
      <c r="A54" s="23">
        <v>44571</v>
      </c>
      <c r="B54">
        <v>0.5419750000000001</v>
      </c>
      <c r="C54">
        <v>0.5419750000000001</v>
      </c>
      <c r="D54" s="388">
        <v>0.5419750000000001</v>
      </c>
      <c r="E54" s="388">
        <v>0.5419750000000001</v>
      </c>
    </row>
    <row r="55" spans="1:5">
      <c r="A55" s="23">
        <v>44578</v>
      </c>
      <c r="C55">
        <f t="shared" ref="C55:C68" si="0">_xlfn.FORECAST.ETS(A55,$B$2:$B$54,$A$2:$A$54,1,1)</f>
        <v>0.54204800064505732</v>
      </c>
      <c r="D55" s="388">
        <f t="shared" ref="D55:D68" si="1">C55-_xlfn.FORECAST.ETS.CONFINT(A55,$B$2:$B$54,$A$2:$A$54,0.95,1,1)</f>
        <v>0.5318671113356519</v>
      </c>
      <c r="E55" s="388">
        <f t="shared" ref="E55:E68" si="2">C55+_xlfn.FORECAST.ETS.CONFINT(A55,$B$2:$B$54,$A$2:$A$54,0.95,1,1)</f>
        <v>0.55222888995446273</v>
      </c>
    </row>
    <row r="56" spans="1:5">
      <c r="A56" s="23">
        <v>44585</v>
      </c>
      <c r="C56">
        <f t="shared" si="0"/>
        <v>0.54212100129011465</v>
      </c>
      <c r="D56" s="388">
        <f t="shared" si="1"/>
        <v>0.53179800011364597</v>
      </c>
      <c r="E56" s="388">
        <f t="shared" si="2"/>
        <v>0.55244400246658332</v>
      </c>
    </row>
    <row r="57" spans="1:5">
      <c r="A57" s="23">
        <v>44592</v>
      </c>
      <c r="C57">
        <f t="shared" si="0"/>
        <v>0.54219400193517187</v>
      </c>
      <c r="D57" s="388">
        <f t="shared" si="1"/>
        <v>0.53172915312412616</v>
      </c>
      <c r="E57" s="388">
        <f t="shared" si="2"/>
        <v>0.55265885074621757</v>
      </c>
    </row>
    <row r="58" spans="1:5">
      <c r="A58" s="23">
        <v>44599</v>
      </c>
      <c r="C58">
        <f t="shared" si="0"/>
        <v>0.54226700258022908</v>
      </c>
      <c r="D58" s="388">
        <f t="shared" si="1"/>
        <v>0.53166054999336498</v>
      </c>
      <c r="E58" s="388">
        <f t="shared" si="2"/>
        <v>0.55287345516709319</v>
      </c>
    </row>
    <row r="59" spans="1:5">
      <c r="A59" s="23">
        <v>44606</v>
      </c>
      <c r="C59">
        <f t="shared" si="0"/>
        <v>0.54234000322528642</v>
      </c>
      <c r="D59" s="388">
        <f t="shared" si="1"/>
        <v>0.53159217143890081</v>
      </c>
      <c r="E59" s="388">
        <f t="shared" si="2"/>
        <v>0.55308783501167202</v>
      </c>
    </row>
    <row r="60" spans="1:5">
      <c r="A60" s="23">
        <v>44613</v>
      </c>
      <c r="C60">
        <f t="shared" si="0"/>
        <v>0.54241300387034364</v>
      </c>
      <c r="D60" s="388">
        <f t="shared" si="1"/>
        <v>0.53152399919442428</v>
      </c>
      <c r="E60" s="388">
        <f t="shared" si="2"/>
        <v>0.55330200854626299</v>
      </c>
    </row>
    <row r="61" spans="1:5">
      <c r="A61" s="23">
        <v>44620</v>
      </c>
      <c r="C61">
        <f t="shared" si="0"/>
        <v>0.54248600451540085</v>
      </c>
      <c r="D61" s="388">
        <f t="shared" si="1"/>
        <v>0.53145601594107905</v>
      </c>
      <c r="E61" s="388">
        <f t="shared" si="2"/>
        <v>0.55351599308972266</v>
      </c>
    </row>
    <row r="62" spans="1:5">
      <c r="A62" s="23">
        <v>44627</v>
      </c>
      <c r="C62">
        <f t="shared" si="0"/>
        <v>0.54255900516045807</v>
      </c>
      <c r="D62" s="388">
        <f t="shared" si="1"/>
        <v>0.53138820524452179</v>
      </c>
      <c r="E62" s="388">
        <f t="shared" si="2"/>
        <v>0.55372980507639435</v>
      </c>
    </row>
    <row r="63" spans="1:5">
      <c r="A63" s="23">
        <v>44634</v>
      </c>
      <c r="C63">
        <f t="shared" si="0"/>
        <v>0.5426320058055154</v>
      </c>
      <c r="D63" s="388">
        <f t="shared" si="1"/>
        <v>0.53132055149716739</v>
      </c>
      <c r="E63" s="388">
        <f t="shared" si="2"/>
        <v>0.55394346011386342</v>
      </c>
    </row>
    <row r="64" spans="1:5">
      <c r="A64" s="23">
        <v>44641</v>
      </c>
      <c r="C64">
        <f t="shared" si="0"/>
        <v>0.54270500645057262</v>
      </c>
      <c r="D64" s="388">
        <f t="shared" si="1"/>
        <v>0.53125303986510919</v>
      </c>
      <c r="E64" s="388">
        <f t="shared" si="2"/>
        <v>0.55415697303603606</v>
      </c>
    </row>
    <row r="65" spans="1:5">
      <c r="A65" s="23">
        <v>44648</v>
      </c>
      <c r="C65">
        <f t="shared" si="0"/>
        <v>0.54277800709562984</v>
      </c>
      <c r="D65" s="388">
        <f t="shared" si="1"/>
        <v>0.53118565623926428</v>
      </c>
      <c r="E65" s="388">
        <f t="shared" si="2"/>
        <v>0.55437035795199541</v>
      </c>
    </row>
    <row r="66" spans="1:5">
      <c r="A66" s="23">
        <v>44655</v>
      </c>
      <c r="C66">
        <f t="shared" si="0"/>
        <v>0.54285100774068717</v>
      </c>
      <c r="D66" s="388">
        <f t="shared" si="1"/>
        <v>0.5311183871903421</v>
      </c>
      <c r="E66" s="388">
        <f t="shared" si="2"/>
        <v>0.55458362829103225</v>
      </c>
    </row>
    <row r="67" spans="1:5">
      <c r="A67" s="23">
        <v>44662</v>
      </c>
      <c r="C67">
        <f t="shared" si="0"/>
        <v>0.54292400838574439</v>
      </c>
      <c r="D67" s="388">
        <f t="shared" si="1"/>
        <v>0.53105121992727822</v>
      </c>
      <c r="E67" s="388">
        <f t="shared" si="2"/>
        <v>0.55479679684421057</v>
      </c>
    </row>
    <row r="68" spans="1:5">
      <c r="A68" s="23">
        <v>44669</v>
      </c>
      <c r="C68">
        <f t="shared" si="0"/>
        <v>0.54299700903080161</v>
      </c>
      <c r="D68" s="388">
        <f t="shared" si="1"/>
        <v>0.53098414225881851</v>
      </c>
      <c r="E68" s="388">
        <f t="shared" si="2"/>
        <v>0.55500987580278471</v>
      </c>
    </row>
  </sheetData>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D31-0A4E-4816-BC25-65B4382B3188}">
  <sheetPr codeName="Sheet30"/>
  <dimension ref="A1:E68"/>
  <sheetViews>
    <sheetView workbookViewId="0">
      <selection activeCell="N28" sqref="N28"/>
    </sheetView>
  </sheetViews>
  <sheetFormatPr defaultRowHeight="14.5"/>
  <cols>
    <col min="1" max="1" width="9.81640625" bestFit="1" customWidth="1"/>
    <col min="2" max="2" width="9.26953125" bestFit="1" customWidth="1"/>
    <col min="3" max="3" width="16.81640625" customWidth="1"/>
    <col min="4" max="4" width="31.54296875" customWidth="1"/>
    <col min="5" max="5" width="31.7265625" customWidth="1"/>
  </cols>
  <sheetData>
    <row r="1" spans="1:5">
      <c r="A1" t="s">
        <v>27</v>
      </c>
      <c r="B1" t="s">
        <v>571</v>
      </c>
      <c r="C1" t="s">
        <v>572</v>
      </c>
      <c r="D1" t="s">
        <v>573</v>
      </c>
      <c r="E1" t="s">
        <v>574</v>
      </c>
    </row>
    <row r="2" spans="1:5">
      <c r="A2" s="23">
        <v>44207</v>
      </c>
      <c r="B2">
        <v>0.97204999999999997</v>
      </c>
    </row>
    <row r="3" spans="1:5">
      <c r="A3" s="23">
        <v>44214</v>
      </c>
      <c r="B3">
        <v>0.97699000000000003</v>
      </c>
    </row>
    <row r="4" spans="1:5">
      <c r="A4" s="23">
        <v>44221</v>
      </c>
      <c r="B4">
        <v>0.97574000000000005</v>
      </c>
    </row>
    <row r="5" spans="1:5">
      <c r="A5" s="23">
        <v>44228</v>
      </c>
      <c r="B5">
        <v>0.98619900000000005</v>
      </c>
    </row>
    <row r="6" spans="1:5">
      <c r="A6" s="23">
        <v>44235</v>
      </c>
      <c r="B6">
        <v>0.97657000000000005</v>
      </c>
    </row>
    <row r="7" spans="1:5">
      <c r="A7" s="23">
        <v>44242</v>
      </c>
      <c r="B7">
        <v>0.97189000000000003</v>
      </c>
    </row>
    <row r="8" spans="1:5">
      <c r="A8" s="23">
        <v>44249</v>
      </c>
      <c r="B8">
        <v>0.95818999999999999</v>
      </c>
    </row>
    <row r="9" spans="1:5">
      <c r="A9" s="23">
        <v>44256</v>
      </c>
      <c r="B9">
        <v>0.97021999999999997</v>
      </c>
    </row>
    <row r="10" spans="1:5">
      <c r="A10" s="23">
        <v>44263</v>
      </c>
      <c r="B10">
        <v>0.96752000000000005</v>
      </c>
    </row>
    <row r="11" spans="1:5">
      <c r="A11" s="23">
        <v>44270</v>
      </c>
      <c r="B11">
        <v>0.95831999999999995</v>
      </c>
    </row>
    <row r="12" spans="1:5">
      <c r="A12" s="23">
        <v>44277</v>
      </c>
      <c r="B12">
        <v>0.96306000000000003</v>
      </c>
    </row>
    <row r="13" spans="1:5">
      <c r="A13" s="23">
        <v>44284</v>
      </c>
      <c r="B13">
        <v>0.97243999999999997</v>
      </c>
    </row>
    <row r="14" spans="1:5">
      <c r="A14" s="23">
        <v>44291</v>
      </c>
      <c r="B14">
        <v>0.97524</v>
      </c>
    </row>
    <row r="15" spans="1:5">
      <c r="A15" s="23">
        <v>44298</v>
      </c>
      <c r="B15">
        <v>0.97794999999999999</v>
      </c>
    </row>
    <row r="16" spans="1:5">
      <c r="A16" s="23">
        <v>44305</v>
      </c>
      <c r="B16">
        <v>0.97097999999999995</v>
      </c>
    </row>
    <row r="17" spans="1:2">
      <c r="A17" s="23">
        <v>44312</v>
      </c>
      <c r="B17">
        <v>0.97265000000000001</v>
      </c>
    </row>
    <row r="18" spans="1:2">
      <c r="A18" s="23">
        <v>44319</v>
      </c>
      <c r="B18">
        <v>0.97372999999999998</v>
      </c>
    </row>
    <row r="19" spans="1:2">
      <c r="A19" s="23">
        <v>44326</v>
      </c>
      <c r="B19">
        <v>0.96079999999999999</v>
      </c>
    </row>
    <row r="20" spans="1:2">
      <c r="A20" s="23">
        <v>44333</v>
      </c>
      <c r="B20">
        <v>0.96464000000000005</v>
      </c>
    </row>
    <row r="21" spans="1:2">
      <c r="A21" s="23">
        <v>44340</v>
      </c>
      <c r="B21">
        <v>0.97209000000000001</v>
      </c>
    </row>
    <row r="22" spans="1:2">
      <c r="A22" s="23">
        <v>44347</v>
      </c>
      <c r="B22">
        <v>0.98011999999999999</v>
      </c>
    </row>
    <row r="23" spans="1:2">
      <c r="A23" s="23">
        <v>44354</v>
      </c>
      <c r="B23">
        <v>0.97559600000000002</v>
      </c>
    </row>
    <row r="24" spans="1:2">
      <c r="A24" s="23">
        <v>44361</v>
      </c>
      <c r="B24">
        <v>0.97824</v>
      </c>
    </row>
    <row r="25" spans="1:2">
      <c r="A25" s="23">
        <v>44368</v>
      </c>
      <c r="B25">
        <v>0.99097999999999997</v>
      </c>
    </row>
    <row r="26" spans="1:2">
      <c r="A26" s="23">
        <v>44375</v>
      </c>
      <c r="B26">
        <v>0.98068999999999995</v>
      </c>
    </row>
    <row r="27" spans="1:2">
      <c r="A27" s="23">
        <v>44382</v>
      </c>
      <c r="B27">
        <v>0.98719000000000001</v>
      </c>
    </row>
    <row r="28" spans="1:2">
      <c r="A28" s="23">
        <v>44389</v>
      </c>
      <c r="B28">
        <v>0.98829999999999996</v>
      </c>
    </row>
    <row r="29" spans="1:2">
      <c r="A29" s="23">
        <v>44396</v>
      </c>
      <c r="B29">
        <v>0.99751999999999996</v>
      </c>
    </row>
    <row r="30" spans="1:2">
      <c r="A30" s="23">
        <v>44403</v>
      </c>
      <c r="B30">
        <v>0.99756999999999996</v>
      </c>
    </row>
    <row r="31" spans="1:2">
      <c r="A31" s="23">
        <v>44410</v>
      </c>
      <c r="B31">
        <v>1.00529</v>
      </c>
    </row>
    <row r="32" spans="1:2">
      <c r="A32" s="23">
        <v>44417</v>
      </c>
      <c r="B32">
        <v>1.00508</v>
      </c>
    </row>
    <row r="33" spans="1:2">
      <c r="A33" s="23">
        <v>44424</v>
      </c>
      <c r="B33">
        <v>1.00177</v>
      </c>
    </row>
    <row r="34" spans="1:2">
      <c r="A34" s="23">
        <v>44431</v>
      </c>
      <c r="B34">
        <v>1.0280199999999999</v>
      </c>
    </row>
    <row r="35" spans="1:2">
      <c r="A35" s="23">
        <v>44438</v>
      </c>
      <c r="B35">
        <v>1.0157</v>
      </c>
    </row>
    <row r="36" spans="1:2">
      <c r="A36" s="23">
        <v>44445</v>
      </c>
      <c r="B36">
        <v>1.0015099999999999</v>
      </c>
    </row>
    <row r="37" spans="1:2">
      <c r="A37" s="23">
        <v>44452</v>
      </c>
      <c r="B37">
        <v>1.01206</v>
      </c>
    </row>
    <row r="38" spans="1:2">
      <c r="A38" s="23">
        <v>44459</v>
      </c>
      <c r="B38">
        <v>1.01996</v>
      </c>
    </row>
    <row r="39" spans="1:2">
      <c r="A39" s="23">
        <v>44466</v>
      </c>
      <c r="B39">
        <v>1.01691</v>
      </c>
    </row>
    <row r="40" spans="1:2">
      <c r="A40" s="23">
        <v>44473</v>
      </c>
      <c r="B40">
        <v>1.0131859999999999</v>
      </c>
    </row>
    <row r="41" spans="1:2">
      <c r="A41" s="23">
        <v>44480</v>
      </c>
      <c r="B41">
        <v>1.01142</v>
      </c>
    </row>
    <row r="42" spans="1:2">
      <c r="A42" s="23">
        <v>44487</v>
      </c>
      <c r="B42">
        <v>0.99868000000000001</v>
      </c>
    </row>
    <row r="43" spans="1:2">
      <c r="A43" s="23">
        <v>44494</v>
      </c>
      <c r="B43">
        <v>0.99265999999999999</v>
      </c>
    </row>
    <row r="44" spans="1:2">
      <c r="A44" s="23">
        <v>44501</v>
      </c>
      <c r="B44">
        <v>0.98540000000000005</v>
      </c>
    </row>
    <row r="45" spans="1:2">
      <c r="A45" s="23">
        <v>44508</v>
      </c>
      <c r="B45">
        <v>1.0015099999999999</v>
      </c>
    </row>
    <row r="46" spans="1:2">
      <c r="A46" s="23">
        <v>44515</v>
      </c>
      <c r="B46">
        <v>1.0084599999999999</v>
      </c>
    </row>
    <row r="47" spans="1:2">
      <c r="A47" s="23">
        <v>44522</v>
      </c>
      <c r="B47">
        <v>1.01501</v>
      </c>
    </row>
    <row r="48" spans="1:2">
      <c r="A48" s="23">
        <v>44529</v>
      </c>
      <c r="B48">
        <v>1.02193</v>
      </c>
    </row>
    <row r="49" spans="1:5">
      <c r="A49" s="23">
        <v>44536</v>
      </c>
      <c r="B49">
        <v>1.0395000000000001</v>
      </c>
    </row>
    <row r="50" spans="1:5">
      <c r="A50" s="23">
        <v>44543</v>
      </c>
      <c r="B50">
        <v>1.0228999999999999</v>
      </c>
    </row>
    <row r="51" spans="1:5">
      <c r="A51" s="23">
        <v>44550</v>
      </c>
      <c r="B51">
        <v>1.02721</v>
      </c>
    </row>
    <row r="52" spans="1:5">
      <c r="A52" s="23">
        <v>44557</v>
      </c>
      <c r="B52">
        <v>1.01833</v>
      </c>
    </row>
    <row r="53" spans="1:5">
      <c r="A53" s="23">
        <v>44564</v>
      </c>
      <c r="B53">
        <v>1.0203</v>
      </c>
    </row>
    <row r="54" spans="1:5">
      <c r="A54" s="23">
        <v>44571</v>
      </c>
      <c r="B54">
        <v>1.023115</v>
      </c>
      <c r="C54">
        <v>1.023115</v>
      </c>
      <c r="D54" s="388">
        <v>1.023115</v>
      </c>
      <c r="E54" s="388">
        <v>1.023115</v>
      </c>
    </row>
    <row r="55" spans="1:5">
      <c r="A55" s="23">
        <v>44578</v>
      </c>
      <c r="C55">
        <f t="shared" ref="C55:C68" si="0">_xlfn.FORECAST.ETS(A55,$B$2:$B$54,$A$2:$A$54,1,1)</f>
        <v>1.0255960770891226</v>
      </c>
      <c r="D55" s="388">
        <f t="shared" ref="D55:D68" si="1">C55-_xlfn.FORECAST.ETS.CONFINT(A55,$B$2:$B$54,$A$2:$A$54,0.95,1,1)</f>
        <v>1.0060213411624388</v>
      </c>
      <c r="E55" s="388">
        <f t="shared" ref="E55:E68" si="2">C55+_xlfn.FORECAST.ETS.CONFINT(A55,$B$2:$B$54,$A$2:$A$54,0.95,1,1)</f>
        <v>1.0451708130158064</v>
      </c>
    </row>
    <row r="56" spans="1:5">
      <c r="A56" s="23">
        <v>44585</v>
      </c>
      <c r="C56">
        <f t="shared" si="0"/>
        <v>1.0267692459233231</v>
      </c>
      <c r="D56" s="388">
        <f t="shared" si="1"/>
        <v>1.006587313463188</v>
      </c>
      <c r="E56" s="388">
        <f t="shared" si="2"/>
        <v>1.0469511783834582</v>
      </c>
    </row>
    <row r="57" spans="1:5">
      <c r="A57" s="23">
        <v>44592</v>
      </c>
      <c r="C57">
        <f t="shared" si="0"/>
        <v>1.0279424147575238</v>
      </c>
      <c r="D57" s="388">
        <f t="shared" si="1"/>
        <v>1.0071663890618892</v>
      </c>
      <c r="E57" s="388">
        <f t="shared" si="2"/>
        <v>1.0487184404531584</v>
      </c>
    </row>
    <row r="58" spans="1:5">
      <c r="A58" s="23">
        <v>44599</v>
      </c>
      <c r="C58">
        <f t="shared" si="0"/>
        <v>1.0291155835917245</v>
      </c>
      <c r="D58" s="388">
        <f t="shared" si="1"/>
        <v>1.0077574565535077</v>
      </c>
      <c r="E58" s="388">
        <f t="shared" si="2"/>
        <v>1.0504737106299413</v>
      </c>
    </row>
    <row r="59" spans="1:5">
      <c r="A59" s="23">
        <v>44606</v>
      </c>
      <c r="C59">
        <f t="shared" si="0"/>
        <v>1.030288752425925</v>
      </c>
      <c r="D59" s="388">
        <f t="shared" si="1"/>
        <v>1.0083595434846326</v>
      </c>
      <c r="E59" s="388">
        <f t="shared" si="2"/>
        <v>1.0522179613672173</v>
      </c>
    </row>
    <row r="60" spans="1:5">
      <c r="A60" s="23">
        <v>44613</v>
      </c>
      <c r="C60">
        <f t="shared" si="0"/>
        <v>1.0314619212601257</v>
      </c>
      <c r="D60" s="388">
        <f t="shared" si="1"/>
        <v>1.0089717933663813</v>
      </c>
      <c r="E60" s="388">
        <f t="shared" si="2"/>
        <v>1.0539520491538701</v>
      </c>
    </row>
    <row r="61" spans="1:5">
      <c r="A61" s="23">
        <v>44620</v>
      </c>
      <c r="C61">
        <f t="shared" si="0"/>
        <v>1.0326350900943262</v>
      </c>
      <c r="D61" s="388">
        <f t="shared" si="1"/>
        <v>1.009593447345174</v>
      </c>
      <c r="E61" s="388">
        <f t="shared" si="2"/>
        <v>1.0556767328434784</v>
      </c>
    </row>
    <row r="62" spans="1:5">
      <c r="A62" s="23">
        <v>44627</v>
      </c>
      <c r="C62">
        <f t="shared" si="0"/>
        <v>1.0338082589285269</v>
      </c>
      <c r="D62" s="388">
        <f t="shared" si="1"/>
        <v>1.0102238294285546</v>
      </c>
      <c r="E62" s="388">
        <f t="shared" si="2"/>
        <v>1.0573926884284992</v>
      </c>
    </row>
    <row r="63" spans="1:5">
      <c r="A63" s="23">
        <v>44634</v>
      </c>
      <c r="C63">
        <f t="shared" si="0"/>
        <v>1.0349814277627276</v>
      </c>
      <c r="D63" s="388">
        <f t="shared" si="1"/>
        <v>1.0108623344589491</v>
      </c>
      <c r="E63" s="388">
        <f t="shared" si="2"/>
        <v>1.0591005210665061</v>
      </c>
    </row>
    <row r="64" spans="1:5">
      <c r="A64" s="23">
        <v>44641</v>
      </c>
      <c r="C64">
        <f t="shared" si="0"/>
        <v>1.0361545965969281</v>
      </c>
      <c r="D64" s="388">
        <f t="shared" si="1"/>
        <v>1.0115084182361407</v>
      </c>
      <c r="E64" s="388">
        <f t="shared" si="2"/>
        <v>1.0608007749577155</v>
      </c>
    </row>
    <row r="65" spans="1:5">
      <c r="A65" s="23">
        <v>44648</v>
      </c>
      <c r="C65">
        <f t="shared" si="0"/>
        <v>1.0373277654311288</v>
      </c>
      <c r="D65" s="388">
        <f t="shared" si="1"/>
        <v>1.0121615893376921</v>
      </c>
      <c r="E65" s="388">
        <f t="shared" si="2"/>
        <v>1.0624939415245656</v>
      </c>
    </row>
    <row r="66" spans="1:5">
      <c r="A66" s="23">
        <v>44655</v>
      </c>
      <c r="C66">
        <f t="shared" si="0"/>
        <v>1.0385009342653295</v>
      </c>
      <c r="D66" s="388">
        <f t="shared" si="1"/>
        <v>1.0128214022941409</v>
      </c>
      <c r="E66" s="388">
        <f t="shared" si="2"/>
        <v>1.0641804662365182</v>
      </c>
    </row>
    <row r="67" spans="1:5">
      <c r="A67" s="23">
        <v>44662</v>
      </c>
      <c r="C67">
        <f t="shared" si="0"/>
        <v>1.03967410309953</v>
      </c>
      <c r="D67" s="388">
        <f t="shared" si="1"/>
        <v>1.0134874518548094</v>
      </c>
      <c r="E67" s="388">
        <f t="shared" si="2"/>
        <v>1.0658607543442506</v>
      </c>
    </row>
    <row r="68" spans="1:5">
      <c r="A68" s="23">
        <v>44669</v>
      </c>
      <c r="C68">
        <f t="shared" si="0"/>
        <v>1.0408472719337307</v>
      </c>
      <c r="D68" s="388">
        <f t="shared" si="1"/>
        <v>1.0141593681388197</v>
      </c>
      <c r="E68" s="388">
        <f t="shared" si="2"/>
        <v>1.0675351757286418</v>
      </c>
    </row>
  </sheetData>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04B0B-10D4-40B6-9A1B-8179119E996E}">
  <sheetPr codeName="Sheet31"/>
  <dimension ref="A1:E68"/>
  <sheetViews>
    <sheetView workbookViewId="0">
      <selection activeCell="N31" sqref="N31"/>
    </sheetView>
  </sheetViews>
  <sheetFormatPr defaultRowHeight="14.5"/>
  <cols>
    <col min="1" max="1" width="9.81640625" bestFit="1" customWidth="1"/>
    <col min="2" max="2" width="9.26953125" bestFit="1" customWidth="1"/>
    <col min="3" max="3" width="16.81640625" customWidth="1"/>
    <col min="4" max="4" width="31.54296875" customWidth="1"/>
    <col min="5" max="5" width="31.7265625" customWidth="1"/>
  </cols>
  <sheetData>
    <row r="1" spans="1:5">
      <c r="A1" t="s">
        <v>27</v>
      </c>
      <c r="B1" t="s">
        <v>571</v>
      </c>
      <c r="C1" t="s">
        <v>572</v>
      </c>
      <c r="D1" t="s">
        <v>573</v>
      </c>
      <c r="E1" t="s">
        <v>574</v>
      </c>
    </row>
    <row r="2" spans="1:5">
      <c r="A2" s="23">
        <v>44207</v>
      </c>
      <c r="B2">
        <v>0.96043999999999996</v>
      </c>
    </row>
    <row r="3" spans="1:5">
      <c r="A3" s="23">
        <v>44214</v>
      </c>
      <c r="B3">
        <v>0.95879999999999999</v>
      </c>
    </row>
    <row r="4" spans="1:5">
      <c r="A4" s="23">
        <v>44221</v>
      </c>
      <c r="B4">
        <v>0.95786000000000004</v>
      </c>
    </row>
    <row r="5" spans="1:5">
      <c r="A5" s="23">
        <v>44228</v>
      </c>
      <c r="B5">
        <v>0.96199000000000001</v>
      </c>
    </row>
    <row r="6" spans="1:5">
      <c r="A6" s="23">
        <v>44235</v>
      </c>
      <c r="B6">
        <v>0.95682</v>
      </c>
    </row>
    <row r="7" spans="1:5">
      <c r="A7" s="23">
        <v>44242</v>
      </c>
      <c r="B7">
        <v>0.95743999999999996</v>
      </c>
    </row>
    <row r="8" spans="1:5">
      <c r="A8" s="23">
        <v>44249</v>
      </c>
      <c r="B8">
        <v>0.95172999999999996</v>
      </c>
    </row>
    <row r="9" spans="1:5">
      <c r="A9" s="23">
        <v>44256</v>
      </c>
      <c r="B9">
        <v>0.95513000000000003</v>
      </c>
    </row>
    <row r="10" spans="1:5">
      <c r="A10" s="23">
        <v>44263</v>
      </c>
      <c r="B10">
        <v>0.94203999999999999</v>
      </c>
    </row>
    <row r="11" spans="1:5">
      <c r="A11" s="23">
        <v>44270</v>
      </c>
      <c r="B11">
        <v>0.92762999999999995</v>
      </c>
    </row>
    <row r="12" spans="1:5">
      <c r="A12" s="23">
        <v>44277</v>
      </c>
      <c r="B12">
        <v>0.93137000000000003</v>
      </c>
    </row>
    <row r="13" spans="1:5">
      <c r="A13" s="23">
        <v>44284</v>
      </c>
      <c r="B13">
        <v>0.93459000000000003</v>
      </c>
    </row>
    <row r="14" spans="1:5">
      <c r="A14" s="23">
        <v>44291</v>
      </c>
      <c r="B14">
        <v>0.93372999999999995</v>
      </c>
    </row>
    <row r="15" spans="1:5">
      <c r="A15" s="23">
        <v>44298</v>
      </c>
      <c r="B15">
        <v>0.93420000000000003</v>
      </c>
    </row>
    <row r="16" spans="1:5">
      <c r="A16" s="23">
        <v>44305</v>
      </c>
      <c r="B16">
        <v>0.93762999999999996</v>
      </c>
    </row>
    <row r="17" spans="1:2">
      <c r="A17" s="23">
        <v>44312</v>
      </c>
      <c r="B17">
        <v>0.94064999999999999</v>
      </c>
    </row>
    <row r="18" spans="1:2">
      <c r="A18" s="23">
        <v>44319</v>
      </c>
      <c r="B18">
        <v>0.92301</v>
      </c>
    </row>
    <row r="19" spans="1:2">
      <c r="A19" s="23">
        <v>44326</v>
      </c>
      <c r="B19">
        <v>0.91461000000000003</v>
      </c>
    </row>
    <row r="20" spans="1:2">
      <c r="A20" s="23">
        <v>44333</v>
      </c>
      <c r="B20">
        <v>0.90863000000000005</v>
      </c>
    </row>
    <row r="21" spans="1:2">
      <c r="A21" s="23">
        <v>44340</v>
      </c>
      <c r="B21">
        <v>0.90639999999999998</v>
      </c>
    </row>
    <row r="22" spans="1:2">
      <c r="A22" s="23">
        <v>44347</v>
      </c>
      <c r="B22">
        <v>0.91247999999999996</v>
      </c>
    </row>
    <row r="23" spans="1:2">
      <c r="A23" s="23">
        <v>44354</v>
      </c>
      <c r="B23">
        <v>0.91173999999999999</v>
      </c>
    </row>
    <row r="24" spans="1:2">
      <c r="A24" s="23">
        <v>44361</v>
      </c>
      <c r="B24">
        <v>0.91690000000000005</v>
      </c>
    </row>
    <row r="25" spans="1:2">
      <c r="A25" s="23">
        <v>44368</v>
      </c>
      <c r="B25">
        <v>0.92571000000000003</v>
      </c>
    </row>
    <row r="26" spans="1:2">
      <c r="A26" s="23">
        <v>44375</v>
      </c>
      <c r="B26">
        <v>0.91854000000000002</v>
      </c>
    </row>
    <row r="27" spans="1:2">
      <c r="A27" s="23">
        <v>44382</v>
      </c>
      <c r="B27">
        <v>0.91517000000000004</v>
      </c>
    </row>
    <row r="28" spans="1:2">
      <c r="A28" s="23">
        <v>44389</v>
      </c>
      <c r="B28">
        <v>0.92162999999999995</v>
      </c>
    </row>
    <row r="29" spans="1:2">
      <c r="A29" s="23">
        <v>44396</v>
      </c>
      <c r="B29">
        <v>0.92991000000000001</v>
      </c>
    </row>
    <row r="30" spans="1:2">
      <c r="A30" s="23">
        <v>44403</v>
      </c>
      <c r="B30">
        <v>0.92364000000000002</v>
      </c>
    </row>
    <row r="31" spans="1:2">
      <c r="A31" s="23">
        <v>44410</v>
      </c>
      <c r="B31">
        <v>0.92052</v>
      </c>
    </row>
    <row r="32" spans="1:2">
      <c r="A32" s="23">
        <v>44417</v>
      </c>
      <c r="B32">
        <v>0.92691000000000001</v>
      </c>
    </row>
    <row r="33" spans="1:2">
      <c r="A33" s="23">
        <v>44424</v>
      </c>
      <c r="B33">
        <v>0.92376000000000003</v>
      </c>
    </row>
    <row r="34" spans="1:2">
      <c r="A34" s="23">
        <v>44431</v>
      </c>
      <c r="B34">
        <v>0.94133</v>
      </c>
    </row>
    <row r="35" spans="1:2">
      <c r="A35" s="23">
        <v>44438</v>
      </c>
      <c r="B35">
        <v>0.93715999999999999</v>
      </c>
    </row>
    <row r="36" spans="1:2">
      <c r="A36" s="23">
        <v>44445</v>
      </c>
      <c r="B36">
        <v>0.93410000000000004</v>
      </c>
    </row>
    <row r="37" spans="1:2">
      <c r="A37" s="23">
        <v>44452</v>
      </c>
      <c r="B37">
        <v>0.94498000000000004</v>
      </c>
    </row>
    <row r="38" spans="1:2">
      <c r="A38" s="23">
        <v>44459</v>
      </c>
      <c r="B38">
        <v>0.94582999999999995</v>
      </c>
    </row>
    <row r="39" spans="1:2">
      <c r="A39" s="23">
        <v>44466</v>
      </c>
      <c r="B39">
        <v>0.93466000000000005</v>
      </c>
    </row>
    <row r="40" spans="1:2">
      <c r="A40" s="23">
        <v>44473</v>
      </c>
      <c r="B40">
        <v>0.93081999999999998</v>
      </c>
    </row>
    <row r="41" spans="1:2">
      <c r="A41" s="23">
        <v>44480</v>
      </c>
      <c r="B41">
        <v>0.92115999999999998</v>
      </c>
    </row>
    <row r="42" spans="1:2">
      <c r="A42" s="23">
        <v>44487</v>
      </c>
      <c r="B42">
        <v>0.91756000000000004</v>
      </c>
    </row>
    <row r="43" spans="1:2">
      <c r="A43" s="23">
        <v>44494</v>
      </c>
      <c r="B43">
        <v>0.91722000000000004</v>
      </c>
    </row>
    <row r="44" spans="1:2">
      <c r="A44" s="23">
        <v>44501</v>
      </c>
      <c r="B44">
        <v>0.91746000000000005</v>
      </c>
    </row>
    <row r="45" spans="1:2">
      <c r="A45" s="23">
        <v>44508</v>
      </c>
      <c r="B45">
        <v>0.92212000000000005</v>
      </c>
    </row>
    <row r="46" spans="1:2">
      <c r="A46" s="23">
        <v>44515</v>
      </c>
      <c r="B46">
        <v>0.92774599999999996</v>
      </c>
    </row>
    <row r="47" spans="1:2">
      <c r="A47" s="23">
        <v>44522</v>
      </c>
      <c r="B47">
        <v>0.92881999999999998</v>
      </c>
    </row>
    <row r="48" spans="1:2">
      <c r="A48" s="23">
        <v>44529</v>
      </c>
      <c r="B48">
        <v>0.92850999999999995</v>
      </c>
    </row>
    <row r="49" spans="1:5">
      <c r="A49" s="23">
        <v>44536</v>
      </c>
      <c r="B49">
        <v>0.93503999999999998</v>
      </c>
    </row>
    <row r="50" spans="1:5">
      <c r="A50" s="23">
        <v>44543</v>
      </c>
      <c r="B50">
        <v>0.93240000000000001</v>
      </c>
    </row>
    <row r="51" spans="1:5">
      <c r="A51" s="23">
        <v>44550</v>
      </c>
      <c r="B51">
        <v>0.94323000000000001</v>
      </c>
    </row>
    <row r="52" spans="1:5">
      <c r="A52" s="23">
        <v>44557</v>
      </c>
      <c r="B52">
        <v>0.94354000000000005</v>
      </c>
    </row>
    <row r="53" spans="1:5">
      <c r="A53" s="23">
        <v>44564</v>
      </c>
      <c r="B53">
        <v>0.93864999999999998</v>
      </c>
    </row>
    <row r="54" spans="1:5">
      <c r="A54" s="23">
        <v>44571</v>
      </c>
      <c r="B54">
        <v>0.93227000000000004</v>
      </c>
      <c r="C54">
        <v>0.93227000000000004</v>
      </c>
      <c r="D54" s="388">
        <v>0.93227000000000004</v>
      </c>
      <c r="E54" s="388">
        <v>0.93227000000000004</v>
      </c>
    </row>
    <row r="55" spans="1:5">
      <c r="A55" s="23">
        <v>44578</v>
      </c>
      <c r="C55">
        <f t="shared" ref="C55:C68" si="0">_xlfn.FORECAST.ETS(A55,$B$2:$B$54,$A$2:$A$54,1,1)</f>
        <v>0.93524237468478577</v>
      </c>
      <c r="D55" s="388">
        <f t="shared" ref="D55:D68" si="1">C55-_xlfn.FORECAST.ETS.CONFINT(A55,$B$2:$B$54,$A$2:$A$54,0.95,1,1)</f>
        <v>0.92018223873405691</v>
      </c>
      <c r="E55" s="388">
        <f t="shared" ref="E55:E68" si="2">C55+_xlfn.FORECAST.ETS.CONFINT(A55,$B$2:$B$54,$A$2:$A$54,0.95,1,1)</f>
        <v>0.95030251063551463</v>
      </c>
    </row>
    <row r="56" spans="1:5">
      <c r="A56" s="23">
        <v>44585</v>
      </c>
      <c r="C56">
        <f t="shared" si="0"/>
        <v>0.93489615566510609</v>
      </c>
      <c r="D56" s="388">
        <f t="shared" si="1"/>
        <v>0.91805167131352694</v>
      </c>
      <c r="E56" s="388">
        <f t="shared" si="2"/>
        <v>0.95174064001668524</v>
      </c>
    </row>
    <row r="57" spans="1:5">
      <c r="A57" s="23">
        <v>44592</v>
      </c>
      <c r="C57">
        <f t="shared" si="0"/>
        <v>0.93454993664542652</v>
      </c>
      <c r="D57" s="388">
        <f t="shared" si="1"/>
        <v>0.91608664605559142</v>
      </c>
      <c r="E57" s="388">
        <f t="shared" si="2"/>
        <v>0.95301322723526161</v>
      </c>
    </row>
    <row r="58" spans="1:5">
      <c r="A58" s="23">
        <v>44599</v>
      </c>
      <c r="C58">
        <f t="shared" si="0"/>
        <v>0.93420371762574694</v>
      </c>
      <c r="D58" s="388">
        <f t="shared" si="1"/>
        <v>0.91424682689918035</v>
      </c>
      <c r="E58" s="388">
        <f t="shared" si="2"/>
        <v>0.95416060835231353</v>
      </c>
    </row>
    <row r="59" spans="1:5">
      <c r="A59" s="23">
        <v>44606</v>
      </c>
      <c r="C59">
        <f t="shared" si="0"/>
        <v>0.93385749860606726</v>
      </c>
      <c r="D59" s="388">
        <f t="shared" si="1"/>
        <v>0.91250591152481586</v>
      </c>
      <c r="E59" s="388">
        <f t="shared" si="2"/>
        <v>0.95520908568731866</v>
      </c>
    </row>
    <row r="60" spans="1:5">
      <c r="A60" s="23">
        <v>44613</v>
      </c>
      <c r="C60">
        <f t="shared" si="0"/>
        <v>0.93351127958638769</v>
      </c>
      <c r="D60" s="388">
        <f t="shared" si="1"/>
        <v>0.91084562488001497</v>
      </c>
      <c r="E60" s="388">
        <f t="shared" si="2"/>
        <v>0.95617693429276041</v>
      </c>
    </row>
    <row r="61" spans="1:5">
      <c r="A61" s="23">
        <v>44620</v>
      </c>
      <c r="C61">
        <f t="shared" si="0"/>
        <v>0.93316506056670812</v>
      </c>
      <c r="D61" s="388">
        <f t="shared" si="1"/>
        <v>0.90925266130966431</v>
      </c>
      <c r="E61" s="388">
        <f t="shared" si="2"/>
        <v>0.95707745982375192</v>
      </c>
    </row>
    <row r="62" spans="1:5">
      <c r="A62" s="23">
        <v>44627</v>
      </c>
      <c r="C62">
        <f t="shared" si="0"/>
        <v>0.93281884154702843</v>
      </c>
      <c r="D62" s="388">
        <f t="shared" si="1"/>
        <v>0.90771697848105448</v>
      </c>
      <c r="E62" s="388">
        <f t="shared" si="2"/>
        <v>0.95792070461300238</v>
      </c>
    </row>
    <row r="63" spans="1:5">
      <c r="A63" s="23">
        <v>44634</v>
      </c>
      <c r="C63">
        <f t="shared" si="0"/>
        <v>0.93247262252734886</v>
      </c>
      <c r="D63" s="388">
        <f t="shared" si="1"/>
        <v>0.90623077750174486</v>
      </c>
      <c r="E63" s="388">
        <f t="shared" si="2"/>
        <v>0.95871446755295286</v>
      </c>
    </row>
    <row r="64" spans="1:5">
      <c r="A64" s="23">
        <v>44641</v>
      </c>
      <c r="C64">
        <f t="shared" si="0"/>
        <v>0.93212640350766929</v>
      </c>
      <c r="D64" s="388">
        <f t="shared" si="1"/>
        <v>0.90478785938515971</v>
      </c>
      <c r="E64" s="388">
        <f t="shared" si="2"/>
        <v>0.95946494763017887</v>
      </c>
    </row>
    <row r="65" spans="1:5">
      <c r="A65" s="23">
        <v>44648</v>
      </c>
      <c r="C65">
        <f t="shared" si="0"/>
        <v>0.9317801844879896</v>
      </c>
      <c r="D65" s="388">
        <f t="shared" si="1"/>
        <v>0.90338320091279201</v>
      </c>
      <c r="E65" s="388">
        <f t="shared" si="2"/>
        <v>0.9601771680631872</v>
      </c>
    </row>
    <row r="66" spans="1:5">
      <c r="A66" s="23">
        <v>44655</v>
      </c>
      <c r="C66">
        <f t="shared" si="0"/>
        <v>0.93143396546831003</v>
      </c>
      <c r="D66" s="388">
        <f t="shared" si="1"/>
        <v>0.90201266488084231</v>
      </c>
      <c r="E66" s="388">
        <f t="shared" si="2"/>
        <v>0.96085526605577776</v>
      </c>
    </row>
    <row r="67" spans="1:5">
      <c r="A67" s="23">
        <v>44662</v>
      </c>
      <c r="C67">
        <f t="shared" si="0"/>
        <v>0.93108774644863046</v>
      </c>
      <c r="D67" s="388">
        <f t="shared" si="1"/>
        <v>0.90067279610150597</v>
      </c>
      <c r="E67" s="388">
        <f t="shared" si="2"/>
        <v>0.96150269679575495</v>
      </c>
    </row>
    <row r="68" spans="1:5">
      <c r="A68" s="23">
        <v>44669</v>
      </c>
      <c r="C68">
        <f t="shared" si="0"/>
        <v>0.93074152742895078</v>
      </c>
      <c r="D68" s="388">
        <f t="shared" si="1"/>
        <v>0.89936067404882114</v>
      </c>
      <c r="E68" s="388">
        <f t="shared" si="2"/>
        <v>0.96212238080908041</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E2184-0615-4056-86D8-8D8E3CAD9F6C}">
  <sheetPr codeName="Sheet18">
    <tabColor theme="8" tint="0.79998168889431442"/>
    <pageSetUpPr fitToPage="1"/>
  </sheetPr>
  <dimension ref="A1:E100"/>
  <sheetViews>
    <sheetView showGridLines="0" tabSelected="1" zoomScaleNormal="100" workbookViewId="0">
      <selection activeCell="E5" sqref="E5"/>
    </sheetView>
  </sheetViews>
  <sheetFormatPr defaultColWidth="9.81640625" defaultRowHeight="27.75" customHeight="1"/>
  <cols>
    <col min="1" max="1" width="2.81640625" style="180" customWidth="1"/>
    <col min="2" max="2" width="14.81640625" style="180" customWidth="1"/>
    <col min="3" max="3" width="21.453125" style="180" customWidth="1"/>
    <col min="4" max="4" width="17" style="181" customWidth="1"/>
    <col min="5" max="5" width="15.81640625" style="180" customWidth="1"/>
    <col min="6" max="16384" width="9.81640625" style="180"/>
  </cols>
  <sheetData>
    <row r="1" spans="1:5" s="300" customFormat="1" ht="40.5" customHeight="1">
      <c r="C1" s="300" t="s">
        <v>575</v>
      </c>
    </row>
    <row r="2" spans="1:5" s="183" customFormat="1" ht="31.5" customHeight="1">
      <c r="C2" s="187"/>
      <c r="D2" s="181"/>
    </row>
    <row r="3" spans="1:5" s="183" customFormat="1" ht="18.75" customHeight="1">
      <c r="B3" s="186" t="s">
        <v>1247</v>
      </c>
      <c r="C3" s="186" t="s">
        <v>576</v>
      </c>
      <c r="D3" s="186" t="s">
        <v>577</v>
      </c>
      <c r="E3" s="186" t="s">
        <v>578</v>
      </c>
    </row>
    <row r="4" spans="1:5" ht="28" customHeight="1">
      <c r="A4" s="183"/>
      <c r="B4" s="793">
        <v>44885</v>
      </c>
      <c r="C4" s="185" t="s">
        <v>579</v>
      </c>
      <c r="D4" s="515">
        <v>8500</v>
      </c>
      <c r="E4" s="515">
        <v>8500</v>
      </c>
    </row>
    <row r="5" spans="1:5" ht="28" customHeight="1">
      <c r="A5" s="183"/>
      <c r="B5" s="793">
        <v>44915</v>
      </c>
      <c r="C5" s="184" t="s">
        <v>579</v>
      </c>
      <c r="D5" s="515">
        <v>8000</v>
      </c>
      <c r="E5" s="515"/>
    </row>
    <row r="6" spans="1:5" ht="28" customHeight="1">
      <c r="A6" s="183"/>
      <c r="B6" s="793">
        <v>44581</v>
      </c>
      <c r="C6" s="182" t="s">
        <v>579</v>
      </c>
      <c r="D6" s="515">
        <v>8000</v>
      </c>
      <c r="E6" s="515"/>
    </row>
    <row r="7" spans="1:5" ht="27.75" customHeight="1">
      <c r="C7" s="182"/>
      <c r="D7" s="516"/>
      <c r="E7" s="516"/>
    </row>
    <row r="8" spans="1:5" ht="27.75" customHeight="1">
      <c r="C8" s="182"/>
      <c r="D8" s="516"/>
      <c r="E8" s="516"/>
    </row>
    <row r="9" spans="1:5" ht="27.75" customHeight="1">
      <c r="C9" s="182"/>
      <c r="D9" s="516"/>
      <c r="E9" s="516"/>
    </row>
    <row r="10" spans="1:5" ht="27.75" customHeight="1">
      <c r="C10" s="182"/>
      <c r="D10" s="516"/>
      <c r="E10" s="516"/>
    </row>
    <row r="11" spans="1:5" ht="27.75" customHeight="1">
      <c r="C11" s="182"/>
      <c r="D11" s="516"/>
      <c r="E11" s="516"/>
    </row>
    <row r="12" spans="1:5" ht="27.75" customHeight="1">
      <c r="C12" s="182"/>
      <c r="D12" s="516"/>
      <c r="E12" s="516"/>
    </row>
    <row r="13" spans="1:5" ht="27.75" customHeight="1">
      <c r="C13" s="182"/>
      <c r="D13" s="516"/>
      <c r="E13" s="516"/>
    </row>
    <row r="14" spans="1:5" ht="27.75" customHeight="1">
      <c r="C14" s="182"/>
      <c r="D14" s="516"/>
      <c r="E14" s="516"/>
    </row>
    <row r="15" spans="1:5" ht="27.75" customHeight="1">
      <c r="C15" s="182"/>
      <c r="D15" s="516"/>
      <c r="E15" s="516"/>
    </row>
    <row r="16" spans="1:5" ht="27.75" customHeight="1">
      <c r="C16" s="182"/>
      <c r="D16" s="516"/>
      <c r="E16" s="516"/>
    </row>
    <row r="17" spans="3:5" ht="27.75" customHeight="1">
      <c r="C17" s="182"/>
      <c r="D17" s="516"/>
      <c r="E17" s="516"/>
    </row>
    <row r="18" spans="3:5" ht="27.75" customHeight="1">
      <c r="C18" s="182"/>
      <c r="D18" s="516"/>
      <c r="E18" s="516"/>
    </row>
    <row r="19" spans="3:5" ht="27.75" customHeight="1">
      <c r="C19" s="182"/>
      <c r="D19" s="516"/>
      <c r="E19" s="516"/>
    </row>
    <row r="20" spans="3:5" ht="27.75" customHeight="1">
      <c r="C20" s="182"/>
      <c r="D20" s="516"/>
      <c r="E20" s="516"/>
    </row>
    <row r="21" spans="3:5" ht="27.75" customHeight="1">
      <c r="C21" s="182"/>
      <c r="D21" s="516"/>
      <c r="E21" s="516"/>
    </row>
    <row r="22" spans="3:5" ht="27.75" customHeight="1">
      <c r="C22" s="182"/>
      <c r="D22" s="516"/>
      <c r="E22" s="516"/>
    </row>
    <row r="23" spans="3:5" ht="27.75" customHeight="1">
      <c r="C23" s="182"/>
      <c r="D23" s="516"/>
      <c r="E23" s="516"/>
    </row>
    <row r="24" spans="3:5" ht="27.75" customHeight="1">
      <c r="C24" s="182"/>
      <c r="D24" s="516"/>
      <c r="E24" s="516"/>
    </row>
    <row r="25" spans="3:5" ht="27.75" customHeight="1">
      <c r="C25" s="182"/>
      <c r="D25" s="516"/>
      <c r="E25" s="516"/>
    </row>
    <row r="26" spans="3:5" ht="27.75" customHeight="1">
      <c r="C26" s="182"/>
      <c r="D26" s="516"/>
      <c r="E26" s="516"/>
    </row>
    <row r="27" spans="3:5" ht="27.75" customHeight="1">
      <c r="C27" s="182"/>
      <c r="D27" s="516"/>
      <c r="E27" s="516"/>
    </row>
    <row r="28" spans="3:5" ht="27.75" customHeight="1">
      <c r="C28" s="182"/>
      <c r="D28" s="516"/>
      <c r="E28" s="516"/>
    </row>
    <row r="29" spans="3:5" ht="27.75" customHeight="1">
      <c r="C29" s="182"/>
      <c r="D29" s="516"/>
      <c r="E29" s="516"/>
    </row>
    <row r="30" spans="3:5" ht="27.75" customHeight="1">
      <c r="C30" s="182"/>
      <c r="D30" s="516"/>
      <c r="E30" s="516"/>
    </row>
    <row r="31" spans="3:5" ht="27.75" customHeight="1">
      <c r="C31" s="182"/>
      <c r="D31" s="516"/>
      <c r="E31" s="516"/>
    </row>
    <row r="32" spans="3:5" ht="27.75" customHeight="1">
      <c r="C32" s="182"/>
      <c r="D32" s="516"/>
      <c r="E32" s="516"/>
    </row>
    <row r="33" spans="3:5" ht="27.75" customHeight="1">
      <c r="C33" s="182"/>
      <c r="D33" s="516"/>
      <c r="E33" s="516"/>
    </row>
    <row r="34" spans="3:5" ht="27.75" customHeight="1">
      <c r="C34" s="182"/>
      <c r="D34" s="516"/>
      <c r="E34" s="516"/>
    </row>
    <row r="35" spans="3:5" ht="27.75" customHeight="1">
      <c r="C35" s="182"/>
      <c r="D35" s="516"/>
      <c r="E35" s="516"/>
    </row>
    <row r="36" spans="3:5" ht="27.75" customHeight="1">
      <c r="C36" s="182"/>
      <c r="D36" s="516"/>
      <c r="E36" s="516"/>
    </row>
    <row r="37" spans="3:5" ht="27.75" customHeight="1">
      <c r="C37" s="182"/>
      <c r="D37" s="516"/>
      <c r="E37" s="516"/>
    </row>
    <row r="38" spans="3:5" ht="27.75" customHeight="1">
      <c r="C38" s="182"/>
      <c r="D38" s="516"/>
      <c r="E38" s="516"/>
    </row>
    <row r="39" spans="3:5" ht="27.75" customHeight="1">
      <c r="C39" s="182"/>
      <c r="D39" s="516"/>
      <c r="E39" s="516"/>
    </row>
    <row r="40" spans="3:5" ht="27.75" customHeight="1">
      <c r="C40" s="182"/>
      <c r="D40" s="516"/>
      <c r="E40" s="516"/>
    </row>
    <row r="41" spans="3:5" ht="27.75" customHeight="1">
      <c r="C41" s="182"/>
      <c r="D41" s="516"/>
      <c r="E41" s="516"/>
    </row>
    <row r="42" spans="3:5" ht="27.75" customHeight="1">
      <c r="C42" s="182"/>
      <c r="D42" s="516"/>
      <c r="E42" s="516"/>
    </row>
    <row r="43" spans="3:5" ht="27.75" customHeight="1">
      <c r="C43" s="182"/>
      <c r="D43" s="516"/>
      <c r="E43" s="516"/>
    </row>
    <row r="44" spans="3:5" ht="27.75" customHeight="1">
      <c r="C44" s="182"/>
      <c r="D44" s="516"/>
      <c r="E44" s="516"/>
    </row>
    <row r="45" spans="3:5" ht="27.75" customHeight="1">
      <c r="C45" s="182"/>
      <c r="D45" s="516"/>
      <c r="E45" s="516"/>
    </row>
    <row r="46" spans="3:5" ht="27.75" customHeight="1">
      <c r="C46" s="182"/>
      <c r="D46" s="516"/>
      <c r="E46" s="516"/>
    </row>
    <row r="47" spans="3:5" ht="27.75" customHeight="1">
      <c r="C47" s="182"/>
      <c r="D47" s="516"/>
      <c r="E47" s="516"/>
    </row>
    <row r="48" spans="3:5" ht="27.75" customHeight="1">
      <c r="C48" s="182"/>
      <c r="D48" s="516"/>
      <c r="E48" s="516"/>
    </row>
    <row r="49" spans="3:5" ht="27.75" customHeight="1">
      <c r="C49" s="182"/>
      <c r="D49" s="516"/>
      <c r="E49" s="516"/>
    </row>
    <row r="50" spans="3:5" ht="27.75" customHeight="1">
      <c r="C50" s="182"/>
      <c r="D50" s="516"/>
      <c r="E50" s="516"/>
    </row>
    <row r="51" spans="3:5" ht="27.75" customHeight="1">
      <c r="C51" s="182"/>
      <c r="D51" s="516"/>
      <c r="E51" s="516"/>
    </row>
    <row r="52" spans="3:5" ht="27.75" customHeight="1">
      <c r="C52" s="182"/>
      <c r="D52" s="516"/>
      <c r="E52" s="516"/>
    </row>
    <row r="53" spans="3:5" ht="27.75" customHeight="1">
      <c r="C53" s="182"/>
      <c r="D53" s="516"/>
      <c r="E53" s="516"/>
    </row>
    <row r="54" spans="3:5" ht="27.75" customHeight="1">
      <c r="C54" s="182"/>
      <c r="D54" s="516"/>
      <c r="E54" s="516"/>
    </row>
    <row r="55" spans="3:5" ht="27.75" customHeight="1">
      <c r="C55" s="182"/>
      <c r="D55" s="516"/>
      <c r="E55" s="516"/>
    </row>
    <row r="56" spans="3:5" ht="27.75" customHeight="1">
      <c r="C56" s="182"/>
      <c r="D56" s="516"/>
      <c r="E56" s="516"/>
    </row>
    <row r="57" spans="3:5" ht="27.75" customHeight="1">
      <c r="C57" s="182"/>
      <c r="D57" s="516"/>
      <c r="E57" s="516"/>
    </row>
    <row r="58" spans="3:5" ht="27.75" customHeight="1">
      <c r="C58" s="182"/>
      <c r="D58" s="516"/>
      <c r="E58" s="516"/>
    </row>
    <row r="59" spans="3:5" ht="27.75" customHeight="1">
      <c r="C59" s="182"/>
      <c r="D59" s="516"/>
      <c r="E59" s="516"/>
    </row>
    <row r="60" spans="3:5" ht="27.75" customHeight="1">
      <c r="C60" s="182"/>
      <c r="D60" s="516"/>
      <c r="E60" s="516"/>
    </row>
    <row r="61" spans="3:5" ht="27.75" customHeight="1">
      <c r="C61" s="182"/>
      <c r="D61" s="516"/>
      <c r="E61" s="516"/>
    </row>
    <row r="62" spans="3:5" ht="27.75" customHeight="1">
      <c r="C62" s="182"/>
      <c r="D62" s="516"/>
      <c r="E62" s="516"/>
    </row>
    <row r="63" spans="3:5" ht="27.75" customHeight="1">
      <c r="C63" s="182"/>
      <c r="D63" s="516"/>
      <c r="E63" s="516"/>
    </row>
    <row r="64" spans="3:5" ht="27.75" customHeight="1">
      <c r="C64" s="182"/>
      <c r="D64" s="516"/>
      <c r="E64" s="516"/>
    </row>
    <row r="65" spans="3:5" ht="27.75" customHeight="1">
      <c r="C65" s="182"/>
      <c r="D65" s="516"/>
      <c r="E65" s="516"/>
    </row>
    <row r="66" spans="3:5" ht="27.75" customHeight="1">
      <c r="C66" s="182"/>
      <c r="D66" s="516"/>
      <c r="E66" s="516"/>
    </row>
    <row r="67" spans="3:5" ht="27.75" customHeight="1">
      <c r="C67" s="182"/>
      <c r="D67" s="516"/>
      <c r="E67" s="516"/>
    </row>
    <row r="68" spans="3:5" ht="27.75" customHeight="1">
      <c r="C68" s="182"/>
      <c r="D68" s="516"/>
      <c r="E68" s="516"/>
    </row>
    <row r="69" spans="3:5" ht="27.75" customHeight="1">
      <c r="C69" s="182"/>
      <c r="D69" s="516"/>
      <c r="E69" s="516"/>
    </row>
    <row r="70" spans="3:5" ht="27.75" customHeight="1">
      <c r="C70" s="182"/>
      <c r="D70" s="516"/>
      <c r="E70" s="516"/>
    </row>
    <row r="71" spans="3:5" ht="27.75" customHeight="1">
      <c r="C71" s="182"/>
      <c r="D71" s="516"/>
      <c r="E71" s="516"/>
    </row>
    <row r="72" spans="3:5" ht="27.75" customHeight="1">
      <c r="C72" s="182"/>
      <c r="D72" s="516"/>
      <c r="E72" s="516"/>
    </row>
    <row r="73" spans="3:5" ht="27.75" customHeight="1">
      <c r="C73" s="182"/>
      <c r="D73" s="516"/>
      <c r="E73" s="516"/>
    </row>
    <row r="74" spans="3:5" ht="27.75" customHeight="1">
      <c r="C74" s="182"/>
      <c r="D74" s="516"/>
      <c r="E74" s="516"/>
    </row>
    <row r="75" spans="3:5" ht="27.75" customHeight="1">
      <c r="C75" s="182"/>
      <c r="D75" s="516"/>
      <c r="E75" s="516"/>
    </row>
    <row r="76" spans="3:5" ht="27.75" customHeight="1">
      <c r="C76" s="182"/>
      <c r="D76" s="516"/>
      <c r="E76" s="516"/>
    </row>
    <row r="77" spans="3:5" ht="27.75" customHeight="1">
      <c r="C77" s="182"/>
      <c r="D77" s="516"/>
      <c r="E77" s="516"/>
    </row>
    <row r="78" spans="3:5" ht="27.75" customHeight="1">
      <c r="C78" s="182"/>
      <c r="D78" s="516"/>
      <c r="E78" s="516"/>
    </row>
    <row r="79" spans="3:5" ht="27.75" customHeight="1">
      <c r="C79" s="182"/>
      <c r="D79" s="516"/>
      <c r="E79" s="516"/>
    </row>
    <row r="80" spans="3:5" ht="27.75" customHeight="1">
      <c r="C80" s="182"/>
      <c r="D80" s="516"/>
      <c r="E80" s="516"/>
    </row>
    <row r="81" spans="3:5" ht="27.75" customHeight="1">
      <c r="C81" s="182"/>
      <c r="D81" s="516"/>
      <c r="E81" s="516"/>
    </row>
    <row r="82" spans="3:5" ht="27.75" customHeight="1">
      <c r="C82" s="182"/>
      <c r="D82" s="516"/>
      <c r="E82" s="516"/>
    </row>
    <row r="83" spans="3:5" ht="27.75" customHeight="1">
      <c r="C83" s="182"/>
      <c r="D83" s="516"/>
      <c r="E83" s="516"/>
    </row>
    <row r="84" spans="3:5" ht="27.75" customHeight="1">
      <c r="C84" s="182"/>
      <c r="D84" s="516"/>
      <c r="E84" s="516"/>
    </row>
    <row r="85" spans="3:5" ht="27.75" customHeight="1">
      <c r="C85" s="182"/>
      <c r="D85" s="516"/>
      <c r="E85" s="516"/>
    </row>
    <row r="86" spans="3:5" ht="27.75" customHeight="1">
      <c r="C86" s="182"/>
      <c r="D86" s="516"/>
      <c r="E86" s="516"/>
    </row>
    <row r="87" spans="3:5" ht="27.75" customHeight="1">
      <c r="C87" s="182"/>
      <c r="D87" s="516"/>
      <c r="E87" s="516"/>
    </row>
    <row r="88" spans="3:5" ht="27.75" customHeight="1">
      <c r="C88" s="182"/>
      <c r="D88" s="516"/>
      <c r="E88" s="516"/>
    </row>
    <row r="89" spans="3:5" ht="27.75" customHeight="1">
      <c r="C89" s="182"/>
      <c r="D89" s="516"/>
      <c r="E89" s="516"/>
    </row>
    <row r="90" spans="3:5" ht="27.75" customHeight="1">
      <c r="C90" s="182"/>
      <c r="D90" s="516"/>
      <c r="E90" s="516"/>
    </row>
    <row r="91" spans="3:5" ht="27.75" customHeight="1">
      <c r="C91" s="182"/>
      <c r="D91" s="516"/>
      <c r="E91" s="516"/>
    </row>
    <row r="92" spans="3:5" ht="27.75" customHeight="1">
      <c r="C92" s="182"/>
      <c r="D92" s="516"/>
      <c r="E92" s="516"/>
    </row>
    <row r="93" spans="3:5" ht="27.75" customHeight="1">
      <c r="C93" s="182"/>
      <c r="D93" s="516"/>
      <c r="E93" s="516"/>
    </row>
    <row r="94" spans="3:5" ht="27.75" customHeight="1">
      <c r="C94" s="182"/>
      <c r="D94" s="516"/>
      <c r="E94" s="516"/>
    </row>
    <row r="95" spans="3:5" ht="27.75" customHeight="1">
      <c r="C95" s="182"/>
      <c r="D95" s="516"/>
      <c r="E95" s="516"/>
    </row>
    <row r="96" spans="3:5" ht="27.75" customHeight="1">
      <c r="C96" s="182"/>
      <c r="D96" s="516"/>
      <c r="E96" s="516"/>
    </row>
    <row r="97" spans="3:5" ht="27.75" customHeight="1">
      <c r="C97" s="182"/>
      <c r="D97" s="516"/>
      <c r="E97" s="516"/>
    </row>
    <row r="98" spans="3:5" ht="27.75" customHeight="1">
      <c r="C98" s="182"/>
      <c r="D98" s="516"/>
      <c r="E98" s="516"/>
    </row>
    <row r="99" spans="3:5" ht="27.75" customHeight="1">
      <c r="C99" s="182"/>
      <c r="D99" s="516"/>
      <c r="E99" s="516"/>
    </row>
    <row r="100" spans="3:5" ht="27.75" customHeight="1">
      <c r="C100" s="182"/>
      <c r="D100" s="516"/>
      <c r="E100" s="516"/>
    </row>
  </sheetData>
  <dataValidations count="5">
    <dataValidation allowBlank="1" showInputMessage="1" showErrorMessage="1" prompt="Enter Monthly Income in this worksheet" sqref="A1:C1" xr:uid="{5E76CD09-74F3-4707-A1C0-1B6D9E8CAB18}"/>
    <dataValidation allowBlank="1" showInputMessage="1" showErrorMessage="1" prompt="Enter income Items in this column under this heading. Use heading filters to find specific entries" sqref="D3" xr:uid="{14AA20B8-E3CB-4167-BF4F-128F3AC88952}"/>
    <dataValidation allowBlank="1" showInputMessage="1" showErrorMessage="1" prompt="Enter Amount in this column under this heading" sqref="E3" xr:uid="{99709EBC-A8C3-427A-BCD2-8475F1823231}"/>
    <dataValidation allowBlank="1" showInputMessage="1" showErrorMessage="1" prompt="Enter the projected amount you will earn." sqref="D4:D99" xr:uid="{A458680F-A7E2-4F0C-9C67-9F323058DDCF}"/>
    <dataValidation type="list" allowBlank="1" showInputMessage="1" showErrorMessage="1" sqref="C4:C1048576" xr:uid="{3E046369-2E61-4CA7-87CB-5E792DEB6E8F}">
      <formula1>"Full-Time Salary, Part-Time Salary, Rental, Interest, Others"</formula1>
    </dataValidation>
  </dataValidations>
  <printOptions horizontalCentered="1"/>
  <pageMargins left="0.4" right="0.4" top="0.4" bottom="0.4" header="0.25" footer="0.25"/>
  <pageSetup fitToHeight="0" orientation="portrait" r:id="rId1"/>
  <headerFooter differentFirst="1">
    <oddFooter>&amp;CPage &amp;P of &amp;N</oddFooter>
  </headerFooter>
  <drawing r:id="rId2"/>
  <legacyDrawing r:id="rId3"/>
  <controls>
    <mc:AlternateContent xmlns:mc="http://schemas.openxmlformats.org/markup-compatibility/2006">
      <mc:Choice Requires="x14">
        <control shapeId="66568" r:id="rId4" name="CommandButton2">
          <controlPr defaultSize="0" autoLine="0" autoPict="0" r:id="rId5">
            <anchor moveWithCells="1">
              <from>
                <xdr:col>7</xdr:col>
                <xdr:colOff>76200</xdr:colOff>
                <xdr:row>2</xdr:row>
                <xdr:rowOff>222250</xdr:rowOff>
              </from>
              <to>
                <xdr:col>9</xdr:col>
                <xdr:colOff>146050</xdr:colOff>
                <xdr:row>3</xdr:row>
                <xdr:rowOff>336550</xdr:rowOff>
              </to>
            </anchor>
          </controlPr>
        </control>
      </mc:Choice>
      <mc:Fallback>
        <control shapeId="66568" r:id="rId4" name="CommandButton2"/>
      </mc:Fallback>
    </mc:AlternateContent>
    <mc:AlternateContent xmlns:mc="http://schemas.openxmlformats.org/markup-compatibility/2006">
      <mc:Choice Requires="x14">
        <control shapeId="66564" r:id="rId6" name="CommandButton1">
          <controlPr defaultSize="0" autoLine="0" autoPict="0" r:id="rId7">
            <anchor moveWithCells="1">
              <from>
                <xdr:col>7</xdr:col>
                <xdr:colOff>69850</xdr:colOff>
                <xdr:row>1</xdr:row>
                <xdr:rowOff>69850</xdr:rowOff>
              </from>
              <to>
                <xdr:col>9</xdr:col>
                <xdr:colOff>114300</xdr:colOff>
                <xdr:row>2</xdr:row>
                <xdr:rowOff>12700</xdr:rowOff>
              </to>
            </anchor>
          </controlPr>
        </control>
      </mc:Choice>
      <mc:Fallback>
        <control shapeId="66564" r:id="rId6" name="CommandButton1"/>
      </mc:Fallback>
    </mc:AlternateContent>
  </controls>
  <tableParts count="1">
    <tablePart r:id="rId8"/>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9DB0A-3195-4619-A9FD-C22D11162231}">
  <sheetPr codeName="Sheet19">
    <tabColor rgb="FF9BCBE3"/>
  </sheetPr>
  <dimension ref="A1:K68"/>
  <sheetViews>
    <sheetView workbookViewId="0">
      <selection activeCell="A6" sqref="A6"/>
    </sheetView>
  </sheetViews>
  <sheetFormatPr defaultRowHeight="14.5"/>
  <cols>
    <col min="1" max="1" width="18.453125" customWidth="1"/>
    <col min="2" max="2" width="28.453125" customWidth="1"/>
    <col min="3" max="3" width="16.1796875" customWidth="1"/>
    <col min="4" max="4" width="18.54296875" customWidth="1"/>
    <col min="5" max="6" width="19" customWidth="1"/>
    <col min="7" max="7" width="21.81640625" customWidth="1"/>
    <col min="8" max="8" width="23.453125" customWidth="1"/>
    <col min="10" max="10" width="18.54296875" style="200" customWidth="1"/>
  </cols>
  <sheetData>
    <row r="1" spans="1:10" s="301" customFormat="1" ht="40.5" customHeight="1">
      <c r="A1" s="301" t="s">
        <v>580</v>
      </c>
    </row>
    <row r="2" spans="1:10" ht="106.5" customHeight="1"/>
    <row r="3" spans="1:10" s="774" customFormat="1" ht="13.5" customHeight="1" thickBot="1"/>
    <row r="4" spans="1:10" ht="26.5" customHeight="1">
      <c r="A4" s="188" t="s">
        <v>27</v>
      </c>
      <c r="B4" s="188" t="s">
        <v>480</v>
      </c>
      <c r="C4" s="188" t="s">
        <v>482</v>
      </c>
      <c r="D4" s="189" t="s">
        <v>581</v>
      </c>
      <c r="E4" s="189" t="s">
        <v>582</v>
      </c>
      <c r="F4" s="189" t="s">
        <v>583</v>
      </c>
      <c r="G4" s="189" t="s">
        <v>584</v>
      </c>
      <c r="H4" s="188" t="s">
        <v>585</v>
      </c>
      <c r="J4" s="190"/>
    </row>
    <row r="5" spans="1:10" ht="17.5" customHeight="1">
      <c r="A5" s="191">
        <f ca="1">TODAY() - RANDBETWEEN(1,24)</f>
        <v>44573</v>
      </c>
      <c r="B5" s="192" t="s">
        <v>586</v>
      </c>
      <c r="C5" s="193" t="s">
        <v>587</v>
      </c>
      <c r="D5" s="194">
        <v>40</v>
      </c>
      <c r="E5" s="194">
        <v>40</v>
      </c>
      <c r="F5" s="194" t="s">
        <v>588</v>
      </c>
      <c r="G5" s="195">
        <f>IF(OR(Monthly_Expenses_Table324[[#This Row],[Projected Cost]]="",Monthly_Expenses_Table324[[#This Row],[Actual Cost]]=""),"",Monthly_Expenses_Table324[[#This Row],[Projected Cost]]-Monthly_Expenses_Table324[[#This Row],[Actual Cost]])</f>
        <v>0</v>
      </c>
      <c r="H5" s="196">
        <f>Monthly_Expenses_Table324[[#This Row],[Projected Cost]]-Monthly_Expenses_Table324[[#This Row],[Actual Cost]]</f>
        <v>0</v>
      </c>
      <c r="J5"/>
    </row>
    <row r="6" spans="1:10" ht="14.5" customHeight="1">
      <c r="A6" s="191">
        <f t="shared" ref="A6:A43" ca="1" si="0">TODAY() - RANDBETWEEN(1,24)</f>
        <v>44562</v>
      </c>
      <c r="B6" s="192" t="s">
        <v>589</v>
      </c>
      <c r="C6" s="193" t="s">
        <v>587</v>
      </c>
      <c r="D6" s="194">
        <v>100</v>
      </c>
      <c r="E6" s="194">
        <v>100</v>
      </c>
      <c r="F6" s="194" t="s">
        <v>35</v>
      </c>
      <c r="G6" s="195">
        <f>IF(OR(Monthly_Expenses_Table324[[#This Row],[Projected Cost]]="",Monthly_Expenses_Table324[[#This Row],[Actual Cost]]=""),"",Monthly_Expenses_Table324[[#This Row],[Projected Cost]]-Monthly_Expenses_Table324[[#This Row],[Actual Cost]])</f>
        <v>0</v>
      </c>
      <c r="H6" s="196">
        <f>Monthly_Expenses_Table324[[#This Row],[Projected Cost]]-Monthly_Expenses_Table324[[#This Row],[Actual Cost]]</f>
        <v>0</v>
      </c>
      <c r="J6"/>
    </row>
    <row r="7" spans="1:10" ht="16.5" customHeight="1">
      <c r="A7" s="191">
        <f t="shared" ca="1" si="0"/>
        <v>44571</v>
      </c>
      <c r="B7" s="192" t="s">
        <v>590</v>
      </c>
      <c r="C7" s="193" t="s">
        <v>524</v>
      </c>
      <c r="D7" s="194">
        <v>50</v>
      </c>
      <c r="E7" s="194">
        <v>40</v>
      </c>
      <c r="F7" s="194" t="s">
        <v>554</v>
      </c>
      <c r="G7" s="195">
        <f>IF(OR(Monthly_Expenses_Table324[[#This Row],[Projected Cost]]="",Monthly_Expenses_Table324[[#This Row],[Actual Cost]]=""),"",Monthly_Expenses_Table324[[#This Row],[Projected Cost]]-Monthly_Expenses_Table324[[#This Row],[Actual Cost]])</f>
        <v>10</v>
      </c>
      <c r="H7" s="196">
        <f>Monthly_Expenses_Table324[[#This Row],[Projected Cost]]-Monthly_Expenses_Table324[[#This Row],[Actual Cost]]</f>
        <v>10</v>
      </c>
      <c r="J7"/>
    </row>
    <row r="8" spans="1:10" ht="15.65" customHeight="1">
      <c r="A8" s="191">
        <f t="shared" ca="1" si="0"/>
        <v>44570</v>
      </c>
      <c r="B8" s="192" t="s">
        <v>591</v>
      </c>
      <c r="C8" s="193" t="s">
        <v>524</v>
      </c>
      <c r="D8" s="194">
        <v>200</v>
      </c>
      <c r="E8" s="194">
        <v>150</v>
      </c>
      <c r="F8" s="194" t="s">
        <v>554</v>
      </c>
      <c r="G8" s="195">
        <f>IF(OR(Monthly_Expenses_Table324[[#This Row],[Projected Cost]]="",Monthly_Expenses_Table324[[#This Row],[Actual Cost]]=""),"",Monthly_Expenses_Table324[[#This Row],[Projected Cost]]-Monthly_Expenses_Table324[[#This Row],[Actual Cost]])</f>
        <v>50</v>
      </c>
      <c r="H8" s="196">
        <f>Monthly_Expenses_Table324[[#This Row],[Projected Cost]]-Monthly_Expenses_Table324[[#This Row],[Actual Cost]]</f>
        <v>50</v>
      </c>
      <c r="J8"/>
    </row>
    <row r="9" spans="1:10" ht="16">
      <c r="A9" s="191">
        <f t="shared" ca="1" si="0"/>
        <v>44570</v>
      </c>
      <c r="B9" s="192" t="s">
        <v>592</v>
      </c>
      <c r="C9" s="193" t="s">
        <v>524</v>
      </c>
      <c r="D9" s="194">
        <v>50</v>
      </c>
      <c r="E9" s="194">
        <v>28</v>
      </c>
      <c r="F9" s="194" t="s">
        <v>588</v>
      </c>
      <c r="G9" s="195">
        <f>IF(OR(Monthly_Expenses_Table324[[#This Row],[Projected Cost]]="",Monthly_Expenses_Table324[[#This Row],[Actual Cost]]=""),"",Monthly_Expenses_Table324[[#This Row],[Projected Cost]]-Monthly_Expenses_Table324[[#This Row],[Actual Cost]])</f>
        <v>22</v>
      </c>
      <c r="H9" s="196">
        <f>Monthly_Expenses_Table324[[#This Row],[Projected Cost]]-Monthly_Expenses_Table324[[#This Row],[Actual Cost]]</f>
        <v>22</v>
      </c>
      <c r="J9" s="197" t="str">
        <f>IFERROR(SUM([13]!Expenses[Difference ($)]/[13]!Expenses[Budget]),"")</f>
        <v/>
      </c>
    </row>
    <row r="10" spans="1:10" ht="16">
      <c r="A10" s="191">
        <f t="shared" ca="1" si="0"/>
        <v>44570</v>
      </c>
      <c r="B10" s="192" t="s">
        <v>593</v>
      </c>
      <c r="C10" s="193" t="s">
        <v>524</v>
      </c>
      <c r="D10" s="194">
        <v>50</v>
      </c>
      <c r="E10" s="194">
        <v>30</v>
      </c>
      <c r="F10" s="194" t="s">
        <v>35</v>
      </c>
      <c r="G10" s="195">
        <f>IF(OR(Monthly_Expenses_Table324[[#This Row],[Projected Cost]]="",Monthly_Expenses_Table324[[#This Row],[Actual Cost]]=""),"",Monthly_Expenses_Table324[[#This Row],[Projected Cost]]-Monthly_Expenses_Table324[[#This Row],[Actual Cost]])</f>
        <v>20</v>
      </c>
      <c r="H10" s="196">
        <f>Monthly_Expenses_Table324[[#This Row],[Projected Cost]]-Monthly_Expenses_Table324[[#This Row],[Actual Cost]]</f>
        <v>20</v>
      </c>
      <c r="J10" s="197" t="str">
        <f>IFERROR(SUM([13]!Expenses[Difference ($)]/[13]!Expenses[Budget]),"")</f>
        <v/>
      </c>
    </row>
    <row r="11" spans="1:10" ht="16">
      <c r="A11" s="191">
        <f t="shared" ca="1" si="0"/>
        <v>44580</v>
      </c>
      <c r="B11" s="192" t="s">
        <v>594</v>
      </c>
      <c r="C11" s="193" t="s">
        <v>524</v>
      </c>
      <c r="D11" s="194">
        <v>0</v>
      </c>
      <c r="E11" s="194">
        <v>40</v>
      </c>
      <c r="F11" s="194" t="s">
        <v>554</v>
      </c>
      <c r="G11" s="195">
        <f>IF(OR(Monthly_Expenses_Table324[[#This Row],[Projected Cost]]="",Monthly_Expenses_Table324[[#This Row],[Actual Cost]]=""),"",Monthly_Expenses_Table324[[#This Row],[Projected Cost]]-Monthly_Expenses_Table324[[#This Row],[Actual Cost]])</f>
        <v>-40</v>
      </c>
      <c r="H11" s="196">
        <f>Monthly_Expenses_Table324[[#This Row],[Projected Cost]]-Monthly_Expenses_Table324[[#This Row],[Actual Cost]]</f>
        <v>-40</v>
      </c>
      <c r="J11" s="197" t="str">
        <f>IFERROR(SUM([13]!Expenses[Difference ($)]/[13]!Expenses[Budget]),"")</f>
        <v/>
      </c>
    </row>
    <row r="12" spans="1:10" ht="16">
      <c r="A12" s="191">
        <f t="shared" ca="1" si="0"/>
        <v>44585</v>
      </c>
      <c r="B12" s="192" t="s">
        <v>595</v>
      </c>
      <c r="C12" s="193" t="s">
        <v>524</v>
      </c>
      <c r="D12" s="194">
        <v>20</v>
      </c>
      <c r="E12" s="194">
        <v>50</v>
      </c>
      <c r="F12" s="194" t="s">
        <v>554</v>
      </c>
      <c r="G12" s="195">
        <f>IF(OR(Monthly_Expenses_Table324[[#This Row],[Projected Cost]]="",Monthly_Expenses_Table324[[#This Row],[Actual Cost]]=""),"",Monthly_Expenses_Table324[[#This Row],[Projected Cost]]-Monthly_Expenses_Table324[[#This Row],[Actual Cost]])</f>
        <v>-30</v>
      </c>
      <c r="H12" s="196">
        <f>Monthly_Expenses_Table324[[#This Row],[Projected Cost]]-Monthly_Expenses_Table324[[#This Row],[Actual Cost]]</f>
        <v>-30</v>
      </c>
      <c r="J12" s="197" t="str">
        <f>IFERROR(SUM([13]!Expenses[Difference ($)]/[13]!Expenses[Budget]),"")</f>
        <v/>
      </c>
    </row>
    <row r="13" spans="1:10" ht="16">
      <c r="A13" s="191">
        <f t="shared" ca="1" si="0"/>
        <v>44564</v>
      </c>
      <c r="B13" s="192" t="s">
        <v>596</v>
      </c>
      <c r="C13" s="193" t="s">
        <v>524</v>
      </c>
      <c r="D13" s="194">
        <v>30</v>
      </c>
      <c r="E13" s="194">
        <v>20</v>
      </c>
      <c r="F13" s="194" t="s">
        <v>588</v>
      </c>
      <c r="G13" s="195">
        <f>IF(OR(Monthly_Expenses_Table324[[#This Row],[Projected Cost]]="",Monthly_Expenses_Table324[[#This Row],[Actual Cost]]=""),"",Monthly_Expenses_Table324[[#This Row],[Projected Cost]]-Monthly_Expenses_Table324[[#This Row],[Actual Cost]])</f>
        <v>10</v>
      </c>
      <c r="H13" s="196">
        <f>Monthly_Expenses_Table324[[#This Row],[Projected Cost]]-Monthly_Expenses_Table324[[#This Row],[Actual Cost]]</f>
        <v>10</v>
      </c>
      <c r="J13" s="197" t="str">
        <f>IFERROR(SUM([13]!Expenses[Difference ($)]/[13]!Expenses[Budget]),"")</f>
        <v/>
      </c>
    </row>
    <row r="14" spans="1:10" ht="16">
      <c r="A14" s="191">
        <f t="shared" ca="1" si="0"/>
        <v>44570</v>
      </c>
      <c r="B14" s="192" t="s">
        <v>597</v>
      </c>
      <c r="C14" s="193" t="s">
        <v>598</v>
      </c>
      <c r="D14" s="194">
        <v>1000</v>
      </c>
      <c r="E14" s="194">
        <v>1200</v>
      </c>
      <c r="F14" s="194" t="s">
        <v>35</v>
      </c>
      <c r="G14" s="195">
        <f>IF(OR(Monthly_Expenses_Table324[[#This Row],[Projected Cost]]="",Monthly_Expenses_Table324[[#This Row],[Actual Cost]]=""),"",Monthly_Expenses_Table324[[#This Row],[Projected Cost]]-Monthly_Expenses_Table324[[#This Row],[Actual Cost]])</f>
        <v>-200</v>
      </c>
      <c r="H14" s="196">
        <f>Monthly_Expenses_Table324[[#This Row],[Projected Cost]]-Monthly_Expenses_Table324[[#This Row],[Actual Cost]]</f>
        <v>-200</v>
      </c>
      <c r="J14" s="197" t="str">
        <f>IFERROR(SUM([13]!Expenses[Difference ($)]/[13]!Expenses[Budget]),"")</f>
        <v/>
      </c>
    </row>
    <row r="15" spans="1:10" ht="16">
      <c r="A15" s="191">
        <f t="shared" ca="1" si="0"/>
        <v>44581</v>
      </c>
      <c r="B15" s="192" t="s">
        <v>599</v>
      </c>
      <c r="C15" s="193" t="s">
        <v>598</v>
      </c>
      <c r="D15" s="194">
        <v>100</v>
      </c>
      <c r="E15" s="194">
        <v>120</v>
      </c>
      <c r="F15" s="194" t="s">
        <v>554</v>
      </c>
      <c r="G15" s="195">
        <f>IF(OR(Monthly_Expenses_Table324[[#This Row],[Projected Cost]]="",Monthly_Expenses_Table324[[#This Row],[Actual Cost]]=""),"",Monthly_Expenses_Table324[[#This Row],[Projected Cost]]-Monthly_Expenses_Table324[[#This Row],[Actual Cost]])</f>
        <v>-20</v>
      </c>
      <c r="H15" s="196">
        <f>Monthly_Expenses_Table324[[#This Row],[Projected Cost]]-Monthly_Expenses_Table324[[#This Row],[Actual Cost]]</f>
        <v>-20</v>
      </c>
      <c r="J15" s="197" t="str">
        <f>IFERROR(SUM([13]!Expenses[Difference ($)]/[13]!Expenses[Budget]),"")</f>
        <v/>
      </c>
    </row>
    <row r="16" spans="1:10" ht="16">
      <c r="A16" s="191">
        <f t="shared" ca="1" si="0"/>
        <v>44575</v>
      </c>
      <c r="B16" s="192" t="s">
        <v>600</v>
      </c>
      <c r="C16" s="193" t="s">
        <v>601</v>
      </c>
      <c r="D16" s="194">
        <v>75</v>
      </c>
      <c r="E16" s="194">
        <v>100</v>
      </c>
      <c r="F16" s="194" t="s">
        <v>554</v>
      </c>
      <c r="G16" s="195">
        <f>IF(OR(Monthly_Expenses_Table324[[#This Row],[Projected Cost]]="",Monthly_Expenses_Table324[[#This Row],[Actual Cost]]=""),"",Monthly_Expenses_Table324[[#This Row],[Projected Cost]]-Monthly_Expenses_Table324[[#This Row],[Actual Cost]])</f>
        <v>-25</v>
      </c>
      <c r="H16" s="196">
        <f>Monthly_Expenses_Table324[[#This Row],[Projected Cost]]-Monthly_Expenses_Table324[[#This Row],[Actual Cost]]</f>
        <v>-25</v>
      </c>
      <c r="J16" s="197" t="str">
        <f>IFERROR(SUM([13]!Expenses[Difference ($)]/[13]!Expenses[Budget]),"")</f>
        <v/>
      </c>
    </row>
    <row r="17" spans="1:11" ht="16">
      <c r="A17" s="191">
        <f t="shared" ca="1" si="0"/>
        <v>44581</v>
      </c>
      <c r="B17" s="192" t="s">
        <v>602</v>
      </c>
      <c r="C17" s="193" t="s">
        <v>601</v>
      </c>
      <c r="D17" s="194">
        <v>25</v>
      </c>
      <c r="E17" s="194">
        <v>25</v>
      </c>
      <c r="F17" s="194" t="s">
        <v>588</v>
      </c>
      <c r="G17" s="195">
        <f>IF(OR(Monthly_Expenses_Table324[[#This Row],[Projected Cost]]="",Monthly_Expenses_Table324[[#This Row],[Actual Cost]]=""),"",Monthly_Expenses_Table324[[#This Row],[Projected Cost]]-Monthly_Expenses_Table324[[#This Row],[Actual Cost]])</f>
        <v>0</v>
      </c>
      <c r="H17" s="196">
        <f>Monthly_Expenses_Table324[[#This Row],[Projected Cost]]-Monthly_Expenses_Table324[[#This Row],[Actual Cost]]</f>
        <v>0</v>
      </c>
      <c r="J17" s="197" t="str">
        <f>IFERROR(SUM([13]!Expenses[Difference ($)]/[13]!Expenses[Budget]),"")</f>
        <v/>
      </c>
    </row>
    <row r="18" spans="1:11" ht="16">
      <c r="A18" s="191">
        <f t="shared" ca="1" si="0"/>
        <v>44581</v>
      </c>
      <c r="B18" s="192" t="s">
        <v>603</v>
      </c>
      <c r="C18" s="193" t="s">
        <v>604</v>
      </c>
      <c r="D18" s="194">
        <v>100</v>
      </c>
      <c r="E18" s="194">
        <v>100</v>
      </c>
      <c r="F18" s="194" t="s">
        <v>35</v>
      </c>
      <c r="G18" s="195">
        <f>IF(OR(Monthly_Expenses_Table324[[#This Row],[Projected Cost]]="",Monthly_Expenses_Table324[[#This Row],[Actual Cost]]=""),"",Monthly_Expenses_Table324[[#This Row],[Projected Cost]]-Monthly_Expenses_Table324[[#This Row],[Actual Cost]])</f>
        <v>0</v>
      </c>
      <c r="H18" s="196">
        <f>Monthly_Expenses_Table324[[#This Row],[Projected Cost]]-Monthly_Expenses_Table324[[#This Row],[Actual Cost]]</f>
        <v>0</v>
      </c>
      <c r="J18" s="197" t="str">
        <f>IFERROR(SUM([13]!Expenses[Difference ($)]/[13]!Expenses[Budget]),"")</f>
        <v/>
      </c>
    </row>
    <row r="19" spans="1:11" ht="16">
      <c r="A19" s="191">
        <f t="shared" ca="1" si="0"/>
        <v>44562</v>
      </c>
      <c r="B19" s="192" t="s">
        <v>605</v>
      </c>
      <c r="C19" s="193" t="s">
        <v>604</v>
      </c>
      <c r="D19" s="194">
        <v>45</v>
      </c>
      <c r="E19" s="194">
        <v>50</v>
      </c>
      <c r="F19" s="194" t="s">
        <v>554</v>
      </c>
      <c r="G19" s="195">
        <f>IF(OR(Monthly_Expenses_Table324[[#This Row],[Projected Cost]]="",Monthly_Expenses_Table324[[#This Row],[Actual Cost]]=""),"",Monthly_Expenses_Table324[[#This Row],[Projected Cost]]-Monthly_Expenses_Table324[[#This Row],[Actual Cost]])</f>
        <v>-5</v>
      </c>
      <c r="H19" s="196">
        <f>Monthly_Expenses_Table324[[#This Row],[Projected Cost]]-Monthly_Expenses_Table324[[#This Row],[Actual Cost]]</f>
        <v>-5</v>
      </c>
      <c r="J19" s="197" t="str">
        <f>IFERROR(SUM([13]!Expenses[Difference ($)]/[13]!Expenses[Budget]),"")</f>
        <v/>
      </c>
    </row>
    <row r="20" spans="1:11" ht="16">
      <c r="A20" s="191">
        <f t="shared" ca="1" si="0"/>
        <v>44567</v>
      </c>
      <c r="B20" s="192" t="s">
        <v>547</v>
      </c>
      <c r="C20" s="193" t="s">
        <v>604</v>
      </c>
      <c r="D20" s="194">
        <v>300</v>
      </c>
      <c r="E20" s="194">
        <v>400</v>
      </c>
      <c r="F20" s="194" t="s">
        <v>554</v>
      </c>
      <c r="G20" s="195">
        <f>IF(OR(Monthly_Expenses_Table324[[#This Row],[Projected Cost]]="",Monthly_Expenses_Table324[[#This Row],[Actual Cost]]=""),"",Monthly_Expenses_Table324[[#This Row],[Projected Cost]]-Monthly_Expenses_Table324[[#This Row],[Actual Cost]])</f>
        <v>-100</v>
      </c>
      <c r="H20" s="196">
        <f>Monthly_Expenses_Table324[[#This Row],[Projected Cost]]-Monthly_Expenses_Table324[[#This Row],[Actual Cost]]</f>
        <v>-100</v>
      </c>
      <c r="J20" s="197" t="str">
        <f>IFERROR(SUM([13]!Expenses[Difference ($)]/[13]!Expenses[Budget]),"")</f>
        <v/>
      </c>
    </row>
    <row r="21" spans="1:11" ht="16">
      <c r="A21" s="191">
        <f t="shared" ca="1" si="0"/>
        <v>44581</v>
      </c>
      <c r="B21" s="192" t="s">
        <v>606</v>
      </c>
      <c r="C21" s="193" t="s">
        <v>604</v>
      </c>
      <c r="D21" s="194">
        <v>200</v>
      </c>
      <c r="E21" s="194">
        <v>150</v>
      </c>
      <c r="F21" s="194" t="s">
        <v>588</v>
      </c>
      <c r="G21" s="195">
        <f>IF(OR(Monthly_Expenses_Table324[[#This Row],[Projected Cost]]="",Monthly_Expenses_Table324[[#This Row],[Actual Cost]]=""),"",Monthly_Expenses_Table324[[#This Row],[Projected Cost]]-Monthly_Expenses_Table324[[#This Row],[Actual Cost]])</f>
        <v>50</v>
      </c>
      <c r="H21" s="196">
        <f>Monthly_Expenses_Table324[[#This Row],[Projected Cost]]-Monthly_Expenses_Table324[[#This Row],[Actual Cost]]</f>
        <v>50</v>
      </c>
      <c r="J21" s="197" t="str">
        <f>IFERROR(SUM([13]!Expenses[Difference ($)]/[13]!Expenses[Budget]),"")</f>
        <v/>
      </c>
    </row>
    <row r="22" spans="1:11" ht="16">
      <c r="A22" s="191">
        <f t="shared" ca="1" si="0"/>
        <v>44572</v>
      </c>
      <c r="B22" s="192" t="s">
        <v>607</v>
      </c>
      <c r="C22" s="193" t="s">
        <v>604</v>
      </c>
      <c r="D22" s="194">
        <v>1700</v>
      </c>
      <c r="E22" s="194">
        <v>1700</v>
      </c>
      <c r="F22" s="194" t="s">
        <v>35</v>
      </c>
      <c r="G22" s="195">
        <f>IF(OR(Monthly_Expenses_Table324[[#This Row],[Projected Cost]]="",Monthly_Expenses_Table324[[#This Row],[Actual Cost]]=""),"",Monthly_Expenses_Table324[[#This Row],[Projected Cost]]-Monthly_Expenses_Table324[[#This Row],[Actual Cost]])</f>
        <v>0</v>
      </c>
      <c r="H22" s="196">
        <f>Monthly_Expenses_Table324[[#This Row],[Projected Cost]]-Monthly_Expenses_Table324[[#This Row],[Actual Cost]]</f>
        <v>0</v>
      </c>
      <c r="J22" s="197" t="str">
        <f>IFERROR(SUM([13]!Expenses[Difference ($)]/[13]!Expenses[Budget]),"")</f>
        <v/>
      </c>
      <c r="K22" s="198"/>
    </row>
    <row r="23" spans="1:11" ht="16">
      <c r="A23" s="191">
        <f t="shared" ca="1" si="0"/>
        <v>44570</v>
      </c>
      <c r="B23" s="192" t="s">
        <v>608</v>
      </c>
      <c r="C23" s="193" t="s">
        <v>604</v>
      </c>
      <c r="D23" s="194">
        <v>100</v>
      </c>
      <c r="E23" s="194">
        <v>100</v>
      </c>
      <c r="F23" s="194" t="s">
        <v>554</v>
      </c>
      <c r="G23" s="195">
        <f>IF(OR(Monthly_Expenses_Table324[[#This Row],[Projected Cost]]="",Monthly_Expenses_Table324[[#This Row],[Actual Cost]]=""),"",Monthly_Expenses_Table324[[#This Row],[Projected Cost]]-Monthly_Expenses_Table324[[#This Row],[Actual Cost]])</f>
        <v>0</v>
      </c>
      <c r="H23" s="196">
        <f>Monthly_Expenses_Table324[[#This Row],[Projected Cost]]-Monthly_Expenses_Table324[[#This Row],[Actual Cost]]</f>
        <v>0</v>
      </c>
      <c r="J23" s="197" t="str">
        <f>IFERROR(SUM([13]!Expenses[Difference ($)]/[13]!Expenses[Budget]),"")</f>
        <v/>
      </c>
    </row>
    <row r="24" spans="1:11" ht="16">
      <c r="A24" s="191">
        <f t="shared" ca="1" si="0"/>
        <v>44572</v>
      </c>
      <c r="B24" s="192" t="s">
        <v>609</v>
      </c>
      <c r="C24" s="193" t="s">
        <v>604</v>
      </c>
      <c r="D24" s="194">
        <v>60</v>
      </c>
      <c r="E24" s="194">
        <v>60</v>
      </c>
      <c r="F24" s="194" t="s">
        <v>554</v>
      </c>
      <c r="G24" s="195">
        <f>IF(OR(Monthly_Expenses_Table324[[#This Row],[Projected Cost]]="",Monthly_Expenses_Table324[[#This Row],[Actual Cost]]=""),"",Monthly_Expenses_Table324[[#This Row],[Projected Cost]]-Monthly_Expenses_Table324[[#This Row],[Actual Cost]])</f>
        <v>0</v>
      </c>
      <c r="H24" s="196">
        <f>Monthly_Expenses_Table324[[#This Row],[Projected Cost]]-Monthly_Expenses_Table324[[#This Row],[Actual Cost]]</f>
        <v>0</v>
      </c>
      <c r="J24" s="197" t="str">
        <f>IFERROR(SUM([13]!Expenses[Difference ($)]/[13]!Expenses[Budget]),"")</f>
        <v/>
      </c>
    </row>
    <row r="25" spans="1:11" ht="16">
      <c r="A25" s="191">
        <f t="shared" ca="1" si="0"/>
        <v>44567</v>
      </c>
      <c r="B25" s="192" t="s">
        <v>610</v>
      </c>
      <c r="C25" s="193" t="s">
        <v>604</v>
      </c>
      <c r="D25" s="194">
        <v>35</v>
      </c>
      <c r="E25" s="194">
        <v>39</v>
      </c>
      <c r="F25" s="194" t="s">
        <v>588</v>
      </c>
      <c r="G25" s="195">
        <f>IF(OR(Monthly_Expenses_Table324[[#This Row],[Projected Cost]]="",Monthly_Expenses_Table324[[#This Row],[Actual Cost]]=""),"",Monthly_Expenses_Table324[[#This Row],[Projected Cost]]-Monthly_Expenses_Table324[[#This Row],[Actual Cost]])</f>
        <v>-4</v>
      </c>
      <c r="H25" s="196">
        <f>Monthly_Expenses_Table324[[#This Row],[Projected Cost]]-Monthly_Expenses_Table324[[#This Row],[Actual Cost]]</f>
        <v>-4</v>
      </c>
      <c r="J25" s="197" t="str">
        <f>IFERROR(SUM([13]!Expenses[Difference ($)]/[13]!Expenses[Budget]),"")</f>
        <v/>
      </c>
    </row>
    <row r="26" spans="1:11" ht="16">
      <c r="A26" s="191">
        <f t="shared" ca="1" si="0"/>
        <v>44575</v>
      </c>
      <c r="B26" s="192" t="s">
        <v>611</v>
      </c>
      <c r="C26" s="193" t="s">
        <v>604</v>
      </c>
      <c r="D26" s="194">
        <v>40</v>
      </c>
      <c r="E26" s="194">
        <v>55</v>
      </c>
      <c r="F26" s="194" t="s">
        <v>35</v>
      </c>
      <c r="G26" s="195">
        <f>IF(OR(Monthly_Expenses_Table324[[#This Row],[Projected Cost]]="",Monthly_Expenses_Table324[[#This Row],[Actual Cost]]=""),"",Monthly_Expenses_Table324[[#This Row],[Projected Cost]]-Monthly_Expenses_Table324[[#This Row],[Actual Cost]])</f>
        <v>-15</v>
      </c>
      <c r="H26" s="196">
        <f>Monthly_Expenses_Table324[[#This Row],[Projected Cost]]-Monthly_Expenses_Table324[[#This Row],[Actual Cost]]</f>
        <v>-15</v>
      </c>
      <c r="J26" s="197" t="str">
        <f>IFERROR(SUM([13]!Expenses[Difference ($)]/[13]!Expenses[Budget]),"")</f>
        <v/>
      </c>
    </row>
    <row r="27" spans="1:11" ht="16">
      <c r="A27" s="191">
        <f t="shared" ca="1" si="0"/>
        <v>44570</v>
      </c>
      <c r="B27" s="192" t="s">
        <v>612</v>
      </c>
      <c r="C27" s="193" t="s">
        <v>604</v>
      </c>
      <c r="D27" s="194">
        <v>25</v>
      </c>
      <c r="E27" s="194">
        <v>22</v>
      </c>
      <c r="F27" s="194" t="s">
        <v>554</v>
      </c>
      <c r="G27" s="195">
        <f>IF(OR(Monthly_Expenses_Table324[[#This Row],[Projected Cost]]="",Monthly_Expenses_Table324[[#This Row],[Actual Cost]]=""),"",Monthly_Expenses_Table324[[#This Row],[Projected Cost]]-Monthly_Expenses_Table324[[#This Row],[Actual Cost]])</f>
        <v>3</v>
      </c>
      <c r="H27" s="196">
        <f>Monthly_Expenses_Table324[[#This Row],[Projected Cost]]-Monthly_Expenses_Table324[[#This Row],[Actual Cost]]</f>
        <v>3</v>
      </c>
      <c r="J27" s="197" t="str">
        <f>IFERROR(SUM([13]!Expenses[Difference ($)]/[13]!Expenses[Budget]),"")</f>
        <v/>
      </c>
    </row>
    <row r="28" spans="1:11" ht="16">
      <c r="A28" s="191">
        <f t="shared" ca="1" si="0"/>
        <v>44566</v>
      </c>
      <c r="B28" s="192" t="s">
        <v>613</v>
      </c>
      <c r="C28" s="193" t="s">
        <v>604</v>
      </c>
      <c r="D28" s="194">
        <v>25</v>
      </c>
      <c r="E28" s="194">
        <v>26</v>
      </c>
      <c r="F28" s="194" t="s">
        <v>554</v>
      </c>
      <c r="G28" s="195">
        <f>IF(OR(Monthly_Expenses_Table324[[#This Row],[Projected Cost]]="",Monthly_Expenses_Table324[[#This Row],[Actual Cost]]=""),"",Monthly_Expenses_Table324[[#This Row],[Projected Cost]]-Monthly_Expenses_Table324[[#This Row],[Actual Cost]])</f>
        <v>-1</v>
      </c>
      <c r="H28" s="196">
        <f>Monthly_Expenses_Table324[[#This Row],[Projected Cost]]-Monthly_Expenses_Table324[[#This Row],[Actual Cost]]</f>
        <v>-1</v>
      </c>
      <c r="J28" s="199" t="str">
        <f>IFERROR(SUM([13]!Expenses[[#Totals],[Difference ($)]]/[13]!Expenses[[#Totals],[Budget]]),"")</f>
        <v/>
      </c>
    </row>
    <row r="29" spans="1:11" ht="16">
      <c r="A29" s="191">
        <f t="shared" ca="1" si="0"/>
        <v>44562</v>
      </c>
      <c r="B29" s="192" t="s">
        <v>614</v>
      </c>
      <c r="C29" s="193" t="s">
        <v>615</v>
      </c>
      <c r="D29" s="194">
        <v>400</v>
      </c>
      <c r="E29" s="194">
        <v>400</v>
      </c>
      <c r="F29" s="194" t="s">
        <v>588</v>
      </c>
      <c r="G29" s="195">
        <f>IF(OR(Monthly_Expenses_Table324[[#This Row],[Projected Cost]]="",Monthly_Expenses_Table324[[#This Row],[Actual Cost]]=""),"",Monthly_Expenses_Table324[[#This Row],[Projected Cost]]-Monthly_Expenses_Table324[[#This Row],[Actual Cost]])</f>
        <v>0</v>
      </c>
      <c r="H29" s="196">
        <f>Monthly_Expenses_Table324[[#This Row],[Projected Cost]]-Monthly_Expenses_Table324[[#This Row],[Actual Cost]]</f>
        <v>0</v>
      </c>
    </row>
    <row r="30" spans="1:11" ht="16">
      <c r="A30" s="191">
        <f t="shared" ca="1" si="0"/>
        <v>44564</v>
      </c>
      <c r="B30" s="192" t="s">
        <v>38</v>
      </c>
      <c r="C30" s="193" t="s">
        <v>615</v>
      </c>
      <c r="D30" s="194">
        <v>400</v>
      </c>
      <c r="E30" s="194">
        <v>400</v>
      </c>
      <c r="F30" s="194" t="s">
        <v>35</v>
      </c>
      <c r="G30" s="195">
        <f>IF(OR(Monthly_Expenses_Table324[[#This Row],[Projected Cost]]="",Monthly_Expenses_Table324[[#This Row],[Actual Cost]]=""),"",Monthly_Expenses_Table324[[#This Row],[Projected Cost]]-Monthly_Expenses_Table324[[#This Row],[Actual Cost]])</f>
        <v>0</v>
      </c>
      <c r="H30" s="196">
        <f>Monthly_Expenses_Table324[[#This Row],[Projected Cost]]-Monthly_Expenses_Table324[[#This Row],[Actual Cost]]</f>
        <v>0</v>
      </c>
    </row>
    <row r="31" spans="1:11" ht="16">
      <c r="A31" s="191">
        <f t="shared" ca="1" si="0"/>
        <v>44565</v>
      </c>
      <c r="B31" s="192" t="s">
        <v>616</v>
      </c>
      <c r="C31" s="193" t="s">
        <v>615</v>
      </c>
      <c r="D31" s="194">
        <v>100</v>
      </c>
      <c r="E31" s="194">
        <v>100</v>
      </c>
      <c r="F31" s="194" t="s">
        <v>554</v>
      </c>
      <c r="G31" s="195">
        <f>IF(OR(Monthly_Expenses_Table324[[#This Row],[Projected Cost]]="",Monthly_Expenses_Table324[[#This Row],[Actual Cost]]=""),"",Monthly_Expenses_Table324[[#This Row],[Projected Cost]]-Monthly_Expenses_Table324[[#This Row],[Actual Cost]])</f>
        <v>0</v>
      </c>
      <c r="H31" s="196">
        <f>Monthly_Expenses_Table324[[#This Row],[Projected Cost]]-Monthly_Expenses_Table324[[#This Row],[Actual Cost]]</f>
        <v>0</v>
      </c>
    </row>
    <row r="32" spans="1:11" ht="16">
      <c r="A32" s="191">
        <f t="shared" ca="1" si="0"/>
        <v>44585</v>
      </c>
      <c r="B32" s="192" t="s">
        <v>617</v>
      </c>
      <c r="C32" s="193" t="s">
        <v>618</v>
      </c>
      <c r="D32" s="194">
        <v>200</v>
      </c>
      <c r="E32" s="194">
        <v>200</v>
      </c>
      <c r="F32" s="194" t="s">
        <v>554</v>
      </c>
      <c r="G32" s="195">
        <f>IF(OR(Monthly_Expenses_Table324[[#This Row],[Projected Cost]]="",Monthly_Expenses_Table324[[#This Row],[Actual Cost]]=""),"",Monthly_Expenses_Table324[[#This Row],[Projected Cost]]-Monthly_Expenses_Table324[[#This Row],[Actual Cost]])</f>
        <v>0</v>
      </c>
      <c r="H32" s="196">
        <f>Monthly_Expenses_Table324[[#This Row],[Projected Cost]]-Monthly_Expenses_Table324[[#This Row],[Actual Cost]]</f>
        <v>0</v>
      </c>
    </row>
    <row r="33" spans="1:8" ht="16">
      <c r="A33" s="191">
        <f t="shared" ca="1" si="0"/>
        <v>44567</v>
      </c>
      <c r="B33" s="192" t="s">
        <v>619</v>
      </c>
      <c r="C33" s="193" t="s">
        <v>620</v>
      </c>
      <c r="D33" s="194">
        <v>150</v>
      </c>
      <c r="E33" s="194">
        <v>140</v>
      </c>
      <c r="F33" s="194" t="s">
        <v>588</v>
      </c>
      <c r="G33" s="195">
        <f>IF(OR(Monthly_Expenses_Table324[[#This Row],[Projected Cost]]="",Monthly_Expenses_Table324[[#This Row],[Actual Cost]]=""),"",Monthly_Expenses_Table324[[#This Row],[Projected Cost]]-Monthly_Expenses_Table324[[#This Row],[Actual Cost]])</f>
        <v>10</v>
      </c>
      <c r="H33" s="196">
        <f>Monthly_Expenses_Table324[[#This Row],[Projected Cost]]-Monthly_Expenses_Table324[[#This Row],[Actual Cost]]</f>
        <v>10</v>
      </c>
    </row>
    <row r="34" spans="1:8" ht="16">
      <c r="A34" s="191">
        <f t="shared" ca="1" si="0"/>
        <v>44573</v>
      </c>
      <c r="B34" s="192" t="s">
        <v>598</v>
      </c>
      <c r="C34" s="193" t="s">
        <v>621</v>
      </c>
      <c r="D34" s="194">
        <v>150</v>
      </c>
      <c r="E34" s="194">
        <v>75</v>
      </c>
      <c r="F34" s="194" t="s">
        <v>588</v>
      </c>
      <c r="G34" s="195">
        <f>IF(OR(Monthly_Expenses_Table324[[#This Row],[Projected Cost]]="",Monthly_Expenses_Table324[[#This Row],[Actual Cost]]=""),"",Monthly_Expenses_Table324[[#This Row],[Projected Cost]]-Monthly_Expenses_Table324[[#This Row],[Actual Cost]])</f>
        <v>75</v>
      </c>
      <c r="H34" s="196">
        <f>Monthly_Expenses_Table324[[#This Row],[Projected Cost]]-Monthly_Expenses_Table324[[#This Row],[Actual Cost]]</f>
        <v>75</v>
      </c>
    </row>
    <row r="35" spans="1:8" ht="16">
      <c r="A35" s="191">
        <f t="shared" ca="1" si="0"/>
        <v>44572</v>
      </c>
      <c r="B35" s="192" t="s">
        <v>622</v>
      </c>
      <c r="C35" s="193" t="s">
        <v>621</v>
      </c>
      <c r="D35" s="194">
        <v>20</v>
      </c>
      <c r="E35" s="194">
        <v>25</v>
      </c>
      <c r="F35" s="194" t="s">
        <v>35</v>
      </c>
      <c r="G35" s="195">
        <f>IF(OR(Monthly_Expenses_Table324[[#This Row],[Projected Cost]]="",Monthly_Expenses_Table324[[#This Row],[Actual Cost]]=""),"",Monthly_Expenses_Table324[[#This Row],[Projected Cost]]-Monthly_Expenses_Table324[[#This Row],[Actual Cost]])</f>
        <v>-5</v>
      </c>
      <c r="H35" s="196">
        <f>Monthly_Expenses_Table324[[#This Row],[Projected Cost]]-Monthly_Expenses_Table324[[#This Row],[Actual Cost]]</f>
        <v>-5</v>
      </c>
    </row>
    <row r="36" spans="1:8" ht="16">
      <c r="A36" s="191">
        <f t="shared" ca="1" si="0"/>
        <v>44585</v>
      </c>
      <c r="B36" s="192" t="s">
        <v>623</v>
      </c>
      <c r="C36" s="193" t="s">
        <v>35</v>
      </c>
      <c r="D36" s="194">
        <v>200</v>
      </c>
      <c r="E36" s="194">
        <v>200</v>
      </c>
      <c r="F36" s="194" t="s">
        <v>588</v>
      </c>
      <c r="G36" s="195">
        <f>IF(OR(Monthly_Expenses_Table324[[#This Row],[Projected Cost]]="",Monthly_Expenses_Table324[[#This Row],[Actual Cost]]=""),"",Monthly_Expenses_Table324[[#This Row],[Projected Cost]]-Monthly_Expenses_Table324[[#This Row],[Actual Cost]])</f>
        <v>0</v>
      </c>
      <c r="H36" s="196">
        <f>Monthly_Expenses_Table324[[#This Row],[Projected Cost]]-Monthly_Expenses_Table324[[#This Row],[Actual Cost]]</f>
        <v>0</v>
      </c>
    </row>
    <row r="37" spans="1:8" ht="16">
      <c r="A37" s="191">
        <f t="shared" ca="1" si="0"/>
        <v>44570</v>
      </c>
      <c r="B37" s="192" t="s">
        <v>624</v>
      </c>
      <c r="C37" s="193" t="s">
        <v>625</v>
      </c>
      <c r="D37" s="194">
        <v>300</v>
      </c>
      <c r="E37" s="194">
        <v>300</v>
      </c>
      <c r="F37" s="194" t="s">
        <v>35</v>
      </c>
      <c r="G37" s="195">
        <f>IF(OR(Monthly_Expenses_Table324[[#This Row],[Projected Cost]]="",Monthly_Expenses_Table324[[#This Row],[Actual Cost]]=""),"",Monthly_Expenses_Table324[[#This Row],[Projected Cost]]-Monthly_Expenses_Table324[[#This Row],[Actual Cost]])</f>
        <v>0</v>
      </c>
      <c r="H37" s="196">
        <f>Monthly_Expenses_Table324[[#This Row],[Projected Cost]]-Monthly_Expenses_Table324[[#This Row],[Actual Cost]]</f>
        <v>0</v>
      </c>
    </row>
    <row r="38" spans="1:8" ht="16">
      <c r="A38" s="191">
        <f t="shared" ca="1" si="0"/>
        <v>44577</v>
      </c>
      <c r="B38" s="192" t="s">
        <v>626</v>
      </c>
      <c r="C38" s="193" t="s">
        <v>627</v>
      </c>
      <c r="D38" s="194">
        <v>100</v>
      </c>
      <c r="E38" s="194">
        <v>150</v>
      </c>
      <c r="F38" s="194" t="s">
        <v>554</v>
      </c>
      <c r="G38" s="195">
        <f>IF(OR(Monthly_Expenses_Table324[[#This Row],[Projected Cost]]="",Monthly_Expenses_Table324[[#This Row],[Actual Cost]]=""),"",Monthly_Expenses_Table324[[#This Row],[Projected Cost]]-Monthly_Expenses_Table324[[#This Row],[Actual Cost]])</f>
        <v>-50</v>
      </c>
      <c r="H38" s="196">
        <f>Monthly_Expenses_Table324[[#This Row],[Projected Cost]]-Monthly_Expenses_Table324[[#This Row],[Actual Cost]]</f>
        <v>-50</v>
      </c>
    </row>
    <row r="39" spans="1:8" ht="16">
      <c r="A39" s="191">
        <f t="shared" ca="1" si="0"/>
        <v>44582</v>
      </c>
      <c r="B39" s="192" t="s">
        <v>525</v>
      </c>
      <c r="C39" s="193" t="s">
        <v>627</v>
      </c>
      <c r="D39" s="194">
        <v>450</v>
      </c>
      <c r="E39" s="194">
        <v>400</v>
      </c>
      <c r="F39" s="194" t="s">
        <v>554</v>
      </c>
      <c r="G39" s="195">
        <f>IF(OR(Monthly_Expenses_Table324[[#This Row],[Projected Cost]]="",Monthly_Expenses_Table324[[#This Row],[Actual Cost]]=""),"",Monthly_Expenses_Table324[[#This Row],[Projected Cost]]-Monthly_Expenses_Table324[[#This Row],[Actual Cost]])</f>
        <v>50</v>
      </c>
      <c r="H39" s="196">
        <f>Monthly_Expenses_Table324[[#This Row],[Projected Cost]]-Monthly_Expenses_Table324[[#This Row],[Actual Cost]]</f>
        <v>50</v>
      </c>
    </row>
    <row r="40" spans="1:8" ht="16">
      <c r="A40" s="191">
        <f t="shared" ca="1" si="0"/>
        <v>44575</v>
      </c>
      <c r="B40" s="192" t="s">
        <v>615</v>
      </c>
      <c r="C40" s="193" t="s">
        <v>627</v>
      </c>
      <c r="D40" s="194">
        <v>300</v>
      </c>
      <c r="E40" s="194">
        <v>300</v>
      </c>
      <c r="F40" s="194" t="s">
        <v>588</v>
      </c>
      <c r="G40" s="195">
        <f>IF(OR(Monthly_Expenses_Table324[[#This Row],[Projected Cost]]="",Monthly_Expenses_Table324[[#This Row],[Actual Cost]]=""),"",Monthly_Expenses_Table324[[#This Row],[Projected Cost]]-Monthly_Expenses_Table324[[#This Row],[Actual Cost]])</f>
        <v>0</v>
      </c>
      <c r="H40" s="196">
        <f>Monthly_Expenses_Table324[[#This Row],[Projected Cost]]-Monthly_Expenses_Table324[[#This Row],[Actual Cost]]</f>
        <v>0</v>
      </c>
    </row>
    <row r="41" spans="1:8" ht="16">
      <c r="A41" s="191">
        <f t="shared" ca="1" si="0"/>
        <v>44584</v>
      </c>
      <c r="B41" s="192" t="s">
        <v>628</v>
      </c>
      <c r="C41" s="193" t="s">
        <v>627</v>
      </c>
      <c r="D41" s="194">
        <v>25</v>
      </c>
      <c r="E41" s="194">
        <v>25</v>
      </c>
      <c r="F41" s="194" t="s">
        <v>35</v>
      </c>
      <c r="G41" s="195">
        <f>IF(OR(Monthly_Expenses_Table324[[#This Row],[Projected Cost]]="",Monthly_Expenses_Table324[[#This Row],[Actual Cost]]=""),"",Monthly_Expenses_Table324[[#This Row],[Projected Cost]]-Monthly_Expenses_Table324[[#This Row],[Actual Cost]])</f>
        <v>0</v>
      </c>
      <c r="H41" s="196">
        <f>Monthly_Expenses_Table324[[#This Row],[Projected Cost]]-Monthly_Expenses_Table324[[#This Row],[Actual Cost]]</f>
        <v>0</v>
      </c>
    </row>
    <row r="42" spans="1:8" ht="16">
      <c r="A42" s="191">
        <f t="shared" ca="1" si="0"/>
        <v>44568</v>
      </c>
      <c r="B42" s="192" t="s">
        <v>606</v>
      </c>
      <c r="C42" s="193" t="s">
        <v>627</v>
      </c>
      <c r="D42" s="194">
        <v>100</v>
      </c>
      <c r="E42" s="194">
        <v>50</v>
      </c>
      <c r="F42" s="194" t="s">
        <v>554</v>
      </c>
      <c r="G42" s="195">
        <f>IF(OR(Monthly_Expenses_Table324[[#This Row],[Projected Cost]]="",Monthly_Expenses_Table324[[#This Row],[Actual Cost]]=""),"",Monthly_Expenses_Table324[[#This Row],[Projected Cost]]-Monthly_Expenses_Table324[[#This Row],[Actual Cost]])</f>
        <v>50</v>
      </c>
      <c r="H42" s="196">
        <f>Monthly_Expenses_Table324[[#This Row],[Projected Cost]]-Monthly_Expenses_Table324[[#This Row],[Actual Cost]]</f>
        <v>50</v>
      </c>
    </row>
    <row r="43" spans="1:8" ht="16">
      <c r="A43" s="191">
        <f t="shared" ca="1" si="0"/>
        <v>44567</v>
      </c>
      <c r="B43" s="192" t="s">
        <v>629</v>
      </c>
      <c r="C43" s="193" t="s">
        <v>627</v>
      </c>
      <c r="D43" s="194">
        <v>450</v>
      </c>
      <c r="E43" s="194">
        <v>450</v>
      </c>
      <c r="F43" s="194" t="s">
        <v>554</v>
      </c>
      <c r="G43" s="195">
        <f>IF(OR(Monthly_Expenses_Table324[[#This Row],[Projected Cost]]="",Monthly_Expenses_Table324[[#This Row],[Actual Cost]]=""),"",Monthly_Expenses_Table324[[#This Row],[Projected Cost]]-Monthly_Expenses_Table324[[#This Row],[Actual Cost]])</f>
        <v>0</v>
      </c>
      <c r="H43" s="196">
        <f>Monthly_Expenses_Table324[[#This Row],[Projected Cost]]-Monthly_Expenses_Table324[[#This Row],[Actual Cost]]</f>
        <v>0</v>
      </c>
    </row>
    <row r="44" spans="1:8" ht="16">
      <c r="A44" s="191"/>
      <c r="B44" s="192"/>
      <c r="C44" s="193"/>
      <c r="D44" s="194"/>
      <c r="E44" s="194"/>
      <c r="F44" s="194"/>
      <c r="G44" s="195"/>
      <c r="H44" s="196">
        <f>Monthly_Expenses_Table324[[#This Row],[Projected Cost]]-Monthly_Expenses_Table324[[#This Row],[Actual Cost]]</f>
        <v>0</v>
      </c>
    </row>
    <row r="45" spans="1:8" ht="16">
      <c r="A45" s="191"/>
      <c r="B45" s="192"/>
      <c r="C45" s="193"/>
      <c r="D45" s="194"/>
      <c r="E45" s="302"/>
      <c r="F45" s="194"/>
      <c r="G45" s="195" t="str">
        <f>IF(OR(Monthly_Expenses_Table324[[#This Row],[Projected Cost]]="",Monthly_Expenses_Table324[[#This Row],[Actual Cost]]=""),"",Monthly_Expenses_Table324[[#This Row],[Projected Cost]]-Monthly_Expenses_Table324[[#This Row],[Actual Cost]])</f>
        <v/>
      </c>
      <c r="H45" s="196">
        <f>Monthly_Expenses_Table324[[#This Row],[Projected Cost]]-Monthly_Expenses_Table324[[#This Row],[Actual Cost]]</f>
        <v>0</v>
      </c>
    </row>
    <row r="46" spans="1:8" ht="16">
      <c r="A46" s="191"/>
      <c r="B46" s="192"/>
      <c r="C46" s="193"/>
      <c r="D46" s="194"/>
      <c r="E46" s="194"/>
      <c r="F46" s="194"/>
      <c r="G46" s="195" t="str">
        <f>IF(OR(Monthly_Expenses_Table324[[#This Row],[Projected Cost]]="",Monthly_Expenses_Table324[[#This Row],[Actual Cost]]=""),"",Monthly_Expenses_Table324[[#This Row],[Projected Cost]]-Monthly_Expenses_Table324[[#This Row],[Actual Cost]])</f>
        <v/>
      </c>
      <c r="H46" s="196">
        <f>Monthly_Expenses_Table324[[#This Row],[Projected Cost]]-Monthly_Expenses_Table324[[#This Row],[Actual Cost]]</f>
        <v>0</v>
      </c>
    </row>
    <row r="47" spans="1:8" ht="16">
      <c r="A47" s="191"/>
      <c r="B47" s="192"/>
      <c r="C47" s="193"/>
      <c r="D47" s="194"/>
      <c r="E47" s="302"/>
      <c r="F47" s="194"/>
      <c r="G47" s="195" t="str">
        <f>IF(OR(Monthly_Expenses_Table324[[#This Row],[Projected Cost]]="",Monthly_Expenses_Table324[[#This Row],[Actual Cost]]=""),"",Monthly_Expenses_Table324[[#This Row],[Projected Cost]]-Monthly_Expenses_Table324[[#This Row],[Actual Cost]])</f>
        <v/>
      </c>
      <c r="H47" s="196">
        <f>Monthly_Expenses_Table324[[#This Row],[Projected Cost]]-Monthly_Expenses_Table324[[#This Row],[Actual Cost]]</f>
        <v>0</v>
      </c>
    </row>
    <row r="48" spans="1:8" ht="16">
      <c r="A48" s="191"/>
      <c r="B48" s="192"/>
      <c r="C48" s="193"/>
      <c r="D48" s="194"/>
      <c r="E48" s="194"/>
      <c r="F48" s="194"/>
      <c r="G48" s="195" t="str">
        <f>IF(OR(Monthly_Expenses_Table324[[#This Row],[Projected Cost]]="",Monthly_Expenses_Table324[[#This Row],[Actual Cost]]=""),"",Monthly_Expenses_Table324[[#This Row],[Projected Cost]]-Monthly_Expenses_Table324[[#This Row],[Actual Cost]])</f>
        <v/>
      </c>
      <c r="H48" s="196">
        <f>Monthly_Expenses_Table324[[#This Row],[Projected Cost]]-Monthly_Expenses_Table324[[#This Row],[Actual Cost]]</f>
        <v>0</v>
      </c>
    </row>
    <row r="49" spans="1:8" ht="16">
      <c r="A49" s="191"/>
      <c r="B49" s="192"/>
      <c r="C49" s="193"/>
      <c r="D49" s="194"/>
      <c r="E49" s="302"/>
      <c r="F49" s="194"/>
      <c r="G49" s="195" t="str">
        <f>IF(OR(Monthly_Expenses_Table324[[#This Row],[Projected Cost]]="",Monthly_Expenses_Table324[[#This Row],[Actual Cost]]=""),"",Monthly_Expenses_Table324[[#This Row],[Projected Cost]]-Monthly_Expenses_Table324[[#This Row],[Actual Cost]])</f>
        <v/>
      </c>
      <c r="H49" s="196">
        <f>Monthly_Expenses_Table324[[#This Row],[Projected Cost]]-Monthly_Expenses_Table324[[#This Row],[Actual Cost]]</f>
        <v>0</v>
      </c>
    </row>
    <row r="50" spans="1:8" ht="16">
      <c r="A50" s="191"/>
      <c r="B50" s="192"/>
      <c r="C50" s="193"/>
      <c r="D50" s="194"/>
      <c r="E50" s="194"/>
      <c r="F50" s="194"/>
      <c r="G50" s="195" t="str">
        <f>IF(OR(Monthly_Expenses_Table324[[#This Row],[Projected Cost]]="",Monthly_Expenses_Table324[[#This Row],[Actual Cost]]=""),"",Monthly_Expenses_Table324[[#This Row],[Projected Cost]]-Monthly_Expenses_Table324[[#This Row],[Actual Cost]])</f>
        <v/>
      </c>
      <c r="H50" s="196">
        <f>Monthly_Expenses_Table324[[#This Row],[Projected Cost]]-Monthly_Expenses_Table324[[#This Row],[Actual Cost]]</f>
        <v>0</v>
      </c>
    </row>
    <row r="51" spans="1:8" ht="16">
      <c r="A51" s="191"/>
      <c r="B51" s="192"/>
      <c r="C51" s="193"/>
      <c r="D51" s="194"/>
      <c r="E51" s="302"/>
      <c r="F51" s="194"/>
      <c r="G51" s="195" t="str">
        <f>IF(OR(Monthly_Expenses_Table324[[#This Row],[Projected Cost]]="",Monthly_Expenses_Table324[[#This Row],[Actual Cost]]=""),"",Monthly_Expenses_Table324[[#This Row],[Projected Cost]]-Monthly_Expenses_Table324[[#This Row],[Actual Cost]])</f>
        <v/>
      </c>
      <c r="H51" s="196">
        <f>Monthly_Expenses_Table324[[#This Row],[Projected Cost]]-Monthly_Expenses_Table324[[#This Row],[Actual Cost]]</f>
        <v>0</v>
      </c>
    </row>
    <row r="52" spans="1:8" ht="16">
      <c r="A52" s="191"/>
      <c r="B52" s="192"/>
      <c r="C52" s="193"/>
      <c r="D52" s="194"/>
      <c r="E52" s="194"/>
      <c r="F52" s="194"/>
      <c r="G52" s="195" t="str">
        <f>IF(OR(Monthly_Expenses_Table324[[#This Row],[Projected Cost]]="",Monthly_Expenses_Table324[[#This Row],[Actual Cost]]=""),"",Monthly_Expenses_Table324[[#This Row],[Projected Cost]]-Monthly_Expenses_Table324[[#This Row],[Actual Cost]])</f>
        <v/>
      </c>
      <c r="H52" s="196">
        <f>Monthly_Expenses_Table324[[#This Row],[Projected Cost]]-Monthly_Expenses_Table324[[#This Row],[Actual Cost]]</f>
        <v>0</v>
      </c>
    </row>
    <row r="53" spans="1:8" ht="16">
      <c r="A53" s="191"/>
      <c r="B53" s="192"/>
      <c r="C53" s="193"/>
      <c r="D53" s="194"/>
      <c r="E53" s="302"/>
      <c r="F53" s="194"/>
      <c r="G53" s="195" t="str">
        <f>IF(OR(Monthly_Expenses_Table324[[#This Row],[Projected Cost]]="",Monthly_Expenses_Table324[[#This Row],[Actual Cost]]=""),"",Monthly_Expenses_Table324[[#This Row],[Projected Cost]]-Monthly_Expenses_Table324[[#This Row],[Actual Cost]])</f>
        <v/>
      </c>
      <c r="H53" s="196">
        <f>Monthly_Expenses_Table324[[#This Row],[Projected Cost]]-Monthly_Expenses_Table324[[#This Row],[Actual Cost]]</f>
        <v>0</v>
      </c>
    </row>
    <row r="54" spans="1:8" ht="16">
      <c r="A54" s="191"/>
      <c r="B54" s="192"/>
      <c r="C54" s="193"/>
      <c r="D54" s="194"/>
      <c r="E54" s="194"/>
      <c r="F54" s="194"/>
      <c r="G54" s="195" t="str">
        <f>IF(OR(Monthly_Expenses_Table324[[#This Row],[Projected Cost]]="",Monthly_Expenses_Table324[[#This Row],[Actual Cost]]=""),"",Monthly_Expenses_Table324[[#This Row],[Projected Cost]]-Monthly_Expenses_Table324[[#This Row],[Actual Cost]])</f>
        <v/>
      </c>
      <c r="H54" s="196">
        <f>Monthly_Expenses_Table324[[#This Row],[Projected Cost]]-Monthly_Expenses_Table324[[#This Row],[Actual Cost]]</f>
        <v>0</v>
      </c>
    </row>
    <row r="55" spans="1:8" ht="16">
      <c r="A55" s="191"/>
      <c r="B55" s="192"/>
      <c r="C55" s="193"/>
      <c r="D55" s="194"/>
      <c r="E55" s="302"/>
      <c r="F55" s="194"/>
      <c r="G55" s="195" t="str">
        <f>IF(OR(Monthly_Expenses_Table324[[#This Row],[Projected Cost]]="",Monthly_Expenses_Table324[[#This Row],[Actual Cost]]=""),"",Monthly_Expenses_Table324[[#This Row],[Projected Cost]]-Monthly_Expenses_Table324[[#This Row],[Actual Cost]])</f>
        <v/>
      </c>
      <c r="H55" s="196">
        <f>Monthly_Expenses_Table324[[#This Row],[Projected Cost]]-Monthly_Expenses_Table324[[#This Row],[Actual Cost]]</f>
        <v>0</v>
      </c>
    </row>
    <row r="56" spans="1:8" ht="16">
      <c r="A56" s="191"/>
      <c r="B56" s="192"/>
      <c r="C56" s="193"/>
      <c r="D56" s="194"/>
      <c r="E56" s="194"/>
      <c r="F56" s="194"/>
      <c r="G56" s="195" t="str">
        <f>IF(OR(Monthly_Expenses_Table324[[#This Row],[Projected Cost]]="",Monthly_Expenses_Table324[[#This Row],[Actual Cost]]=""),"",Monthly_Expenses_Table324[[#This Row],[Projected Cost]]-Monthly_Expenses_Table324[[#This Row],[Actual Cost]])</f>
        <v/>
      </c>
      <c r="H56" s="196">
        <f>Monthly_Expenses_Table324[[#This Row],[Projected Cost]]-Monthly_Expenses_Table324[[#This Row],[Actual Cost]]</f>
        <v>0</v>
      </c>
    </row>
    <row r="57" spans="1:8" ht="16">
      <c r="A57" s="191"/>
      <c r="B57" s="192"/>
      <c r="C57" s="193"/>
      <c r="D57" s="194"/>
      <c r="E57" s="302"/>
      <c r="F57" s="194"/>
      <c r="G57" s="195" t="str">
        <f>IF(OR(Monthly_Expenses_Table324[[#This Row],[Projected Cost]]="",Monthly_Expenses_Table324[[#This Row],[Actual Cost]]=""),"",Monthly_Expenses_Table324[[#This Row],[Projected Cost]]-Monthly_Expenses_Table324[[#This Row],[Actual Cost]])</f>
        <v/>
      </c>
      <c r="H57" s="196">
        <f>Monthly_Expenses_Table324[[#This Row],[Projected Cost]]-Monthly_Expenses_Table324[[#This Row],[Actual Cost]]</f>
        <v>0</v>
      </c>
    </row>
    <row r="58" spans="1:8" ht="16">
      <c r="A58" s="191"/>
      <c r="B58" s="192"/>
      <c r="C58" s="193"/>
      <c r="D58" s="194"/>
      <c r="E58" s="194"/>
      <c r="F58" s="194"/>
      <c r="G58" s="195" t="str">
        <f>IF(OR(Monthly_Expenses_Table324[[#This Row],[Projected Cost]]="",Monthly_Expenses_Table324[[#This Row],[Actual Cost]]=""),"",Monthly_Expenses_Table324[[#This Row],[Projected Cost]]-Monthly_Expenses_Table324[[#This Row],[Actual Cost]])</f>
        <v/>
      </c>
      <c r="H58" s="196">
        <f>Monthly_Expenses_Table324[[#This Row],[Projected Cost]]-Monthly_Expenses_Table324[[#This Row],[Actual Cost]]</f>
        <v>0</v>
      </c>
    </row>
    <row r="59" spans="1:8" ht="16">
      <c r="A59" s="191"/>
      <c r="B59" s="192"/>
      <c r="C59" s="193"/>
      <c r="D59" s="194"/>
      <c r="E59" s="302"/>
      <c r="F59" s="194"/>
      <c r="G59" s="195" t="str">
        <f>IF(OR(Monthly_Expenses_Table324[[#This Row],[Projected Cost]]="",Monthly_Expenses_Table324[[#This Row],[Actual Cost]]=""),"",Monthly_Expenses_Table324[[#This Row],[Projected Cost]]-Monthly_Expenses_Table324[[#This Row],[Actual Cost]])</f>
        <v/>
      </c>
      <c r="H59" s="196">
        <f>Monthly_Expenses_Table324[[#This Row],[Projected Cost]]-Monthly_Expenses_Table324[[#This Row],[Actual Cost]]</f>
        <v>0</v>
      </c>
    </row>
    <row r="60" spans="1:8" ht="16">
      <c r="A60" s="191"/>
      <c r="B60" s="192"/>
      <c r="C60" s="193"/>
      <c r="D60" s="194"/>
      <c r="E60" s="194"/>
      <c r="F60" s="194"/>
      <c r="G60" s="195" t="str">
        <f>IF(OR(Monthly_Expenses_Table324[[#This Row],[Projected Cost]]="",Monthly_Expenses_Table324[[#This Row],[Actual Cost]]=""),"",Monthly_Expenses_Table324[[#This Row],[Projected Cost]]-Monthly_Expenses_Table324[[#This Row],[Actual Cost]])</f>
        <v/>
      </c>
      <c r="H60" s="196">
        <f>Monthly_Expenses_Table324[[#This Row],[Projected Cost]]-Monthly_Expenses_Table324[[#This Row],[Actual Cost]]</f>
        <v>0</v>
      </c>
    </row>
    <row r="61" spans="1:8" ht="16">
      <c r="A61" s="191"/>
      <c r="B61" s="192"/>
      <c r="C61" s="193"/>
      <c r="D61" s="194"/>
      <c r="E61" s="302"/>
      <c r="F61" s="194"/>
      <c r="G61" s="195" t="str">
        <f>IF(OR(Monthly_Expenses_Table324[[#This Row],[Projected Cost]]="",Monthly_Expenses_Table324[[#This Row],[Actual Cost]]=""),"",Monthly_Expenses_Table324[[#This Row],[Projected Cost]]-Monthly_Expenses_Table324[[#This Row],[Actual Cost]])</f>
        <v/>
      </c>
      <c r="H61" s="196">
        <f>Monthly_Expenses_Table324[[#This Row],[Projected Cost]]-Monthly_Expenses_Table324[[#This Row],[Actual Cost]]</f>
        <v>0</v>
      </c>
    </row>
    <row r="62" spans="1:8" ht="16">
      <c r="A62" s="191"/>
      <c r="B62" s="192"/>
      <c r="C62" s="193"/>
      <c r="D62" s="194"/>
      <c r="E62" s="194"/>
      <c r="F62" s="194"/>
      <c r="G62" s="195" t="str">
        <f>IF(OR(Monthly_Expenses_Table324[[#This Row],[Projected Cost]]="",Monthly_Expenses_Table324[[#This Row],[Actual Cost]]=""),"",Monthly_Expenses_Table324[[#This Row],[Projected Cost]]-Monthly_Expenses_Table324[[#This Row],[Actual Cost]])</f>
        <v/>
      </c>
      <c r="H62" s="196">
        <f>Monthly_Expenses_Table324[[#This Row],[Projected Cost]]-Monthly_Expenses_Table324[[#This Row],[Actual Cost]]</f>
        <v>0</v>
      </c>
    </row>
    <row r="63" spans="1:8" ht="16">
      <c r="A63" s="191"/>
      <c r="B63" s="192"/>
      <c r="C63" s="193"/>
      <c r="D63" s="194"/>
      <c r="E63" s="302"/>
      <c r="F63" s="194"/>
      <c r="G63" s="195" t="str">
        <f>IF(OR(Monthly_Expenses_Table324[[#This Row],[Projected Cost]]="",Monthly_Expenses_Table324[[#This Row],[Actual Cost]]=""),"",Monthly_Expenses_Table324[[#This Row],[Projected Cost]]-Monthly_Expenses_Table324[[#This Row],[Actual Cost]])</f>
        <v/>
      </c>
      <c r="H63" s="196">
        <f>Monthly_Expenses_Table324[[#This Row],[Projected Cost]]-Monthly_Expenses_Table324[[#This Row],[Actual Cost]]</f>
        <v>0</v>
      </c>
    </row>
    <row r="64" spans="1:8" ht="16">
      <c r="A64" s="191"/>
      <c r="B64" s="192"/>
      <c r="C64" s="193"/>
      <c r="D64" s="194"/>
      <c r="E64" s="194"/>
      <c r="F64" s="194"/>
      <c r="G64" s="195" t="str">
        <f>IF(OR(Monthly_Expenses_Table324[[#This Row],[Projected Cost]]="",Monthly_Expenses_Table324[[#This Row],[Actual Cost]]=""),"",Monthly_Expenses_Table324[[#This Row],[Projected Cost]]-Monthly_Expenses_Table324[[#This Row],[Actual Cost]])</f>
        <v/>
      </c>
      <c r="H64" s="196">
        <f>Monthly_Expenses_Table324[[#This Row],[Projected Cost]]-Monthly_Expenses_Table324[[#This Row],[Actual Cost]]</f>
        <v>0</v>
      </c>
    </row>
    <row r="65" spans="1:8" ht="16">
      <c r="A65" s="191"/>
      <c r="B65" s="192"/>
      <c r="C65" s="193"/>
      <c r="D65" s="194"/>
      <c r="E65" s="194"/>
      <c r="F65" s="194"/>
      <c r="G65" s="195" t="str">
        <f>IF(OR(Monthly_Expenses_Table324[[#This Row],[Projected Cost]]="",Monthly_Expenses_Table324[[#This Row],[Actual Cost]]=""),"",Monthly_Expenses_Table324[[#This Row],[Projected Cost]]-Monthly_Expenses_Table324[[#This Row],[Actual Cost]])</f>
        <v/>
      </c>
      <c r="H65" s="196">
        <f>Monthly_Expenses_Table324[[#This Row],[Projected Cost]]-Monthly_Expenses_Table324[[#This Row],[Actual Cost]]</f>
        <v>0</v>
      </c>
    </row>
    <row r="66" spans="1:8" ht="16">
      <c r="A66" s="191"/>
      <c r="B66" s="192"/>
      <c r="C66" s="193"/>
      <c r="D66" s="194"/>
      <c r="E66" s="194"/>
      <c r="F66" s="194"/>
      <c r="G66" s="195"/>
      <c r="H66" s="196"/>
    </row>
    <row r="67" spans="1:8" ht="16">
      <c r="A67" s="191"/>
      <c r="B67" s="192"/>
      <c r="C67" s="193"/>
      <c r="D67" s="194"/>
      <c r="E67" s="194"/>
      <c r="F67" s="194"/>
      <c r="G67" s="195"/>
      <c r="H67" s="196"/>
    </row>
    <row r="68" spans="1:8" ht="16">
      <c r="A68" s="191"/>
      <c r="B68" s="192"/>
      <c r="C68" s="193"/>
      <c r="D68" s="194"/>
      <c r="E68" s="194"/>
      <c r="F68" s="194"/>
      <c r="G68" s="195"/>
      <c r="H68" s="196"/>
    </row>
  </sheetData>
  <mergeCells count="1">
    <mergeCell ref="A3:XFD3"/>
  </mergeCells>
  <conditionalFormatting sqref="G5:G68">
    <cfRule type="cellIs" dxfId="7" priority="1" operator="lessThan">
      <formula>0</formula>
    </cfRule>
  </conditionalFormatting>
  <conditionalFormatting sqref="H5:H68">
    <cfRule type="dataBar" priority="18">
      <dataBar showValue="0">
        <cfvo type="min"/>
        <cfvo type="max"/>
        <color theme="9" tint="0.39997558519241921"/>
      </dataBar>
      <extLst>
        <ext xmlns:x14="http://schemas.microsoft.com/office/spreadsheetml/2009/9/main" uri="{B025F937-C7B1-47D3-B67F-A62EFF666E3E}">
          <x14:id>{E3B352E7-02B3-466B-AE94-1A6BD8629078}</x14:id>
        </ext>
      </extLst>
    </cfRule>
  </conditionalFormatting>
  <dataValidations count="5">
    <dataValidation type="list" allowBlank="1" showInputMessage="1" showErrorMessage="1" sqref="C5:C6" xr:uid="{755FC2C3-5546-4833-A49E-D2CA6D8A66B7}">
      <formula1>"Children, Gifts and Charity, Loans, Savings, Entertainment, Housing, Personal Care, Taxes, Food, Insurance, Pets, Transportation"</formula1>
    </dataValidation>
    <dataValidation type="list" allowBlank="1" showInputMessage="1" showErrorMessage="1" sqref="F5:F21 F23:F68" xr:uid="{15567714-BF35-4FFF-B947-839C7186437F}">
      <formula1>"Current, Savings, Other"</formula1>
    </dataValidation>
    <dataValidation type="list" allowBlank="1" showInputMessage="1" showErrorMessage="1" sqref="F2:F4 F22 F69:F1048576" xr:uid="{2D867343-DFBA-4A7C-BFBF-B246CCDC55B8}">
      <formula1>"Current, Savings, Cash, Others"</formula1>
    </dataValidation>
    <dataValidation allowBlank="1" showInputMessage="1" showErrorMessage="1" prompt="Enter Date in this cell" sqref="J4" xr:uid="{78D6A031-035A-4463-BB3D-2E3ECECD85FB}"/>
    <dataValidation type="list" allowBlank="1" showInputMessage="1" showErrorMessage="1" errorTitle="Invalid Category" error="To add a new category, go to Category List table in the Additional Data tab." sqref="C7:C68" xr:uid="{31D7B1E7-6933-45F0-9065-8F196B280725}">
      <formula1>"Children, Gifts and Charity, Loans, Savings, Entertainment, Housing, Personal Care, Taxes, Food, Insurance, Pets, Transportation"</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8370" r:id="rId4" name="CommandButton2">
          <controlPr defaultSize="0" autoLine="0" autoPict="0" r:id="rId5">
            <anchor moveWithCells="1">
              <from>
                <xdr:col>8</xdr:col>
                <xdr:colOff>603250</xdr:colOff>
                <xdr:row>1</xdr:row>
                <xdr:rowOff>869950</xdr:rowOff>
              </from>
              <to>
                <xdr:col>10</xdr:col>
                <xdr:colOff>12700</xdr:colOff>
                <xdr:row>2</xdr:row>
                <xdr:rowOff>0</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defaultSize="0" autoLine="0" r:id="rId7">
            <anchor moveWithCells="1">
              <from>
                <xdr:col>9</xdr:col>
                <xdr:colOff>12700</xdr:colOff>
                <xdr:row>1</xdr:row>
                <xdr:rowOff>12700</xdr:rowOff>
              </from>
              <to>
                <xdr:col>10</xdr:col>
                <xdr:colOff>31750</xdr:colOff>
                <xdr:row>1</xdr:row>
                <xdr:rowOff>533400</xdr:rowOff>
              </to>
            </anchor>
          </controlPr>
        </control>
      </mc:Choice>
      <mc:Fallback>
        <control shapeId="58369"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E3B352E7-02B3-466B-AE94-1A6BD8629078}">
            <x14:dataBar minLength="0" maxLength="100" gradient="0">
              <x14:cfvo type="autoMin"/>
              <x14:cfvo type="autoMax"/>
              <x14:negativeFillColor rgb="FFFF0000"/>
              <x14:axisColor rgb="FF000000"/>
            </x14:dataBar>
          </x14:cfRule>
          <xm:sqref>H5:H68</xm:sqref>
        </x14:conditionalFormatting>
      </x14:conditionalFormattings>
    </ext>
    <ext xmlns:x15="http://schemas.microsoft.com/office/spreadsheetml/2010/11/main" uri="{3A4CF648-6AED-40f4-86FF-DC5316D8AED3}">
      <x14:slicerList xmlns:x14="http://schemas.microsoft.com/office/spreadsheetml/2009/9/main">
        <x14:slicer r:id="rId9"/>
      </x14:slicerList>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5BD-A686-4974-8F2D-6F562DA3D28D}">
  <sheetPr codeName="Sheet20">
    <tabColor theme="3" tint="0.249977111117893"/>
    <pageSetUpPr fitToPage="1"/>
  </sheetPr>
  <dimension ref="A1:I33"/>
  <sheetViews>
    <sheetView showGridLines="0" zoomScaleNormal="100" workbookViewId="0">
      <selection activeCell="B4" sqref="B4"/>
    </sheetView>
  </sheetViews>
  <sheetFormatPr defaultColWidth="9.81640625" defaultRowHeight="27.75" customHeight="1"/>
  <cols>
    <col min="1" max="1" width="2.81640625" style="181" customWidth="1"/>
    <col min="2" max="2" width="44.26953125" style="180" customWidth="1"/>
    <col min="3" max="3" width="15.7265625" style="180" customWidth="1"/>
    <col min="4" max="4" width="33.453125" style="181" customWidth="1"/>
    <col min="5" max="5" width="16.54296875" style="180" customWidth="1"/>
    <col min="6" max="6" width="15.453125" style="180" customWidth="1"/>
    <col min="7" max="7" width="16.81640625" style="180" customWidth="1"/>
    <col min="8" max="8" width="9.81640625" style="180"/>
    <col min="9" max="9" width="14.1796875" style="180" customWidth="1"/>
    <col min="10" max="10" width="2.81640625" style="180" customWidth="1"/>
    <col min="11" max="16384" width="9.81640625" style="180"/>
  </cols>
  <sheetData>
    <row r="1" spans="1:9" s="299" customFormat="1" ht="40.5" customHeight="1">
      <c r="B1" s="299" t="s">
        <v>630</v>
      </c>
    </row>
    <row r="2" spans="1:9" s="183" customFormat="1" ht="33" customHeight="1">
      <c r="A2" s="181"/>
      <c r="B2" s="201"/>
      <c r="C2" s="201"/>
      <c r="D2" s="201" t="s">
        <v>473</v>
      </c>
      <c r="I2" s="201" t="s">
        <v>631</v>
      </c>
    </row>
    <row r="3" spans="1:9" s="183" customFormat="1" ht="18.75" customHeight="1">
      <c r="A3" s="181"/>
      <c r="B3" s="202" t="s">
        <v>632</v>
      </c>
      <c r="C3" s="202"/>
      <c r="D3" s="203" t="s">
        <v>633</v>
      </c>
      <c r="E3" s="203"/>
      <c r="F3" s="203"/>
      <c r="G3" s="203"/>
      <c r="H3" s="203"/>
    </row>
    <row r="4" spans="1:9" s="183" customFormat="1" ht="46.5" customHeight="1">
      <c r="A4" s="181"/>
      <c r="B4" s="204">
        <f>SUM(MonthlyIncome[ACTUAL])</f>
        <v>8500</v>
      </c>
      <c r="C4" s="204"/>
      <c r="D4" s="203"/>
      <c r="E4" s="203"/>
      <c r="F4" s="203"/>
      <c r="G4" s="203"/>
      <c r="H4" s="203"/>
    </row>
    <row r="5" spans="1:9" s="183" customFormat="1" ht="18.75" customHeight="1">
      <c r="A5" s="181"/>
      <c r="B5" s="205" t="s">
        <v>634</v>
      </c>
      <c r="C5" s="205"/>
      <c r="D5" s="203"/>
      <c r="E5" s="203"/>
      <c r="F5" s="203"/>
      <c r="G5" s="203"/>
      <c r="H5" s="203"/>
    </row>
    <row r="6" spans="1:9" s="183" customFormat="1" ht="46.5" customHeight="1">
      <c r="A6" s="181"/>
      <c r="B6" s="204">
        <f>SUM(Monthly_Expenses_Table324[Actual Cost])</f>
        <v>7860</v>
      </c>
      <c r="C6" s="204"/>
      <c r="D6" s="203"/>
      <c r="E6" s="203"/>
      <c r="F6" s="203"/>
      <c r="G6" s="203"/>
      <c r="H6" s="203"/>
    </row>
    <row r="7" spans="1:9" s="183" customFormat="1" ht="18.75" customHeight="1">
      <c r="A7" s="181"/>
      <c r="B7" s="205" t="s">
        <v>635</v>
      </c>
      <c r="C7" s="205"/>
      <c r="D7" s="203"/>
      <c r="E7" s="203"/>
      <c r="F7" s="203"/>
      <c r="G7" s="203"/>
      <c r="H7" s="203"/>
    </row>
    <row r="8" spans="1:9" s="183" customFormat="1" ht="46.5" customHeight="1">
      <c r="A8" s="181"/>
      <c r="B8" s="204">
        <f>TotalMonthlyIncome-TotalMonthlyExpenses</f>
        <v>640</v>
      </c>
      <c r="C8" s="204"/>
      <c r="D8" s="203"/>
      <c r="E8" s="203"/>
      <c r="F8" s="203"/>
      <c r="G8" s="203"/>
      <c r="H8" s="203"/>
    </row>
    <row r="9" spans="1:9" s="183" customFormat="1" ht="18.75" customHeight="1">
      <c r="A9" s="181"/>
      <c r="B9" s="180"/>
      <c r="C9" s="180"/>
      <c r="D9" s="203"/>
      <c r="E9" s="203"/>
      <c r="F9" s="203"/>
      <c r="G9" s="203"/>
      <c r="H9" s="203"/>
    </row>
    <row r="10" spans="1:9" s="183" customFormat="1" ht="46.5" customHeight="1">
      <c r="A10" s="181"/>
      <c r="B10" s="180"/>
      <c r="C10" s="180"/>
      <c r="D10" s="203"/>
      <c r="E10" s="203"/>
      <c r="F10" s="203"/>
      <c r="G10" s="203"/>
      <c r="H10" s="203"/>
    </row>
    <row r="11" spans="1:9" ht="27.75" customHeight="1">
      <c r="E11" s="203"/>
      <c r="F11" s="203"/>
      <c r="G11" s="203"/>
      <c r="H11" s="203"/>
      <c r="I11" s="203"/>
    </row>
    <row r="12" spans="1:9" ht="27.75" customHeight="1">
      <c r="E12" s="203"/>
      <c r="F12" s="203"/>
      <c r="G12" s="303"/>
      <c r="H12" s="203"/>
      <c r="I12" s="203"/>
    </row>
    <row r="13" spans="1:9" ht="27.75" customHeight="1">
      <c r="B13" s="775"/>
      <c r="C13" s="775"/>
      <c r="D13" s="776" t="s">
        <v>636</v>
      </c>
      <c r="E13" s="776"/>
      <c r="F13" s="304"/>
      <c r="G13" s="305"/>
    </row>
    <row r="14" spans="1:9" ht="27.75" customHeight="1">
      <c r="B14" s="777" t="s">
        <v>637</v>
      </c>
      <c r="C14" s="305"/>
      <c r="D14" s="306" t="s">
        <v>583</v>
      </c>
      <c r="E14" s="307" t="s">
        <v>638</v>
      </c>
      <c r="F14" s="307" t="s">
        <v>639</v>
      </c>
      <c r="G14" s="307" t="s">
        <v>640</v>
      </c>
    </row>
    <row r="15" spans="1:9" ht="27.75" customHeight="1">
      <c r="B15" s="778"/>
      <c r="C15" s="305"/>
      <c r="D15" s="308" t="s">
        <v>588</v>
      </c>
      <c r="E15" s="518"/>
      <c r="F15" s="518"/>
      <c r="G15" s="518"/>
    </row>
    <row r="16" spans="1:9" ht="27.75" customHeight="1">
      <c r="B16" s="778"/>
      <c r="C16" s="305"/>
      <c r="D16" s="309" t="s">
        <v>35</v>
      </c>
      <c r="E16" s="518"/>
      <c r="F16" s="518"/>
      <c r="G16" s="518"/>
    </row>
    <row r="17" spans="2:7" ht="27.75" customHeight="1">
      <c r="B17" s="778"/>
      <c r="C17" s="305"/>
      <c r="D17" s="309" t="s">
        <v>554</v>
      </c>
      <c r="E17" s="518"/>
      <c r="F17" s="518"/>
      <c r="G17" s="518"/>
    </row>
    <row r="18" spans="2:7" ht="27.75" customHeight="1">
      <c r="B18" s="778"/>
      <c r="C18" s="305"/>
      <c r="D18" s="310" t="s">
        <v>641</v>
      </c>
      <c r="E18" s="517">
        <f>TotalMonthlyIncome</f>
        <v>8500</v>
      </c>
      <c r="F18" s="311">
        <f>TotalMonthlyExpenses</f>
        <v>7860</v>
      </c>
      <c r="G18" s="311">
        <f>CashSummaryTable6[[#Totals],[Starting Cash]]-CashSummaryTable6[[#Totals],[Spending Total]]</f>
        <v>640</v>
      </c>
    </row>
    <row r="19" spans="2:7" ht="27.75" customHeight="1">
      <c r="B19" s="778"/>
      <c r="C19" s="305"/>
      <c r="D19" s="305"/>
      <c r="E19" s="305"/>
      <c r="F19" s="305"/>
      <c r="G19" s="305"/>
    </row>
    <row r="20" spans="2:7" ht="27.75" customHeight="1">
      <c r="B20" s="778"/>
      <c r="C20" s="305"/>
      <c r="D20" s="305"/>
      <c r="E20" s="305"/>
      <c r="F20" s="305"/>
      <c r="G20" s="305"/>
    </row>
    <row r="21" spans="2:7" ht="27.75" customHeight="1">
      <c r="B21" s="778"/>
      <c r="C21" s="305"/>
      <c r="D21" s="305"/>
      <c r="E21" s="305"/>
      <c r="F21" s="305"/>
      <c r="G21" s="305"/>
    </row>
    <row r="22" spans="2:7" ht="27.75" customHeight="1">
      <c r="B22" s="778"/>
      <c r="C22" s="305"/>
      <c r="D22" s="305"/>
      <c r="E22" s="305"/>
      <c r="F22" s="305"/>
      <c r="G22" s="305"/>
    </row>
    <row r="23" spans="2:7" ht="27.75" customHeight="1">
      <c r="B23" s="778"/>
      <c r="C23" s="305"/>
      <c r="D23" s="305"/>
      <c r="E23" s="305"/>
      <c r="F23" s="305"/>
      <c r="G23" s="305"/>
    </row>
    <row r="24" spans="2:7" ht="27.75" customHeight="1">
      <c r="B24" s="778"/>
      <c r="C24" s="305"/>
      <c r="D24" s="305"/>
      <c r="E24" s="305"/>
      <c r="F24" s="305"/>
      <c r="G24" s="305"/>
    </row>
    <row r="25" spans="2:7" ht="27.75" customHeight="1">
      <c r="B25" s="778"/>
      <c r="C25" s="305"/>
      <c r="D25" s="305"/>
      <c r="E25" s="305"/>
      <c r="F25" s="305"/>
      <c r="G25" s="305"/>
    </row>
    <row r="26" spans="2:7" ht="27.75" customHeight="1">
      <c r="B26" s="778"/>
      <c r="C26" s="305"/>
      <c r="D26" s="305"/>
      <c r="E26" s="305"/>
      <c r="F26" s="305"/>
      <c r="G26" s="305"/>
    </row>
    <row r="27" spans="2:7" ht="27.75" customHeight="1">
      <c r="B27" s="778"/>
      <c r="C27" s="305"/>
      <c r="D27" s="305"/>
      <c r="E27" s="305"/>
      <c r="F27" s="305"/>
      <c r="G27" s="305"/>
    </row>
    <row r="28" spans="2:7" ht="27.75" customHeight="1">
      <c r="B28" s="778"/>
      <c r="C28" s="305"/>
      <c r="D28" s="305"/>
      <c r="E28" s="305"/>
      <c r="F28" s="305"/>
      <c r="G28" s="305"/>
    </row>
    <row r="29" spans="2:7" ht="27.75" customHeight="1">
      <c r="B29" s="778"/>
      <c r="C29" s="305"/>
      <c r="D29" s="305"/>
      <c r="E29" s="305"/>
      <c r="F29" s="305"/>
      <c r="G29" s="305"/>
    </row>
    <row r="30" spans="2:7" ht="27.75" customHeight="1">
      <c r="B30" s="779" t="s">
        <v>642</v>
      </c>
      <c r="C30" s="305"/>
      <c r="D30" s="305"/>
      <c r="E30" s="305"/>
      <c r="F30" s="305"/>
      <c r="G30" s="305"/>
    </row>
    <row r="31" spans="2:7" ht="27.75" customHeight="1">
      <c r="B31" s="780"/>
      <c r="C31" s="305"/>
      <c r="D31" s="305"/>
      <c r="E31" s="305"/>
      <c r="F31" s="305"/>
      <c r="G31" s="305"/>
    </row>
    <row r="32" spans="2:7" ht="27.75" customHeight="1">
      <c r="B32" s="781">
        <f>CashSummaryTable6[[#Totals],[Cash Remaining]]/CashSummaryTable6[[#Totals],[Starting Cash]]</f>
        <v>7.5294117647058817E-2</v>
      </c>
      <c r="C32" s="305"/>
      <c r="D32" s="305"/>
      <c r="E32" s="305"/>
      <c r="F32" s="305"/>
      <c r="G32" s="305"/>
    </row>
    <row r="33" spans="2:7" ht="27.75" customHeight="1">
      <c r="B33" s="782"/>
      <c r="C33" s="305"/>
      <c r="D33" s="305"/>
      <c r="E33" s="305"/>
      <c r="F33" s="305"/>
      <c r="G33" s="305"/>
    </row>
  </sheetData>
  <mergeCells count="5">
    <mergeCell ref="B13:C13"/>
    <mergeCell ref="D13:E13"/>
    <mergeCell ref="B14:B29"/>
    <mergeCell ref="B30:B31"/>
    <mergeCell ref="B32:B33"/>
  </mergeCells>
  <conditionalFormatting sqref="B32">
    <cfRule type="expression" dxfId="6" priority="1" stopIfTrue="1">
      <formula>$B$22&gt;=0.5</formula>
    </cfRule>
    <cfRule type="expression" dxfId="5" priority="2" stopIfTrue="1">
      <formula>AND($B$22&gt;=0.25,$B$22&lt;0.5)</formula>
    </cfRule>
    <cfRule type="expression" dxfId="4" priority="3" stopIfTrue="1">
      <formula>$B$22&lt;0.25</formula>
    </cfRule>
  </conditionalFormatting>
  <dataValidations count="18">
    <dataValidation allowBlank="1" showInputMessage="1" showErrorMessage="1" prompt="Cash remaining percent is automatically calculated in this cell" sqref="B32:B33" xr:uid="{18BDBFDD-E90C-4423-916A-EC43FA6A74BD}"/>
    <dataValidation allowBlank="1" showInputMessage="1" showErrorMessage="1" prompt="Cash remaining percent is automatically calculated in cell below" sqref="B30:B31" xr:uid="{ECCF4756-F9E4-456E-B623-59A09DE6755B}"/>
    <dataValidation allowBlank="1" showInputMessage="1" showErrorMessage="1" prompt="Cash Remaining is automatically calculated in this column under this heading" sqref="G14" xr:uid="{696981E9-06C5-4353-B653-F219FDD7BFF8}"/>
    <dataValidation allowBlank="1" showInputMessage="1" showErrorMessage="1" prompt="Spending Total amount is automatically calculated in this column under this heading" sqref="F14" xr:uid="{BF7D77FB-61EC-412D-AE39-BE3B32CB7390}"/>
    <dataValidation allowBlank="1" showInputMessage="1" showErrorMessage="1" prompt="Enter Starting Cash amount in this column under this heading" sqref="E14" xr:uid="{983D4F70-DC77-4108-A3BA-03A6CE31148C}"/>
    <dataValidation allowBlank="1" showInputMessage="1" showErrorMessage="1" prompt="Enter Account type in this column under this heading" sqref="D14" xr:uid="{985E135A-414B-4A8F-B69A-6FF4CA35BF09}"/>
    <dataValidation allowBlank="1" showInputMessage="1" showErrorMessage="1" prompt="Enter cash details in table below" sqref="D13:E13" xr:uid="{0A33DDDC-FA00-4294-835D-FC4F9C6F81F1}"/>
    <dataValidation allowBlank="1" showInputMessage="1" showErrorMessage="1" prompt="Column chart contrasting total monthly income and total monthly expenses is in cells  D3 through H11" sqref="E11:I12 D3:H10" xr:uid="{6432E17B-8F28-4A7B-81CC-B0EC6CC43B89}"/>
    <dataValidation allowBlank="1" showInputMessage="1" showErrorMessage="1" prompt="Create a Personal budget in this workbook. Donut and column charts are automatically updated in this worksheet based on total monthly income and expenses" sqref="A1" xr:uid="{6D6E0F67-6CD8-4053-8468-FE4333893CF1}"/>
    <dataValidation allowBlank="1" showInputMessage="1" showErrorMessage="1" prompt="Total Monthly Income is automatically calculated in this cell " sqref="B4:C4" xr:uid="{3736357A-C60E-4D30-AC7A-1A8336585080}"/>
    <dataValidation allowBlank="1" showInputMessage="1" showErrorMessage="1" prompt="Total Monthly Expenses are automatically calculated in this cell" sqref="B6:C6" xr:uid="{E98965C9-2FCC-4D3B-B509-DA9952ED0AB6}"/>
    <dataValidation allowBlank="1" showInputMessage="1" showErrorMessage="1" prompt="Cash Balance is automatically calculated in this cell" sqref="B8:C8" xr:uid="{A181BAD8-F354-48E0-BBCD-40DC7D30DA4D}"/>
    <dataValidation allowBlank="1" showInputMessage="1" showErrorMessage="1" prompt="Title of this worksheet is in this cell. Summary of Total Monthly Income, Total Monthly Expenses, Total Monthly Savings, and Cash Balance is in cells C3 through C10" sqref="B1:C1" xr:uid="{58A00DC2-C0EA-4495-B932-8AA3DACEAC3E}"/>
    <dataValidation allowBlank="1" showInputMessage="1" showErrorMessage="1" prompt="Donut chart with percentage of income spent is in cell below" sqref="B2:C2" xr:uid="{F1DCDEC7-F581-4581-88F3-22657A34CDE4}"/>
    <dataValidation allowBlank="1" showInputMessage="1" showErrorMessage="1" prompt="Summary of Total Monthly Income, Expenses, Savings, &amp; Cash Balance is automatically updated in cells below. Total monthly income &amp; total monthly expenses column chart is in cell D3" sqref="D2 I2" xr:uid="{59F4D4CB-F21A-4C9F-AC9D-9C3E184E50C8}"/>
    <dataValidation allowBlank="1" showInputMessage="1" showErrorMessage="1" prompt="Total Monthly Income is automatically calculated in cell below" sqref="B3:C3" xr:uid="{1EC61360-3B33-4509-A1A2-D511145EB711}"/>
    <dataValidation allowBlank="1" showInputMessage="1" showErrorMessage="1" prompt="Total Monthly Expenses are automatically calculated in cell below" sqref="B5:C5" xr:uid="{1BC2BF48-0956-4693-813A-462D1E50B259}"/>
    <dataValidation allowBlank="1" showInputMessage="1" showErrorMessage="1" prompt="Cash Balance is automatically calculated in cell below" sqref="B7:C7" xr:uid="{DA52EFFF-1684-4B2E-AE39-D7C62EBFB2EB}"/>
  </dataValidations>
  <printOptions horizontalCentered="1"/>
  <pageMargins left="0.4" right="0.4" top="0.4" bottom="0.4" header="0.25" footer="0.25"/>
  <pageSetup scale="76" fitToHeight="0" orientation="portrait" r:id="rId1"/>
  <headerFooter differentFirst="1">
    <oddFooter>&amp;CPage &amp;P of &amp;N</oddFooter>
  </headerFooter>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C680-D294-4618-9471-658CB3D82B97}">
  <sheetPr codeName="Sheet22">
    <tabColor rgb="FF7030A0"/>
  </sheetPr>
  <dimension ref="A2:H208"/>
  <sheetViews>
    <sheetView showGridLines="0" zoomScale="80" zoomScaleNormal="80" workbookViewId="0">
      <selection activeCell="B2" sqref="B2:H2"/>
    </sheetView>
  </sheetViews>
  <sheetFormatPr defaultColWidth="9.26953125" defaultRowHeight="14.5"/>
  <cols>
    <col min="1" max="1" width="2.7265625" customWidth="1"/>
    <col min="2" max="2" width="7.26953125" customWidth="1"/>
    <col min="3" max="4" width="19.453125" customWidth="1"/>
    <col min="5" max="5" width="41.453125" customWidth="1"/>
    <col min="6" max="7" width="19.453125" customWidth="1"/>
    <col min="8" max="8" width="29.26953125" customWidth="1"/>
    <col min="10" max="10" width="10.54296875" customWidth="1"/>
  </cols>
  <sheetData>
    <row r="2" spans="1:8" ht="60.65" customHeight="1">
      <c r="B2" s="783" t="s">
        <v>643</v>
      </c>
      <c r="C2" s="783"/>
      <c r="D2" s="783"/>
      <c r="E2" s="783"/>
      <c r="F2" s="783"/>
      <c r="G2" s="783"/>
      <c r="H2" s="783"/>
    </row>
    <row r="3" spans="1:8" ht="24" customHeight="1"/>
    <row r="4" spans="1:8" ht="24" customHeight="1">
      <c r="B4" s="784" t="s">
        <v>535</v>
      </c>
      <c r="C4" s="784"/>
      <c r="D4" s="784"/>
    </row>
    <row r="5" spans="1:8" ht="24" customHeight="1">
      <c r="B5" s="400"/>
      <c r="C5" s="401" t="s">
        <v>644</v>
      </c>
      <c r="D5" s="417">
        <v>100000</v>
      </c>
    </row>
    <row r="6" spans="1:8" ht="24" customHeight="1">
      <c r="B6" s="400"/>
      <c r="C6" s="401" t="s">
        <v>645</v>
      </c>
      <c r="D6" s="418">
        <v>0.05</v>
      </c>
    </row>
    <row r="7" spans="1:8" ht="24" customHeight="1">
      <c r="B7" s="400"/>
      <c r="C7" s="401" t="s">
        <v>646</v>
      </c>
      <c r="D7" s="420">
        <v>6</v>
      </c>
    </row>
    <row r="8" spans="1:8" ht="24" customHeight="1">
      <c r="B8" s="402"/>
      <c r="C8" s="403" t="s">
        <v>647</v>
      </c>
      <c r="D8" s="419">
        <f ca="1">TODAY()</f>
        <v>44586</v>
      </c>
    </row>
    <row r="9" spans="1:8" ht="24" customHeight="1"/>
    <row r="10" spans="1:8" ht="24" customHeight="1">
      <c r="B10" s="784" t="s">
        <v>648</v>
      </c>
      <c r="C10" s="784"/>
      <c r="D10" s="784"/>
    </row>
    <row r="11" spans="1:8" ht="24" customHeight="1">
      <c r="B11" s="400"/>
      <c r="C11" s="401" t="s">
        <v>649</v>
      </c>
      <c r="D11" s="421">
        <f>-PMT(InterestRate/12,$D$12,LoanAmount)</f>
        <v>1610.4932661450928</v>
      </c>
      <c r="E11" s="404"/>
    </row>
    <row r="12" spans="1:8" ht="24" customHeight="1">
      <c r="B12" s="400"/>
      <c r="C12" s="401" t="s">
        <v>650</v>
      </c>
      <c r="D12" s="422">
        <f>LoanYears*12</f>
        <v>72</v>
      </c>
      <c r="E12" s="405"/>
    </row>
    <row r="13" spans="1:8" ht="24" customHeight="1">
      <c r="B13" s="400"/>
      <c r="C13" s="401" t="s">
        <v>651</v>
      </c>
      <c r="D13" s="421">
        <f>$D$14-LoanAmount</f>
        <v>15955.515162446682</v>
      </c>
      <c r="E13" s="404"/>
    </row>
    <row r="14" spans="1:8" ht="24" customHeight="1">
      <c r="B14" s="402"/>
      <c r="C14" s="403" t="s">
        <v>652</v>
      </c>
      <c r="D14" s="423">
        <f>$D$11*$D$12</f>
        <v>115955.51516244668</v>
      </c>
      <c r="E14" s="406"/>
    </row>
    <row r="15" spans="1:8" ht="24" customHeight="1">
      <c r="B15" s="410"/>
      <c r="C15" s="410"/>
      <c r="D15" s="410"/>
      <c r="E15" s="410"/>
      <c r="F15" s="410"/>
      <c r="G15" s="410"/>
      <c r="H15" s="410"/>
    </row>
    <row r="16" spans="1:8" ht="36" customHeight="1">
      <c r="A16" s="416"/>
      <c r="B16" s="414" t="s">
        <v>653</v>
      </c>
      <c r="C16" s="415" t="s">
        <v>654</v>
      </c>
      <c r="D16" s="414" t="s">
        <v>655</v>
      </c>
      <c r="E16" s="414" t="s">
        <v>656</v>
      </c>
      <c r="F16" s="414" t="s">
        <v>657</v>
      </c>
      <c r="G16" s="414" t="s">
        <v>658</v>
      </c>
      <c r="H16" s="414" t="s">
        <v>659</v>
      </c>
    </row>
    <row r="17" spans="2:8" ht="24" customHeight="1">
      <c r="B17" s="411">
        <f>IF(SUM(ROWS($B$17:B17))&gt;$D$12,"",SUM(ROWS($B$17:B17)))</f>
        <v>1</v>
      </c>
      <c r="C17" s="412">
        <f ca="1">IFERROR(DATE(YEAR(LoanStartDate), MONTH(LoanStartDate) +B17,DAY(LoanStartDate)), "")</f>
        <v>44617</v>
      </c>
      <c r="D17" s="413">
        <f>IFERROR(-FV(InterestRate/12,B17-1,-$D$11,LoanAmount),"")</f>
        <v>100000</v>
      </c>
      <c r="E17" s="413">
        <f>IF(LEN(B17)&gt;0, $D$11,"")</f>
        <v>1610.4932661450928</v>
      </c>
      <c r="F17" s="413">
        <f>IFERROR(-PPMT(InterestRate/12,B17,$D$12,LoanAmount),"")</f>
        <v>1193.8265994784263</v>
      </c>
      <c r="G17" s="413">
        <f>IFERROR(-IPMT(InterestRate/12,B17,$D$12,LoanAmount),"")</f>
        <v>416.66666666666669</v>
      </c>
      <c r="H17" s="413">
        <f>IFERROR(D17-F17,"")</f>
        <v>98806.173400521569</v>
      </c>
    </row>
    <row r="18" spans="2:8" ht="24" customHeight="1">
      <c r="B18" s="407">
        <f>IF(SUM(ROWS($B$17:B18))&gt;$D$12,"",SUM(ROWS($B$17:B18)))</f>
        <v>2</v>
      </c>
      <c r="C18" s="408">
        <f t="shared" ref="C18:C48" ca="1" si="0">IFERROR(DATE(YEAR(LoanStartDate), MONTH(LoanStartDate) +B18,DAY(LoanStartDate)), "")</f>
        <v>44645</v>
      </c>
      <c r="D18" s="409">
        <f t="shared" ref="D18:D48" si="1">IFERROR(-FV(InterestRate/12,B18-1,-$D$11,LoanAmount),"")</f>
        <v>98806.173400521584</v>
      </c>
      <c r="E18" s="409">
        <f t="shared" ref="E18:E81" si="2">IF(LEN(B18)&gt;0, $D$11,"")</f>
        <v>1610.4932661450928</v>
      </c>
      <c r="F18" s="409">
        <f t="shared" ref="F18:F48" si="3">IFERROR(-PPMT(InterestRate/12,B18,$D$12,LoanAmount),"")</f>
        <v>1198.800876976253</v>
      </c>
      <c r="G18" s="409">
        <f t="shared" ref="G18:G48" si="4">IFERROR(-IPMT(InterestRate/12,B18,$D$12,LoanAmount),"")</f>
        <v>411.69238916883984</v>
      </c>
      <c r="H18" s="409">
        <f t="shared" ref="H18:H81" si="5">IFERROR(D18-F18,"")</f>
        <v>97607.372523545331</v>
      </c>
    </row>
    <row r="19" spans="2:8" ht="24" customHeight="1">
      <c r="B19" s="407">
        <f>IF(SUM(ROWS($B$17:B19))&gt;$D$12,"",SUM(ROWS($B$17:B19)))</f>
        <v>3</v>
      </c>
      <c r="C19" s="408">
        <f t="shared" ca="1" si="0"/>
        <v>44676</v>
      </c>
      <c r="D19" s="409">
        <f t="shared" si="1"/>
        <v>97607.372523545317</v>
      </c>
      <c r="E19" s="409">
        <f t="shared" si="2"/>
        <v>1610.4932661450928</v>
      </c>
      <c r="F19" s="409">
        <f t="shared" si="3"/>
        <v>1203.7958806303209</v>
      </c>
      <c r="G19" s="409">
        <f t="shared" si="4"/>
        <v>406.69738551477224</v>
      </c>
      <c r="H19" s="409">
        <f t="shared" si="5"/>
        <v>96403.576642914995</v>
      </c>
    </row>
    <row r="20" spans="2:8" ht="24" customHeight="1">
      <c r="B20" s="407">
        <f>IF(SUM(ROWS($B$17:B20))&gt;$D$12,"",SUM(ROWS($B$17:B20)))</f>
        <v>4</v>
      </c>
      <c r="C20" s="408">
        <f t="shared" ca="1" si="0"/>
        <v>44706</v>
      </c>
      <c r="D20" s="409">
        <f t="shared" si="1"/>
        <v>96403.576642914966</v>
      </c>
      <c r="E20" s="409">
        <f t="shared" si="2"/>
        <v>1610.4932661450928</v>
      </c>
      <c r="F20" s="409">
        <f t="shared" si="3"/>
        <v>1208.8116967996136</v>
      </c>
      <c r="G20" s="409">
        <f t="shared" si="4"/>
        <v>401.68156934547915</v>
      </c>
      <c r="H20" s="409">
        <f t="shared" si="5"/>
        <v>95194.764946115349</v>
      </c>
    </row>
    <row r="21" spans="2:8" ht="24" customHeight="1">
      <c r="B21" s="407">
        <f>IF(SUM(ROWS($B$17:B21))&gt;$D$12,"",SUM(ROWS($B$17:B21)))</f>
        <v>5</v>
      </c>
      <c r="C21" s="408">
        <f t="shared" ca="1" si="0"/>
        <v>44737</v>
      </c>
      <c r="D21" s="409">
        <f t="shared" si="1"/>
        <v>95194.764946115363</v>
      </c>
      <c r="E21" s="409">
        <f t="shared" si="2"/>
        <v>1610.4932661450928</v>
      </c>
      <c r="F21" s="409">
        <f t="shared" si="3"/>
        <v>1213.8484122029454</v>
      </c>
      <c r="G21" s="409">
        <f t="shared" si="4"/>
        <v>396.64485394214739</v>
      </c>
      <c r="H21" s="409">
        <f t="shared" si="5"/>
        <v>93980.916533912416</v>
      </c>
    </row>
    <row r="22" spans="2:8" ht="24" customHeight="1">
      <c r="B22" s="407">
        <f>IF(SUM(ROWS($B$17:B22))&gt;$D$12,"",SUM(ROWS($B$17:B22)))</f>
        <v>6</v>
      </c>
      <c r="C22" s="408">
        <f t="shared" ca="1" si="0"/>
        <v>44767</v>
      </c>
      <c r="D22" s="409">
        <f t="shared" si="1"/>
        <v>93980.91653391243</v>
      </c>
      <c r="E22" s="409">
        <f t="shared" si="2"/>
        <v>1610.4932661450928</v>
      </c>
      <c r="F22" s="409">
        <f t="shared" si="3"/>
        <v>1218.9061139204578</v>
      </c>
      <c r="G22" s="409">
        <f t="shared" si="4"/>
        <v>391.58715222463508</v>
      </c>
      <c r="H22" s="409">
        <f t="shared" si="5"/>
        <v>92762.010419991973</v>
      </c>
    </row>
    <row r="23" spans="2:8" ht="24" customHeight="1">
      <c r="B23" s="407">
        <f>IF(SUM(ROWS($B$17:B23))&gt;$D$12,"",SUM(ROWS($B$17:B23)))</f>
        <v>7</v>
      </c>
      <c r="C23" s="408">
        <f t="shared" ca="1" si="0"/>
        <v>44798</v>
      </c>
      <c r="D23" s="409">
        <f t="shared" si="1"/>
        <v>92762.010419991988</v>
      </c>
      <c r="E23" s="409">
        <f t="shared" si="2"/>
        <v>1610.4932661450928</v>
      </c>
      <c r="F23" s="409">
        <f t="shared" si="3"/>
        <v>1223.9848893951264</v>
      </c>
      <c r="G23" s="409">
        <f t="shared" si="4"/>
        <v>386.50837674996649</v>
      </c>
      <c r="H23" s="409">
        <f t="shared" si="5"/>
        <v>91538.02553059686</v>
      </c>
    </row>
    <row r="24" spans="2:8" ht="24" customHeight="1">
      <c r="B24" s="407">
        <f>IF(SUM(ROWS($B$17:B24))&gt;$D$12,"",SUM(ROWS($B$17:B24)))</f>
        <v>8</v>
      </c>
      <c r="C24" s="408">
        <f t="shared" ca="1" si="0"/>
        <v>44829</v>
      </c>
      <c r="D24" s="409">
        <f t="shared" si="1"/>
        <v>91538.025530596773</v>
      </c>
      <c r="E24" s="409">
        <f t="shared" si="2"/>
        <v>1610.4932661450928</v>
      </c>
      <c r="F24" s="409">
        <f t="shared" si="3"/>
        <v>1229.0848264342726</v>
      </c>
      <c r="G24" s="409">
        <f t="shared" si="4"/>
        <v>381.40843971082018</v>
      </c>
      <c r="H24" s="409">
        <f t="shared" si="5"/>
        <v>90308.940704162495</v>
      </c>
    </row>
    <row r="25" spans="2:8" ht="24" customHeight="1">
      <c r="B25" s="407">
        <f>IF(SUM(ROWS($B$17:B25))&gt;$D$12,"",SUM(ROWS($B$17:B25)))</f>
        <v>9</v>
      </c>
      <c r="C25" s="408">
        <f t="shared" ca="1" si="0"/>
        <v>44859</v>
      </c>
      <c r="D25" s="409">
        <f t="shared" si="1"/>
        <v>90308.940704162553</v>
      </c>
      <c r="E25" s="409">
        <f t="shared" si="2"/>
        <v>1610.4932661450928</v>
      </c>
      <c r="F25" s="409">
        <f t="shared" si="3"/>
        <v>1234.2060132110821</v>
      </c>
      <c r="G25" s="409">
        <f t="shared" si="4"/>
        <v>376.28725293401078</v>
      </c>
      <c r="H25" s="409">
        <f t="shared" si="5"/>
        <v>89074.734690951474</v>
      </c>
    </row>
    <row r="26" spans="2:8" ht="24" customHeight="1">
      <c r="B26" s="407">
        <f>IF(SUM(ROWS($B$17:B26))&gt;$D$12,"",SUM(ROWS($B$17:B26)))</f>
        <v>10</v>
      </c>
      <c r="C26" s="408">
        <f t="shared" ca="1" si="0"/>
        <v>44890</v>
      </c>
      <c r="D26" s="409">
        <f t="shared" si="1"/>
        <v>89074.734690951474</v>
      </c>
      <c r="E26" s="409">
        <f t="shared" si="2"/>
        <v>1610.4932661450928</v>
      </c>
      <c r="F26" s="409">
        <f t="shared" si="3"/>
        <v>1239.3485382661283</v>
      </c>
      <c r="G26" s="409">
        <f t="shared" si="4"/>
        <v>371.1447278789646</v>
      </c>
      <c r="H26" s="409">
        <f t="shared" si="5"/>
        <v>87835.386152685343</v>
      </c>
    </row>
    <row r="27" spans="2:8" ht="24" customHeight="1">
      <c r="B27" s="407">
        <f>IF(SUM(ROWS($B$17:B27))&gt;$D$12,"",SUM(ROWS($B$17:B27)))</f>
        <v>11</v>
      </c>
      <c r="C27" s="408">
        <f t="shared" ca="1" si="0"/>
        <v>44920</v>
      </c>
      <c r="D27" s="409">
        <f t="shared" si="1"/>
        <v>87835.386152685314</v>
      </c>
      <c r="E27" s="409">
        <f t="shared" si="2"/>
        <v>1610.4932661450928</v>
      </c>
      <c r="F27" s="409">
        <f t="shared" si="3"/>
        <v>1244.5124905089037</v>
      </c>
      <c r="G27" s="409">
        <f t="shared" si="4"/>
        <v>365.98077563618904</v>
      </c>
      <c r="H27" s="409">
        <f t="shared" si="5"/>
        <v>86590.873662176411</v>
      </c>
    </row>
    <row r="28" spans="2:8" ht="24" customHeight="1">
      <c r="B28" s="407">
        <f>IF(SUM(ROWS($B$17:B28))&gt;$D$12,"",SUM(ROWS($B$17:B28)))</f>
        <v>12</v>
      </c>
      <c r="C28" s="408">
        <f t="shared" ca="1" si="0"/>
        <v>44951</v>
      </c>
      <c r="D28" s="409">
        <f t="shared" si="1"/>
        <v>86590.873662176426</v>
      </c>
      <c r="E28" s="409">
        <f t="shared" si="2"/>
        <v>1610.4932661450928</v>
      </c>
      <c r="F28" s="409">
        <f t="shared" si="3"/>
        <v>1249.6979592193575</v>
      </c>
      <c r="G28" s="409">
        <f t="shared" si="4"/>
        <v>360.7953069257353</v>
      </c>
      <c r="H28" s="409">
        <f t="shared" si="5"/>
        <v>85341.175702957073</v>
      </c>
    </row>
    <row r="29" spans="2:8" ht="24" customHeight="1">
      <c r="B29" s="407">
        <f>IF(SUM(ROWS($B$17:B29))&gt;$D$12,"",SUM(ROWS($B$17:B29)))</f>
        <v>13</v>
      </c>
      <c r="C29" s="408">
        <f t="shared" ca="1" si="0"/>
        <v>44982</v>
      </c>
      <c r="D29" s="409">
        <f t="shared" si="1"/>
        <v>85341.175702957058</v>
      </c>
      <c r="E29" s="409">
        <f t="shared" si="2"/>
        <v>1610.4932661450928</v>
      </c>
      <c r="F29" s="409">
        <f t="shared" si="3"/>
        <v>1254.9050340494384</v>
      </c>
      <c r="G29" s="409">
        <f t="shared" si="4"/>
        <v>355.58823209565463</v>
      </c>
      <c r="H29" s="409">
        <f t="shared" si="5"/>
        <v>84086.270668907615</v>
      </c>
    </row>
    <row r="30" spans="2:8" ht="24" customHeight="1">
      <c r="B30" s="407">
        <f>IF(SUM(ROWS($B$17:B30))&gt;$D$12,"",SUM(ROWS($B$17:B30)))</f>
        <v>14</v>
      </c>
      <c r="C30" s="408">
        <f t="shared" ca="1" si="0"/>
        <v>45010</v>
      </c>
      <c r="D30" s="409">
        <f t="shared" si="1"/>
        <v>84086.270668907644</v>
      </c>
      <c r="E30" s="409">
        <f t="shared" si="2"/>
        <v>1610.4932661450928</v>
      </c>
      <c r="F30" s="409">
        <f t="shared" si="3"/>
        <v>1260.1338050246443</v>
      </c>
      <c r="G30" s="409">
        <f t="shared" si="4"/>
        <v>350.35946112044866</v>
      </c>
      <c r="H30" s="409">
        <f t="shared" si="5"/>
        <v>82826.136863883003</v>
      </c>
    </row>
    <row r="31" spans="2:8" ht="24" customHeight="1">
      <c r="B31" s="407">
        <f>IF(SUM(ROWS($B$17:B31))&gt;$D$12,"",SUM(ROWS($B$17:B31)))</f>
        <v>15</v>
      </c>
      <c r="C31" s="408">
        <f t="shared" ca="1" si="0"/>
        <v>45041</v>
      </c>
      <c r="D31" s="409">
        <f t="shared" si="1"/>
        <v>82826.136863883017</v>
      </c>
      <c r="E31" s="409">
        <f t="shared" si="2"/>
        <v>1610.4932661450928</v>
      </c>
      <c r="F31" s="409">
        <f t="shared" si="3"/>
        <v>1265.3843625455802</v>
      </c>
      <c r="G31" s="409">
        <f t="shared" si="4"/>
        <v>345.10890359951264</v>
      </c>
      <c r="H31" s="409">
        <f t="shared" si="5"/>
        <v>81560.75250133744</v>
      </c>
    </row>
    <row r="32" spans="2:8" ht="24" customHeight="1">
      <c r="B32" s="407">
        <f>IF(SUM(ROWS($B$17:B32))&gt;$D$12,"",SUM(ROWS($B$17:B32)))</f>
        <v>16</v>
      </c>
      <c r="C32" s="408">
        <f t="shared" ca="1" si="0"/>
        <v>45071</v>
      </c>
      <c r="D32" s="409">
        <f t="shared" si="1"/>
        <v>81560.752501337309</v>
      </c>
      <c r="E32" s="409">
        <f t="shared" si="2"/>
        <v>1610.4932661450928</v>
      </c>
      <c r="F32" s="409">
        <f t="shared" si="3"/>
        <v>1270.6567973895203</v>
      </c>
      <c r="G32" s="409">
        <f t="shared" si="4"/>
        <v>339.8364687555727</v>
      </c>
      <c r="H32" s="409">
        <f t="shared" si="5"/>
        <v>80290.095703947794</v>
      </c>
    </row>
    <row r="33" spans="2:8" ht="24" customHeight="1">
      <c r="B33" s="407">
        <f>IF(SUM(ROWS($B$17:B33))&gt;$D$12,"",SUM(ROWS($B$17:B33)))</f>
        <v>17</v>
      </c>
      <c r="C33" s="408">
        <f t="shared" ca="1" si="0"/>
        <v>45102</v>
      </c>
      <c r="D33" s="409">
        <f t="shared" si="1"/>
        <v>80290.095703947853</v>
      </c>
      <c r="E33" s="409">
        <f t="shared" si="2"/>
        <v>1610.4932661450928</v>
      </c>
      <c r="F33" s="409">
        <f t="shared" si="3"/>
        <v>1275.9512007119765</v>
      </c>
      <c r="G33" s="409">
        <f t="shared" si="4"/>
        <v>334.54206543311642</v>
      </c>
      <c r="H33" s="409">
        <f t="shared" si="5"/>
        <v>79014.144503235875</v>
      </c>
    </row>
    <row r="34" spans="2:8" ht="24" customHeight="1">
      <c r="B34" s="407">
        <f>IF(SUM(ROWS($B$17:B34))&gt;$D$12,"",SUM(ROWS($B$17:B34)))</f>
        <v>18</v>
      </c>
      <c r="C34" s="408">
        <f t="shared" ca="1" si="0"/>
        <v>45132</v>
      </c>
      <c r="D34" s="409">
        <f t="shared" si="1"/>
        <v>79014.144503235875</v>
      </c>
      <c r="E34" s="409">
        <f t="shared" si="2"/>
        <v>1610.4932661450928</v>
      </c>
      <c r="F34" s="409">
        <f t="shared" si="3"/>
        <v>1281.2676640482762</v>
      </c>
      <c r="G34" s="409">
        <f t="shared" si="4"/>
        <v>329.22560209681643</v>
      </c>
      <c r="H34" s="409">
        <f t="shared" si="5"/>
        <v>77732.876839187593</v>
      </c>
    </row>
    <row r="35" spans="2:8" ht="24" customHeight="1">
      <c r="B35" s="407">
        <f>IF(SUM(ROWS($B$17:B35))&gt;$D$12,"",SUM(ROWS($B$17:B35)))</f>
        <v>19</v>
      </c>
      <c r="C35" s="408">
        <f t="shared" ca="1" si="0"/>
        <v>45163</v>
      </c>
      <c r="D35" s="409">
        <f t="shared" si="1"/>
        <v>77732.876839187607</v>
      </c>
      <c r="E35" s="409">
        <f t="shared" si="2"/>
        <v>1610.4932661450928</v>
      </c>
      <c r="F35" s="409">
        <f t="shared" si="3"/>
        <v>1286.6062793151441</v>
      </c>
      <c r="G35" s="409">
        <f t="shared" si="4"/>
        <v>323.88698682994863</v>
      </c>
      <c r="H35" s="409">
        <f t="shared" si="5"/>
        <v>76446.270559872457</v>
      </c>
    </row>
    <row r="36" spans="2:8" ht="24" customHeight="1">
      <c r="B36" s="407">
        <f>IF(SUM(ROWS($B$17:B36))&gt;$D$12,"",SUM(ROWS($B$17:B36)))</f>
        <v>20</v>
      </c>
      <c r="C36" s="408">
        <f t="shared" ca="1" si="0"/>
        <v>45194</v>
      </c>
      <c r="D36" s="409">
        <f t="shared" si="1"/>
        <v>76446.270559872442</v>
      </c>
      <c r="E36" s="409">
        <f t="shared" si="2"/>
        <v>1610.4932661450928</v>
      </c>
      <c r="F36" s="409">
        <f t="shared" si="3"/>
        <v>1291.9671388122906</v>
      </c>
      <c r="G36" s="409">
        <f t="shared" si="4"/>
        <v>318.52612733280222</v>
      </c>
      <c r="H36" s="409">
        <f t="shared" si="5"/>
        <v>75154.303421060147</v>
      </c>
    </row>
    <row r="37" spans="2:8" ht="24" customHeight="1">
      <c r="B37" s="407">
        <f>IF(SUM(ROWS($B$17:B37))&gt;$D$12,"",SUM(ROWS($B$17:B37)))</f>
        <v>21</v>
      </c>
      <c r="C37" s="408">
        <f t="shared" ca="1" si="0"/>
        <v>45224</v>
      </c>
      <c r="D37" s="409">
        <f t="shared" si="1"/>
        <v>75154.303421060118</v>
      </c>
      <c r="E37" s="409">
        <f t="shared" si="2"/>
        <v>1610.4932661450928</v>
      </c>
      <c r="F37" s="409">
        <f t="shared" si="3"/>
        <v>1297.3503352240084</v>
      </c>
      <c r="G37" s="409">
        <f t="shared" si="4"/>
        <v>313.14293092108431</v>
      </c>
      <c r="H37" s="409">
        <f t="shared" si="5"/>
        <v>73856.95308583611</v>
      </c>
    </row>
    <row r="38" spans="2:8" ht="24" customHeight="1">
      <c r="B38" s="407">
        <f>IF(SUM(ROWS($B$17:B38))&gt;$D$12,"",SUM(ROWS($B$17:B38)))</f>
        <v>22</v>
      </c>
      <c r="C38" s="408">
        <f t="shared" ca="1" si="0"/>
        <v>45255</v>
      </c>
      <c r="D38" s="409">
        <f t="shared" si="1"/>
        <v>73856.95308583614</v>
      </c>
      <c r="E38" s="409">
        <f t="shared" si="2"/>
        <v>1610.4932661450928</v>
      </c>
      <c r="F38" s="409">
        <f t="shared" si="3"/>
        <v>1302.7559616207755</v>
      </c>
      <c r="G38" s="409">
        <f t="shared" si="4"/>
        <v>307.73730452431761</v>
      </c>
      <c r="H38" s="409">
        <f t="shared" si="5"/>
        <v>72554.197124215367</v>
      </c>
    </row>
    <row r="39" spans="2:8" ht="24" customHeight="1">
      <c r="B39" s="407">
        <f>IF(SUM(ROWS($B$17:B39))&gt;$D$12,"",SUM(ROWS($B$17:B39)))</f>
        <v>23</v>
      </c>
      <c r="C39" s="408">
        <f t="shared" ca="1" si="0"/>
        <v>45285</v>
      </c>
      <c r="D39" s="409">
        <f t="shared" si="1"/>
        <v>72554.197124215367</v>
      </c>
      <c r="E39" s="409">
        <f t="shared" si="2"/>
        <v>1610.4932661450928</v>
      </c>
      <c r="F39" s="409">
        <f t="shared" si="3"/>
        <v>1308.1841114608619</v>
      </c>
      <c r="G39" s="409">
        <f t="shared" si="4"/>
        <v>302.30915468423109</v>
      </c>
      <c r="H39" s="409">
        <f t="shared" si="5"/>
        <v>71246.013012754498</v>
      </c>
    </row>
    <row r="40" spans="2:8" ht="24" customHeight="1">
      <c r="B40" s="407">
        <f>IF(SUM(ROWS($B$17:B40))&gt;$D$12,"",SUM(ROWS($B$17:B40)))</f>
        <v>24</v>
      </c>
      <c r="C40" s="408">
        <f t="shared" ca="1" si="0"/>
        <v>45316</v>
      </c>
      <c r="D40" s="409">
        <f t="shared" si="1"/>
        <v>71246.013012754411</v>
      </c>
      <c r="E40" s="409">
        <f t="shared" si="2"/>
        <v>1610.4932661450928</v>
      </c>
      <c r="F40" s="409">
        <f t="shared" si="3"/>
        <v>1313.6348785919488</v>
      </c>
      <c r="G40" s="409">
        <f t="shared" si="4"/>
        <v>296.8583875531441</v>
      </c>
      <c r="H40" s="409">
        <f t="shared" si="5"/>
        <v>69932.378134162456</v>
      </c>
    </row>
    <row r="41" spans="2:8" ht="24" customHeight="1">
      <c r="B41" s="407">
        <f>IF(SUM(ROWS($B$17:B41))&gt;$D$12,"",SUM(ROWS($B$17:B41)))</f>
        <v>25</v>
      </c>
      <c r="C41" s="408">
        <f t="shared" ca="1" si="0"/>
        <v>45347</v>
      </c>
      <c r="D41" s="409">
        <f t="shared" si="1"/>
        <v>69932.378134162514</v>
      </c>
      <c r="E41" s="409">
        <f t="shared" si="2"/>
        <v>1610.4932661450928</v>
      </c>
      <c r="F41" s="409">
        <f t="shared" si="3"/>
        <v>1319.1083572527486</v>
      </c>
      <c r="G41" s="409">
        <f t="shared" si="4"/>
        <v>291.38490889234436</v>
      </c>
      <c r="H41" s="409">
        <f t="shared" si="5"/>
        <v>68613.269776909772</v>
      </c>
    </row>
    <row r="42" spans="2:8" ht="24" customHeight="1">
      <c r="B42" s="407">
        <f>IF(SUM(ROWS($B$17:B42))&gt;$D$12,"",SUM(ROWS($B$17:B42)))</f>
        <v>26</v>
      </c>
      <c r="C42" s="408">
        <f t="shared" ca="1" si="0"/>
        <v>45376</v>
      </c>
      <c r="D42" s="409">
        <f t="shared" si="1"/>
        <v>68613.269776909816</v>
      </c>
      <c r="E42" s="409">
        <f t="shared" si="2"/>
        <v>1610.4932661450928</v>
      </c>
      <c r="F42" s="409">
        <f t="shared" si="3"/>
        <v>1324.604642074635</v>
      </c>
      <c r="G42" s="409">
        <f t="shared" si="4"/>
        <v>285.88862407045792</v>
      </c>
      <c r="H42" s="409">
        <f t="shared" si="5"/>
        <v>67288.665134835188</v>
      </c>
    </row>
    <row r="43" spans="2:8" ht="24" customHeight="1">
      <c r="B43" s="407">
        <f>IF(SUM(ROWS($B$17:B43))&gt;$D$12,"",SUM(ROWS($B$17:B43)))</f>
        <v>27</v>
      </c>
      <c r="C43" s="408">
        <f t="shared" ca="1" si="0"/>
        <v>45407</v>
      </c>
      <c r="D43" s="409">
        <f t="shared" si="1"/>
        <v>67288.665134835086</v>
      </c>
      <c r="E43" s="409">
        <f t="shared" si="2"/>
        <v>1610.4932661450928</v>
      </c>
      <c r="F43" s="409">
        <f t="shared" si="3"/>
        <v>1330.1238280832795</v>
      </c>
      <c r="G43" s="409">
        <f t="shared" si="4"/>
        <v>280.36943806181364</v>
      </c>
      <c r="H43" s="409">
        <f t="shared" si="5"/>
        <v>65958.541306751809</v>
      </c>
    </row>
    <row r="44" spans="2:8" ht="24" customHeight="1">
      <c r="B44" s="407">
        <f>IF(SUM(ROWS($B$17:B44))&gt;$D$12,"",SUM(ROWS($B$17:B44)))</f>
        <v>28</v>
      </c>
      <c r="C44" s="408">
        <f t="shared" ca="1" si="0"/>
        <v>45437</v>
      </c>
      <c r="D44" s="409">
        <f t="shared" si="1"/>
        <v>65958.541306751868</v>
      </c>
      <c r="E44" s="409">
        <f t="shared" si="2"/>
        <v>1610.4932661450928</v>
      </c>
      <c r="F44" s="409">
        <f t="shared" si="3"/>
        <v>1335.6660107002929</v>
      </c>
      <c r="G44" s="409">
        <f t="shared" si="4"/>
        <v>274.8272554447999</v>
      </c>
      <c r="H44" s="409">
        <f t="shared" si="5"/>
        <v>64622.875296051578</v>
      </c>
    </row>
    <row r="45" spans="2:8" ht="24" customHeight="1">
      <c r="B45" s="407">
        <f>IF(SUM(ROWS($B$17:B45))&gt;$D$12,"",SUM(ROWS($B$17:B45)))</f>
        <v>29</v>
      </c>
      <c r="C45" s="408">
        <f t="shared" ca="1" si="0"/>
        <v>45468</v>
      </c>
      <c r="D45" s="409">
        <f t="shared" si="1"/>
        <v>64622.875296051563</v>
      </c>
      <c r="E45" s="409">
        <f t="shared" si="2"/>
        <v>1610.4932661450928</v>
      </c>
      <c r="F45" s="409">
        <f t="shared" si="3"/>
        <v>1341.2312857448774</v>
      </c>
      <c r="G45" s="409">
        <f t="shared" si="4"/>
        <v>269.26198040021541</v>
      </c>
      <c r="H45" s="409">
        <f t="shared" si="5"/>
        <v>63281.644010306685</v>
      </c>
    </row>
    <row r="46" spans="2:8" ht="24" customHeight="1">
      <c r="B46" s="407">
        <f>IF(SUM(ROWS($B$17:B46))&gt;$D$12,"",SUM(ROWS($B$17:B46)))</f>
        <v>30</v>
      </c>
      <c r="C46" s="408">
        <f t="shared" ca="1" si="0"/>
        <v>45498</v>
      </c>
      <c r="D46" s="409">
        <f t="shared" si="1"/>
        <v>63281.644010306707</v>
      </c>
      <c r="E46" s="409">
        <f t="shared" si="2"/>
        <v>1610.4932661450928</v>
      </c>
      <c r="F46" s="409">
        <f t="shared" si="3"/>
        <v>1346.8197494354813</v>
      </c>
      <c r="G46" s="409">
        <f t="shared" si="4"/>
        <v>263.6735167096117</v>
      </c>
      <c r="H46" s="409">
        <f t="shared" si="5"/>
        <v>61934.824260871224</v>
      </c>
    </row>
    <row r="47" spans="2:8" ht="24" customHeight="1">
      <c r="B47" s="407">
        <f>IF(SUM(ROWS($B$17:B47))&gt;$D$12,"",SUM(ROWS($B$17:B47)))</f>
        <v>31</v>
      </c>
      <c r="C47" s="408">
        <f t="shared" ca="1" si="0"/>
        <v>45529</v>
      </c>
      <c r="D47" s="409">
        <f t="shared" si="1"/>
        <v>61934.824260871239</v>
      </c>
      <c r="E47" s="409">
        <f t="shared" si="2"/>
        <v>1610.4932661450928</v>
      </c>
      <c r="F47" s="409">
        <f t="shared" si="3"/>
        <v>1352.4314983914624</v>
      </c>
      <c r="G47" s="409">
        <f t="shared" si="4"/>
        <v>258.06176775363053</v>
      </c>
      <c r="H47" s="409">
        <f t="shared" si="5"/>
        <v>60582.39276247978</v>
      </c>
    </row>
    <row r="48" spans="2:8" ht="24" customHeight="1">
      <c r="B48" s="407">
        <f>IF(SUM(ROWS($B$17:B48))&gt;$D$12,"",SUM(ROWS($B$17:B48)))</f>
        <v>32</v>
      </c>
      <c r="C48" s="408">
        <f t="shared" ca="1" si="0"/>
        <v>45560</v>
      </c>
      <c r="D48" s="409">
        <f t="shared" si="1"/>
        <v>60582.39276247962</v>
      </c>
      <c r="E48" s="409">
        <f t="shared" si="2"/>
        <v>1610.4932661450928</v>
      </c>
      <c r="F48" s="409">
        <f t="shared" si="3"/>
        <v>1358.0666296347599</v>
      </c>
      <c r="G48" s="409">
        <f t="shared" si="4"/>
        <v>252.42663651033283</v>
      </c>
      <c r="H48" s="409">
        <f t="shared" si="5"/>
        <v>59224.326132844857</v>
      </c>
    </row>
    <row r="49" spans="2:8" ht="24" customHeight="1">
      <c r="B49" s="407">
        <f>IF(SUM(ROWS($B$17:B49))&gt;$D$12,"",SUM(ROWS($B$17:B49)))</f>
        <v>33</v>
      </c>
      <c r="C49" s="408">
        <f t="shared" ref="C49:C80" ca="1" si="6">IFERROR(DATE(YEAR(LoanStartDate), MONTH(LoanStartDate) +B49,DAY(LoanStartDate)), "")</f>
        <v>45590</v>
      </c>
      <c r="D49" s="409">
        <f t="shared" ref="D49:D80" si="7">IFERROR(-FV(InterestRate/12,B49-1,-$D$11,LoanAmount),"")</f>
        <v>59224.326132844952</v>
      </c>
      <c r="E49" s="409">
        <f t="shared" si="2"/>
        <v>1610.4932661450928</v>
      </c>
      <c r="F49" s="409">
        <f t="shared" ref="F49:F80" si="8">IFERROR(-PPMT(InterestRate/12,B49,$D$12,LoanAmount),"")</f>
        <v>1363.7252405915715</v>
      </c>
      <c r="G49" s="409">
        <f t="shared" ref="G49:G80" si="9">IFERROR(-IPMT(InterestRate/12,B49,$D$12,LoanAmount),"")</f>
        <v>246.76802555352126</v>
      </c>
      <c r="H49" s="409">
        <f t="shared" si="5"/>
        <v>57860.60089225338</v>
      </c>
    </row>
    <row r="50" spans="2:8" ht="24" customHeight="1">
      <c r="B50" s="407">
        <f>IF(SUM(ROWS($B$17:B50))&gt;$D$12,"",SUM(ROWS($B$17:B50)))</f>
        <v>34</v>
      </c>
      <c r="C50" s="408">
        <f t="shared" ca="1" si="6"/>
        <v>45621</v>
      </c>
      <c r="D50" s="409">
        <f t="shared" si="7"/>
        <v>57860.600892253358</v>
      </c>
      <c r="E50" s="409">
        <f t="shared" si="2"/>
        <v>1610.4932661450928</v>
      </c>
      <c r="F50" s="409">
        <f t="shared" si="8"/>
        <v>1369.4074290940364</v>
      </c>
      <c r="G50" s="409">
        <f t="shared" si="9"/>
        <v>241.08583705105642</v>
      </c>
      <c r="H50" s="409">
        <f t="shared" si="5"/>
        <v>56491.193463159325</v>
      </c>
    </row>
    <row r="51" spans="2:8" ht="24" customHeight="1">
      <c r="B51" s="407">
        <f>IF(SUM(ROWS($B$17:B51))&gt;$D$12,"",SUM(ROWS($B$17:B51)))</f>
        <v>35</v>
      </c>
      <c r="C51" s="408">
        <f t="shared" ca="1" si="6"/>
        <v>45651</v>
      </c>
      <c r="D51" s="409">
        <f t="shared" si="7"/>
        <v>56491.193463159339</v>
      </c>
      <c r="E51" s="409">
        <f t="shared" si="2"/>
        <v>1610.4932661450928</v>
      </c>
      <c r="F51" s="409">
        <f t="shared" si="8"/>
        <v>1375.1132933819283</v>
      </c>
      <c r="G51" s="409">
        <f t="shared" si="9"/>
        <v>235.3799727631646</v>
      </c>
      <c r="H51" s="409">
        <f t="shared" si="5"/>
        <v>55116.080169777408</v>
      </c>
    </row>
    <row r="52" spans="2:8" ht="24" customHeight="1">
      <c r="B52" s="407">
        <f>IF(SUM(ROWS($B$17:B52))&gt;$D$12,"",SUM(ROWS($B$17:B52)))</f>
        <v>36</v>
      </c>
      <c r="C52" s="408">
        <f t="shared" ca="1" si="6"/>
        <v>45682</v>
      </c>
      <c r="D52" s="409">
        <f t="shared" si="7"/>
        <v>55116.080169777342</v>
      </c>
      <c r="E52" s="409">
        <f t="shared" si="2"/>
        <v>1610.4932661450928</v>
      </c>
      <c r="F52" s="409">
        <f t="shared" si="8"/>
        <v>1380.8429321043527</v>
      </c>
      <c r="G52" s="409">
        <f t="shared" si="9"/>
        <v>229.65033404073992</v>
      </c>
      <c r="H52" s="409">
        <f t="shared" si="5"/>
        <v>53735.237237672991</v>
      </c>
    </row>
    <row r="53" spans="2:8" ht="24" customHeight="1">
      <c r="B53" s="407">
        <f>IF(SUM(ROWS($B$17:B53))&gt;$D$12,"",SUM(ROWS($B$17:B53)))</f>
        <v>37</v>
      </c>
      <c r="C53" s="408">
        <f t="shared" ca="1" si="6"/>
        <v>45713</v>
      </c>
      <c r="D53" s="409">
        <f t="shared" si="7"/>
        <v>53735.237237673056</v>
      </c>
      <c r="E53" s="409">
        <f t="shared" si="2"/>
        <v>1610.4932661450928</v>
      </c>
      <c r="F53" s="409">
        <f t="shared" si="8"/>
        <v>1386.5964443214543</v>
      </c>
      <c r="G53" s="409">
        <f t="shared" si="9"/>
        <v>223.89682182363839</v>
      </c>
      <c r="H53" s="409">
        <f t="shared" si="5"/>
        <v>52348.640793351602</v>
      </c>
    </row>
    <row r="54" spans="2:8" ht="24" customHeight="1">
      <c r="B54" s="407">
        <f>IF(SUM(ROWS($B$17:B54))&gt;$D$12,"",SUM(ROWS($B$17:B54)))</f>
        <v>38</v>
      </c>
      <c r="C54" s="408">
        <f t="shared" ca="1" si="6"/>
        <v>45741</v>
      </c>
      <c r="D54" s="409">
        <f t="shared" si="7"/>
        <v>52348.640793351602</v>
      </c>
      <c r="E54" s="409">
        <f t="shared" si="2"/>
        <v>1610.4932661450928</v>
      </c>
      <c r="F54" s="409">
        <f t="shared" si="8"/>
        <v>1392.3739295061271</v>
      </c>
      <c r="G54" s="409">
        <f t="shared" si="9"/>
        <v>218.11933663896571</v>
      </c>
      <c r="H54" s="409">
        <f t="shared" si="5"/>
        <v>50956.266863845478</v>
      </c>
    </row>
    <row r="55" spans="2:8" ht="24" customHeight="1">
      <c r="B55" s="407">
        <f>IF(SUM(ROWS($B$17:B55))&gt;$D$12,"",SUM(ROWS($B$17:B55)))</f>
        <v>39</v>
      </c>
      <c r="C55" s="408">
        <f t="shared" ca="1" si="6"/>
        <v>45772</v>
      </c>
      <c r="D55" s="409">
        <f t="shared" si="7"/>
        <v>50956.266863845463</v>
      </c>
      <c r="E55" s="409">
        <f t="shared" si="2"/>
        <v>1610.4932661450928</v>
      </c>
      <c r="F55" s="409">
        <f t="shared" si="8"/>
        <v>1398.1754875457361</v>
      </c>
      <c r="G55" s="409">
        <f t="shared" si="9"/>
        <v>212.31777859935687</v>
      </c>
      <c r="H55" s="409">
        <f t="shared" si="5"/>
        <v>49558.09137629973</v>
      </c>
    </row>
    <row r="56" spans="2:8" ht="24" customHeight="1">
      <c r="B56" s="407">
        <f>IF(SUM(ROWS($B$17:B56))&gt;$D$12,"",SUM(ROWS($B$17:B56)))</f>
        <v>40</v>
      </c>
      <c r="C56" s="408">
        <f t="shared" ca="1" si="6"/>
        <v>45802</v>
      </c>
      <c r="D56" s="409">
        <f t="shared" si="7"/>
        <v>49558.091376299679</v>
      </c>
      <c r="E56" s="409">
        <f t="shared" si="2"/>
        <v>1610.4932661450928</v>
      </c>
      <c r="F56" s="409">
        <f t="shared" si="8"/>
        <v>1404.0012187438433</v>
      </c>
      <c r="G56" s="409">
        <f t="shared" si="9"/>
        <v>206.49204740124958</v>
      </c>
      <c r="H56" s="409">
        <f t="shared" si="5"/>
        <v>48154.090157555838</v>
      </c>
    </row>
    <row r="57" spans="2:8" ht="24" customHeight="1">
      <c r="B57" s="407">
        <f>IF(SUM(ROWS($B$17:B57))&gt;$D$12,"",SUM(ROWS($B$17:B57)))</f>
        <v>41</v>
      </c>
      <c r="C57" s="408">
        <f t="shared" ca="1" si="6"/>
        <v>45833</v>
      </c>
      <c r="D57" s="409">
        <f t="shared" si="7"/>
        <v>48154.090157555853</v>
      </c>
      <c r="E57" s="409">
        <f t="shared" si="2"/>
        <v>1610.4932661450928</v>
      </c>
      <c r="F57" s="409">
        <f t="shared" si="8"/>
        <v>1409.8512238219425</v>
      </c>
      <c r="G57" s="409">
        <f t="shared" si="9"/>
        <v>200.64204232315026</v>
      </c>
      <c r="H57" s="409">
        <f t="shared" si="5"/>
        <v>46744.238933733912</v>
      </c>
    </row>
    <row r="58" spans="2:8" ht="24" customHeight="1">
      <c r="B58" s="407">
        <f>IF(SUM(ROWS($B$17:B58))&gt;$D$12,"",SUM(ROWS($B$17:B58)))</f>
        <v>42</v>
      </c>
      <c r="C58" s="408">
        <f t="shared" ca="1" si="6"/>
        <v>45863</v>
      </c>
      <c r="D58" s="409">
        <f t="shared" si="7"/>
        <v>46744.238933733941</v>
      </c>
      <c r="E58" s="409">
        <f t="shared" si="2"/>
        <v>1610.4932661450928</v>
      </c>
      <c r="F58" s="409">
        <f t="shared" si="8"/>
        <v>1415.7256039212007</v>
      </c>
      <c r="G58" s="409">
        <f t="shared" si="9"/>
        <v>194.76766222389222</v>
      </c>
      <c r="H58" s="409">
        <f t="shared" si="5"/>
        <v>45328.51332981274</v>
      </c>
    </row>
    <row r="59" spans="2:8" ht="24" customHeight="1">
      <c r="B59" s="407">
        <f>IF(SUM(ROWS($B$17:B59))&gt;$D$12,"",SUM(ROWS($B$17:B59)))</f>
        <v>43</v>
      </c>
      <c r="C59" s="408">
        <f t="shared" ca="1" si="6"/>
        <v>45894</v>
      </c>
      <c r="D59" s="409">
        <f t="shared" si="7"/>
        <v>45328.513329812646</v>
      </c>
      <c r="E59" s="409">
        <f t="shared" si="2"/>
        <v>1610.4932661450928</v>
      </c>
      <c r="F59" s="409">
        <f t="shared" si="8"/>
        <v>1421.6244606042055</v>
      </c>
      <c r="G59" s="409">
        <f t="shared" si="9"/>
        <v>188.86880554088717</v>
      </c>
      <c r="H59" s="409">
        <f t="shared" si="5"/>
        <v>43906.888869208444</v>
      </c>
    </row>
    <row r="60" spans="2:8" ht="24" customHeight="1">
      <c r="B60" s="407">
        <f>IF(SUM(ROWS($B$17:B60))&gt;$D$12,"",SUM(ROWS($B$17:B60)))</f>
        <v>44</v>
      </c>
      <c r="C60" s="408">
        <f t="shared" ca="1" si="6"/>
        <v>45925</v>
      </c>
      <c r="D60" s="409">
        <f t="shared" si="7"/>
        <v>43906.888869208502</v>
      </c>
      <c r="E60" s="409">
        <f t="shared" si="2"/>
        <v>1610.4932661450928</v>
      </c>
      <c r="F60" s="409">
        <f t="shared" si="8"/>
        <v>1427.5478958567232</v>
      </c>
      <c r="G60" s="409">
        <f t="shared" si="9"/>
        <v>182.94537028836967</v>
      </c>
      <c r="H60" s="409">
        <f t="shared" si="5"/>
        <v>42479.340973351776</v>
      </c>
    </row>
    <row r="61" spans="2:8" ht="24" customHeight="1">
      <c r="B61" s="407">
        <f>IF(SUM(ROWS($B$17:B61))&gt;$D$12,"",SUM(ROWS($B$17:B61)))</f>
        <v>45</v>
      </c>
      <c r="C61" s="408">
        <f t="shared" ca="1" si="6"/>
        <v>45955</v>
      </c>
      <c r="D61" s="409">
        <f t="shared" si="7"/>
        <v>42479.340973351747</v>
      </c>
      <c r="E61" s="409">
        <f t="shared" si="2"/>
        <v>1610.4932661450928</v>
      </c>
      <c r="F61" s="409">
        <f t="shared" si="8"/>
        <v>1433.4960120894593</v>
      </c>
      <c r="G61" s="409">
        <f t="shared" si="9"/>
        <v>176.99725405563331</v>
      </c>
      <c r="H61" s="409">
        <f t="shared" si="5"/>
        <v>41045.844961262286</v>
      </c>
    </row>
    <row r="62" spans="2:8" ht="24" customHeight="1">
      <c r="B62" s="407">
        <f>IF(SUM(ROWS($B$17:B62))&gt;$D$12,"",SUM(ROWS($B$17:B62)))</f>
        <v>46</v>
      </c>
      <c r="C62" s="408">
        <f t="shared" ca="1" si="6"/>
        <v>45986</v>
      </c>
      <c r="D62" s="409">
        <f t="shared" si="7"/>
        <v>41045.844961262352</v>
      </c>
      <c r="E62" s="409">
        <f t="shared" si="2"/>
        <v>1610.4932661450928</v>
      </c>
      <c r="F62" s="409">
        <f t="shared" si="8"/>
        <v>1439.4689121398324</v>
      </c>
      <c r="G62" s="409">
        <f t="shared" si="9"/>
        <v>171.02435400526056</v>
      </c>
      <c r="H62" s="409">
        <f t="shared" si="5"/>
        <v>39606.376049122518</v>
      </c>
    </row>
    <row r="63" spans="2:8" ht="24" customHeight="1">
      <c r="B63" s="407">
        <f>IF(SUM(ROWS($B$17:B63))&gt;$D$12,"",SUM(ROWS($B$17:B63)))</f>
        <v>47</v>
      </c>
      <c r="C63" s="408">
        <f t="shared" ca="1" si="6"/>
        <v>46016</v>
      </c>
      <c r="D63" s="409">
        <f t="shared" si="7"/>
        <v>39606.376049122497</v>
      </c>
      <c r="E63" s="409">
        <f t="shared" si="2"/>
        <v>1610.4932661450928</v>
      </c>
      <c r="F63" s="409">
        <f t="shared" si="8"/>
        <v>1445.4666992737482</v>
      </c>
      <c r="G63" s="409">
        <f t="shared" si="9"/>
        <v>165.02656687134458</v>
      </c>
      <c r="H63" s="409">
        <f t="shared" si="5"/>
        <v>38160.909349848749</v>
      </c>
    </row>
    <row r="64" spans="2:8" ht="24" customHeight="1">
      <c r="B64" s="407">
        <f>IF(SUM(ROWS($B$17:B64))&gt;$D$12,"",SUM(ROWS($B$17:B64)))</f>
        <v>48</v>
      </c>
      <c r="C64" s="408">
        <f t="shared" ca="1" si="6"/>
        <v>46047</v>
      </c>
      <c r="D64" s="409">
        <f t="shared" si="7"/>
        <v>38160.909349848633</v>
      </c>
      <c r="E64" s="409">
        <f t="shared" si="2"/>
        <v>1610.4932661450928</v>
      </c>
      <c r="F64" s="409">
        <f t="shared" si="8"/>
        <v>1451.489477187389</v>
      </c>
      <c r="G64" s="409">
        <f t="shared" si="9"/>
        <v>159.00378895770399</v>
      </c>
      <c r="H64" s="409">
        <f t="shared" si="5"/>
        <v>36709.419872661245</v>
      </c>
    </row>
    <row r="65" spans="2:8" ht="24" customHeight="1">
      <c r="B65" s="407">
        <f>IF(SUM(ROWS($B$17:B65))&gt;$D$12,"",SUM(ROWS($B$17:B65)))</f>
        <v>49</v>
      </c>
      <c r="C65" s="408">
        <f t="shared" ca="1" si="6"/>
        <v>46078</v>
      </c>
      <c r="D65" s="409">
        <f t="shared" si="7"/>
        <v>36709.419872661296</v>
      </c>
      <c r="E65" s="409">
        <f t="shared" si="2"/>
        <v>1610.4932661450928</v>
      </c>
      <c r="F65" s="409">
        <f t="shared" si="8"/>
        <v>1457.5373500090031</v>
      </c>
      <c r="G65" s="409">
        <f t="shared" si="9"/>
        <v>152.95591613608985</v>
      </c>
      <c r="H65" s="409">
        <f t="shared" si="5"/>
        <v>35251.882522652289</v>
      </c>
    </row>
    <row r="66" spans="2:8" ht="24" customHeight="1">
      <c r="B66" s="407">
        <f>IF(SUM(ROWS($B$17:B66))&gt;$D$12,"",SUM(ROWS($B$17:B66)))</f>
        <v>50</v>
      </c>
      <c r="C66" s="408">
        <f t="shared" ca="1" si="6"/>
        <v>46106</v>
      </c>
      <c r="D66" s="409">
        <f t="shared" si="7"/>
        <v>35251.882522652289</v>
      </c>
      <c r="E66" s="409">
        <f t="shared" si="2"/>
        <v>1610.4932661450928</v>
      </c>
      <c r="F66" s="409">
        <f t="shared" si="8"/>
        <v>1463.6104223007071</v>
      </c>
      <c r="G66" s="409">
        <f t="shared" si="9"/>
        <v>146.88284384438566</v>
      </c>
      <c r="H66" s="409">
        <f t="shared" si="5"/>
        <v>33788.272100351584</v>
      </c>
    </row>
    <row r="67" spans="2:8" ht="24" customHeight="1">
      <c r="B67" s="407">
        <f>IF(SUM(ROWS($B$17:B67))&gt;$D$12,"",SUM(ROWS($B$17:B67)))</f>
        <v>51</v>
      </c>
      <c r="C67" s="408">
        <f t="shared" ca="1" si="6"/>
        <v>46137</v>
      </c>
      <c r="D67" s="409">
        <f t="shared" si="7"/>
        <v>33788.272100351634</v>
      </c>
      <c r="E67" s="409">
        <f t="shared" si="2"/>
        <v>1610.4932661450928</v>
      </c>
      <c r="F67" s="409">
        <f t="shared" si="8"/>
        <v>1469.7087990602934</v>
      </c>
      <c r="G67" s="409">
        <f t="shared" si="9"/>
        <v>140.78446708479942</v>
      </c>
      <c r="H67" s="409">
        <f t="shared" si="5"/>
        <v>32318.563301291342</v>
      </c>
    </row>
    <row r="68" spans="2:8" ht="24" customHeight="1">
      <c r="B68" s="407">
        <f>IF(SUM(ROWS($B$17:B68))&gt;$D$12,"",SUM(ROWS($B$17:B68)))</f>
        <v>52</v>
      </c>
      <c r="C68" s="408">
        <f t="shared" ca="1" si="6"/>
        <v>46167</v>
      </c>
      <c r="D68" s="409">
        <f t="shared" si="7"/>
        <v>32318.563301291288</v>
      </c>
      <c r="E68" s="409">
        <f t="shared" si="2"/>
        <v>1610.4932661450928</v>
      </c>
      <c r="F68" s="409">
        <f t="shared" si="8"/>
        <v>1475.8325857230448</v>
      </c>
      <c r="G68" s="409">
        <f t="shared" si="9"/>
        <v>134.66068042204819</v>
      </c>
      <c r="H68" s="409">
        <f t="shared" si="5"/>
        <v>30842.730715568243</v>
      </c>
    </row>
    <row r="69" spans="2:8" ht="24" customHeight="1">
      <c r="B69" s="407">
        <f>IF(SUM(ROWS($B$17:B69))&gt;$D$12,"",SUM(ROWS($B$17:B69)))</f>
        <v>53</v>
      </c>
      <c r="C69" s="408">
        <f t="shared" ca="1" si="6"/>
        <v>46198</v>
      </c>
      <c r="D69" s="409">
        <f t="shared" si="7"/>
        <v>30842.730715568177</v>
      </c>
      <c r="E69" s="409">
        <f t="shared" si="2"/>
        <v>1610.4932661450928</v>
      </c>
      <c r="F69" s="409">
        <f t="shared" si="8"/>
        <v>1481.9818881635574</v>
      </c>
      <c r="G69" s="409">
        <f t="shared" si="9"/>
        <v>128.51137798153547</v>
      </c>
      <c r="H69" s="409">
        <f t="shared" si="5"/>
        <v>29360.748827404619</v>
      </c>
    </row>
    <row r="70" spans="2:8" ht="24" customHeight="1">
      <c r="B70" s="407">
        <f>IF(SUM(ROWS($B$17:B70))&gt;$D$12,"",SUM(ROWS($B$17:B70)))</f>
        <v>54</v>
      </c>
      <c r="C70" s="408">
        <f t="shared" ca="1" si="6"/>
        <v>46228</v>
      </c>
      <c r="D70" s="409">
        <f t="shared" si="7"/>
        <v>29360.748827404663</v>
      </c>
      <c r="E70" s="409">
        <f t="shared" si="2"/>
        <v>1610.4932661450928</v>
      </c>
      <c r="F70" s="409">
        <f t="shared" si="8"/>
        <v>1488.1568126975724</v>
      </c>
      <c r="G70" s="409">
        <f t="shared" si="9"/>
        <v>122.33645344752068</v>
      </c>
      <c r="H70" s="409">
        <f t="shared" si="5"/>
        <v>27872.59201470709</v>
      </c>
    </row>
    <row r="71" spans="2:8" ht="24" customHeight="1">
      <c r="B71" s="407">
        <f>IF(SUM(ROWS($B$17:B71))&gt;$D$12,"",SUM(ROWS($B$17:B71)))</f>
        <v>55</v>
      </c>
      <c r="C71" s="408">
        <f t="shared" ca="1" si="6"/>
        <v>46259</v>
      </c>
      <c r="D71" s="409">
        <f t="shared" si="7"/>
        <v>27872.592014707086</v>
      </c>
      <c r="E71" s="409">
        <f t="shared" si="2"/>
        <v>1610.4932661450928</v>
      </c>
      <c r="F71" s="409">
        <f t="shared" si="8"/>
        <v>1494.3574660838121</v>
      </c>
      <c r="G71" s="409">
        <f t="shared" si="9"/>
        <v>116.13580006128079</v>
      </c>
      <c r="H71" s="409">
        <f t="shared" si="5"/>
        <v>26378.234548623273</v>
      </c>
    </row>
    <row r="72" spans="2:8" ht="24" customHeight="1">
      <c r="B72" s="407">
        <f>IF(SUM(ROWS($B$17:B72))&gt;$D$12,"",SUM(ROWS($B$17:B72)))</f>
        <v>56</v>
      </c>
      <c r="C72" s="408">
        <f t="shared" ca="1" si="6"/>
        <v>46290</v>
      </c>
      <c r="D72" s="409">
        <f t="shared" si="7"/>
        <v>26378.234548623193</v>
      </c>
      <c r="E72" s="409">
        <f t="shared" si="2"/>
        <v>1610.4932661450928</v>
      </c>
      <c r="F72" s="409">
        <f t="shared" si="8"/>
        <v>1500.5839555258281</v>
      </c>
      <c r="G72" s="409">
        <f t="shared" si="9"/>
        <v>109.90931061926493</v>
      </c>
      <c r="H72" s="409">
        <f t="shared" si="5"/>
        <v>24877.650593097365</v>
      </c>
    </row>
    <row r="73" spans="2:8" ht="24" customHeight="1">
      <c r="B73" s="407">
        <f>IF(SUM(ROWS($B$17:B73))&gt;$D$12,"",SUM(ROWS($B$17:B73)))</f>
        <v>57</v>
      </c>
      <c r="C73" s="408">
        <f t="shared" ca="1" si="6"/>
        <v>46320</v>
      </c>
      <c r="D73" s="409">
        <f t="shared" si="7"/>
        <v>24877.650593097438</v>
      </c>
      <c r="E73" s="409">
        <f t="shared" si="2"/>
        <v>1610.4932661450928</v>
      </c>
      <c r="F73" s="409">
        <f t="shared" si="8"/>
        <v>1506.8363886738521</v>
      </c>
      <c r="G73" s="409">
        <f t="shared" si="9"/>
        <v>103.65687747124063</v>
      </c>
      <c r="H73" s="409">
        <f t="shared" si="5"/>
        <v>23370.814204423586</v>
      </c>
    </row>
    <row r="74" spans="2:8" ht="24" customHeight="1">
      <c r="B74" s="407">
        <f>IF(SUM(ROWS($B$17:B74))&gt;$D$12,"",SUM(ROWS($B$17:B74)))</f>
        <v>58</v>
      </c>
      <c r="C74" s="408">
        <f t="shared" ca="1" si="6"/>
        <v>46351</v>
      </c>
      <c r="D74" s="409">
        <f t="shared" si="7"/>
        <v>23370.814204423645</v>
      </c>
      <c r="E74" s="409">
        <f t="shared" si="2"/>
        <v>1610.4932661450928</v>
      </c>
      <c r="F74" s="409">
        <f t="shared" si="8"/>
        <v>1513.11487362666</v>
      </c>
      <c r="G74" s="409">
        <f t="shared" si="9"/>
        <v>97.378392518432918</v>
      </c>
      <c r="H74" s="409">
        <f t="shared" si="5"/>
        <v>21857.699330796986</v>
      </c>
    </row>
    <row r="75" spans="2:8" ht="24" customHeight="1">
      <c r="B75" s="407">
        <f>IF(SUM(ROWS($B$17:B75))&gt;$D$12,"",SUM(ROWS($B$17:B75)))</f>
        <v>59</v>
      </c>
      <c r="C75" s="408">
        <f t="shared" ca="1" si="6"/>
        <v>46381</v>
      </c>
      <c r="D75" s="409">
        <f t="shared" si="7"/>
        <v>21857.699330796866</v>
      </c>
      <c r="E75" s="409">
        <f t="shared" si="2"/>
        <v>1610.4932661450928</v>
      </c>
      <c r="F75" s="409">
        <f t="shared" si="8"/>
        <v>1519.4195189334378</v>
      </c>
      <c r="G75" s="409">
        <f t="shared" si="9"/>
        <v>91.073747211655174</v>
      </c>
      <c r="H75" s="409">
        <f t="shared" si="5"/>
        <v>20338.279811863427</v>
      </c>
    </row>
    <row r="76" spans="2:8" ht="24" customHeight="1">
      <c r="B76" s="407">
        <f>IF(SUM(ROWS($B$17:B76))&gt;$D$12,"",SUM(ROWS($B$17:B76)))</f>
        <v>60</v>
      </c>
      <c r="C76" s="408">
        <f t="shared" ca="1" si="6"/>
        <v>46412</v>
      </c>
      <c r="D76" s="409">
        <f t="shared" si="7"/>
        <v>20338.279811863511</v>
      </c>
      <c r="E76" s="409">
        <f t="shared" si="2"/>
        <v>1610.4932661450928</v>
      </c>
      <c r="F76" s="409">
        <f t="shared" si="8"/>
        <v>1525.7504335956605</v>
      </c>
      <c r="G76" s="409">
        <f t="shared" si="9"/>
        <v>84.742832549432507</v>
      </c>
      <c r="H76" s="409">
        <f t="shared" si="5"/>
        <v>18812.529378267849</v>
      </c>
    </row>
    <row r="77" spans="2:8" ht="24" customHeight="1">
      <c r="B77" s="407">
        <f>IF(SUM(ROWS($B$17:B77))&gt;$D$12,"",SUM(ROWS($B$17:B77)))</f>
        <v>61</v>
      </c>
      <c r="C77" s="408">
        <f t="shared" ca="1" si="6"/>
        <v>46443</v>
      </c>
      <c r="D77" s="409">
        <f t="shared" si="7"/>
        <v>18812.529378267805</v>
      </c>
      <c r="E77" s="409">
        <f t="shared" si="2"/>
        <v>1610.4932661450928</v>
      </c>
      <c r="F77" s="409">
        <f t="shared" si="8"/>
        <v>1532.1077270689757</v>
      </c>
      <c r="G77" s="409">
        <f t="shared" si="9"/>
        <v>78.385539076117269</v>
      </c>
      <c r="H77" s="409">
        <f t="shared" si="5"/>
        <v>17280.421651198831</v>
      </c>
    </row>
    <row r="78" spans="2:8" ht="24" customHeight="1">
      <c r="B78" s="407">
        <f>IF(SUM(ROWS($B$17:B78))&gt;$D$12,"",SUM(ROWS($B$17:B78)))</f>
        <v>62</v>
      </c>
      <c r="C78" s="408">
        <f t="shared" ca="1" si="6"/>
        <v>46471</v>
      </c>
      <c r="D78" s="409">
        <f t="shared" si="7"/>
        <v>17280.421651198863</v>
      </c>
      <c r="E78" s="409">
        <f t="shared" si="2"/>
        <v>1610.4932661450928</v>
      </c>
      <c r="F78" s="409">
        <f t="shared" si="8"/>
        <v>1538.4915092650963</v>
      </c>
      <c r="G78" s="409">
        <f t="shared" si="9"/>
        <v>72.001756879996535</v>
      </c>
      <c r="H78" s="409">
        <f t="shared" si="5"/>
        <v>15741.930141933768</v>
      </c>
    </row>
    <row r="79" spans="2:8" ht="24" customHeight="1">
      <c r="B79" s="407">
        <f>IF(SUM(ROWS($B$17:B79))&gt;$D$12,"",SUM(ROWS($B$17:B79)))</f>
        <v>63</v>
      </c>
      <c r="C79" s="408">
        <f t="shared" ca="1" si="6"/>
        <v>46502</v>
      </c>
      <c r="D79" s="409">
        <f t="shared" si="7"/>
        <v>15741.930141933786</v>
      </c>
      <c r="E79" s="409">
        <f t="shared" si="2"/>
        <v>1610.4932661450928</v>
      </c>
      <c r="F79" s="409">
        <f t="shared" si="8"/>
        <v>1544.9018905537009</v>
      </c>
      <c r="G79" s="409">
        <f t="shared" si="9"/>
        <v>65.591375591391952</v>
      </c>
      <c r="H79" s="409">
        <f t="shared" si="5"/>
        <v>14197.028251380085</v>
      </c>
    </row>
    <row r="80" spans="2:8" ht="24" customHeight="1">
      <c r="B80" s="407">
        <f>IF(SUM(ROWS($B$17:B80))&gt;$D$12,"",SUM(ROWS($B$17:B80)))</f>
        <v>64</v>
      </c>
      <c r="C80" s="408">
        <f t="shared" ca="1" si="6"/>
        <v>46532</v>
      </c>
      <c r="D80" s="409">
        <f t="shared" si="7"/>
        <v>14197.028251379859</v>
      </c>
      <c r="E80" s="409">
        <f t="shared" si="2"/>
        <v>1610.4932661450928</v>
      </c>
      <c r="F80" s="409">
        <f t="shared" si="8"/>
        <v>1551.3389817643413</v>
      </c>
      <c r="G80" s="409">
        <f t="shared" si="9"/>
        <v>59.154284380751541</v>
      </c>
      <c r="H80" s="409">
        <f t="shared" si="5"/>
        <v>12645.689269615517</v>
      </c>
    </row>
    <row r="81" spans="2:8" ht="24" customHeight="1">
      <c r="B81" s="407">
        <f>IF(SUM(ROWS($B$17:B81))&gt;$D$12,"",SUM(ROWS($B$17:B81)))</f>
        <v>65</v>
      </c>
      <c r="C81" s="408">
        <f t="shared" ref="C81:C112" ca="1" si="10">IFERROR(DATE(YEAR(LoanStartDate), MONTH(LoanStartDate) +B81,DAY(LoanStartDate)), "")</f>
        <v>46563</v>
      </c>
      <c r="D81" s="409">
        <f t="shared" ref="D81:D112" si="11">IFERROR(-FV(InterestRate/12,B81-1,-$D$11,LoanAmount),"")</f>
        <v>12645.689269615657</v>
      </c>
      <c r="E81" s="409">
        <f t="shared" si="2"/>
        <v>1610.4932661450928</v>
      </c>
      <c r="F81" s="409">
        <f t="shared" ref="F81:F112" si="12">IFERROR(-PPMT(InterestRate/12,B81,$D$12,LoanAmount),"")</f>
        <v>1557.8028941883595</v>
      </c>
      <c r="G81" s="409">
        <f t="shared" ref="G81:G112" si="13">IFERROR(-IPMT(InterestRate/12,B81,$D$12,LoanAmount),"")</f>
        <v>52.690371956733451</v>
      </c>
      <c r="H81" s="409">
        <f t="shared" si="5"/>
        <v>11087.886375427297</v>
      </c>
    </row>
    <row r="82" spans="2:8" ht="24" customHeight="1">
      <c r="B82" s="407">
        <f>IF(SUM(ROWS($B$17:B82))&gt;$D$12,"",SUM(ROWS($B$17:B82)))</f>
        <v>66</v>
      </c>
      <c r="C82" s="408">
        <f t="shared" ca="1" si="10"/>
        <v>46593</v>
      </c>
      <c r="D82" s="409">
        <f t="shared" si="11"/>
        <v>11087.886375427275</v>
      </c>
      <c r="E82" s="409">
        <f t="shared" ref="E82:E145" si="14">IF(LEN(B82)&gt;0, $D$11,"")</f>
        <v>1610.4932661450928</v>
      </c>
      <c r="F82" s="409">
        <f t="shared" si="12"/>
        <v>1564.293739580811</v>
      </c>
      <c r="G82" s="409">
        <f t="shared" si="13"/>
        <v>46.199526564281967</v>
      </c>
      <c r="H82" s="409">
        <f t="shared" ref="H82:H145" si="15">IFERROR(D82-F82,"")</f>
        <v>9523.592635846464</v>
      </c>
    </row>
    <row r="83" spans="2:8" ht="24" customHeight="1">
      <c r="B83" s="407">
        <f>IF(SUM(ROWS($B$17:B83))&gt;$D$12,"",SUM(ROWS($B$17:B83)))</f>
        <v>67</v>
      </c>
      <c r="C83" s="408">
        <f t="shared" ca="1" si="10"/>
        <v>46624</v>
      </c>
      <c r="D83" s="409">
        <f t="shared" si="11"/>
        <v>9523.5926358464494</v>
      </c>
      <c r="E83" s="409">
        <f t="shared" si="14"/>
        <v>1610.4932661450928</v>
      </c>
      <c r="F83" s="409">
        <f t="shared" si="12"/>
        <v>1570.8116301623977</v>
      </c>
      <c r="G83" s="409">
        <f t="shared" si="13"/>
        <v>39.681635982695255</v>
      </c>
      <c r="H83" s="409">
        <f t="shared" si="15"/>
        <v>7952.7810056840517</v>
      </c>
    </row>
    <row r="84" spans="2:8" ht="24" customHeight="1">
      <c r="B84" s="407">
        <f>IF(SUM(ROWS($B$17:B84))&gt;$D$12,"",SUM(ROWS($B$17:B84)))</f>
        <v>68</v>
      </c>
      <c r="C84" s="408">
        <f t="shared" ca="1" si="10"/>
        <v>46655</v>
      </c>
      <c r="D84" s="409">
        <f t="shared" si="11"/>
        <v>7952.7810056840244</v>
      </c>
      <c r="E84" s="409">
        <f t="shared" si="14"/>
        <v>1610.4932661450928</v>
      </c>
      <c r="F84" s="409">
        <f t="shared" si="12"/>
        <v>1577.3566786214076</v>
      </c>
      <c r="G84" s="409">
        <f t="shared" si="13"/>
        <v>33.13658752368525</v>
      </c>
      <c r="H84" s="409">
        <f t="shared" si="15"/>
        <v>6375.4243270626166</v>
      </c>
    </row>
    <row r="85" spans="2:8" ht="24" customHeight="1">
      <c r="B85" s="407">
        <f>IF(SUM(ROWS($B$17:B85))&gt;$D$12,"",SUM(ROWS($B$17:B85)))</f>
        <v>69</v>
      </c>
      <c r="C85" s="408">
        <f t="shared" ca="1" si="10"/>
        <v>46685</v>
      </c>
      <c r="D85" s="409">
        <f t="shared" si="11"/>
        <v>6375.4243270626175</v>
      </c>
      <c r="E85" s="409">
        <f t="shared" si="14"/>
        <v>1610.4932661450928</v>
      </c>
      <c r="F85" s="409">
        <f t="shared" si="12"/>
        <v>1583.9289981156633</v>
      </c>
      <c r="G85" s="409">
        <f t="shared" si="13"/>
        <v>26.564268029429392</v>
      </c>
      <c r="H85" s="409">
        <f t="shared" si="15"/>
        <v>4791.495328946954</v>
      </c>
    </row>
    <row r="86" spans="2:8" ht="24" customHeight="1">
      <c r="B86" s="407">
        <f>IF(SUM(ROWS($B$17:B86))&gt;$D$12,"",SUM(ROWS($B$17:B86)))</f>
        <v>70</v>
      </c>
      <c r="C86" s="408">
        <f t="shared" ca="1" si="10"/>
        <v>46716</v>
      </c>
      <c r="D86" s="409">
        <f t="shared" si="11"/>
        <v>4791.4953289469995</v>
      </c>
      <c r="E86" s="409">
        <f t="shared" si="14"/>
        <v>1610.4932661450928</v>
      </c>
      <c r="F86" s="409">
        <f t="shared" si="12"/>
        <v>1590.5287022744787</v>
      </c>
      <c r="G86" s="409">
        <f t="shared" si="13"/>
        <v>19.964563870614132</v>
      </c>
      <c r="H86" s="409">
        <f t="shared" si="15"/>
        <v>3200.9666266725208</v>
      </c>
    </row>
    <row r="87" spans="2:8" ht="24" customHeight="1">
      <c r="B87" s="407">
        <f>IF(SUM(ROWS($B$17:B87))&gt;$D$12,"",SUM(ROWS($B$17:B87)))</f>
        <v>71</v>
      </c>
      <c r="C87" s="408">
        <f t="shared" ca="1" si="10"/>
        <v>46746</v>
      </c>
      <c r="D87" s="409">
        <f t="shared" si="11"/>
        <v>3200.9666266725108</v>
      </c>
      <c r="E87" s="409">
        <f t="shared" si="14"/>
        <v>1610.4932661450928</v>
      </c>
      <c r="F87" s="409">
        <f t="shared" si="12"/>
        <v>1597.1559052006226</v>
      </c>
      <c r="G87" s="409">
        <f t="shared" si="13"/>
        <v>13.337360944470474</v>
      </c>
      <c r="H87" s="409">
        <f t="shared" si="15"/>
        <v>1603.8107214718882</v>
      </c>
    </row>
    <row r="88" spans="2:8" ht="24" customHeight="1">
      <c r="B88" s="407">
        <f>IF(SUM(ROWS($B$17:B88))&gt;$D$12,"",SUM(ROWS($B$17:B88)))</f>
        <v>72</v>
      </c>
      <c r="C88" s="408">
        <f t="shared" ca="1" si="10"/>
        <v>46777</v>
      </c>
      <c r="D88" s="409">
        <f t="shared" si="11"/>
        <v>1603.8107214718184</v>
      </c>
      <c r="E88" s="409">
        <f t="shared" si="14"/>
        <v>1610.4932661450928</v>
      </c>
      <c r="F88" s="409">
        <f t="shared" si="12"/>
        <v>1603.8107214722916</v>
      </c>
      <c r="G88" s="409">
        <f t="shared" si="13"/>
        <v>6.6825446728012139</v>
      </c>
      <c r="H88" s="409">
        <f t="shared" si="15"/>
        <v>-4.7316461859736592E-10</v>
      </c>
    </row>
    <row r="89" spans="2:8" ht="24" customHeight="1">
      <c r="B89" s="407" t="str">
        <f>IF(SUM(ROWS($B$17:B89))&gt;$D$12,"",SUM(ROWS($B$17:B89)))</f>
        <v/>
      </c>
      <c r="C89" s="408" t="str">
        <f t="shared" ca="1" si="10"/>
        <v/>
      </c>
      <c r="D89" s="409" t="str">
        <f t="shared" si="11"/>
        <v/>
      </c>
      <c r="E89" s="409" t="str">
        <f t="shared" si="14"/>
        <v/>
      </c>
      <c r="F89" s="409" t="str">
        <f t="shared" si="12"/>
        <v/>
      </c>
      <c r="G89" s="409" t="str">
        <f t="shared" si="13"/>
        <v/>
      </c>
      <c r="H89" s="409" t="str">
        <f t="shared" si="15"/>
        <v/>
      </c>
    </row>
    <row r="90" spans="2:8" ht="24" customHeight="1">
      <c r="B90" s="407" t="str">
        <f>IF(SUM(ROWS($B$17:B90))&gt;$D$12,"",SUM(ROWS($B$17:B90)))</f>
        <v/>
      </c>
      <c r="C90" s="408" t="str">
        <f t="shared" ca="1" si="10"/>
        <v/>
      </c>
      <c r="D90" s="409" t="str">
        <f t="shared" si="11"/>
        <v/>
      </c>
      <c r="E90" s="409" t="str">
        <f t="shared" si="14"/>
        <v/>
      </c>
      <c r="F90" s="409" t="str">
        <f t="shared" si="12"/>
        <v/>
      </c>
      <c r="G90" s="409" t="str">
        <f t="shared" si="13"/>
        <v/>
      </c>
      <c r="H90" s="409" t="str">
        <f t="shared" si="15"/>
        <v/>
      </c>
    </row>
    <row r="91" spans="2:8" ht="24" customHeight="1">
      <c r="B91" s="407" t="str">
        <f>IF(SUM(ROWS($B$17:B91))&gt;$D$12,"",SUM(ROWS($B$17:B91)))</f>
        <v/>
      </c>
      <c r="C91" s="408" t="str">
        <f t="shared" ca="1" si="10"/>
        <v/>
      </c>
      <c r="D91" s="409" t="str">
        <f t="shared" si="11"/>
        <v/>
      </c>
      <c r="E91" s="409" t="str">
        <f t="shared" si="14"/>
        <v/>
      </c>
      <c r="F91" s="409" t="str">
        <f t="shared" si="12"/>
        <v/>
      </c>
      <c r="G91" s="409" t="str">
        <f t="shared" si="13"/>
        <v/>
      </c>
      <c r="H91" s="409" t="str">
        <f t="shared" si="15"/>
        <v/>
      </c>
    </row>
    <row r="92" spans="2:8" ht="24" customHeight="1">
      <c r="B92" s="407" t="str">
        <f>IF(SUM(ROWS($B$17:B92))&gt;$D$12,"",SUM(ROWS($B$17:B92)))</f>
        <v/>
      </c>
      <c r="C92" s="408" t="str">
        <f t="shared" ca="1" si="10"/>
        <v/>
      </c>
      <c r="D92" s="409" t="str">
        <f t="shared" si="11"/>
        <v/>
      </c>
      <c r="E92" s="409" t="str">
        <f t="shared" si="14"/>
        <v/>
      </c>
      <c r="F92" s="409" t="str">
        <f t="shared" si="12"/>
        <v/>
      </c>
      <c r="G92" s="409" t="str">
        <f t="shared" si="13"/>
        <v/>
      </c>
      <c r="H92" s="409" t="str">
        <f t="shared" si="15"/>
        <v/>
      </c>
    </row>
    <row r="93" spans="2:8" ht="24" customHeight="1">
      <c r="B93" s="407" t="str">
        <f>IF(SUM(ROWS($B$17:B93))&gt;$D$12,"",SUM(ROWS($B$17:B93)))</f>
        <v/>
      </c>
      <c r="C93" s="408" t="str">
        <f t="shared" ca="1" si="10"/>
        <v/>
      </c>
      <c r="D93" s="409" t="str">
        <f t="shared" si="11"/>
        <v/>
      </c>
      <c r="E93" s="409" t="str">
        <f t="shared" si="14"/>
        <v/>
      </c>
      <c r="F93" s="409" t="str">
        <f t="shared" si="12"/>
        <v/>
      </c>
      <c r="G93" s="409" t="str">
        <f t="shared" si="13"/>
        <v/>
      </c>
      <c r="H93" s="409" t="str">
        <f t="shared" si="15"/>
        <v/>
      </c>
    </row>
    <row r="94" spans="2:8" ht="24" customHeight="1">
      <c r="B94" s="407" t="str">
        <f>IF(SUM(ROWS($B$17:B94))&gt;$D$12,"",SUM(ROWS($B$17:B94)))</f>
        <v/>
      </c>
      <c r="C94" s="408" t="str">
        <f t="shared" ca="1" si="10"/>
        <v/>
      </c>
      <c r="D94" s="409" t="str">
        <f t="shared" si="11"/>
        <v/>
      </c>
      <c r="E94" s="409" t="str">
        <f t="shared" si="14"/>
        <v/>
      </c>
      <c r="F94" s="409" t="str">
        <f t="shared" si="12"/>
        <v/>
      </c>
      <c r="G94" s="409" t="str">
        <f t="shared" si="13"/>
        <v/>
      </c>
      <c r="H94" s="409" t="str">
        <f t="shared" si="15"/>
        <v/>
      </c>
    </row>
    <row r="95" spans="2:8" ht="24" customHeight="1">
      <c r="B95" s="407" t="str">
        <f>IF(SUM(ROWS($B$17:B95))&gt;$D$12,"",SUM(ROWS($B$17:B95)))</f>
        <v/>
      </c>
      <c r="C95" s="408" t="str">
        <f t="shared" ca="1" si="10"/>
        <v/>
      </c>
      <c r="D95" s="409" t="str">
        <f t="shared" si="11"/>
        <v/>
      </c>
      <c r="E95" s="409" t="str">
        <f t="shared" si="14"/>
        <v/>
      </c>
      <c r="F95" s="409" t="str">
        <f t="shared" si="12"/>
        <v/>
      </c>
      <c r="G95" s="409" t="str">
        <f t="shared" si="13"/>
        <v/>
      </c>
      <c r="H95" s="409" t="str">
        <f t="shared" si="15"/>
        <v/>
      </c>
    </row>
    <row r="96" spans="2:8" ht="24" customHeight="1">
      <c r="B96" s="407" t="str">
        <f>IF(SUM(ROWS($B$17:B96))&gt;$D$12,"",SUM(ROWS($B$17:B96)))</f>
        <v/>
      </c>
      <c r="C96" s="408" t="str">
        <f t="shared" ca="1" si="10"/>
        <v/>
      </c>
      <c r="D96" s="409" t="str">
        <f t="shared" si="11"/>
        <v/>
      </c>
      <c r="E96" s="409" t="str">
        <f t="shared" si="14"/>
        <v/>
      </c>
      <c r="F96" s="409" t="str">
        <f t="shared" si="12"/>
        <v/>
      </c>
      <c r="G96" s="409" t="str">
        <f t="shared" si="13"/>
        <v/>
      </c>
      <c r="H96" s="409" t="str">
        <f t="shared" si="15"/>
        <v/>
      </c>
    </row>
    <row r="97" spans="2:8" ht="24" customHeight="1">
      <c r="B97" s="407" t="str">
        <f>IF(SUM(ROWS($B$17:B97))&gt;$D$12,"",SUM(ROWS($B$17:B97)))</f>
        <v/>
      </c>
      <c r="C97" s="408" t="str">
        <f t="shared" ca="1" si="10"/>
        <v/>
      </c>
      <c r="D97" s="409" t="str">
        <f t="shared" si="11"/>
        <v/>
      </c>
      <c r="E97" s="409" t="str">
        <f t="shared" si="14"/>
        <v/>
      </c>
      <c r="F97" s="409" t="str">
        <f t="shared" si="12"/>
        <v/>
      </c>
      <c r="G97" s="409" t="str">
        <f t="shared" si="13"/>
        <v/>
      </c>
      <c r="H97" s="409" t="str">
        <f t="shared" si="15"/>
        <v/>
      </c>
    </row>
    <row r="98" spans="2:8" ht="24" customHeight="1">
      <c r="B98" s="407" t="str">
        <f>IF(SUM(ROWS($B$17:B98))&gt;$D$12,"",SUM(ROWS($B$17:B98)))</f>
        <v/>
      </c>
      <c r="C98" s="408" t="str">
        <f t="shared" ca="1" si="10"/>
        <v/>
      </c>
      <c r="D98" s="409" t="str">
        <f t="shared" si="11"/>
        <v/>
      </c>
      <c r="E98" s="409" t="str">
        <f t="shared" si="14"/>
        <v/>
      </c>
      <c r="F98" s="409" t="str">
        <f t="shared" si="12"/>
        <v/>
      </c>
      <c r="G98" s="409" t="str">
        <f t="shared" si="13"/>
        <v/>
      </c>
      <c r="H98" s="409" t="str">
        <f t="shared" si="15"/>
        <v/>
      </c>
    </row>
    <row r="99" spans="2:8" ht="24" customHeight="1">
      <c r="B99" s="407" t="str">
        <f>IF(SUM(ROWS($B$17:B99))&gt;$D$12,"",SUM(ROWS($B$17:B99)))</f>
        <v/>
      </c>
      <c r="C99" s="408" t="str">
        <f t="shared" ca="1" si="10"/>
        <v/>
      </c>
      <c r="D99" s="409" t="str">
        <f t="shared" si="11"/>
        <v/>
      </c>
      <c r="E99" s="409" t="str">
        <f t="shared" si="14"/>
        <v/>
      </c>
      <c r="F99" s="409" t="str">
        <f t="shared" si="12"/>
        <v/>
      </c>
      <c r="G99" s="409" t="str">
        <f t="shared" si="13"/>
        <v/>
      </c>
      <c r="H99" s="409" t="str">
        <f t="shared" si="15"/>
        <v/>
      </c>
    </row>
    <row r="100" spans="2:8" ht="24" customHeight="1">
      <c r="B100" s="407" t="str">
        <f>IF(SUM(ROWS($B$17:B100))&gt;$D$12,"",SUM(ROWS($B$17:B100)))</f>
        <v/>
      </c>
      <c r="C100" s="408" t="str">
        <f t="shared" ca="1" si="10"/>
        <v/>
      </c>
      <c r="D100" s="409" t="str">
        <f t="shared" si="11"/>
        <v/>
      </c>
      <c r="E100" s="409" t="str">
        <f t="shared" si="14"/>
        <v/>
      </c>
      <c r="F100" s="409" t="str">
        <f t="shared" si="12"/>
        <v/>
      </c>
      <c r="G100" s="409" t="str">
        <f t="shared" si="13"/>
        <v/>
      </c>
      <c r="H100" s="409" t="str">
        <f t="shared" si="15"/>
        <v/>
      </c>
    </row>
    <row r="101" spans="2:8" ht="24" customHeight="1">
      <c r="B101" s="407" t="str">
        <f>IF(SUM(ROWS($B$17:B101))&gt;$D$12,"",SUM(ROWS($B$17:B101)))</f>
        <v/>
      </c>
      <c r="C101" s="408" t="str">
        <f t="shared" ca="1" si="10"/>
        <v/>
      </c>
      <c r="D101" s="409" t="str">
        <f t="shared" si="11"/>
        <v/>
      </c>
      <c r="E101" s="409" t="str">
        <f t="shared" si="14"/>
        <v/>
      </c>
      <c r="F101" s="409" t="str">
        <f t="shared" si="12"/>
        <v/>
      </c>
      <c r="G101" s="409" t="str">
        <f t="shared" si="13"/>
        <v/>
      </c>
      <c r="H101" s="409" t="str">
        <f t="shared" si="15"/>
        <v/>
      </c>
    </row>
    <row r="102" spans="2:8" ht="24" customHeight="1">
      <c r="B102" s="407" t="str">
        <f>IF(SUM(ROWS($B$17:B102))&gt;$D$12,"",SUM(ROWS($B$17:B102)))</f>
        <v/>
      </c>
      <c r="C102" s="408" t="str">
        <f t="shared" ca="1" si="10"/>
        <v/>
      </c>
      <c r="D102" s="409" t="str">
        <f t="shared" si="11"/>
        <v/>
      </c>
      <c r="E102" s="409" t="str">
        <f t="shared" si="14"/>
        <v/>
      </c>
      <c r="F102" s="409" t="str">
        <f t="shared" si="12"/>
        <v/>
      </c>
      <c r="G102" s="409" t="str">
        <f t="shared" si="13"/>
        <v/>
      </c>
      <c r="H102" s="409" t="str">
        <f t="shared" si="15"/>
        <v/>
      </c>
    </row>
    <row r="103" spans="2:8" ht="24" customHeight="1">
      <c r="B103" s="407" t="str">
        <f>IF(SUM(ROWS($B$17:B103))&gt;$D$12,"",SUM(ROWS($B$17:B103)))</f>
        <v/>
      </c>
      <c r="C103" s="408" t="str">
        <f t="shared" ca="1" si="10"/>
        <v/>
      </c>
      <c r="D103" s="409" t="str">
        <f t="shared" si="11"/>
        <v/>
      </c>
      <c r="E103" s="409" t="str">
        <f t="shared" si="14"/>
        <v/>
      </c>
      <c r="F103" s="409" t="str">
        <f t="shared" si="12"/>
        <v/>
      </c>
      <c r="G103" s="409" t="str">
        <f t="shared" si="13"/>
        <v/>
      </c>
      <c r="H103" s="409" t="str">
        <f t="shared" si="15"/>
        <v/>
      </c>
    </row>
    <row r="104" spans="2:8" ht="24" customHeight="1">
      <c r="B104" s="407" t="str">
        <f>IF(SUM(ROWS($B$17:B104))&gt;$D$12,"",SUM(ROWS($B$17:B104)))</f>
        <v/>
      </c>
      <c r="C104" s="408" t="str">
        <f t="shared" ca="1" si="10"/>
        <v/>
      </c>
      <c r="D104" s="409" t="str">
        <f t="shared" si="11"/>
        <v/>
      </c>
      <c r="E104" s="409" t="str">
        <f t="shared" si="14"/>
        <v/>
      </c>
      <c r="F104" s="409" t="str">
        <f t="shared" si="12"/>
        <v/>
      </c>
      <c r="G104" s="409" t="str">
        <f t="shared" si="13"/>
        <v/>
      </c>
      <c r="H104" s="409" t="str">
        <f t="shared" si="15"/>
        <v/>
      </c>
    </row>
    <row r="105" spans="2:8" ht="24" customHeight="1">
      <c r="B105" s="407" t="str">
        <f>IF(SUM(ROWS($B$17:B105))&gt;$D$12,"",SUM(ROWS($B$17:B105)))</f>
        <v/>
      </c>
      <c r="C105" s="408" t="str">
        <f t="shared" ca="1" si="10"/>
        <v/>
      </c>
      <c r="D105" s="409" t="str">
        <f t="shared" si="11"/>
        <v/>
      </c>
      <c r="E105" s="409" t="str">
        <f t="shared" si="14"/>
        <v/>
      </c>
      <c r="F105" s="409" t="str">
        <f t="shared" si="12"/>
        <v/>
      </c>
      <c r="G105" s="409" t="str">
        <f t="shared" si="13"/>
        <v/>
      </c>
      <c r="H105" s="409" t="str">
        <f t="shared" si="15"/>
        <v/>
      </c>
    </row>
    <row r="106" spans="2:8" ht="24" customHeight="1">
      <c r="B106" s="407" t="str">
        <f>IF(SUM(ROWS($B$17:B106))&gt;$D$12,"",SUM(ROWS($B$17:B106)))</f>
        <v/>
      </c>
      <c r="C106" s="408" t="str">
        <f t="shared" ca="1" si="10"/>
        <v/>
      </c>
      <c r="D106" s="409" t="str">
        <f t="shared" si="11"/>
        <v/>
      </c>
      <c r="E106" s="409" t="str">
        <f t="shared" si="14"/>
        <v/>
      </c>
      <c r="F106" s="409" t="str">
        <f t="shared" si="12"/>
        <v/>
      </c>
      <c r="G106" s="409" t="str">
        <f t="shared" si="13"/>
        <v/>
      </c>
      <c r="H106" s="409" t="str">
        <f t="shared" si="15"/>
        <v/>
      </c>
    </row>
    <row r="107" spans="2:8" ht="24" customHeight="1">
      <c r="B107" s="407" t="str">
        <f>IF(SUM(ROWS($B$17:B107))&gt;$D$12,"",SUM(ROWS($B$17:B107)))</f>
        <v/>
      </c>
      <c r="C107" s="408" t="str">
        <f t="shared" ca="1" si="10"/>
        <v/>
      </c>
      <c r="D107" s="409" t="str">
        <f t="shared" si="11"/>
        <v/>
      </c>
      <c r="E107" s="409" t="str">
        <f t="shared" si="14"/>
        <v/>
      </c>
      <c r="F107" s="409" t="str">
        <f t="shared" si="12"/>
        <v/>
      </c>
      <c r="G107" s="409" t="str">
        <f t="shared" si="13"/>
        <v/>
      </c>
      <c r="H107" s="409" t="str">
        <f t="shared" si="15"/>
        <v/>
      </c>
    </row>
    <row r="108" spans="2:8" ht="24" customHeight="1">
      <c r="B108" s="407" t="str">
        <f>IF(SUM(ROWS($B$17:B108))&gt;$D$12,"",SUM(ROWS($B$17:B108)))</f>
        <v/>
      </c>
      <c r="C108" s="408" t="str">
        <f t="shared" ca="1" si="10"/>
        <v/>
      </c>
      <c r="D108" s="409" t="str">
        <f t="shared" si="11"/>
        <v/>
      </c>
      <c r="E108" s="409" t="str">
        <f t="shared" si="14"/>
        <v/>
      </c>
      <c r="F108" s="409" t="str">
        <f t="shared" si="12"/>
        <v/>
      </c>
      <c r="G108" s="409" t="str">
        <f t="shared" si="13"/>
        <v/>
      </c>
      <c r="H108" s="409" t="str">
        <f t="shared" si="15"/>
        <v/>
      </c>
    </row>
    <row r="109" spans="2:8" ht="24" customHeight="1">
      <c r="B109" s="407" t="str">
        <f>IF(SUM(ROWS($B$17:B109))&gt;$D$12,"",SUM(ROWS($B$17:B109)))</f>
        <v/>
      </c>
      <c r="C109" s="408" t="str">
        <f t="shared" ca="1" si="10"/>
        <v/>
      </c>
      <c r="D109" s="409" t="str">
        <f t="shared" si="11"/>
        <v/>
      </c>
      <c r="E109" s="409" t="str">
        <f t="shared" si="14"/>
        <v/>
      </c>
      <c r="F109" s="409" t="str">
        <f t="shared" si="12"/>
        <v/>
      </c>
      <c r="G109" s="409" t="str">
        <f t="shared" si="13"/>
        <v/>
      </c>
      <c r="H109" s="409" t="str">
        <f t="shared" si="15"/>
        <v/>
      </c>
    </row>
    <row r="110" spans="2:8" ht="24" customHeight="1">
      <c r="B110" s="407" t="str">
        <f>IF(SUM(ROWS($B$17:B110))&gt;$D$12,"",SUM(ROWS($B$17:B110)))</f>
        <v/>
      </c>
      <c r="C110" s="408" t="str">
        <f t="shared" ca="1" si="10"/>
        <v/>
      </c>
      <c r="D110" s="409" t="str">
        <f t="shared" si="11"/>
        <v/>
      </c>
      <c r="E110" s="409" t="str">
        <f t="shared" si="14"/>
        <v/>
      </c>
      <c r="F110" s="409" t="str">
        <f t="shared" si="12"/>
        <v/>
      </c>
      <c r="G110" s="409" t="str">
        <f t="shared" si="13"/>
        <v/>
      </c>
      <c r="H110" s="409" t="str">
        <f t="shared" si="15"/>
        <v/>
      </c>
    </row>
    <row r="111" spans="2:8" ht="24" customHeight="1">
      <c r="B111" s="407" t="str">
        <f>IF(SUM(ROWS($B$17:B111))&gt;$D$12,"",SUM(ROWS($B$17:B111)))</f>
        <v/>
      </c>
      <c r="C111" s="408" t="str">
        <f t="shared" ca="1" si="10"/>
        <v/>
      </c>
      <c r="D111" s="409" t="str">
        <f t="shared" si="11"/>
        <v/>
      </c>
      <c r="E111" s="409" t="str">
        <f t="shared" si="14"/>
        <v/>
      </c>
      <c r="F111" s="409" t="str">
        <f t="shared" si="12"/>
        <v/>
      </c>
      <c r="G111" s="409" t="str">
        <f t="shared" si="13"/>
        <v/>
      </c>
      <c r="H111" s="409" t="str">
        <f t="shared" si="15"/>
        <v/>
      </c>
    </row>
    <row r="112" spans="2:8" ht="24" customHeight="1">
      <c r="B112" s="407" t="str">
        <f>IF(SUM(ROWS($B$17:B112))&gt;$D$12,"",SUM(ROWS($B$17:B112)))</f>
        <v/>
      </c>
      <c r="C112" s="408" t="str">
        <f t="shared" ca="1" si="10"/>
        <v/>
      </c>
      <c r="D112" s="409" t="str">
        <f t="shared" si="11"/>
        <v/>
      </c>
      <c r="E112" s="409" t="str">
        <f t="shared" si="14"/>
        <v/>
      </c>
      <c r="F112" s="409" t="str">
        <f t="shared" si="12"/>
        <v/>
      </c>
      <c r="G112" s="409" t="str">
        <f t="shared" si="13"/>
        <v/>
      </c>
      <c r="H112" s="409" t="str">
        <f t="shared" si="15"/>
        <v/>
      </c>
    </row>
    <row r="113" spans="2:8" ht="24" customHeight="1">
      <c r="B113" s="407" t="str">
        <f>IF(SUM(ROWS($B$17:B113))&gt;$D$12,"",SUM(ROWS($B$17:B113)))</f>
        <v/>
      </c>
      <c r="C113" s="408" t="str">
        <f t="shared" ref="C113:C144" ca="1" si="16">IFERROR(DATE(YEAR(LoanStartDate), MONTH(LoanStartDate) +B113,DAY(LoanStartDate)), "")</f>
        <v/>
      </c>
      <c r="D113" s="409" t="str">
        <f t="shared" ref="D113:D144" si="17">IFERROR(-FV(InterestRate/12,B113-1,-$D$11,LoanAmount),"")</f>
        <v/>
      </c>
      <c r="E113" s="409" t="str">
        <f t="shared" si="14"/>
        <v/>
      </c>
      <c r="F113" s="409" t="str">
        <f t="shared" ref="F113:F144" si="18">IFERROR(-PPMT(InterestRate/12,B113,$D$12,LoanAmount),"")</f>
        <v/>
      </c>
      <c r="G113" s="409" t="str">
        <f t="shared" ref="G113:G144" si="19">IFERROR(-IPMT(InterestRate/12,B113,$D$12,LoanAmount),"")</f>
        <v/>
      </c>
      <c r="H113" s="409" t="str">
        <f t="shared" si="15"/>
        <v/>
      </c>
    </row>
    <row r="114" spans="2:8" ht="24" customHeight="1">
      <c r="B114" s="407" t="str">
        <f>IF(SUM(ROWS($B$17:B114))&gt;$D$12,"",SUM(ROWS($B$17:B114)))</f>
        <v/>
      </c>
      <c r="C114" s="408" t="str">
        <f t="shared" ca="1" si="16"/>
        <v/>
      </c>
      <c r="D114" s="409" t="str">
        <f t="shared" si="17"/>
        <v/>
      </c>
      <c r="E114" s="409" t="str">
        <f t="shared" si="14"/>
        <v/>
      </c>
      <c r="F114" s="409" t="str">
        <f t="shared" si="18"/>
        <v/>
      </c>
      <c r="G114" s="409" t="str">
        <f t="shared" si="19"/>
        <v/>
      </c>
      <c r="H114" s="409" t="str">
        <f t="shared" si="15"/>
        <v/>
      </c>
    </row>
    <row r="115" spans="2:8" ht="24" customHeight="1">
      <c r="B115" s="407" t="str">
        <f>IF(SUM(ROWS($B$17:B115))&gt;$D$12,"",SUM(ROWS($B$17:B115)))</f>
        <v/>
      </c>
      <c r="C115" s="408" t="str">
        <f t="shared" ca="1" si="16"/>
        <v/>
      </c>
      <c r="D115" s="409" t="str">
        <f t="shared" si="17"/>
        <v/>
      </c>
      <c r="E115" s="409" t="str">
        <f t="shared" si="14"/>
        <v/>
      </c>
      <c r="F115" s="409" t="str">
        <f t="shared" si="18"/>
        <v/>
      </c>
      <c r="G115" s="409" t="str">
        <f t="shared" si="19"/>
        <v/>
      </c>
      <c r="H115" s="409" t="str">
        <f t="shared" si="15"/>
        <v/>
      </c>
    </row>
    <row r="116" spans="2:8" ht="24" customHeight="1">
      <c r="B116" s="407" t="str">
        <f>IF(SUM(ROWS($B$17:B116))&gt;$D$12,"",SUM(ROWS($B$17:B116)))</f>
        <v/>
      </c>
      <c r="C116" s="408" t="str">
        <f t="shared" ca="1" si="16"/>
        <v/>
      </c>
      <c r="D116" s="409" t="str">
        <f t="shared" si="17"/>
        <v/>
      </c>
      <c r="E116" s="409" t="str">
        <f t="shared" si="14"/>
        <v/>
      </c>
      <c r="F116" s="409" t="str">
        <f t="shared" si="18"/>
        <v/>
      </c>
      <c r="G116" s="409" t="str">
        <f t="shared" si="19"/>
        <v/>
      </c>
      <c r="H116" s="409" t="str">
        <f t="shared" si="15"/>
        <v/>
      </c>
    </row>
    <row r="117" spans="2:8" ht="24" customHeight="1">
      <c r="B117" s="407" t="str">
        <f>IF(SUM(ROWS($B$17:B117))&gt;$D$12,"",SUM(ROWS($B$17:B117)))</f>
        <v/>
      </c>
      <c r="C117" s="408" t="str">
        <f t="shared" ca="1" si="16"/>
        <v/>
      </c>
      <c r="D117" s="409" t="str">
        <f t="shared" si="17"/>
        <v/>
      </c>
      <c r="E117" s="409" t="str">
        <f t="shared" si="14"/>
        <v/>
      </c>
      <c r="F117" s="409" t="str">
        <f t="shared" si="18"/>
        <v/>
      </c>
      <c r="G117" s="409" t="str">
        <f t="shared" si="19"/>
        <v/>
      </c>
      <c r="H117" s="409" t="str">
        <f t="shared" si="15"/>
        <v/>
      </c>
    </row>
    <row r="118" spans="2:8" ht="24" customHeight="1">
      <c r="B118" s="407" t="str">
        <f>IF(SUM(ROWS($B$17:B118))&gt;$D$12,"",SUM(ROWS($B$17:B118)))</f>
        <v/>
      </c>
      <c r="C118" s="408" t="str">
        <f t="shared" ca="1" si="16"/>
        <v/>
      </c>
      <c r="D118" s="409" t="str">
        <f t="shared" si="17"/>
        <v/>
      </c>
      <c r="E118" s="409" t="str">
        <f t="shared" si="14"/>
        <v/>
      </c>
      <c r="F118" s="409" t="str">
        <f t="shared" si="18"/>
        <v/>
      </c>
      <c r="G118" s="409" t="str">
        <f t="shared" si="19"/>
        <v/>
      </c>
      <c r="H118" s="409" t="str">
        <f t="shared" si="15"/>
        <v/>
      </c>
    </row>
    <row r="119" spans="2:8" ht="24" customHeight="1">
      <c r="B119" s="407" t="str">
        <f>IF(SUM(ROWS($B$17:B119))&gt;$D$12,"",SUM(ROWS($B$17:B119)))</f>
        <v/>
      </c>
      <c r="C119" s="408" t="str">
        <f t="shared" ca="1" si="16"/>
        <v/>
      </c>
      <c r="D119" s="409" t="str">
        <f t="shared" si="17"/>
        <v/>
      </c>
      <c r="E119" s="409" t="str">
        <f t="shared" si="14"/>
        <v/>
      </c>
      <c r="F119" s="409" t="str">
        <f t="shared" si="18"/>
        <v/>
      </c>
      <c r="G119" s="409" t="str">
        <f t="shared" si="19"/>
        <v/>
      </c>
      <c r="H119" s="409" t="str">
        <f t="shared" si="15"/>
        <v/>
      </c>
    </row>
    <row r="120" spans="2:8" ht="24" customHeight="1">
      <c r="B120" s="407" t="str">
        <f>IF(SUM(ROWS($B$17:B120))&gt;$D$12,"",SUM(ROWS($B$17:B120)))</f>
        <v/>
      </c>
      <c r="C120" s="408" t="str">
        <f t="shared" ca="1" si="16"/>
        <v/>
      </c>
      <c r="D120" s="409" t="str">
        <f t="shared" si="17"/>
        <v/>
      </c>
      <c r="E120" s="409" t="str">
        <f t="shared" si="14"/>
        <v/>
      </c>
      <c r="F120" s="409" t="str">
        <f t="shared" si="18"/>
        <v/>
      </c>
      <c r="G120" s="409" t="str">
        <f t="shared" si="19"/>
        <v/>
      </c>
      <c r="H120" s="409" t="str">
        <f t="shared" si="15"/>
        <v/>
      </c>
    </row>
    <row r="121" spans="2:8" ht="24" customHeight="1">
      <c r="B121" s="407" t="str">
        <f>IF(SUM(ROWS($B$17:B121))&gt;$D$12,"",SUM(ROWS($B$17:B121)))</f>
        <v/>
      </c>
      <c r="C121" s="408" t="str">
        <f t="shared" ca="1" si="16"/>
        <v/>
      </c>
      <c r="D121" s="409" t="str">
        <f t="shared" si="17"/>
        <v/>
      </c>
      <c r="E121" s="409" t="str">
        <f t="shared" si="14"/>
        <v/>
      </c>
      <c r="F121" s="409" t="str">
        <f t="shared" si="18"/>
        <v/>
      </c>
      <c r="G121" s="409" t="str">
        <f t="shared" si="19"/>
        <v/>
      </c>
      <c r="H121" s="409" t="str">
        <f t="shared" si="15"/>
        <v/>
      </c>
    </row>
    <row r="122" spans="2:8" ht="24" customHeight="1">
      <c r="B122" s="407" t="str">
        <f>IF(SUM(ROWS($B$17:B122))&gt;$D$12,"",SUM(ROWS($B$17:B122)))</f>
        <v/>
      </c>
      <c r="C122" s="408" t="str">
        <f t="shared" ca="1" si="16"/>
        <v/>
      </c>
      <c r="D122" s="409" t="str">
        <f t="shared" si="17"/>
        <v/>
      </c>
      <c r="E122" s="409" t="str">
        <f t="shared" si="14"/>
        <v/>
      </c>
      <c r="F122" s="409" t="str">
        <f t="shared" si="18"/>
        <v/>
      </c>
      <c r="G122" s="409" t="str">
        <f t="shared" si="19"/>
        <v/>
      </c>
      <c r="H122" s="409" t="str">
        <f t="shared" si="15"/>
        <v/>
      </c>
    </row>
    <row r="123" spans="2:8" ht="24" customHeight="1">
      <c r="B123" s="407" t="str">
        <f>IF(SUM(ROWS($B$17:B123))&gt;$D$12,"",SUM(ROWS($B$17:B123)))</f>
        <v/>
      </c>
      <c r="C123" s="408" t="str">
        <f t="shared" ca="1" si="16"/>
        <v/>
      </c>
      <c r="D123" s="409" t="str">
        <f t="shared" si="17"/>
        <v/>
      </c>
      <c r="E123" s="409" t="str">
        <f t="shared" si="14"/>
        <v/>
      </c>
      <c r="F123" s="409" t="str">
        <f t="shared" si="18"/>
        <v/>
      </c>
      <c r="G123" s="409" t="str">
        <f t="shared" si="19"/>
        <v/>
      </c>
      <c r="H123" s="409" t="str">
        <f t="shared" si="15"/>
        <v/>
      </c>
    </row>
    <row r="124" spans="2:8" ht="24" customHeight="1">
      <c r="B124" s="407" t="str">
        <f>IF(SUM(ROWS($B$17:B124))&gt;$D$12,"",SUM(ROWS($B$17:B124)))</f>
        <v/>
      </c>
      <c r="C124" s="408" t="str">
        <f t="shared" ca="1" si="16"/>
        <v/>
      </c>
      <c r="D124" s="409" t="str">
        <f t="shared" si="17"/>
        <v/>
      </c>
      <c r="E124" s="409" t="str">
        <f t="shared" si="14"/>
        <v/>
      </c>
      <c r="F124" s="409" t="str">
        <f t="shared" si="18"/>
        <v/>
      </c>
      <c r="G124" s="409" t="str">
        <f t="shared" si="19"/>
        <v/>
      </c>
      <c r="H124" s="409" t="str">
        <f t="shared" si="15"/>
        <v/>
      </c>
    </row>
    <row r="125" spans="2:8" ht="24" customHeight="1">
      <c r="B125" s="407" t="str">
        <f>IF(SUM(ROWS($B$17:B125))&gt;$D$12,"",SUM(ROWS($B$17:B125)))</f>
        <v/>
      </c>
      <c r="C125" s="408" t="str">
        <f t="shared" ca="1" si="16"/>
        <v/>
      </c>
      <c r="D125" s="409" t="str">
        <f t="shared" si="17"/>
        <v/>
      </c>
      <c r="E125" s="409" t="str">
        <f t="shared" si="14"/>
        <v/>
      </c>
      <c r="F125" s="409" t="str">
        <f t="shared" si="18"/>
        <v/>
      </c>
      <c r="G125" s="409" t="str">
        <f t="shared" si="19"/>
        <v/>
      </c>
      <c r="H125" s="409" t="str">
        <f t="shared" si="15"/>
        <v/>
      </c>
    </row>
    <row r="126" spans="2:8" ht="24" customHeight="1">
      <c r="B126" s="407" t="str">
        <f>IF(SUM(ROWS($B$17:B126))&gt;$D$12,"",SUM(ROWS($B$17:B126)))</f>
        <v/>
      </c>
      <c r="C126" s="408" t="str">
        <f t="shared" ca="1" si="16"/>
        <v/>
      </c>
      <c r="D126" s="409" t="str">
        <f t="shared" si="17"/>
        <v/>
      </c>
      <c r="E126" s="409" t="str">
        <f t="shared" si="14"/>
        <v/>
      </c>
      <c r="F126" s="409" t="str">
        <f t="shared" si="18"/>
        <v/>
      </c>
      <c r="G126" s="409" t="str">
        <f t="shared" si="19"/>
        <v/>
      </c>
      <c r="H126" s="409" t="str">
        <f t="shared" si="15"/>
        <v/>
      </c>
    </row>
    <row r="127" spans="2:8" ht="24" customHeight="1">
      <c r="B127" s="407" t="str">
        <f>IF(SUM(ROWS($B$17:B127))&gt;$D$12,"",SUM(ROWS($B$17:B127)))</f>
        <v/>
      </c>
      <c r="C127" s="408" t="str">
        <f t="shared" ca="1" si="16"/>
        <v/>
      </c>
      <c r="D127" s="409" t="str">
        <f t="shared" si="17"/>
        <v/>
      </c>
      <c r="E127" s="409" t="str">
        <f t="shared" si="14"/>
        <v/>
      </c>
      <c r="F127" s="409" t="str">
        <f t="shared" si="18"/>
        <v/>
      </c>
      <c r="G127" s="409" t="str">
        <f t="shared" si="19"/>
        <v/>
      </c>
      <c r="H127" s="409" t="str">
        <f t="shared" si="15"/>
        <v/>
      </c>
    </row>
    <row r="128" spans="2:8" ht="24" customHeight="1">
      <c r="B128" s="407" t="str">
        <f>IF(SUM(ROWS($B$17:B128))&gt;$D$12,"",SUM(ROWS($B$17:B128)))</f>
        <v/>
      </c>
      <c r="C128" s="408" t="str">
        <f t="shared" ca="1" si="16"/>
        <v/>
      </c>
      <c r="D128" s="409" t="str">
        <f t="shared" si="17"/>
        <v/>
      </c>
      <c r="E128" s="409" t="str">
        <f t="shared" si="14"/>
        <v/>
      </c>
      <c r="F128" s="409" t="str">
        <f t="shared" si="18"/>
        <v/>
      </c>
      <c r="G128" s="409" t="str">
        <f t="shared" si="19"/>
        <v/>
      </c>
      <c r="H128" s="409" t="str">
        <f t="shared" si="15"/>
        <v/>
      </c>
    </row>
    <row r="129" spans="2:8" ht="24" customHeight="1">
      <c r="B129" s="407" t="str">
        <f>IF(SUM(ROWS($B$17:B129))&gt;$D$12,"",SUM(ROWS($B$17:B129)))</f>
        <v/>
      </c>
      <c r="C129" s="408" t="str">
        <f t="shared" ca="1" si="16"/>
        <v/>
      </c>
      <c r="D129" s="409" t="str">
        <f t="shared" si="17"/>
        <v/>
      </c>
      <c r="E129" s="409" t="str">
        <f t="shared" si="14"/>
        <v/>
      </c>
      <c r="F129" s="409" t="str">
        <f t="shared" si="18"/>
        <v/>
      </c>
      <c r="G129" s="409" t="str">
        <f t="shared" si="19"/>
        <v/>
      </c>
      <c r="H129" s="409" t="str">
        <f t="shared" si="15"/>
        <v/>
      </c>
    </row>
    <row r="130" spans="2:8" ht="24" customHeight="1">
      <c r="B130" s="407" t="str">
        <f>IF(SUM(ROWS($B$17:B130))&gt;$D$12,"",SUM(ROWS($B$17:B130)))</f>
        <v/>
      </c>
      <c r="C130" s="408" t="str">
        <f t="shared" ca="1" si="16"/>
        <v/>
      </c>
      <c r="D130" s="409" t="str">
        <f t="shared" si="17"/>
        <v/>
      </c>
      <c r="E130" s="409" t="str">
        <f t="shared" si="14"/>
        <v/>
      </c>
      <c r="F130" s="409" t="str">
        <f t="shared" si="18"/>
        <v/>
      </c>
      <c r="G130" s="409" t="str">
        <f t="shared" si="19"/>
        <v/>
      </c>
      <c r="H130" s="409" t="str">
        <f t="shared" si="15"/>
        <v/>
      </c>
    </row>
    <row r="131" spans="2:8" ht="24" customHeight="1">
      <c r="B131" s="407" t="str">
        <f>IF(SUM(ROWS($B$17:B131))&gt;$D$12,"",SUM(ROWS($B$17:B131)))</f>
        <v/>
      </c>
      <c r="C131" s="408" t="str">
        <f t="shared" ca="1" si="16"/>
        <v/>
      </c>
      <c r="D131" s="409" t="str">
        <f t="shared" si="17"/>
        <v/>
      </c>
      <c r="E131" s="409" t="str">
        <f t="shared" si="14"/>
        <v/>
      </c>
      <c r="F131" s="409" t="str">
        <f t="shared" si="18"/>
        <v/>
      </c>
      <c r="G131" s="409" t="str">
        <f t="shared" si="19"/>
        <v/>
      </c>
      <c r="H131" s="409" t="str">
        <f t="shared" si="15"/>
        <v/>
      </c>
    </row>
    <row r="132" spans="2:8" ht="24" customHeight="1">
      <c r="B132" s="407" t="str">
        <f>IF(SUM(ROWS($B$17:B132))&gt;$D$12,"",SUM(ROWS($B$17:B132)))</f>
        <v/>
      </c>
      <c r="C132" s="408" t="str">
        <f t="shared" ca="1" si="16"/>
        <v/>
      </c>
      <c r="D132" s="409" t="str">
        <f t="shared" si="17"/>
        <v/>
      </c>
      <c r="E132" s="409" t="str">
        <f t="shared" si="14"/>
        <v/>
      </c>
      <c r="F132" s="409" t="str">
        <f t="shared" si="18"/>
        <v/>
      </c>
      <c r="G132" s="409" t="str">
        <f t="shared" si="19"/>
        <v/>
      </c>
      <c r="H132" s="409" t="str">
        <f t="shared" si="15"/>
        <v/>
      </c>
    </row>
    <row r="133" spans="2:8" ht="24" customHeight="1">
      <c r="B133" s="407" t="str">
        <f>IF(SUM(ROWS($B$17:B133))&gt;$D$12,"",SUM(ROWS($B$17:B133)))</f>
        <v/>
      </c>
      <c r="C133" s="408" t="str">
        <f t="shared" ca="1" si="16"/>
        <v/>
      </c>
      <c r="D133" s="409" t="str">
        <f t="shared" si="17"/>
        <v/>
      </c>
      <c r="E133" s="409" t="str">
        <f t="shared" si="14"/>
        <v/>
      </c>
      <c r="F133" s="409" t="str">
        <f t="shared" si="18"/>
        <v/>
      </c>
      <c r="G133" s="409" t="str">
        <f t="shared" si="19"/>
        <v/>
      </c>
      <c r="H133" s="409" t="str">
        <f t="shared" si="15"/>
        <v/>
      </c>
    </row>
    <row r="134" spans="2:8" ht="24" customHeight="1">
      <c r="B134" s="407" t="str">
        <f>IF(SUM(ROWS($B$17:B134))&gt;$D$12,"",SUM(ROWS($B$17:B134)))</f>
        <v/>
      </c>
      <c r="C134" s="408" t="str">
        <f t="shared" ca="1" si="16"/>
        <v/>
      </c>
      <c r="D134" s="409" t="str">
        <f t="shared" si="17"/>
        <v/>
      </c>
      <c r="E134" s="409" t="str">
        <f t="shared" si="14"/>
        <v/>
      </c>
      <c r="F134" s="409" t="str">
        <f t="shared" si="18"/>
        <v/>
      </c>
      <c r="G134" s="409" t="str">
        <f t="shared" si="19"/>
        <v/>
      </c>
      <c r="H134" s="409" t="str">
        <f t="shared" si="15"/>
        <v/>
      </c>
    </row>
    <row r="135" spans="2:8" ht="24" customHeight="1">
      <c r="B135" s="407" t="str">
        <f>IF(SUM(ROWS($B$17:B135))&gt;$D$12,"",SUM(ROWS($B$17:B135)))</f>
        <v/>
      </c>
      <c r="C135" s="408" t="str">
        <f t="shared" ca="1" si="16"/>
        <v/>
      </c>
      <c r="D135" s="409" t="str">
        <f t="shared" si="17"/>
        <v/>
      </c>
      <c r="E135" s="409" t="str">
        <f t="shared" si="14"/>
        <v/>
      </c>
      <c r="F135" s="409" t="str">
        <f t="shared" si="18"/>
        <v/>
      </c>
      <c r="G135" s="409" t="str">
        <f t="shared" si="19"/>
        <v/>
      </c>
      <c r="H135" s="409" t="str">
        <f t="shared" si="15"/>
        <v/>
      </c>
    </row>
    <row r="136" spans="2:8" ht="24" customHeight="1">
      <c r="B136" s="407" t="str">
        <f>IF(SUM(ROWS($B$17:B136))&gt;$D$12,"",SUM(ROWS($B$17:B136)))</f>
        <v/>
      </c>
      <c r="C136" s="408" t="str">
        <f t="shared" ca="1" si="16"/>
        <v/>
      </c>
      <c r="D136" s="409" t="str">
        <f t="shared" si="17"/>
        <v/>
      </c>
      <c r="E136" s="409" t="str">
        <f t="shared" si="14"/>
        <v/>
      </c>
      <c r="F136" s="409" t="str">
        <f t="shared" si="18"/>
        <v/>
      </c>
      <c r="G136" s="409" t="str">
        <f t="shared" si="19"/>
        <v/>
      </c>
      <c r="H136" s="409" t="str">
        <f t="shared" si="15"/>
        <v/>
      </c>
    </row>
    <row r="137" spans="2:8" ht="24" customHeight="1">
      <c r="B137" s="407" t="str">
        <f>IF(SUM(ROWS($B$17:B137))&gt;$D$12,"",SUM(ROWS($B$17:B137)))</f>
        <v/>
      </c>
      <c r="C137" s="408" t="str">
        <f t="shared" ca="1" si="16"/>
        <v/>
      </c>
      <c r="D137" s="409" t="str">
        <f t="shared" si="17"/>
        <v/>
      </c>
      <c r="E137" s="409" t="str">
        <f t="shared" si="14"/>
        <v/>
      </c>
      <c r="F137" s="409" t="str">
        <f t="shared" si="18"/>
        <v/>
      </c>
      <c r="G137" s="409" t="str">
        <f t="shared" si="19"/>
        <v/>
      </c>
      <c r="H137" s="409" t="str">
        <f t="shared" si="15"/>
        <v/>
      </c>
    </row>
    <row r="138" spans="2:8" ht="24" customHeight="1">
      <c r="B138" s="407" t="str">
        <f>IF(SUM(ROWS($B$17:B138))&gt;$D$12,"",SUM(ROWS($B$17:B138)))</f>
        <v/>
      </c>
      <c r="C138" s="408" t="str">
        <f t="shared" ca="1" si="16"/>
        <v/>
      </c>
      <c r="D138" s="409" t="str">
        <f t="shared" si="17"/>
        <v/>
      </c>
      <c r="E138" s="409" t="str">
        <f t="shared" si="14"/>
        <v/>
      </c>
      <c r="F138" s="409" t="str">
        <f t="shared" si="18"/>
        <v/>
      </c>
      <c r="G138" s="409" t="str">
        <f t="shared" si="19"/>
        <v/>
      </c>
      <c r="H138" s="409" t="str">
        <f t="shared" si="15"/>
        <v/>
      </c>
    </row>
    <row r="139" spans="2:8" ht="24" customHeight="1">
      <c r="B139" s="407" t="str">
        <f>IF(SUM(ROWS($B$17:B139))&gt;$D$12,"",SUM(ROWS($B$17:B139)))</f>
        <v/>
      </c>
      <c r="C139" s="408" t="str">
        <f t="shared" ca="1" si="16"/>
        <v/>
      </c>
      <c r="D139" s="409" t="str">
        <f t="shared" si="17"/>
        <v/>
      </c>
      <c r="E139" s="409" t="str">
        <f t="shared" si="14"/>
        <v/>
      </c>
      <c r="F139" s="409" t="str">
        <f t="shared" si="18"/>
        <v/>
      </c>
      <c r="G139" s="409" t="str">
        <f t="shared" si="19"/>
        <v/>
      </c>
      <c r="H139" s="409" t="str">
        <f t="shared" si="15"/>
        <v/>
      </c>
    </row>
    <row r="140" spans="2:8" ht="24" customHeight="1">
      <c r="B140" s="407" t="str">
        <f>IF(SUM(ROWS($B$17:B140))&gt;$D$12,"",SUM(ROWS($B$17:B140)))</f>
        <v/>
      </c>
      <c r="C140" s="408" t="str">
        <f t="shared" ca="1" si="16"/>
        <v/>
      </c>
      <c r="D140" s="409" t="str">
        <f t="shared" si="17"/>
        <v/>
      </c>
      <c r="E140" s="409" t="str">
        <f t="shared" si="14"/>
        <v/>
      </c>
      <c r="F140" s="409" t="str">
        <f t="shared" si="18"/>
        <v/>
      </c>
      <c r="G140" s="409" t="str">
        <f t="shared" si="19"/>
        <v/>
      </c>
      <c r="H140" s="409" t="str">
        <f t="shared" si="15"/>
        <v/>
      </c>
    </row>
    <row r="141" spans="2:8" ht="24" customHeight="1">
      <c r="B141" s="407" t="str">
        <f>IF(SUM(ROWS($B$17:B141))&gt;$D$12,"",SUM(ROWS($B$17:B141)))</f>
        <v/>
      </c>
      <c r="C141" s="408" t="str">
        <f t="shared" ca="1" si="16"/>
        <v/>
      </c>
      <c r="D141" s="409" t="str">
        <f t="shared" si="17"/>
        <v/>
      </c>
      <c r="E141" s="409" t="str">
        <f t="shared" si="14"/>
        <v/>
      </c>
      <c r="F141" s="409" t="str">
        <f t="shared" si="18"/>
        <v/>
      </c>
      <c r="G141" s="409" t="str">
        <f t="shared" si="19"/>
        <v/>
      </c>
      <c r="H141" s="409" t="str">
        <f t="shared" si="15"/>
        <v/>
      </c>
    </row>
    <row r="142" spans="2:8" ht="24" customHeight="1">
      <c r="B142" s="407" t="str">
        <f>IF(SUM(ROWS($B$17:B142))&gt;$D$12,"",SUM(ROWS($B$17:B142)))</f>
        <v/>
      </c>
      <c r="C142" s="408" t="str">
        <f t="shared" ca="1" si="16"/>
        <v/>
      </c>
      <c r="D142" s="409" t="str">
        <f t="shared" si="17"/>
        <v/>
      </c>
      <c r="E142" s="409" t="str">
        <f t="shared" si="14"/>
        <v/>
      </c>
      <c r="F142" s="409" t="str">
        <f t="shared" si="18"/>
        <v/>
      </c>
      <c r="G142" s="409" t="str">
        <f t="shared" si="19"/>
        <v/>
      </c>
      <c r="H142" s="409" t="str">
        <f t="shared" si="15"/>
        <v/>
      </c>
    </row>
    <row r="143" spans="2:8" ht="24" customHeight="1">
      <c r="B143" s="407" t="str">
        <f>IF(SUM(ROWS($B$17:B143))&gt;$D$12,"",SUM(ROWS($B$17:B143)))</f>
        <v/>
      </c>
      <c r="C143" s="408" t="str">
        <f t="shared" ca="1" si="16"/>
        <v/>
      </c>
      <c r="D143" s="409" t="str">
        <f t="shared" si="17"/>
        <v/>
      </c>
      <c r="E143" s="409" t="str">
        <f t="shared" si="14"/>
        <v/>
      </c>
      <c r="F143" s="409" t="str">
        <f t="shared" si="18"/>
        <v/>
      </c>
      <c r="G143" s="409" t="str">
        <f t="shared" si="19"/>
        <v/>
      </c>
      <c r="H143" s="409" t="str">
        <f t="shared" si="15"/>
        <v/>
      </c>
    </row>
    <row r="144" spans="2:8" ht="24" customHeight="1">
      <c r="B144" s="407" t="str">
        <f>IF(SUM(ROWS($B$17:B144))&gt;$D$12,"",SUM(ROWS($B$17:B144)))</f>
        <v/>
      </c>
      <c r="C144" s="408" t="str">
        <f t="shared" ca="1" si="16"/>
        <v/>
      </c>
      <c r="D144" s="409" t="str">
        <f t="shared" si="17"/>
        <v/>
      </c>
      <c r="E144" s="409" t="str">
        <f t="shared" si="14"/>
        <v/>
      </c>
      <c r="F144" s="409" t="str">
        <f t="shared" si="18"/>
        <v/>
      </c>
      <c r="G144" s="409" t="str">
        <f t="shared" si="19"/>
        <v/>
      </c>
      <c r="H144" s="409" t="str">
        <f t="shared" si="15"/>
        <v/>
      </c>
    </row>
    <row r="145" spans="2:8" ht="24" customHeight="1">
      <c r="B145" s="407" t="str">
        <f>IF(SUM(ROWS($B$17:B145))&gt;$D$12,"",SUM(ROWS($B$17:B145)))</f>
        <v/>
      </c>
      <c r="C145" s="408" t="str">
        <f t="shared" ref="C145:C176" ca="1" si="20">IFERROR(DATE(YEAR(LoanStartDate), MONTH(LoanStartDate) +B145,DAY(LoanStartDate)), "")</f>
        <v/>
      </c>
      <c r="D145" s="409" t="str">
        <f t="shared" ref="D145:D176" si="21">IFERROR(-FV(InterestRate/12,B145-1,-$D$11,LoanAmount),"")</f>
        <v/>
      </c>
      <c r="E145" s="409" t="str">
        <f t="shared" si="14"/>
        <v/>
      </c>
      <c r="F145" s="409" t="str">
        <f t="shared" ref="F145:F176" si="22">IFERROR(-PPMT(InterestRate/12,B145,$D$12,LoanAmount),"")</f>
        <v/>
      </c>
      <c r="G145" s="409" t="str">
        <f t="shared" ref="G145:G176" si="23">IFERROR(-IPMT(InterestRate/12,B145,$D$12,LoanAmount),"")</f>
        <v/>
      </c>
      <c r="H145" s="409" t="str">
        <f t="shared" si="15"/>
        <v/>
      </c>
    </row>
    <row r="146" spans="2:8" ht="24" customHeight="1">
      <c r="B146" s="407" t="str">
        <f>IF(SUM(ROWS($B$17:B146))&gt;$D$12,"",SUM(ROWS($B$17:B146)))</f>
        <v/>
      </c>
      <c r="C146" s="408" t="str">
        <f t="shared" ca="1" si="20"/>
        <v/>
      </c>
      <c r="D146" s="409" t="str">
        <f t="shared" si="21"/>
        <v/>
      </c>
      <c r="E146" s="409" t="str">
        <f t="shared" ref="E146:E198" si="24">IF(LEN(B146)&gt;0, $D$11,"")</f>
        <v/>
      </c>
      <c r="F146" s="409" t="str">
        <f t="shared" si="22"/>
        <v/>
      </c>
      <c r="G146" s="409" t="str">
        <f t="shared" si="23"/>
        <v/>
      </c>
      <c r="H146" s="409" t="str">
        <f t="shared" ref="H146:H198" si="25">IFERROR(D146-F146,"")</f>
        <v/>
      </c>
    </row>
    <row r="147" spans="2:8" ht="24" customHeight="1">
      <c r="B147" s="407" t="str">
        <f>IF(SUM(ROWS($B$17:B147))&gt;$D$12,"",SUM(ROWS($B$17:B147)))</f>
        <v/>
      </c>
      <c r="C147" s="408" t="str">
        <f t="shared" ca="1" si="20"/>
        <v/>
      </c>
      <c r="D147" s="409" t="str">
        <f t="shared" si="21"/>
        <v/>
      </c>
      <c r="E147" s="409" t="str">
        <f t="shared" si="24"/>
        <v/>
      </c>
      <c r="F147" s="409" t="str">
        <f t="shared" si="22"/>
        <v/>
      </c>
      <c r="G147" s="409" t="str">
        <f t="shared" si="23"/>
        <v/>
      </c>
      <c r="H147" s="409" t="str">
        <f t="shared" si="25"/>
        <v/>
      </c>
    </row>
    <row r="148" spans="2:8" ht="24" customHeight="1">
      <c r="B148" s="407" t="str">
        <f>IF(SUM(ROWS($B$17:B148))&gt;$D$12,"",SUM(ROWS($B$17:B148)))</f>
        <v/>
      </c>
      <c r="C148" s="408" t="str">
        <f t="shared" ca="1" si="20"/>
        <v/>
      </c>
      <c r="D148" s="409" t="str">
        <f t="shared" si="21"/>
        <v/>
      </c>
      <c r="E148" s="409" t="str">
        <f t="shared" si="24"/>
        <v/>
      </c>
      <c r="F148" s="409" t="str">
        <f t="shared" si="22"/>
        <v/>
      </c>
      <c r="G148" s="409" t="str">
        <f t="shared" si="23"/>
        <v/>
      </c>
      <c r="H148" s="409" t="str">
        <f t="shared" si="25"/>
        <v/>
      </c>
    </row>
    <row r="149" spans="2:8" ht="24" customHeight="1">
      <c r="B149" s="407" t="str">
        <f>IF(SUM(ROWS($B$17:B149))&gt;$D$12,"",SUM(ROWS($B$17:B149)))</f>
        <v/>
      </c>
      <c r="C149" s="408" t="str">
        <f t="shared" ca="1" si="20"/>
        <v/>
      </c>
      <c r="D149" s="409" t="str">
        <f t="shared" si="21"/>
        <v/>
      </c>
      <c r="E149" s="409" t="str">
        <f t="shared" si="24"/>
        <v/>
      </c>
      <c r="F149" s="409" t="str">
        <f t="shared" si="22"/>
        <v/>
      </c>
      <c r="G149" s="409" t="str">
        <f t="shared" si="23"/>
        <v/>
      </c>
      <c r="H149" s="409" t="str">
        <f t="shared" si="25"/>
        <v/>
      </c>
    </row>
    <row r="150" spans="2:8" ht="24" customHeight="1">
      <c r="B150" s="407" t="str">
        <f>IF(SUM(ROWS($B$17:B150))&gt;$D$12,"",SUM(ROWS($B$17:B150)))</f>
        <v/>
      </c>
      <c r="C150" s="408" t="str">
        <f t="shared" ca="1" si="20"/>
        <v/>
      </c>
      <c r="D150" s="409" t="str">
        <f t="shared" si="21"/>
        <v/>
      </c>
      <c r="E150" s="409" t="str">
        <f t="shared" si="24"/>
        <v/>
      </c>
      <c r="F150" s="409" t="str">
        <f t="shared" si="22"/>
        <v/>
      </c>
      <c r="G150" s="409" t="str">
        <f t="shared" si="23"/>
        <v/>
      </c>
      <c r="H150" s="409" t="str">
        <f t="shared" si="25"/>
        <v/>
      </c>
    </row>
    <row r="151" spans="2:8" ht="24" customHeight="1">
      <c r="B151" s="407" t="str">
        <f>IF(SUM(ROWS($B$17:B151))&gt;$D$12,"",SUM(ROWS($B$17:B151)))</f>
        <v/>
      </c>
      <c r="C151" s="408" t="str">
        <f t="shared" ca="1" si="20"/>
        <v/>
      </c>
      <c r="D151" s="409" t="str">
        <f t="shared" si="21"/>
        <v/>
      </c>
      <c r="E151" s="409" t="str">
        <f t="shared" si="24"/>
        <v/>
      </c>
      <c r="F151" s="409" t="str">
        <f t="shared" si="22"/>
        <v/>
      </c>
      <c r="G151" s="409" t="str">
        <f t="shared" si="23"/>
        <v/>
      </c>
      <c r="H151" s="409" t="str">
        <f t="shared" si="25"/>
        <v/>
      </c>
    </row>
    <row r="152" spans="2:8" ht="24" customHeight="1">
      <c r="B152" s="407" t="str">
        <f>IF(SUM(ROWS($B$17:B152))&gt;$D$12,"",SUM(ROWS($B$17:B152)))</f>
        <v/>
      </c>
      <c r="C152" s="408" t="str">
        <f t="shared" ca="1" si="20"/>
        <v/>
      </c>
      <c r="D152" s="409" t="str">
        <f t="shared" si="21"/>
        <v/>
      </c>
      <c r="E152" s="409" t="str">
        <f t="shared" si="24"/>
        <v/>
      </c>
      <c r="F152" s="409" t="str">
        <f t="shared" si="22"/>
        <v/>
      </c>
      <c r="G152" s="409" t="str">
        <f t="shared" si="23"/>
        <v/>
      </c>
      <c r="H152" s="409" t="str">
        <f t="shared" si="25"/>
        <v/>
      </c>
    </row>
    <row r="153" spans="2:8" ht="24" customHeight="1">
      <c r="B153" s="407" t="str">
        <f>IF(SUM(ROWS($B$17:B153))&gt;$D$12,"",SUM(ROWS($B$17:B153)))</f>
        <v/>
      </c>
      <c r="C153" s="408" t="str">
        <f t="shared" ca="1" si="20"/>
        <v/>
      </c>
      <c r="D153" s="409" t="str">
        <f t="shared" si="21"/>
        <v/>
      </c>
      <c r="E153" s="409" t="str">
        <f t="shared" si="24"/>
        <v/>
      </c>
      <c r="F153" s="409" t="str">
        <f t="shared" si="22"/>
        <v/>
      </c>
      <c r="G153" s="409" t="str">
        <f t="shared" si="23"/>
        <v/>
      </c>
      <c r="H153" s="409" t="str">
        <f t="shared" si="25"/>
        <v/>
      </c>
    </row>
    <row r="154" spans="2:8" ht="24" customHeight="1">
      <c r="B154" s="407" t="str">
        <f>IF(SUM(ROWS($B$17:B154))&gt;$D$12,"",SUM(ROWS($B$17:B154)))</f>
        <v/>
      </c>
      <c r="C154" s="408" t="str">
        <f t="shared" ca="1" si="20"/>
        <v/>
      </c>
      <c r="D154" s="409" t="str">
        <f t="shared" si="21"/>
        <v/>
      </c>
      <c r="E154" s="409" t="str">
        <f t="shared" si="24"/>
        <v/>
      </c>
      <c r="F154" s="409" t="str">
        <f t="shared" si="22"/>
        <v/>
      </c>
      <c r="G154" s="409" t="str">
        <f t="shared" si="23"/>
        <v/>
      </c>
      <c r="H154" s="409" t="str">
        <f t="shared" si="25"/>
        <v/>
      </c>
    </row>
    <row r="155" spans="2:8" ht="24" customHeight="1">
      <c r="B155" s="407" t="str">
        <f>IF(SUM(ROWS($B$17:B155))&gt;$D$12,"",SUM(ROWS($B$17:B155)))</f>
        <v/>
      </c>
      <c r="C155" s="408" t="str">
        <f t="shared" ca="1" si="20"/>
        <v/>
      </c>
      <c r="D155" s="409" t="str">
        <f t="shared" si="21"/>
        <v/>
      </c>
      <c r="E155" s="409" t="str">
        <f t="shared" si="24"/>
        <v/>
      </c>
      <c r="F155" s="409" t="str">
        <f t="shared" si="22"/>
        <v/>
      </c>
      <c r="G155" s="409" t="str">
        <f t="shared" si="23"/>
        <v/>
      </c>
      <c r="H155" s="409" t="str">
        <f t="shared" si="25"/>
        <v/>
      </c>
    </row>
    <row r="156" spans="2:8" ht="24" customHeight="1">
      <c r="B156" s="407" t="str">
        <f>IF(SUM(ROWS($B$17:B156))&gt;$D$12,"",SUM(ROWS($B$17:B156)))</f>
        <v/>
      </c>
      <c r="C156" s="408" t="str">
        <f t="shared" ca="1" si="20"/>
        <v/>
      </c>
      <c r="D156" s="409" t="str">
        <f t="shared" si="21"/>
        <v/>
      </c>
      <c r="E156" s="409" t="str">
        <f t="shared" si="24"/>
        <v/>
      </c>
      <c r="F156" s="409" t="str">
        <f t="shared" si="22"/>
        <v/>
      </c>
      <c r="G156" s="409" t="str">
        <f t="shared" si="23"/>
        <v/>
      </c>
      <c r="H156" s="409" t="str">
        <f t="shared" si="25"/>
        <v/>
      </c>
    </row>
    <row r="157" spans="2:8" ht="24" customHeight="1">
      <c r="B157" s="407" t="str">
        <f>IF(SUM(ROWS($B$17:B157))&gt;$D$12,"",SUM(ROWS($B$17:B157)))</f>
        <v/>
      </c>
      <c r="C157" s="408" t="str">
        <f t="shared" ca="1" si="20"/>
        <v/>
      </c>
      <c r="D157" s="409" t="str">
        <f t="shared" si="21"/>
        <v/>
      </c>
      <c r="E157" s="409" t="str">
        <f t="shared" si="24"/>
        <v/>
      </c>
      <c r="F157" s="409" t="str">
        <f t="shared" si="22"/>
        <v/>
      </c>
      <c r="G157" s="409" t="str">
        <f t="shared" si="23"/>
        <v/>
      </c>
      <c r="H157" s="409" t="str">
        <f t="shared" si="25"/>
        <v/>
      </c>
    </row>
    <row r="158" spans="2:8" ht="24" customHeight="1">
      <c r="B158" s="407" t="str">
        <f>IF(SUM(ROWS($B$17:B158))&gt;$D$12,"",SUM(ROWS($B$17:B158)))</f>
        <v/>
      </c>
      <c r="C158" s="408" t="str">
        <f t="shared" ca="1" si="20"/>
        <v/>
      </c>
      <c r="D158" s="409" t="str">
        <f t="shared" si="21"/>
        <v/>
      </c>
      <c r="E158" s="409" t="str">
        <f t="shared" si="24"/>
        <v/>
      </c>
      <c r="F158" s="409" t="str">
        <f t="shared" si="22"/>
        <v/>
      </c>
      <c r="G158" s="409" t="str">
        <f t="shared" si="23"/>
        <v/>
      </c>
      <c r="H158" s="409" t="str">
        <f t="shared" si="25"/>
        <v/>
      </c>
    </row>
    <row r="159" spans="2:8" ht="24" customHeight="1">
      <c r="B159" s="407" t="str">
        <f>IF(SUM(ROWS($B$17:B159))&gt;$D$12,"",SUM(ROWS($B$17:B159)))</f>
        <v/>
      </c>
      <c r="C159" s="408" t="str">
        <f t="shared" ca="1" si="20"/>
        <v/>
      </c>
      <c r="D159" s="409" t="str">
        <f t="shared" si="21"/>
        <v/>
      </c>
      <c r="E159" s="409" t="str">
        <f t="shared" si="24"/>
        <v/>
      </c>
      <c r="F159" s="409" t="str">
        <f t="shared" si="22"/>
        <v/>
      </c>
      <c r="G159" s="409" t="str">
        <f t="shared" si="23"/>
        <v/>
      </c>
      <c r="H159" s="409" t="str">
        <f t="shared" si="25"/>
        <v/>
      </c>
    </row>
    <row r="160" spans="2:8" ht="24" customHeight="1">
      <c r="B160" s="407" t="str">
        <f>IF(SUM(ROWS($B$17:B160))&gt;$D$12,"",SUM(ROWS($B$17:B160)))</f>
        <v/>
      </c>
      <c r="C160" s="408" t="str">
        <f t="shared" ca="1" si="20"/>
        <v/>
      </c>
      <c r="D160" s="409" t="str">
        <f t="shared" si="21"/>
        <v/>
      </c>
      <c r="E160" s="409" t="str">
        <f t="shared" si="24"/>
        <v/>
      </c>
      <c r="F160" s="409" t="str">
        <f t="shared" si="22"/>
        <v/>
      </c>
      <c r="G160" s="409" t="str">
        <f t="shared" si="23"/>
        <v/>
      </c>
      <c r="H160" s="409" t="str">
        <f t="shared" si="25"/>
        <v/>
      </c>
    </row>
    <row r="161" spans="2:8" ht="24" customHeight="1">
      <c r="B161" s="407" t="str">
        <f>IF(SUM(ROWS($B$17:B161))&gt;$D$12,"",SUM(ROWS($B$17:B161)))</f>
        <v/>
      </c>
      <c r="C161" s="408" t="str">
        <f t="shared" ca="1" si="20"/>
        <v/>
      </c>
      <c r="D161" s="409" t="str">
        <f t="shared" si="21"/>
        <v/>
      </c>
      <c r="E161" s="409" t="str">
        <f t="shared" si="24"/>
        <v/>
      </c>
      <c r="F161" s="409" t="str">
        <f t="shared" si="22"/>
        <v/>
      </c>
      <c r="G161" s="409" t="str">
        <f t="shared" si="23"/>
        <v/>
      </c>
      <c r="H161" s="409" t="str">
        <f t="shared" si="25"/>
        <v/>
      </c>
    </row>
    <row r="162" spans="2:8" ht="24" customHeight="1">
      <c r="B162" s="407" t="str">
        <f>IF(SUM(ROWS($B$17:B162))&gt;$D$12,"",SUM(ROWS($B$17:B162)))</f>
        <v/>
      </c>
      <c r="C162" s="408" t="str">
        <f t="shared" ca="1" si="20"/>
        <v/>
      </c>
      <c r="D162" s="409" t="str">
        <f t="shared" si="21"/>
        <v/>
      </c>
      <c r="E162" s="409" t="str">
        <f t="shared" si="24"/>
        <v/>
      </c>
      <c r="F162" s="409" t="str">
        <f t="shared" si="22"/>
        <v/>
      </c>
      <c r="G162" s="409" t="str">
        <f t="shared" si="23"/>
        <v/>
      </c>
      <c r="H162" s="409" t="str">
        <f t="shared" si="25"/>
        <v/>
      </c>
    </row>
    <row r="163" spans="2:8" ht="24" customHeight="1">
      <c r="B163" s="407" t="str">
        <f>IF(SUM(ROWS($B$17:B163))&gt;$D$12,"",SUM(ROWS($B$17:B163)))</f>
        <v/>
      </c>
      <c r="C163" s="408" t="str">
        <f t="shared" ca="1" si="20"/>
        <v/>
      </c>
      <c r="D163" s="409" t="str">
        <f t="shared" si="21"/>
        <v/>
      </c>
      <c r="E163" s="409" t="str">
        <f t="shared" si="24"/>
        <v/>
      </c>
      <c r="F163" s="409" t="str">
        <f t="shared" si="22"/>
        <v/>
      </c>
      <c r="G163" s="409" t="str">
        <f t="shared" si="23"/>
        <v/>
      </c>
      <c r="H163" s="409" t="str">
        <f t="shared" si="25"/>
        <v/>
      </c>
    </row>
    <row r="164" spans="2:8" ht="24" customHeight="1">
      <c r="B164" s="407" t="str">
        <f>IF(SUM(ROWS($B$17:B164))&gt;$D$12,"",SUM(ROWS($B$17:B164)))</f>
        <v/>
      </c>
      <c r="C164" s="408" t="str">
        <f t="shared" ca="1" si="20"/>
        <v/>
      </c>
      <c r="D164" s="409" t="str">
        <f t="shared" si="21"/>
        <v/>
      </c>
      <c r="E164" s="409" t="str">
        <f t="shared" si="24"/>
        <v/>
      </c>
      <c r="F164" s="409" t="str">
        <f t="shared" si="22"/>
        <v/>
      </c>
      <c r="G164" s="409" t="str">
        <f t="shared" si="23"/>
        <v/>
      </c>
      <c r="H164" s="409" t="str">
        <f t="shared" si="25"/>
        <v/>
      </c>
    </row>
    <row r="165" spans="2:8" ht="24" customHeight="1">
      <c r="B165" s="407" t="str">
        <f>IF(SUM(ROWS($B$17:B165))&gt;$D$12,"",SUM(ROWS($B$17:B165)))</f>
        <v/>
      </c>
      <c r="C165" s="408" t="str">
        <f t="shared" ca="1" si="20"/>
        <v/>
      </c>
      <c r="D165" s="409" t="str">
        <f t="shared" si="21"/>
        <v/>
      </c>
      <c r="E165" s="409" t="str">
        <f t="shared" si="24"/>
        <v/>
      </c>
      <c r="F165" s="409" t="str">
        <f t="shared" si="22"/>
        <v/>
      </c>
      <c r="G165" s="409" t="str">
        <f t="shared" si="23"/>
        <v/>
      </c>
      <c r="H165" s="409" t="str">
        <f t="shared" si="25"/>
        <v/>
      </c>
    </row>
    <row r="166" spans="2:8" ht="24" customHeight="1">
      <c r="B166" s="407" t="str">
        <f>IF(SUM(ROWS($B$17:B166))&gt;$D$12,"",SUM(ROWS($B$17:B166)))</f>
        <v/>
      </c>
      <c r="C166" s="408" t="str">
        <f t="shared" ca="1" si="20"/>
        <v/>
      </c>
      <c r="D166" s="409" t="str">
        <f t="shared" si="21"/>
        <v/>
      </c>
      <c r="E166" s="409" t="str">
        <f t="shared" si="24"/>
        <v/>
      </c>
      <c r="F166" s="409" t="str">
        <f t="shared" si="22"/>
        <v/>
      </c>
      <c r="G166" s="409" t="str">
        <f t="shared" si="23"/>
        <v/>
      </c>
      <c r="H166" s="409" t="str">
        <f t="shared" si="25"/>
        <v/>
      </c>
    </row>
    <row r="167" spans="2:8" ht="24" customHeight="1">
      <c r="B167" s="407" t="str">
        <f>IF(SUM(ROWS($B$17:B167))&gt;$D$12,"",SUM(ROWS($B$17:B167)))</f>
        <v/>
      </c>
      <c r="C167" s="408" t="str">
        <f t="shared" ca="1" si="20"/>
        <v/>
      </c>
      <c r="D167" s="409" t="str">
        <f t="shared" si="21"/>
        <v/>
      </c>
      <c r="E167" s="409" t="str">
        <f t="shared" si="24"/>
        <v/>
      </c>
      <c r="F167" s="409" t="str">
        <f t="shared" si="22"/>
        <v/>
      </c>
      <c r="G167" s="409" t="str">
        <f t="shared" si="23"/>
        <v/>
      </c>
      <c r="H167" s="409" t="str">
        <f t="shared" si="25"/>
        <v/>
      </c>
    </row>
    <row r="168" spans="2:8" ht="24" customHeight="1">
      <c r="B168" s="407" t="str">
        <f>IF(SUM(ROWS($B$17:B168))&gt;$D$12,"",SUM(ROWS($B$17:B168)))</f>
        <v/>
      </c>
      <c r="C168" s="408" t="str">
        <f t="shared" ca="1" si="20"/>
        <v/>
      </c>
      <c r="D168" s="409" t="str">
        <f t="shared" si="21"/>
        <v/>
      </c>
      <c r="E168" s="409" t="str">
        <f t="shared" si="24"/>
        <v/>
      </c>
      <c r="F168" s="409" t="str">
        <f t="shared" si="22"/>
        <v/>
      </c>
      <c r="G168" s="409" t="str">
        <f t="shared" si="23"/>
        <v/>
      </c>
      <c r="H168" s="409" t="str">
        <f t="shared" si="25"/>
        <v/>
      </c>
    </row>
    <row r="169" spans="2:8" ht="24" customHeight="1">
      <c r="B169" s="407" t="str">
        <f>IF(SUM(ROWS($B$17:B169))&gt;$D$12,"",SUM(ROWS($B$17:B169)))</f>
        <v/>
      </c>
      <c r="C169" s="408" t="str">
        <f t="shared" ca="1" si="20"/>
        <v/>
      </c>
      <c r="D169" s="409" t="str">
        <f t="shared" si="21"/>
        <v/>
      </c>
      <c r="E169" s="409" t="str">
        <f t="shared" si="24"/>
        <v/>
      </c>
      <c r="F169" s="409" t="str">
        <f t="shared" si="22"/>
        <v/>
      </c>
      <c r="G169" s="409" t="str">
        <f t="shared" si="23"/>
        <v/>
      </c>
      <c r="H169" s="409" t="str">
        <f t="shared" si="25"/>
        <v/>
      </c>
    </row>
    <row r="170" spans="2:8" ht="24" customHeight="1">
      <c r="B170" s="407" t="str">
        <f>IF(SUM(ROWS($B$17:B170))&gt;$D$12,"",SUM(ROWS($B$17:B170)))</f>
        <v/>
      </c>
      <c r="C170" s="408" t="str">
        <f t="shared" ca="1" si="20"/>
        <v/>
      </c>
      <c r="D170" s="409" t="str">
        <f t="shared" si="21"/>
        <v/>
      </c>
      <c r="E170" s="409" t="str">
        <f t="shared" si="24"/>
        <v/>
      </c>
      <c r="F170" s="409" t="str">
        <f t="shared" si="22"/>
        <v/>
      </c>
      <c r="G170" s="409" t="str">
        <f t="shared" si="23"/>
        <v/>
      </c>
      <c r="H170" s="409" t="str">
        <f t="shared" si="25"/>
        <v/>
      </c>
    </row>
    <row r="171" spans="2:8" ht="24" customHeight="1">
      <c r="B171" s="407" t="str">
        <f>IF(SUM(ROWS($B$17:B171))&gt;$D$12,"",SUM(ROWS($B$17:B171)))</f>
        <v/>
      </c>
      <c r="C171" s="408" t="str">
        <f t="shared" ca="1" si="20"/>
        <v/>
      </c>
      <c r="D171" s="409" t="str">
        <f t="shared" si="21"/>
        <v/>
      </c>
      <c r="E171" s="409" t="str">
        <f t="shared" si="24"/>
        <v/>
      </c>
      <c r="F171" s="409" t="str">
        <f t="shared" si="22"/>
        <v/>
      </c>
      <c r="G171" s="409" t="str">
        <f t="shared" si="23"/>
        <v/>
      </c>
      <c r="H171" s="409" t="str">
        <f t="shared" si="25"/>
        <v/>
      </c>
    </row>
    <row r="172" spans="2:8" ht="24" customHeight="1">
      <c r="B172" s="407" t="str">
        <f>IF(SUM(ROWS($B$17:B172))&gt;$D$12,"",SUM(ROWS($B$17:B172)))</f>
        <v/>
      </c>
      <c r="C172" s="408" t="str">
        <f t="shared" ca="1" si="20"/>
        <v/>
      </c>
      <c r="D172" s="409" t="str">
        <f t="shared" si="21"/>
        <v/>
      </c>
      <c r="E172" s="409" t="str">
        <f t="shared" si="24"/>
        <v/>
      </c>
      <c r="F172" s="409" t="str">
        <f t="shared" si="22"/>
        <v/>
      </c>
      <c r="G172" s="409" t="str">
        <f t="shared" si="23"/>
        <v/>
      </c>
      <c r="H172" s="409" t="str">
        <f t="shared" si="25"/>
        <v/>
      </c>
    </row>
    <row r="173" spans="2:8" ht="24" customHeight="1">
      <c r="B173" s="407" t="str">
        <f>IF(SUM(ROWS($B$17:B173))&gt;$D$12,"",SUM(ROWS($B$17:B173)))</f>
        <v/>
      </c>
      <c r="C173" s="408" t="str">
        <f t="shared" ca="1" si="20"/>
        <v/>
      </c>
      <c r="D173" s="409" t="str">
        <f t="shared" si="21"/>
        <v/>
      </c>
      <c r="E173" s="409" t="str">
        <f t="shared" si="24"/>
        <v/>
      </c>
      <c r="F173" s="409" t="str">
        <f t="shared" si="22"/>
        <v/>
      </c>
      <c r="G173" s="409" t="str">
        <f t="shared" si="23"/>
        <v/>
      </c>
      <c r="H173" s="409" t="str">
        <f t="shared" si="25"/>
        <v/>
      </c>
    </row>
    <row r="174" spans="2:8" ht="24" customHeight="1">
      <c r="B174" s="407" t="str">
        <f>IF(SUM(ROWS($B$17:B174))&gt;$D$12,"",SUM(ROWS($B$17:B174)))</f>
        <v/>
      </c>
      <c r="C174" s="408" t="str">
        <f t="shared" ca="1" si="20"/>
        <v/>
      </c>
      <c r="D174" s="409" t="str">
        <f t="shared" si="21"/>
        <v/>
      </c>
      <c r="E174" s="409" t="str">
        <f t="shared" si="24"/>
        <v/>
      </c>
      <c r="F174" s="409" t="str">
        <f t="shared" si="22"/>
        <v/>
      </c>
      <c r="G174" s="409" t="str">
        <f t="shared" si="23"/>
        <v/>
      </c>
      <c r="H174" s="409" t="str">
        <f t="shared" si="25"/>
        <v/>
      </c>
    </row>
    <row r="175" spans="2:8" ht="24" customHeight="1">
      <c r="B175" s="407" t="str">
        <f>IF(SUM(ROWS($B$17:B175))&gt;$D$12,"",SUM(ROWS($B$17:B175)))</f>
        <v/>
      </c>
      <c r="C175" s="408" t="str">
        <f t="shared" ca="1" si="20"/>
        <v/>
      </c>
      <c r="D175" s="409" t="str">
        <f t="shared" si="21"/>
        <v/>
      </c>
      <c r="E175" s="409" t="str">
        <f t="shared" si="24"/>
        <v/>
      </c>
      <c r="F175" s="409" t="str">
        <f t="shared" si="22"/>
        <v/>
      </c>
      <c r="G175" s="409" t="str">
        <f t="shared" si="23"/>
        <v/>
      </c>
      <c r="H175" s="409" t="str">
        <f t="shared" si="25"/>
        <v/>
      </c>
    </row>
    <row r="176" spans="2:8" ht="24" customHeight="1">
      <c r="B176" s="407" t="str">
        <f>IF(SUM(ROWS($B$17:B176))&gt;$D$12,"",SUM(ROWS($B$17:B176)))</f>
        <v/>
      </c>
      <c r="C176" s="408" t="str">
        <f t="shared" ca="1" si="20"/>
        <v/>
      </c>
      <c r="D176" s="409" t="str">
        <f t="shared" si="21"/>
        <v/>
      </c>
      <c r="E176" s="409" t="str">
        <f t="shared" si="24"/>
        <v/>
      </c>
      <c r="F176" s="409" t="str">
        <f t="shared" si="22"/>
        <v/>
      </c>
      <c r="G176" s="409" t="str">
        <f t="shared" si="23"/>
        <v/>
      </c>
      <c r="H176" s="409" t="str">
        <f t="shared" si="25"/>
        <v/>
      </c>
    </row>
    <row r="177" spans="2:8" ht="24" customHeight="1">
      <c r="B177" s="407" t="str">
        <f>IF(SUM(ROWS($B$17:B177))&gt;$D$12,"",SUM(ROWS($B$17:B177)))</f>
        <v/>
      </c>
      <c r="C177" s="408" t="str">
        <f t="shared" ref="C177:C198" ca="1" si="26">IFERROR(DATE(YEAR(LoanStartDate), MONTH(LoanStartDate) +B177,DAY(LoanStartDate)), "")</f>
        <v/>
      </c>
      <c r="D177" s="409" t="str">
        <f t="shared" ref="D177:D198" si="27">IFERROR(-FV(InterestRate/12,B177-1,-$D$11,LoanAmount),"")</f>
        <v/>
      </c>
      <c r="E177" s="409" t="str">
        <f t="shared" si="24"/>
        <v/>
      </c>
      <c r="F177" s="409" t="str">
        <f t="shared" ref="F177:F198" si="28">IFERROR(-PPMT(InterestRate/12,B177,$D$12,LoanAmount),"")</f>
        <v/>
      </c>
      <c r="G177" s="409" t="str">
        <f t="shared" ref="G177:G198" si="29">IFERROR(-IPMT(InterestRate/12,B177,$D$12,LoanAmount),"")</f>
        <v/>
      </c>
      <c r="H177" s="409" t="str">
        <f t="shared" si="25"/>
        <v/>
      </c>
    </row>
    <row r="178" spans="2:8" ht="24" customHeight="1">
      <c r="B178" s="407" t="str">
        <f>IF(SUM(ROWS($B$17:B178))&gt;$D$12,"",SUM(ROWS($B$17:B178)))</f>
        <v/>
      </c>
      <c r="C178" s="408" t="str">
        <f t="shared" ca="1" si="26"/>
        <v/>
      </c>
      <c r="D178" s="409" t="str">
        <f t="shared" si="27"/>
        <v/>
      </c>
      <c r="E178" s="409" t="str">
        <f t="shared" si="24"/>
        <v/>
      </c>
      <c r="F178" s="409" t="str">
        <f t="shared" si="28"/>
        <v/>
      </c>
      <c r="G178" s="409" t="str">
        <f t="shared" si="29"/>
        <v/>
      </c>
      <c r="H178" s="409" t="str">
        <f t="shared" si="25"/>
        <v/>
      </c>
    </row>
    <row r="179" spans="2:8" ht="24" customHeight="1">
      <c r="B179" s="407" t="str">
        <f>IF(SUM(ROWS($B$17:B179))&gt;$D$12,"",SUM(ROWS($B$17:B179)))</f>
        <v/>
      </c>
      <c r="C179" s="408" t="str">
        <f t="shared" ca="1" si="26"/>
        <v/>
      </c>
      <c r="D179" s="409" t="str">
        <f t="shared" si="27"/>
        <v/>
      </c>
      <c r="E179" s="409" t="str">
        <f t="shared" si="24"/>
        <v/>
      </c>
      <c r="F179" s="409" t="str">
        <f t="shared" si="28"/>
        <v/>
      </c>
      <c r="G179" s="409" t="str">
        <f t="shared" si="29"/>
        <v/>
      </c>
      <c r="H179" s="409" t="str">
        <f t="shared" si="25"/>
        <v/>
      </c>
    </row>
    <row r="180" spans="2:8" ht="24" customHeight="1">
      <c r="B180" s="407" t="str">
        <f>IF(SUM(ROWS($B$17:B180))&gt;$D$12,"",SUM(ROWS($B$17:B180)))</f>
        <v/>
      </c>
      <c r="C180" s="408" t="str">
        <f t="shared" ca="1" si="26"/>
        <v/>
      </c>
      <c r="D180" s="409" t="str">
        <f t="shared" si="27"/>
        <v/>
      </c>
      <c r="E180" s="409" t="str">
        <f t="shared" si="24"/>
        <v/>
      </c>
      <c r="F180" s="409" t="str">
        <f t="shared" si="28"/>
        <v/>
      </c>
      <c r="G180" s="409" t="str">
        <f t="shared" si="29"/>
        <v/>
      </c>
      <c r="H180" s="409" t="str">
        <f t="shared" si="25"/>
        <v/>
      </c>
    </row>
    <row r="181" spans="2:8" ht="24" customHeight="1">
      <c r="B181" s="407" t="str">
        <f>IF(SUM(ROWS($B$17:B181))&gt;$D$12,"",SUM(ROWS($B$17:B181)))</f>
        <v/>
      </c>
      <c r="C181" s="408" t="str">
        <f t="shared" ca="1" si="26"/>
        <v/>
      </c>
      <c r="D181" s="409" t="str">
        <f t="shared" si="27"/>
        <v/>
      </c>
      <c r="E181" s="409" t="str">
        <f t="shared" si="24"/>
        <v/>
      </c>
      <c r="F181" s="409" t="str">
        <f t="shared" si="28"/>
        <v/>
      </c>
      <c r="G181" s="409" t="str">
        <f t="shared" si="29"/>
        <v/>
      </c>
      <c r="H181" s="409" t="str">
        <f t="shared" si="25"/>
        <v/>
      </c>
    </row>
    <row r="182" spans="2:8" ht="24" customHeight="1">
      <c r="B182" s="407" t="str">
        <f>IF(SUM(ROWS($B$17:B182))&gt;$D$12,"",SUM(ROWS($B$17:B182)))</f>
        <v/>
      </c>
      <c r="C182" s="408" t="str">
        <f t="shared" ca="1" si="26"/>
        <v/>
      </c>
      <c r="D182" s="409" t="str">
        <f t="shared" si="27"/>
        <v/>
      </c>
      <c r="E182" s="409" t="str">
        <f t="shared" si="24"/>
        <v/>
      </c>
      <c r="F182" s="409" t="str">
        <f t="shared" si="28"/>
        <v/>
      </c>
      <c r="G182" s="409" t="str">
        <f t="shared" si="29"/>
        <v/>
      </c>
      <c r="H182" s="409" t="str">
        <f t="shared" si="25"/>
        <v/>
      </c>
    </row>
    <row r="183" spans="2:8" ht="24" customHeight="1">
      <c r="B183" s="407" t="str">
        <f>IF(SUM(ROWS($B$17:B183))&gt;$D$12,"",SUM(ROWS($B$17:B183)))</f>
        <v/>
      </c>
      <c r="C183" s="408" t="str">
        <f t="shared" ca="1" si="26"/>
        <v/>
      </c>
      <c r="D183" s="409" t="str">
        <f t="shared" si="27"/>
        <v/>
      </c>
      <c r="E183" s="409" t="str">
        <f t="shared" si="24"/>
        <v/>
      </c>
      <c r="F183" s="409" t="str">
        <f t="shared" si="28"/>
        <v/>
      </c>
      <c r="G183" s="409" t="str">
        <f t="shared" si="29"/>
        <v/>
      </c>
      <c r="H183" s="409" t="str">
        <f t="shared" si="25"/>
        <v/>
      </c>
    </row>
    <row r="184" spans="2:8" ht="24" customHeight="1">
      <c r="B184" s="407" t="str">
        <f>IF(SUM(ROWS($B$17:B184))&gt;$D$12,"",SUM(ROWS($B$17:B184)))</f>
        <v/>
      </c>
      <c r="C184" s="408" t="str">
        <f t="shared" ca="1" si="26"/>
        <v/>
      </c>
      <c r="D184" s="409" t="str">
        <f t="shared" si="27"/>
        <v/>
      </c>
      <c r="E184" s="409" t="str">
        <f t="shared" si="24"/>
        <v/>
      </c>
      <c r="F184" s="409" t="str">
        <f t="shared" si="28"/>
        <v/>
      </c>
      <c r="G184" s="409" t="str">
        <f t="shared" si="29"/>
        <v/>
      </c>
      <c r="H184" s="409" t="str">
        <f t="shared" si="25"/>
        <v/>
      </c>
    </row>
    <row r="185" spans="2:8" ht="24" customHeight="1">
      <c r="B185" s="407" t="str">
        <f>IF(SUM(ROWS($B$17:B185))&gt;$D$12,"",SUM(ROWS($B$17:B185)))</f>
        <v/>
      </c>
      <c r="C185" s="408" t="str">
        <f t="shared" ca="1" si="26"/>
        <v/>
      </c>
      <c r="D185" s="409" t="str">
        <f t="shared" si="27"/>
        <v/>
      </c>
      <c r="E185" s="409" t="str">
        <f t="shared" si="24"/>
        <v/>
      </c>
      <c r="F185" s="409" t="str">
        <f t="shared" si="28"/>
        <v/>
      </c>
      <c r="G185" s="409" t="str">
        <f t="shared" si="29"/>
        <v/>
      </c>
      <c r="H185" s="409" t="str">
        <f t="shared" si="25"/>
        <v/>
      </c>
    </row>
    <row r="186" spans="2:8" ht="24" customHeight="1">
      <c r="B186" s="407" t="str">
        <f>IF(SUM(ROWS($B$17:B186))&gt;$D$12,"",SUM(ROWS($B$17:B186)))</f>
        <v/>
      </c>
      <c r="C186" s="408" t="str">
        <f t="shared" ca="1" si="26"/>
        <v/>
      </c>
      <c r="D186" s="409" t="str">
        <f t="shared" si="27"/>
        <v/>
      </c>
      <c r="E186" s="409" t="str">
        <f t="shared" si="24"/>
        <v/>
      </c>
      <c r="F186" s="409" t="str">
        <f t="shared" si="28"/>
        <v/>
      </c>
      <c r="G186" s="409" t="str">
        <f t="shared" si="29"/>
        <v/>
      </c>
      <c r="H186" s="409" t="str">
        <f t="shared" si="25"/>
        <v/>
      </c>
    </row>
    <row r="187" spans="2:8" ht="24" customHeight="1">
      <c r="B187" s="407" t="str">
        <f>IF(SUM(ROWS($B$17:B187))&gt;$D$12,"",SUM(ROWS($B$17:B187)))</f>
        <v/>
      </c>
      <c r="C187" s="408" t="str">
        <f t="shared" ca="1" si="26"/>
        <v/>
      </c>
      <c r="D187" s="409" t="str">
        <f t="shared" si="27"/>
        <v/>
      </c>
      <c r="E187" s="409" t="str">
        <f t="shared" si="24"/>
        <v/>
      </c>
      <c r="F187" s="409" t="str">
        <f t="shared" si="28"/>
        <v/>
      </c>
      <c r="G187" s="409" t="str">
        <f t="shared" si="29"/>
        <v/>
      </c>
      <c r="H187" s="409" t="str">
        <f t="shared" si="25"/>
        <v/>
      </c>
    </row>
    <row r="188" spans="2:8" ht="24" customHeight="1">
      <c r="B188" s="407" t="str">
        <f>IF(SUM(ROWS($B$17:B188))&gt;$D$12,"",SUM(ROWS($B$17:B188)))</f>
        <v/>
      </c>
      <c r="C188" s="408" t="str">
        <f t="shared" ca="1" si="26"/>
        <v/>
      </c>
      <c r="D188" s="409" t="str">
        <f t="shared" si="27"/>
        <v/>
      </c>
      <c r="E188" s="409" t="str">
        <f t="shared" si="24"/>
        <v/>
      </c>
      <c r="F188" s="409" t="str">
        <f t="shared" si="28"/>
        <v/>
      </c>
      <c r="G188" s="409" t="str">
        <f t="shared" si="29"/>
        <v/>
      </c>
      <c r="H188" s="409" t="str">
        <f t="shared" si="25"/>
        <v/>
      </c>
    </row>
    <row r="189" spans="2:8" ht="24" customHeight="1">
      <c r="B189" s="407" t="str">
        <f>IF(SUM(ROWS($B$17:B189))&gt;$D$12,"",SUM(ROWS($B$17:B189)))</f>
        <v/>
      </c>
      <c r="C189" s="408" t="str">
        <f t="shared" ca="1" si="26"/>
        <v/>
      </c>
      <c r="D189" s="409" t="str">
        <f t="shared" si="27"/>
        <v/>
      </c>
      <c r="E189" s="409" t="str">
        <f t="shared" si="24"/>
        <v/>
      </c>
      <c r="F189" s="409" t="str">
        <f t="shared" si="28"/>
        <v/>
      </c>
      <c r="G189" s="409" t="str">
        <f t="shared" si="29"/>
        <v/>
      </c>
      <c r="H189" s="409" t="str">
        <f t="shared" si="25"/>
        <v/>
      </c>
    </row>
    <row r="190" spans="2:8" ht="24" customHeight="1">
      <c r="B190" s="407" t="str">
        <f>IF(SUM(ROWS($B$17:B190))&gt;$D$12,"",SUM(ROWS($B$17:B190)))</f>
        <v/>
      </c>
      <c r="C190" s="408" t="str">
        <f t="shared" ca="1" si="26"/>
        <v/>
      </c>
      <c r="D190" s="409" t="str">
        <f t="shared" si="27"/>
        <v/>
      </c>
      <c r="E190" s="409" t="str">
        <f t="shared" si="24"/>
        <v/>
      </c>
      <c r="F190" s="409" t="str">
        <f t="shared" si="28"/>
        <v/>
      </c>
      <c r="G190" s="409" t="str">
        <f t="shared" si="29"/>
        <v/>
      </c>
      <c r="H190" s="409" t="str">
        <f t="shared" si="25"/>
        <v/>
      </c>
    </row>
    <row r="191" spans="2:8" ht="24" customHeight="1">
      <c r="B191" s="407" t="str">
        <f>IF(SUM(ROWS($B$17:B191))&gt;$D$12,"",SUM(ROWS($B$17:B191)))</f>
        <v/>
      </c>
      <c r="C191" s="408" t="str">
        <f t="shared" ca="1" si="26"/>
        <v/>
      </c>
      <c r="D191" s="409" t="str">
        <f t="shared" si="27"/>
        <v/>
      </c>
      <c r="E191" s="409" t="str">
        <f t="shared" si="24"/>
        <v/>
      </c>
      <c r="F191" s="409" t="str">
        <f t="shared" si="28"/>
        <v/>
      </c>
      <c r="G191" s="409" t="str">
        <f t="shared" si="29"/>
        <v/>
      </c>
      <c r="H191" s="409" t="str">
        <f t="shared" si="25"/>
        <v/>
      </c>
    </row>
    <row r="192" spans="2:8" ht="24" customHeight="1">
      <c r="B192" s="407" t="str">
        <f>IF(SUM(ROWS($B$17:B192))&gt;$D$12,"",SUM(ROWS($B$17:B192)))</f>
        <v/>
      </c>
      <c r="C192" s="408" t="str">
        <f t="shared" ca="1" si="26"/>
        <v/>
      </c>
      <c r="D192" s="409" t="str">
        <f t="shared" si="27"/>
        <v/>
      </c>
      <c r="E192" s="409" t="str">
        <f t="shared" si="24"/>
        <v/>
      </c>
      <c r="F192" s="409" t="str">
        <f t="shared" si="28"/>
        <v/>
      </c>
      <c r="G192" s="409" t="str">
        <f t="shared" si="29"/>
        <v/>
      </c>
      <c r="H192" s="409" t="str">
        <f t="shared" si="25"/>
        <v/>
      </c>
    </row>
    <row r="193" spans="2:8" ht="24" customHeight="1">
      <c r="B193" s="407" t="str">
        <f>IF(SUM(ROWS($B$17:B193))&gt;$D$12,"",SUM(ROWS($B$17:B193)))</f>
        <v/>
      </c>
      <c r="C193" s="408" t="str">
        <f t="shared" ca="1" si="26"/>
        <v/>
      </c>
      <c r="D193" s="409" t="str">
        <f t="shared" si="27"/>
        <v/>
      </c>
      <c r="E193" s="409" t="str">
        <f t="shared" si="24"/>
        <v/>
      </c>
      <c r="F193" s="409" t="str">
        <f t="shared" si="28"/>
        <v/>
      </c>
      <c r="G193" s="409" t="str">
        <f t="shared" si="29"/>
        <v/>
      </c>
      <c r="H193" s="409" t="str">
        <f t="shared" si="25"/>
        <v/>
      </c>
    </row>
    <row r="194" spans="2:8" ht="24" customHeight="1">
      <c r="B194" s="407" t="str">
        <f>IF(SUM(ROWS($B$17:B194))&gt;$D$12,"",SUM(ROWS($B$17:B194)))</f>
        <v/>
      </c>
      <c r="C194" s="408" t="str">
        <f t="shared" ca="1" si="26"/>
        <v/>
      </c>
      <c r="D194" s="409" t="str">
        <f t="shared" si="27"/>
        <v/>
      </c>
      <c r="E194" s="409" t="str">
        <f t="shared" si="24"/>
        <v/>
      </c>
      <c r="F194" s="409" t="str">
        <f t="shared" si="28"/>
        <v/>
      </c>
      <c r="G194" s="409" t="str">
        <f t="shared" si="29"/>
        <v/>
      </c>
      <c r="H194" s="409" t="str">
        <f t="shared" si="25"/>
        <v/>
      </c>
    </row>
    <row r="195" spans="2:8" ht="24" customHeight="1">
      <c r="B195" s="407" t="str">
        <f>IF(SUM(ROWS($B$17:B195))&gt;$D$12,"",SUM(ROWS($B$17:B195)))</f>
        <v/>
      </c>
      <c r="C195" s="408" t="str">
        <f t="shared" ca="1" si="26"/>
        <v/>
      </c>
      <c r="D195" s="409" t="str">
        <f t="shared" si="27"/>
        <v/>
      </c>
      <c r="E195" s="409" t="str">
        <f t="shared" si="24"/>
        <v/>
      </c>
      <c r="F195" s="409" t="str">
        <f t="shared" si="28"/>
        <v/>
      </c>
      <c r="G195" s="409" t="str">
        <f t="shared" si="29"/>
        <v/>
      </c>
      <c r="H195" s="409" t="str">
        <f t="shared" si="25"/>
        <v/>
      </c>
    </row>
    <row r="196" spans="2:8" ht="24" customHeight="1">
      <c r="B196" s="407" t="str">
        <f>IF(SUM(ROWS($B$17:B196))&gt;$D$12,"",SUM(ROWS($B$17:B196)))</f>
        <v/>
      </c>
      <c r="C196" s="408" t="str">
        <f t="shared" ca="1" si="26"/>
        <v/>
      </c>
      <c r="D196" s="409" t="str">
        <f t="shared" si="27"/>
        <v/>
      </c>
      <c r="E196" s="409" t="str">
        <f t="shared" si="24"/>
        <v/>
      </c>
      <c r="F196" s="409" t="str">
        <f t="shared" si="28"/>
        <v/>
      </c>
      <c r="G196" s="409" t="str">
        <f t="shared" si="29"/>
        <v/>
      </c>
      <c r="H196" s="409" t="str">
        <f t="shared" si="25"/>
        <v/>
      </c>
    </row>
    <row r="197" spans="2:8" ht="24" customHeight="1">
      <c r="B197" s="407" t="str">
        <f>IF(SUM(ROWS($B$17:B197))&gt;$D$12,"",SUM(ROWS($B$17:B197)))</f>
        <v/>
      </c>
      <c r="C197" s="408" t="str">
        <f t="shared" ca="1" si="26"/>
        <v/>
      </c>
      <c r="D197" s="409" t="str">
        <f t="shared" si="27"/>
        <v/>
      </c>
      <c r="E197" s="409" t="str">
        <f t="shared" si="24"/>
        <v/>
      </c>
      <c r="F197" s="409" t="str">
        <f t="shared" si="28"/>
        <v/>
      </c>
      <c r="G197" s="409" t="str">
        <f t="shared" si="29"/>
        <v/>
      </c>
      <c r="H197" s="409" t="str">
        <f t="shared" si="25"/>
        <v/>
      </c>
    </row>
    <row r="198" spans="2:8" ht="24" customHeight="1">
      <c r="B198" s="407" t="str">
        <f>IF(SUM(ROWS($B$17:B198))&gt;$D$12,"",SUM(ROWS($B$17:B198)))</f>
        <v/>
      </c>
      <c r="C198" s="408" t="str">
        <f t="shared" ca="1" si="26"/>
        <v/>
      </c>
      <c r="D198" s="409" t="str">
        <f t="shared" si="27"/>
        <v/>
      </c>
      <c r="E198" s="409" t="str">
        <f t="shared" si="24"/>
        <v/>
      </c>
      <c r="F198" s="409" t="str">
        <f t="shared" si="28"/>
        <v/>
      </c>
      <c r="G198" s="409" t="str">
        <f t="shared" si="29"/>
        <v/>
      </c>
      <c r="H198" s="409" t="str">
        <f t="shared" si="25"/>
        <v/>
      </c>
    </row>
    <row r="199" spans="2:8" ht="24" customHeight="1"/>
    <row r="200" spans="2:8" ht="24" customHeight="1"/>
    <row r="201" spans="2:8" ht="24" customHeight="1"/>
    <row r="202" spans="2:8" ht="24" customHeight="1"/>
    <row r="203" spans="2:8" ht="24" customHeight="1"/>
    <row r="204" spans="2:8" ht="24" customHeight="1"/>
    <row r="205" spans="2:8" ht="24" customHeight="1"/>
    <row r="206" spans="2:8" ht="24" customHeight="1"/>
    <row r="207" spans="2:8" ht="24" customHeight="1"/>
    <row r="208" spans="2:8" ht="24" customHeight="1"/>
  </sheetData>
  <mergeCells count="3">
    <mergeCell ref="B2:H2"/>
    <mergeCell ref="B4:D4"/>
    <mergeCell ref="B10:D10"/>
  </mergeCells>
  <dataValidations count="1">
    <dataValidation type="whole" allowBlank="1" showInputMessage="1" showErrorMessage="1" errorTitle="Error!" error="Please enter a loan period in integer!_x000a_The input value should be between 1-15 years." sqref="D7" xr:uid="{B6B6392A-B96B-47CC-8BB1-A769A074A712}">
      <formula1>1</formula1>
      <formula2>15</formula2>
    </dataValidation>
  </dataValidation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40601-8836-4125-ADDD-467952DF5B08}">
  <sheetPr codeName="Sheet21">
    <tabColor rgb="FF7030A0"/>
  </sheetPr>
  <dimension ref="C9:G19"/>
  <sheetViews>
    <sheetView topLeftCell="A10" workbookViewId="0">
      <selection activeCell="I14" sqref="I14"/>
    </sheetView>
  </sheetViews>
  <sheetFormatPr defaultRowHeight="14.5"/>
  <cols>
    <col min="7" max="7" width="14.81640625" customWidth="1"/>
  </cols>
  <sheetData>
    <row r="9" spans="3:7">
      <c r="C9" s="424" t="s">
        <v>660</v>
      </c>
      <c r="D9" s="425" t="s">
        <v>219</v>
      </c>
      <c r="E9" s="426" t="s">
        <v>657</v>
      </c>
      <c r="F9" s="426" t="s">
        <v>658</v>
      </c>
      <c r="G9" s="426" t="s">
        <v>91</v>
      </c>
    </row>
    <row r="10" spans="3:7">
      <c r="C10" s="427">
        <v>1</v>
      </c>
      <c r="D10" s="427">
        <f ca="1">IF(YEAR(MAX('Loan Calculator'!$C$17:$C$198))&gt;=YEAR('Loan Calculator'!$C$17)+C10-1,YEAR('Loan Calculator'!$C$17)+C10-1,"")</f>
        <v>2022</v>
      </c>
      <c r="E10" s="428">
        <f ca="1">IF(D10&lt;&gt;"",SUMIFS('Loan Calculator'!$F$17:$F$198,'Loan Calculator'!$C$17:$C$198,"&gt;="&amp;DATE($D$10,1,1),'Loan Calculator'!$C$17:$C$198,"&lt;="&amp;DATE(D10,12,31)),NA())</f>
        <v>13409.126337823531</v>
      </c>
      <c r="F10" s="428">
        <f ca="1">IF(D10&lt;&gt;"",SUMIFS('Loan Calculator'!$G$17:$G$198,'Loan Calculator'!$C$17:$C$198,"&gt;="&amp;DATE($D$10,1,1),'Loan Calculator'!$C$17:$C$198,"&lt;="&amp;DATE(D10,12,31)),NA())</f>
        <v>4306.2995897724913</v>
      </c>
      <c r="G10" s="428">
        <f ca="1">IF(D10&lt;&gt;"",_xlfn.MINIFS('Loan Calculator'!$H$17:$H$198,'Loan Calculator'!$C$17:$C$198,"&gt;="&amp;DATE(D10,1,1),'Loan Calculator'!$C$17:$C$198,"&lt;="&amp;DATE(D10,12,31)),NA())</f>
        <v>86590.873662176411</v>
      </c>
    </row>
    <row r="11" spans="3:7">
      <c r="C11" s="427">
        <f t="shared" ref="C11:C19" si="0">C10+1</f>
        <v>2</v>
      </c>
      <c r="D11" s="427">
        <f ca="1">IF(YEAR(MAX('Loan Calculator'!$C$17:$C$198))&gt;=YEAR('Loan Calculator'!$C$17)+C11-1,YEAR('Loan Calculator'!$C$17)+C11-1,"")</f>
        <v>2023</v>
      </c>
      <c r="E11" s="428">
        <f ca="1">IF(D11&lt;&gt;"",SUMIFS('Loan Calculator'!$F$17:$F$198,'Loan Calculator'!$C$17:$C$198,"&gt;="&amp;DATE($D$10,1,1),'Loan Calculator'!$C$17:$C$198,"&lt;="&amp;DATE(D11,12,31)),NA())</f>
        <v>28753.986987245404</v>
      </c>
      <c r="F11" s="428">
        <f ca="1">IF(D11&lt;&gt;"",SUMIFS('Loan Calculator'!$G$17:$G$198,'Loan Calculator'!$C$17:$C$198,"&gt;="&amp;DATE($D$10,1,1),'Loan Calculator'!$C$17:$C$198,"&lt;="&amp;DATE(D11,12,31)),NA())</f>
        <v>8287.3581340917317</v>
      </c>
      <c r="G11" s="428">
        <f ca="1">IF(D11&lt;&gt;"",_xlfn.MINIFS('Loan Calculator'!$H$17:$H$198,'Loan Calculator'!$C$17:$C$198,"&gt;="&amp;DATE(D11,1,1),'Loan Calculator'!$C$17:$C$198,"&lt;="&amp;DATE(D11,12,31)),NA())</f>
        <v>71246.013012754498</v>
      </c>
    </row>
    <row r="12" spans="3:7">
      <c r="C12" s="427">
        <f t="shared" si="0"/>
        <v>3</v>
      </c>
      <c r="D12" s="427">
        <f ca="1">IF(YEAR(MAX('Loan Calculator'!$C$17:$C$198))&gt;=YEAR('Loan Calculator'!$C$17)+C12-1,YEAR('Loan Calculator'!$C$17)+C12-1,"")</f>
        <v>2024</v>
      </c>
      <c r="E12" s="428">
        <f ca="1">IF(D12&lt;&gt;"",SUMIFS('Loan Calculator'!$F$17:$F$198,'Loan Calculator'!$C$17:$C$198,"&gt;="&amp;DATE($D$10,1,1),'Loan Calculator'!$C$17:$C$198,"&lt;="&amp;DATE(D12,12,31)),NA())</f>
        <v>44883.919830222425</v>
      </c>
      <c r="F12" s="428">
        <f ca="1">IF(D12&lt;&gt;"",SUMIFS('Loan Calculator'!$G$17:$G$198,'Loan Calculator'!$C$17:$C$198,"&gt;="&amp;DATE($D$10,1,1),'Loan Calculator'!$C$17:$C$198,"&lt;="&amp;DATE(D12,12,31)),NA())</f>
        <v>11483.344484855823</v>
      </c>
      <c r="G12" s="428">
        <f ca="1">IF(D12&lt;&gt;"",_xlfn.MINIFS('Loan Calculator'!$H$17:$H$198,'Loan Calculator'!$C$17:$C$198,"&gt;="&amp;DATE(D12,1,1),'Loan Calculator'!$C$17:$C$198,"&lt;="&amp;DATE(D12,12,31)),NA())</f>
        <v>55116.080169777408</v>
      </c>
    </row>
    <row r="13" spans="3:7">
      <c r="C13" s="427">
        <f t="shared" si="0"/>
        <v>4</v>
      </c>
      <c r="D13" s="427">
        <f ca="1">IF(YEAR(MAX('Loan Calculator'!$C$17:$C$198))&gt;=YEAR('Loan Calculator'!$C$17)+C13-1,YEAR('Loan Calculator'!$C$17)+C13-1,"")</f>
        <v>2025</v>
      </c>
      <c r="E13" s="428">
        <f ca="1">IF(D13&lt;&gt;"",SUMIFS('Loan Calculator'!$F$17:$F$198,'Loan Calculator'!$C$17:$C$198,"&gt;="&amp;DATE($D$10,1,1),'Loan Calculator'!$C$17:$C$198,"&lt;="&amp;DATE(D13,12,31)),NA())</f>
        <v>61839.090650151047</v>
      </c>
      <c r="F13" s="428">
        <f ca="1">IF(D13&lt;&gt;"",SUMIFS('Loan Calculator'!$G$17:$G$198,'Loan Calculator'!$C$17:$C$198,"&gt;="&amp;DATE($D$10,1,1),'Loan Calculator'!$C$17:$C$198,"&lt;="&amp;DATE(D13,12,31)),NA())</f>
        <v>13854.092858668311</v>
      </c>
      <c r="G13" s="428">
        <f ca="1">IF(D13&lt;&gt;"",_xlfn.MINIFS('Loan Calculator'!$H$17:$H$198,'Loan Calculator'!$C$17:$C$198,"&gt;="&amp;DATE(D13,1,1),'Loan Calculator'!$C$17:$C$198,"&lt;="&amp;DATE(D13,12,31)),NA())</f>
        <v>38160.909349848749</v>
      </c>
    </row>
    <row r="14" spans="3:7">
      <c r="C14" s="427">
        <f t="shared" si="0"/>
        <v>5</v>
      </c>
      <c r="D14" s="427">
        <f ca="1">IF(YEAR(MAX('Loan Calculator'!$C$17:$C$198))&gt;=YEAR('Loan Calculator'!$C$17)+C14-1,YEAR('Loan Calculator'!$C$17)+C14-1,"")</f>
        <v>2026</v>
      </c>
      <c r="E14" s="428">
        <f ca="1">IF(D14&lt;&gt;"",SUMIFS('Loan Calculator'!$F$17:$F$198,'Loan Calculator'!$C$17:$C$198,"&gt;="&amp;DATE($D$10,1,1),'Loan Calculator'!$C$17:$C$198,"&lt;="&amp;DATE(D14,12,31)),NA())</f>
        <v>79661.720188136198</v>
      </c>
      <c r="F14" s="428">
        <f ca="1">IF(D14&lt;&gt;"",SUMIFS('Loan Calculator'!$G$17:$G$198,'Loan Calculator'!$C$17:$C$198,"&gt;="&amp;DATE($D$10,1,1),'Loan Calculator'!$C$17:$C$198,"&lt;="&amp;DATE(D14,12,31)),NA())</f>
        <v>15357.382514424266</v>
      </c>
      <c r="G14" s="428">
        <f ca="1">IF(D14&lt;&gt;"",_xlfn.MINIFS('Loan Calculator'!$H$17:$H$198,'Loan Calculator'!$C$17:$C$198,"&gt;="&amp;DATE(D14,1,1),'Loan Calculator'!$C$17:$C$198,"&lt;="&amp;DATE(D14,12,31)),NA())</f>
        <v>20338.279811863427</v>
      </c>
    </row>
    <row r="15" spans="3:7">
      <c r="C15" s="427">
        <f t="shared" si="0"/>
        <v>6</v>
      </c>
      <c r="D15" s="427">
        <f ca="1">IF(YEAR(MAX('Loan Calculator'!$C$17:$C$198))&gt;=YEAR('Loan Calculator'!$C$17)+C15-1,YEAR('Loan Calculator'!$C$17)+C15-1,"")</f>
        <v>2027</v>
      </c>
      <c r="E15" s="428">
        <f ca="1">IF(D15&lt;&gt;"",SUMIFS('Loan Calculator'!$F$17:$F$198,'Loan Calculator'!$C$17:$C$198,"&gt;="&amp;DATE($D$10,1,1),'Loan Calculator'!$C$17:$C$198,"&lt;="&amp;DATE(D15,12,31)),NA())</f>
        <v>98396.189278527687</v>
      </c>
      <c r="F15" s="428">
        <f ca="1">IF(D15&lt;&gt;"",SUMIFS('Loan Calculator'!$G$17:$G$198,'Loan Calculator'!$C$17:$C$198,"&gt;="&amp;DATE($D$10,1,1),'Loan Calculator'!$C$17:$C$198,"&lt;="&amp;DATE(D15,12,31)),NA())</f>
        <v>15948.832617773862</v>
      </c>
      <c r="G15" s="428">
        <f ca="1">IF(D15&lt;&gt;"",_xlfn.MINIFS('Loan Calculator'!$H$17:$H$198,'Loan Calculator'!$C$17:$C$198,"&gt;="&amp;DATE(D15,1,1),'Loan Calculator'!$C$17:$C$198,"&lt;="&amp;DATE(D15,12,31)),NA())</f>
        <v>1603.8107214718882</v>
      </c>
    </row>
    <row r="16" spans="3:7">
      <c r="C16" s="427">
        <f t="shared" si="0"/>
        <v>7</v>
      </c>
      <c r="D16" s="427">
        <f ca="1">IF(YEAR(MAX('Loan Calculator'!$C$17:$C$198))&gt;=YEAR('Loan Calculator'!$C$17)+C16-1,YEAR('Loan Calculator'!$C$17)+C16-1,"")</f>
        <v>2028</v>
      </c>
      <c r="E16" s="428">
        <f ca="1">IF(D16&lt;&gt;"",SUMIFS('Loan Calculator'!$F$17:$F$198,'Loan Calculator'!$C$17:$C$198,"&gt;="&amp;DATE($D$10,1,1),'Loan Calculator'!$C$17:$C$198,"&lt;="&amp;DATE(D16,12,31)),NA())</f>
        <v>99999.999999999985</v>
      </c>
      <c r="F16" s="428">
        <f ca="1">IF(D16&lt;&gt;"",SUMIFS('Loan Calculator'!$G$17:$G$198,'Loan Calculator'!$C$17:$C$198,"&gt;="&amp;DATE($D$10,1,1),'Loan Calculator'!$C$17:$C$198,"&lt;="&amp;DATE(D16,12,31)),NA())</f>
        <v>15955.515162446663</v>
      </c>
      <c r="G16" s="428">
        <f ca="1">IF(D16&lt;&gt;"",_xlfn.MINIFS('Loan Calculator'!$H$17:$H$198,'Loan Calculator'!$C$17:$C$198,"&gt;="&amp;DATE(D16,1,1),'Loan Calculator'!$C$17:$C$198,"&lt;="&amp;DATE(D16,12,31)),NA())</f>
        <v>-4.7316461859736592E-10</v>
      </c>
    </row>
    <row r="17" spans="3:7">
      <c r="C17" s="427">
        <f t="shared" si="0"/>
        <v>8</v>
      </c>
      <c r="D17" s="427" t="str">
        <f ca="1">IF(YEAR(MAX('Loan Calculator'!$C$17:$C$198))&gt;=YEAR('Loan Calculator'!$C$17)+C17-1,YEAR('Loan Calculator'!$C$17)+C17-1,"")</f>
        <v/>
      </c>
      <c r="E17" s="428" t="e">
        <f ca="1">IF(D17&lt;&gt;"",SUMIFS('Loan Calculator'!$F$17:$F$198,'Loan Calculator'!$C$17:$C$198,"&gt;="&amp;DATE($D$10,1,1),'Loan Calculator'!$C$17:$C$198,"&lt;="&amp;DATE(D17,12,31)),NA())</f>
        <v>#N/A</v>
      </c>
      <c r="F17" s="428" t="e">
        <f ca="1">IF(D17&lt;&gt;"",SUMIFS('Loan Calculator'!$G$17:$G$198,'Loan Calculator'!$C$17:$C$198,"&gt;="&amp;DATE($D$10,1,1),'Loan Calculator'!$C$17:$C$198,"&lt;="&amp;DATE(D17,12,31)),NA())</f>
        <v>#N/A</v>
      </c>
      <c r="G17" s="428" t="e">
        <f ca="1">IF(D17&lt;&gt;"",_xlfn.MINIFS('Loan Calculator'!$H$17:$H$198,'Loan Calculator'!$C$17:$C$198,"&gt;="&amp;DATE(D17,1,1),'Loan Calculator'!$C$17:$C$198,"&lt;="&amp;DATE(D17,12,31)),NA())</f>
        <v>#N/A</v>
      </c>
    </row>
    <row r="18" spans="3:7">
      <c r="C18" s="427">
        <f t="shared" si="0"/>
        <v>9</v>
      </c>
      <c r="D18" s="427" t="str">
        <f ca="1">IF(YEAR(MAX('Loan Calculator'!$C$17:$C$198))&gt;=YEAR('Loan Calculator'!$C$17)+C18-1,YEAR('Loan Calculator'!$C$17)+C18-1,"")</f>
        <v/>
      </c>
      <c r="E18" s="428" t="e">
        <f ca="1">IF(D18&lt;&gt;"",SUMIFS('Loan Calculator'!$F$17:$F$198,'Loan Calculator'!$C$17:$C$198,"&gt;="&amp;DATE($D$10,1,1),'Loan Calculator'!$C$17:$C$198,"&lt;="&amp;DATE(D18,12,31)),NA())</f>
        <v>#N/A</v>
      </c>
      <c r="F18" s="428" t="e">
        <f ca="1">IF(D18&lt;&gt;"",SUMIFS('Loan Calculator'!$G$17:$G$198,'Loan Calculator'!$C$17:$C$198,"&gt;="&amp;DATE($D$10,1,1),'Loan Calculator'!$C$17:$C$198,"&lt;="&amp;DATE(D18,12,31)),NA())</f>
        <v>#N/A</v>
      </c>
      <c r="G18" s="428" t="e">
        <f ca="1">IF(D18&lt;&gt;"",_xlfn.MINIFS('Loan Calculator'!$H$17:$H$198,'Loan Calculator'!$C$17:$C$198,"&gt;="&amp;DATE(D18,1,1),'Loan Calculator'!$C$17:$C$198,"&lt;="&amp;DATE(D18,12,31)),NA())</f>
        <v>#N/A</v>
      </c>
    </row>
    <row r="19" spans="3:7">
      <c r="C19" s="427">
        <f t="shared" si="0"/>
        <v>10</v>
      </c>
      <c r="D19" s="427" t="str">
        <f ca="1">IF(YEAR(MAX('Loan Calculator'!$C$17:$C$198))&gt;=YEAR('Loan Calculator'!$C$17)+C19-1,YEAR('Loan Calculator'!$C$17)+C19-1,"")</f>
        <v/>
      </c>
      <c r="E19" s="428" t="e">
        <f ca="1">IF(D19&lt;&gt;"",SUMIFS('Loan Calculator'!$F$17:$F$198,'Loan Calculator'!$C$17:$C$198,"&gt;="&amp;DATE($D$10,1,1),'Loan Calculator'!$C$17:$C$198,"&lt;="&amp;DATE(D19,12,31)),NA())</f>
        <v>#N/A</v>
      </c>
      <c r="F19" s="428" t="e">
        <f ca="1">IF(D19&lt;&gt;"",SUMIFS('Loan Calculator'!$G$17:$G$198,'Loan Calculator'!$C$17:$C$198,"&gt;="&amp;DATE($D$10,1,1),'Loan Calculator'!$C$17:$C$198,"&lt;="&amp;DATE(D19,12,31)),NA())</f>
        <v>#N/A</v>
      </c>
      <c r="G19" s="428" t="e">
        <f ca="1">IF(D19&lt;&gt;"",_xlfn.MINIFS('Loan Calculator'!$H$17:$H$198,'Loan Calculator'!$C$17:$C$198,"&gt;="&amp;DATE(D19,1,1),'Loan Calculator'!$C$17:$C$198,"&lt;="&amp;DATE(D19,12,31)),NA())</f>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AB521-7C9C-4EDA-A47D-002CA6454255}">
  <sheetPr codeName="Sheet23">
    <tabColor rgb="FF7030A0"/>
    <pageSetUpPr autoPageBreaks="0" fitToPage="1"/>
  </sheetPr>
  <dimension ref="A1:H10"/>
  <sheetViews>
    <sheetView showGridLines="0" zoomScale="80" zoomScaleNormal="80" workbookViewId="0">
      <selection activeCell="H9" sqref="H9"/>
    </sheetView>
  </sheetViews>
  <sheetFormatPr defaultColWidth="8.81640625" defaultRowHeight="30" customHeight="1"/>
  <cols>
    <col min="1" max="1" width="2.7265625" style="207" customWidth="1"/>
    <col min="2" max="2" width="35.7265625" style="208" customWidth="1"/>
    <col min="3" max="3" width="20.7265625" style="207" customWidth="1"/>
    <col min="4" max="4" width="35.7265625" style="207" customWidth="1"/>
    <col min="5" max="5" width="20.7265625" style="206" customWidth="1"/>
    <col min="6" max="16384" width="8.81640625" style="207"/>
  </cols>
  <sheetData>
    <row r="1" spans="1:8" ht="30" customHeight="1">
      <c r="A1" s="206"/>
      <c r="B1" s="786" t="s">
        <v>661</v>
      </c>
      <c r="C1" s="786"/>
      <c r="D1" s="319" t="s">
        <v>662</v>
      </c>
      <c r="E1" s="786"/>
    </row>
    <row r="2" spans="1:8" ht="30" customHeight="1">
      <c r="A2" s="206"/>
      <c r="B2" s="786"/>
      <c r="C2" s="786"/>
      <c r="D2" s="431">
        <f>E4</f>
        <v>683.66364932924705</v>
      </c>
      <c r="E2" s="786"/>
    </row>
    <row r="3" spans="1:8" ht="35.15" customHeight="1">
      <c r="A3" s="206"/>
      <c r="B3" s="321" t="s">
        <v>663</v>
      </c>
      <c r="C3" s="321" t="s">
        <v>664</v>
      </c>
      <c r="D3" s="321" t="s">
        <v>665</v>
      </c>
      <c r="E3" s="321" t="s">
        <v>666</v>
      </c>
    </row>
    <row r="4" spans="1:8" ht="30" customHeight="1">
      <c r="B4" s="322" t="s">
        <v>667</v>
      </c>
      <c r="C4" s="323">
        <v>400000</v>
      </c>
      <c r="D4" s="322" t="s">
        <v>668</v>
      </c>
      <c r="E4" s="430">
        <f>IFERROR(PMT(InterestRate/12,DurationOfLoan,-LoanAmount),0)</f>
        <v>683.66364932924705</v>
      </c>
      <c r="H4" s="320"/>
    </row>
    <row r="5" spans="1:8" ht="30" customHeight="1">
      <c r="B5" s="322" t="s">
        <v>669</v>
      </c>
      <c r="C5" s="429">
        <v>0.1404</v>
      </c>
      <c r="D5" s="322" t="s">
        <v>670</v>
      </c>
      <c r="E5" s="430">
        <v>47831.939272084906</v>
      </c>
    </row>
    <row r="6" spans="1:8" ht="30" customHeight="1">
      <c r="B6" s="322" t="s">
        <v>671</v>
      </c>
      <c r="C6" s="324">
        <v>48</v>
      </c>
      <c r="D6" s="322" t="s">
        <v>672</v>
      </c>
      <c r="E6" s="430">
        <v>25331.939272084921</v>
      </c>
    </row>
    <row r="7" spans="1:8" ht="30" customHeight="1">
      <c r="B7" s="322" t="s">
        <v>673</v>
      </c>
      <c r="C7" s="323">
        <v>25000</v>
      </c>
      <c r="D7" s="322" t="s">
        <v>674</v>
      </c>
      <c r="E7" s="430">
        <v>5331.9392720849191</v>
      </c>
    </row>
    <row r="8" spans="1:8" ht="30" customHeight="1">
      <c r="B8" s="327" t="s">
        <v>675</v>
      </c>
      <c r="C8" s="325">
        <f ca="1">TODAY()+120</f>
        <v>44706</v>
      </c>
      <c r="D8" s="327" t="s">
        <v>676</v>
      </c>
      <c r="E8" s="323">
        <v>0</v>
      </c>
    </row>
    <row r="9" spans="1:8" s="206" customFormat="1" ht="30" customHeight="1">
      <c r="B9" s="785" t="s">
        <v>677</v>
      </c>
      <c r="C9" s="785"/>
      <c r="D9" s="785"/>
      <c r="E9" s="785"/>
    </row>
    <row r="10" spans="1:8" ht="30" customHeight="1">
      <c r="C10" s="209"/>
      <c r="D10" s="209"/>
      <c r="E10" s="326" t="s">
        <v>678</v>
      </c>
    </row>
  </sheetData>
  <sheetProtection insertRows="0" deleteRows="0" selectLockedCells="1"/>
  <mergeCells count="3">
    <mergeCell ref="B9:E9"/>
    <mergeCell ref="B1:C2"/>
    <mergeCell ref="E1:E2"/>
  </mergeCells>
  <dataValidations count="16">
    <dataValidation allowBlank="1" showInputMessage="1" showErrorMessage="1" prompt="Link to Amortization Table worksheet" sqref="E10" xr:uid="{1E9B8F55-7C2B-4455-8A9F-A97DEABE1495}"/>
    <dataValidation allowBlank="1" showInputMessage="1" showErrorMessage="1" prompt="This note applies to Total Monthly Payments in cell D5" sqref="B9" xr:uid="{112FFBFC-5041-4F8D-9F37-B3B9261093D9}"/>
    <dataValidation allowBlank="1" showInputMessage="1" showErrorMessage="1" prompt="Monthly Loan Payment is automatically calculated below" sqref="D1" xr:uid="{69C26283-9894-447C-989D-7B43B041870B}"/>
    <dataValidation allowBlank="1" showInputMessage="1" showErrorMessage="1" prompt="Title of this worksheet is in this and the cell below" sqref="B1" xr:uid="{AE75F6D8-B8D4-4A91-A38B-A0AC052C03FB}"/>
    <dataValidation allowBlank="1" showInputMessage="1" showErrorMessage="1" prompt="Totals in this column under this heading are calculated automatically. Enter Monthly Property Tax Amount in cell E8" sqref="E3" xr:uid="{EA806211-94C6-48B0-86C8-D4EA389DE020}"/>
    <dataValidation allowBlank="1" showInputMessage="1" showErrorMessage="1" prompt="Key Statistics for the loan are in this column under this heading. Enter Monthly Property Tax Amount in cell E8" sqref="D3" xr:uid="{CB2A4FFB-22A0-477D-A46D-99C240F0D9EE}"/>
    <dataValidation allowBlank="1" showInputMessage="1" showErrorMessage="1" prompt="Enter Loan Detail values in this column under this heading. Enter Monthly Property Tax Amount in cell E8" sqref="C3" xr:uid="{51D6D092-6AB3-4E57-86A2-2EEAF913E20D}"/>
    <dataValidation allowBlank="1" showInputMessage="1" showErrorMessage="1" prompt="Monthly Loan Payment is automatically calculated in this cell" sqref="D2" xr:uid="{85039836-46C0-44A3-A05E-655AC5044554}"/>
    <dataValidation allowBlank="1" showInputMessage="1" showErrorMessage="1" prompt="Loan Details to enter are in this column under this heading" sqref="B3" xr:uid="{B5F39042-1D19-4DA3-8716-C35EE4F47EDB}"/>
    <dataValidation allowBlank="1" showInputMessage="1" showErrorMessage="1" prompt="Enter the Monthly Property Tax Amount in this cell" sqref="E8" xr:uid="{FA96C01E-F5D3-4C15-B801-5441D8F52FED}"/>
    <dataValidation allowBlank="1" showInputMessage="1" showErrorMessage="1" prompt="Enter the Loan Start Date in this cell" sqref="C8" xr:uid="{D0FA9C9D-B058-4834-9848-46DBE11C7D08}"/>
    <dataValidation allowBlank="1" showInputMessage="1" showErrorMessage="1" prompt="Enter the total Loan Amount in this cell" sqref="C7" xr:uid="{ABBD3485-C463-4B33-AA6D-8AD888E1CB8E}"/>
    <dataValidation allowBlank="1" showInputMessage="1" showErrorMessage="1" prompt="Enter the Interest Rate in this cell" sqref="C5" xr:uid="{E444B3B5-12E3-409E-8B66-D5B68874ACF6}"/>
    <dataValidation allowBlank="1" showInputMessage="1" showErrorMessage="1" prompt="Enter the Purchase Price in this cell" sqref="C4" xr:uid="{927223B8-5727-4525-B168-7585562A0AE3}"/>
    <dataValidation allowBlank="1" showInputMessage="1" showErrorMessage="1" prompt="Mortgage Calculator contains loan details &amp; automatically calculates Key Statistics to determine Total Monthly Loan Payment. A navigation link to Amortization Table is in cell E10" sqref="A1" xr:uid="{4779ABB9-38D6-41B9-90B6-3C9400C463BB}"/>
    <dataValidation type="whole" errorStyle="warning" allowBlank="1" showInputMessage="1" showErrorMessage="1" error="The maximum length of a loan for this calculator is 360 months (30 years). Select RETRY to enter a value between 1 and 360, CANCEL to exit" prompt="Enter the Duration of the Loan (in months). Valid values are between 1 and 360 (30 years)" sqref="C6" xr:uid="{BE2E3B11-84A8-44ED-9F95-028240FA7CF2}">
      <formula1>1</formula1>
      <formula2>360</formula2>
    </dataValidation>
  </dataValidations>
  <hyperlinks>
    <hyperlink ref="E10" location="'Amortization Table'!A1" tooltip="Link to Amortization Table" display="To Amortization Table" xr:uid="{3CCD7D0E-FF91-422F-9A46-52F8B43FA176}"/>
  </hyperlinks>
  <printOptions horizontalCentered="1"/>
  <pageMargins left="0.25" right="0.25" top="0.75" bottom="0.75" header="0.3" footer="0.3"/>
  <pageSetup orientation="landscape" r:id="rId1"/>
  <headerFooter differentFirst="1">
    <oddFooter>Page &amp;P of &amp;N</oddFooter>
  </headerFooter>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AB20C-0195-43E6-AEA3-0CE45FBD2C28}">
  <sheetPr codeName="Sheet24">
    <tabColor rgb="FF7030A0"/>
    <pageSetUpPr fitToPage="1"/>
  </sheetPr>
  <dimension ref="A1:J363"/>
  <sheetViews>
    <sheetView showGridLines="0" zoomScaleNormal="100" workbookViewId="0">
      <selection activeCell="D4" sqref="D4"/>
    </sheetView>
  </sheetViews>
  <sheetFormatPr defaultColWidth="8.81640625" defaultRowHeight="14.5"/>
  <cols>
    <col min="1" max="1" width="2.7265625" style="212" customWidth="1"/>
    <col min="2" max="2" width="9.1796875" style="212" customWidth="1"/>
    <col min="3" max="3" width="14.26953125" style="212" customWidth="1"/>
    <col min="4" max="4" width="16.26953125" style="212" customWidth="1"/>
    <col min="5" max="5" width="14.26953125" style="212" customWidth="1"/>
    <col min="6" max="6" width="16.26953125" style="212" customWidth="1"/>
    <col min="7" max="7" width="15.7265625" style="212" customWidth="1"/>
    <col min="8" max="9" width="16.26953125" style="212" customWidth="1"/>
    <col min="10" max="10" width="15.7265625" style="212" customWidth="1"/>
    <col min="11" max="16384" width="8.81640625" style="212"/>
  </cols>
  <sheetData>
    <row r="1" spans="1:10" s="210" customFormat="1" ht="30" customHeight="1">
      <c r="A1" s="206"/>
      <c r="B1" s="787" t="s">
        <v>679</v>
      </c>
      <c r="C1" s="787"/>
      <c r="D1" s="787"/>
      <c r="E1" s="787"/>
      <c r="F1" s="787"/>
      <c r="G1" s="787"/>
      <c r="H1" s="787"/>
      <c r="I1" s="787"/>
      <c r="J1" s="787"/>
    </row>
    <row r="2" spans="1:10" s="210" customFormat="1" ht="30" customHeight="1">
      <c r="A2" s="211"/>
      <c r="B2" s="787"/>
      <c r="C2" s="787"/>
      <c r="D2" s="787"/>
      <c r="E2" s="787"/>
      <c r="F2" s="787"/>
      <c r="G2" s="787"/>
      <c r="H2" s="787"/>
      <c r="I2" s="787"/>
      <c r="J2" s="787"/>
    </row>
    <row r="3" spans="1:10" ht="35.15" customHeight="1">
      <c r="B3" s="213" t="s">
        <v>680</v>
      </c>
      <c r="C3" s="213" t="s">
        <v>681</v>
      </c>
      <c r="D3" s="213" t="s">
        <v>682</v>
      </c>
      <c r="E3" s="213" t="s">
        <v>683</v>
      </c>
      <c r="F3" s="213" t="s">
        <v>684</v>
      </c>
      <c r="G3" s="213" t="s">
        <v>685</v>
      </c>
      <c r="H3" s="213" t="s">
        <v>686</v>
      </c>
      <c r="I3" s="213" t="s">
        <v>687</v>
      </c>
      <c r="J3" s="213" t="s">
        <v>688</v>
      </c>
    </row>
    <row r="4" spans="1:10" ht="15" customHeight="1">
      <c r="B4" s="214">
        <f>IF(SUM(ROWS($B$4:B4))&gt;'Mortgage Calculator'!DurationOfLoan,"",SUM(ROWS($B$4:B4)))</f>
        <v>1</v>
      </c>
      <c r="C4" s="215">
        <f ca="1">IFERROR(DATE(YEAR('Mortgage Calculator'!LoanStart), MONTH('Mortgage Calculator'!LoanStart) +B4,DAY('Mortgage Calculator'!LoanStart)), "")</f>
        <v>44737</v>
      </c>
      <c r="D4" s="216">
        <f>IFERROR(-FV('Mortgage Calculator'!InterestRate/12,B4-1,-'Mortgage Calculator'!MonthlyLoanPayment,'Mortgage Calculator'!LoanAmount),"")</f>
        <v>25000</v>
      </c>
      <c r="E4" s="216">
        <v>416.66666666666669</v>
      </c>
      <c r="F4" s="216">
        <v>65.844155870337275</v>
      </c>
      <c r="G4" s="216">
        <f ca="1">IF(Amortization32[[#This Row],[payment
date]]="",0,'Mortgage Calculator'!PropertyTaxAmount)</f>
        <v>0</v>
      </c>
      <c r="H4" s="216">
        <f ca="1">IF(Amortization32[[#This Row],[payment
date]]="",0,Amortization32[[#This Row],[interest]]+Amortization32[[#This Row],[principal]]+Amortization32[[#This Row],[property
tax]])</f>
        <v>482.51082253700395</v>
      </c>
      <c r="I4" s="216">
        <f ca="1">IF(Amortization32[[#This Row],[payment
date]]="",0,Amortization32[[#This Row],[opening
balance]]-Amortization32[[#This Row],[principal]])</f>
        <v>24934.155844129662</v>
      </c>
      <c r="J4" s="217">
        <f ca="1">IF(Amortization32[[#This Row],[closing
balance]]&gt;0,LastRow-ROW(),0)</f>
        <v>47</v>
      </c>
    </row>
    <row r="5" spans="1:10" ht="15" customHeight="1">
      <c r="B5" s="214">
        <f>IF(SUM(ROWS($B$4:B5))&gt;'Mortgage Calculator'!DurationOfLoan,"",SUM(ROWS($B$4:B5)))</f>
        <v>2</v>
      </c>
      <c r="C5" s="215">
        <f ca="1">IFERROR(DATE(YEAR('Mortgage Calculator'!LoanStart), MONTH('Mortgage Calculator'!LoanStart) +B5,DAY('Mortgage Calculator'!LoanStart)), "")</f>
        <v>44767</v>
      </c>
      <c r="D5" s="216">
        <f>IFERROR(-FV('Mortgage Calculator'!InterestRate/12,B5-1,-'Mortgage Calculator'!MonthlyLoanPayment,'Mortgage Calculator'!LoanAmount),"")</f>
        <v>24608.83635067075</v>
      </c>
      <c r="E5" s="216">
        <v>415.5646915580034</v>
      </c>
      <c r="F5" s="216">
        <v>66.392857169256743</v>
      </c>
      <c r="G5" s="216">
        <f ca="1">IF(Amortization32[[#This Row],[payment
date]]="",0,'Mortgage Calculator'!PropertyTaxAmount)</f>
        <v>0</v>
      </c>
      <c r="H5" s="216">
        <f ca="1">IF(Amortization32[[#This Row],[payment
date]]="",0,Amortization32[[#This Row],[interest]]+Amortization32[[#This Row],[principal]]+Amortization32[[#This Row],[property
tax]])</f>
        <v>481.95754872726013</v>
      </c>
      <c r="I5" s="216">
        <f ca="1">IF(Amortization32[[#This Row],[payment
date]]="",0,Amortization32[[#This Row],[opening
balance]]-Amortization32[[#This Row],[principal]])</f>
        <v>24542.443493501494</v>
      </c>
      <c r="J5" s="217">
        <f ca="1">IF(Amortization32[[#This Row],[closing
balance]]&gt;0,LastRow-ROW(),0)</f>
        <v>46</v>
      </c>
    </row>
    <row r="6" spans="1:10" ht="15" customHeight="1">
      <c r="B6" s="214">
        <f>IF(SUM(ROWS($B$4:B6))&gt;'Mortgage Calculator'!DurationOfLoan,"",SUM(ROWS($B$4:B6)))</f>
        <v>3</v>
      </c>
      <c r="C6" s="215">
        <f ca="1">IFERROR(DATE(YEAR('Mortgage Calculator'!LoanStart), MONTH('Mortgage Calculator'!LoanStart) +B6,DAY('Mortgage Calculator'!LoanStart)), "")</f>
        <v>44798</v>
      </c>
      <c r="D6" s="216">
        <f>IFERROR(-FV('Mortgage Calculator'!InterestRate/12,B6-1,-'Mortgage Calculator'!MonthlyLoanPayment,'Mortgage Calculator'!LoanAmount),"")</f>
        <v>24213.096086644349</v>
      </c>
      <c r="E6" s="216">
        <v>415.00680713317837</v>
      </c>
      <c r="F6" s="216">
        <v>66.946130979000557</v>
      </c>
      <c r="G6" s="216">
        <f ca="1">IF(Amortization32[[#This Row],[payment
date]]="",0,'Mortgage Calculator'!PropertyTaxAmount)</f>
        <v>0</v>
      </c>
      <c r="H6" s="216">
        <f ca="1">IF(Amortization32[[#This Row],[payment
date]]="",0,Amortization32[[#This Row],[interest]]+Amortization32[[#This Row],[principal]]+Amortization32[[#This Row],[property
tax]])</f>
        <v>481.95293811217891</v>
      </c>
      <c r="I6" s="216">
        <f ca="1">IF(Amortization32[[#This Row],[payment
date]]="",0,Amortization32[[#This Row],[opening
balance]]-Amortization32[[#This Row],[principal]])</f>
        <v>24146.149955665347</v>
      </c>
      <c r="J6" s="217">
        <f ca="1">IF(Amortization32[[#This Row],[closing
balance]]&gt;0,LastRow-ROW(),0)</f>
        <v>45</v>
      </c>
    </row>
    <row r="7" spans="1:10" ht="15" customHeight="1">
      <c r="B7" s="214">
        <f>IF(SUM(ROWS($B$4:B7))&gt;'Mortgage Calculator'!DurationOfLoan,"",SUM(ROWS($B$4:B7)))</f>
        <v>4</v>
      </c>
      <c r="C7" s="215">
        <f ca="1">IFERROR(DATE(YEAR('Mortgage Calculator'!LoanStart), MONTH('Mortgage Calculator'!LoanStart) +B7,DAY('Mortgage Calculator'!LoanStart)), "")</f>
        <v>44829</v>
      </c>
      <c r="D7" s="216">
        <f>IFERROR(-FV('Mortgage Calculator'!InterestRate/12,B7-1,-'Mortgage Calculator'!MonthlyLoanPayment,'Mortgage Calculator'!LoanAmount),"")</f>
        <v>23812.725661528842</v>
      </c>
      <c r="E7" s="216">
        <v>414.44427367147983</v>
      </c>
      <c r="F7" s="216">
        <v>67.504015403825562</v>
      </c>
      <c r="G7" s="216">
        <f ca="1">IF(Amortization32[[#This Row],[payment
date]]="",0,'Mortgage Calculator'!PropertyTaxAmount)</f>
        <v>0</v>
      </c>
      <c r="H7" s="216">
        <f ca="1">IF(Amortization32[[#This Row],[payment
date]]="",0,Amortization32[[#This Row],[interest]]+Amortization32[[#This Row],[principal]]+Amortization32[[#This Row],[property
tax]])</f>
        <v>481.94828907530541</v>
      </c>
      <c r="I7" s="216">
        <f ca="1">IF(Amortization32[[#This Row],[payment
date]]="",0,Amortization32[[#This Row],[opening
balance]]-Amortization32[[#This Row],[principal]])</f>
        <v>23745.221646125017</v>
      </c>
      <c r="J7" s="217">
        <f ca="1">IF(Amortization32[[#This Row],[closing
balance]]&gt;0,LastRow-ROW(),0)</f>
        <v>44</v>
      </c>
    </row>
    <row r="8" spans="1:10" ht="15" customHeight="1">
      <c r="B8" s="214">
        <f>IF(SUM(ROWS($B$4:B8))&gt;'Mortgage Calculator'!DurationOfLoan,"",SUM(ROWS($B$4:B8)))</f>
        <v>5</v>
      </c>
      <c r="C8" s="215">
        <f ca="1">IFERROR(DATE(YEAR('Mortgage Calculator'!LoanStart), MONTH('Mortgage Calculator'!LoanStart) +B8,DAY('Mortgage Calculator'!LoanStart)), "")</f>
        <v>44859</v>
      </c>
      <c r="D8" s="216">
        <f>IFERROR(-FV('Mortgage Calculator'!InterestRate/12,B8-1,-'Mortgage Calculator'!MonthlyLoanPayment,'Mortgage Calculator'!LoanAmount),"")</f>
        <v>23407.67090243948</v>
      </c>
      <c r="E8" s="216">
        <v>413.87705243093382</v>
      </c>
      <c r="F8" s="216">
        <v>68.066548865524112</v>
      </c>
      <c r="G8" s="216">
        <f ca="1">IF(Amortization32[[#This Row],[payment
date]]="",0,'Mortgage Calculator'!PropertyTaxAmount)</f>
        <v>0</v>
      </c>
      <c r="H8" s="216">
        <f ca="1">IF(Amortization32[[#This Row],[payment
date]]="",0,Amortization32[[#This Row],[interest]]+Amortization32[[#This Row],[principal]]+Amortization32[[#This Row],[property
tax]])</f>
        <v>481.94360129645793</v>
      </c>
      <c r="I8" s="216">
        <f ca="1">IF(Amortization32[[#This Row],[payment
date]]="",0,Amortization32[[#This Row],[opening
balance]]-Amortization32[[#This Row],[principal]])</f>
        <v>23339.604353573955</v>
      </c>
      <c r="J8" s="217">
        <f ca="1">IF(Amortization32[[#This Row],[closing
balance]]&gt;0,LastRow-ROW(),0)</f>
        <v>43</v>
      </c>
    </row>
    <row r="9" spans="1:10" ht="15" customHeight="1">
      <c r="B9" s="214">
        <f>IF(SUM(ROWS($B$4:B9))&gt;'Mortgage Calculator'!DurationOfLoan,"",SUM(ROWS($B$4:B9)))</f>
        <v>6</v>
      </c>
      <c r="C9" s="215">
        <f ca="1">IFERROR(DATE(YEAR('Mortgage Calculator'!LoanStart), MONTH('Mortgage Calculator'!LoanStart) +B9,DAY('Mortgage Calculator'!LoanStart)), "")</f>
        <v>44890</v>
      </c>
      <c r="D9" s="216">
        <f>IFERROR(-FV('Mortgage Calculator'!InterestRate/12,B9-1,-'Mortgage Calculator'!MonthlyLoanPayment,'Mortgage Calculator'!LoanAmount),"")</f>
        <v>22997.877002668774</v>
      </c>
      <c r="E9" s="216">
        <v>413.30510434671658</v>
      </c>
      <c r="F9" s="216">
        <v>68.633770106070145</v>
      </c>
      <c r="G9" s="216">
        <f ca="1">IF(Amortization32[[#This Row],[payment
date]]="",0,'Mortgage Calculator'!PropertyTaxAmount)</f>
        <v>0</v>
      </c>
      <c r="H9" s="216">
        <f ca="1">IF(Amortization32[[#This Row],[payment
date]]="",0,Amortization32[[#This Row],[interest]]+Amortization32[[#This Row],[principal]]+Amortization32[[#This Row],[property
tax]])</f>
        <v>481.93887445278671</v>
      </c>
      <c r="I9" s="216">
        <f ca="1">IF(Amortization32[[#This Row],[payment
date]]="",0,Amortization32[[#This Row],[opening
balance]]-Amortization32[[#This Row],[principal]])</f>
        <v>22929.243232562705</v>
      </c>
      <c r="J9" s="217">
        <f ca="1">IF(Amortization32[[#This Row],[closing
balance]]&gt;0,LastRow-ROW(),0)</f>
        <v>42</v>
      </c>
    </row>
    <row r="10" spans="1:10" ht="15" customHeight="1">
      <c r="B10" s="214">
        <f>IF(SUM(ROWS($B$4:B10))&gt;'Mortgage Calculator'!DurationOfLoan,"",SUM(ROWS($B$4:B10)))</f>
        <v>7</v>
      </c>
      <c r="C10" s="215">
        <f ca="1">IFERROR(DATE(YEAR('Mortgage Calculator'!LoanStart), MONTH('Mortgage Calculator'!LoanStart) +B10,DAY('Mortgage Calculator'!LoanStart)), "")</f>
        <v>44920</v>
      </c>
      <c r="D10" s="216">
        <f>IFERROR(-FV('Mortgage Calculator'!InterestRate/12,B10-1,-'Mortgage Calculator'!MonthlyLoanPayment,'Mortgage Calculator'!LoanAmount),"")</f>
        <v>22583.288514270746</v>
      </c>
      <c r="E10" s="216">
        <v>412.72839002846416</v>
      </c>
      <c r="F10" s="216">
        <v>69.205718190287385</v>
      </c>
      <c r="G10" s="216">
        <f ca="1">IF(Amortization32[[#This Row],[payment
date]]="",0,'Mortgage Calculator'!PropertyTaxAmount)</f>
        <v>0</v>
      </c>
      <c r="H10" s="216">
        <f ca="1">IF(Amortization32[[#This Row],[payment
date]]="",0,Amortization32[[#This Row],[interest]]+Amortization32[[#This Row],[principal]]+Amortization32[[#This Row],[property
tax]])</f>
        <v>481.93410821875153</v>
      </c>
      <c r="I10" s="216">
        <f ca="1">IF(Amortization32[[#This Row],[payment
date]]="",0,Amortization32[[#This Row],[opening
balance]]-Amortization32[[#This Row],[principal]])</f>
        <v>22514.082796080456</v>
      </c>
      <c r="J10" s="217">
        <f ca="1">IF(Amortization32[[#This Row],[closing
balance]]&gt;0,LastRow-ROW(),0)</f>
        <v>41</v>
      </c>
    </row>
    <row r="11" spans="1:10" ht="15" customHeight="1">
      <c r="B11" s="214">
        <f>IF(SUM(ROWS($B$4:B11))&gt;'Mortgage Calculator'!DurationOfLoan,"",SUM(ROWS($B$4:B11)))</f>
        <v>8</v>
      </c>
      <c r="C11" s="215">
        <f ca="1">IFERROR(DATE(YEAR('Mortgage Calculator'!LoanStart), MONTH('Mortgage Calculator'!LoanStart) +B11,DAY('Mortgage Calculator'!LoanStart)), "")</f>
        <v>44951</v>
      </c>
      <c r="D11" s="216">
        <f>IFERROR(-FV('Mortgage Calculator'!InterestRate/12,B11-1,-'Mortgage Calculator'!MonthlyLoanPayment,'Mortgage Calculator'!LoanAmount),"")</f>
        <v>22163.84934055847</v>
      </c>
      <c r="E11" s="216">
        <v>412.14686975755967</v>
      </c>
      <c r="F11" s="216">
        <v>69.782432508539799</v>
      </c>
      <c r="G11" s="216">
        <f ca="1">IF(Amortization32[[#This Row],[payment
date]]="",0,'Mortgage Calculator'!PropertyTaxAmount)</f>
        <v>0</v>
      </c>
      <c r="H11" s="216">
        <f ca="1">IF(Amortization32[[#This Row],[payment
date]]="",0,Amortization32[[#This Row],[interest]]+Amortization32[[#This Row],[principal]]+Amortization32[[#This Row],[property
tax]])</f>
        <v>481.92930226609946</v>
      </c>
      <c r="I11" s="216">
        <f ca="1">IF(Amortization32[[#This Row],[payment
date]]="",0,Amortization32[[#This Row],[opening
balance]]-Amortization32[[#This Row],[principal]])</f>
        <v>22094.066908049932</v>
      </c>
      <c r="J11" s="217">
        <f ca="1">IF(Amortization32[[#This Row],[closing
balance]]&gt;0,LastRow-ROW(),0)</f>
        <v>40</v>
      </c>
    </row>
    <row r="12" spans="1:10" ht="15" customHeight="1">
      <c r="B12" s="214">
        <f>IF(SUM(ROWS($B$4:B12))&gt;'Mortgage Calculator'!DurationOfLoan,"",SUM(ROWS($B$4:B12)))</f>
        <v>9</v>
      </c>
      <c r="C12" s="215">
        <f ca="1">IFERROR(DATE(YEAR('Mortgage Calculator'!LoanStart), MONTH('Mortgage Calculator'!LoanStart) +B12,DAY('Mortgage Calculator'!LoanStart)), "")</f>
        <v>44982</v>
      </c>
      <c r="D12" s="216">
        <f>IFERROR(-FV('Mortgage Calculator'!InterestRate/12,B12-1,-'Mortgage Calculator'!MonthlyLoanPayment,'Mortgage Calculator'!LoanAmount),"")</f>
        <v>21739.502728513755</v>
      </c>
      <c r="E12" s="216">
        <v>411.56050348439766</v>
      </c>
      <c r="F12" s="216">
        <v>70.363952779444276</v>
      </c>
      <c r="G12" s="216">
        <f ca="1">IF(Amortization32[[#This Row],[payment
date]]="",0,'Mortgage Calculator'!PropertyTaxAmount)</f>
        <v>0</v>
      </c>
      <c r="H12" s="216">
        <f ca="1">IF(Amortization32[[#This Row],[payment
date]]="",0,Amortization32[[#This Row],[interest]]+Amortization32[[#This Row],[principal]]+Amortization32[[#This Row],[property
tax]])</f>
        <v>481.92445626384193</v>
      </c>
      <c r="I12" s="216">
        <f ca="1">IF(Amortization32[[#This Row],[payment
date]]="",0,Amortization32[[#This Row],[opening
balance]]-Amortization32[[#This Row],[principal]])</f>
        <v>21669.138775734311</v>
      </c>
      <c r="J12" s="217">
        <f ca="1">IF(Amortization32[[#This Row],[closing
balance]]&gt;0,LastRow-ROW(),0)</f>
        <v>39</v>
      </c>
    </row>
    <row r="13" spans="1:10" ht="15" customHeight="1">
      <c r="B13" s="214">
        <f>IF(SUM(ROWS($B$4:B13))&gt;'Mortgage Calculator'!DurationOfLoan,"",SUM(ROWS($B$4:B13)))</f>
        <v>10</v>
      </c>
      <c r="C13" s="215">
        <f ca="1">IFERROR(DATE(YEAR('Mortgage Calculator'!LoanStart), MONTH('Mortgage Calculator'!LoanStart) +B13,DAY('Mortgage Calculator'!LoanStart)), "")</f>
        <v>45010</v>
      </c>
      <c r="D13" s="216">
        <f>IFERROR(-FV('Mortgage Calculator'!InterestRate/12,B13-1,-'Mortgage Calculator'!MonthlyLoanPayment,'Mortgage Calculator'!LoanAmount),"")</f>
        <v>21310.191261108121</v>
      </c>
      <c r="E13" s="216">
        <v>410.96925082562592</v>
      </c>
      <c r="F13" s="216">
        <v>70.950319052606318</v>
      </c>
      <c r="G13" s="216">
        <f ca="1">IF(Amortization32[[#This Row],[payment
date]]="",0,'Mortgage Calculator'!PropertyTaxAmount)</f>
        <v>0</v>
      </c>
      <c r="H13" s="216">
        <f ca="1">IF(Amortization32[[#This Row],[payment
date]]="",0,Amortization32[[#This Row],[interest]]+Amortization32[[#This Row],[principal]]+Amortization32[[#This Row],[property
tax]])</f>
        <v>481.91956987823221</v>
      </c>
      <c r="I13" s="216">
        <f ca="1">IF(Amortization32[[#This Row],[payment
date]]="",0,Amortization32[[#This Row],[opening
balance]]-Amortization32[[#This Row],[principal]])</f>
        <v>21239.240942055516</v>
      </c>
      <c r="J13" s="217">
        <f ca="1">IF(Amortization32[[#This Row],[closing
balance]]&gt;0,LastRow-ROW(),0)</f>
        <v>38</v>
      </c>
    </row>
    <row r="14" spans="1:10" ht="15" customHeight="1">
      <c r="B14" s="214">
        <f>IF(SUM(ROWS($B$4:B14))&gt;'Mortgage Calculator'!DurationOfLoan,"",SUM(ROWS($B$4:B14)))</f>
        <v>11</v>
      </c>
      <c r="C14" s="215">
        <f ca="1">IFERROR(DATE(YEAR('Mortgage Calculator'!LoanStart), MONTH('Mortgage Calculator'!LoanStart) +B14,DAY('Mortgage Calculator'!LoanStart)), "")</f>
        <v>45041</v>
      </c>
      <c r="D14" s="216">
        <f>IFERROR(-FV('Mortgage Calculator'!InterestRate/12,B14-1,-'Mortgage Calculator'!MonthlyLoanPayment,'Mortgage Calculator'!LoanAmount),"")</f>
        <v>20875.856849533833</v>
      </c>
      <c r="E14" s="216">
        <v>410.37307106136444</v>
      </c>
      <c r="F14" s="216">
        <v>71.54157171137804</v>
      </c>
      <c r="G14" s="216">
        <f ca="1">IF(Amortization32[[#This Row],[payment
date]]="",0,'Mortgage Calculator'!PropertyTaxAmount)</f>
        <v>0</v>
      </c>
      <c r="H14" s="216">
        <f ca="1">IF(Amortization32[[#This Row],[payment
date]]="",0,Amortization32[[#This Row],[interest]]+Amortization32[[#This Row],[principal]]+Amortization32[[#This Row],[property
tax]])</f>
        <v>481.91464277274247</v>
      </c>
      <c r="I14" s="216">
        <f ca="1">IF(Amortization32[[#This Row],[payment
date]]="",0,Amortization32[[#This Row],[opening
balance]]-Amortization32[[#This Row],[principal]])</f>
        <v>20804.315277822454</v>
      </c>
      <c r="J14" s="217">
        <f ca="1">IF(Amortization32[[#This Row],[closing
balance]]&gt;0,LastRow-ROW(),0)</f>
        <v>37</v>
      </c>
    </row>
    <row r="15" spans="1:10" ht="15" customHeight="1">
      <c r="B15" s="214">
        <f>IF(SUM(ROWS($B$4:B15))&gt;'Mortgage Calculator'!DurationOfLoan,"",SUM(ROWS($B$4:B15)))</f>
        <v>12</v>
      </c>
      <c r="C15" s="215">
        <f ca="1">IFERROR(DATE(YEAR('Mortgage Calculator'!LoanStart), MONTH('Mortgage Calculator'!LoanStart) +B15,DAY('Mortgage Calculator'!LoanStart)), "")</f>
        <v>45071</v>
      </c>
      <c r="D15" s="216">
        <f>IFERROR(-FV('Mortgage Calculator'!InterestRate/12,B15-1,-'Mortgage Calculator'!MonthlyLoanPayment,'Mortgage Calculator'!LoanAmount),"")</f>
        <v>20436.440725344131</v>
      </c>
      <c r="E15" s="216">
        <v>409.77192313240079</v>
      </c>
      <c r="F15" s="216">
        <v>72.137751475639519</v>
      </c>
      <c r="G15" s="216">
        <f ca="1">IF(Amortization32[[#This Row],[payment
date]]="",0,'Mortgage Calculator'!PropertyTaxAmount)</f>
        <v>0</v>
      </c>
      <c r="H15" s="216">
        <f ca="1">IF(Amortization32[[#This Row],[payment
date]]="",0,Amortization32[[#This Row],[interest]]+Amortization32[[#This Row],[principal]]+Amortization32[[#This Row],[property
tax]])</f>
        <v>481.90967460804029</v>
      </c>
      <c r="I15" s="216">
        <f ca="1">IF(Amortization32[[#This Row],[payment
date]]="",0,Amortization32[[#This Row],[opening
balance]]-Amortization32[[#This Row],[principal]])</f>
        <v>20364.302973868493</v>
      </c>
      <c r="J15" s="217">
        <f ca="1">IF(Amortization32[[#This Row],[closing
balance]]&gt;0,LastRow-ROW(),0)</f>
        <v>36</v>
      </c>
    </row>
    <row r="16" spans="1:10" ht="15" customHeight="1">
      <c r="B16" s="214">
        <f>IF(SUM(ROWS($B$4:B16))&gt;'Mortgage Calculator'!DurationOfLoan,"",SUM(ROWS($B$4:B16)))</f>
        <v>13</v>
      </c>
      <c r="C16" s="215">
        <f ca="1">IFERROR(DATE(YEAR('Mortgage Calculator'!LoanStart), MONTH('Mortgage Calculator'!LoanStart) +B16,DAY('Mortgage Calculator'!LoanStart)), "")</f>
        <v>45102</v>
      </c>
      <c r="D16" s="216">
        <f>IFERROR(-FV('Mortgage Calculator'!InterestRate/12,B16-1,-'Mortgage Calculator'!MonthlyLoanPayment,'Mortgage Calculator'!LoanAmount),"")</f>
        <v>19991.883432501407</v>
      </c>
      <c r="E16" s="216">
        <v>409.16576563736248</v>
      </c>
      <c r="F16" s="216">
        <v>72.738899404603188</v>
      </c>
      <c r="G16" s="216">
        <f ca="1">IF(Amortization32[[#This Row],[payment
date]]="",0,'Mortgage Calculator'!PropertyTaxAmount)</f>
        <v>0</v>
      </c>
      <c r="H16" s="216">
        <f ca="1">IF(Amortization32[[#This Row],[payment
date]]="",0,Amortization32[[#This Row],[interest]]+Amortization32[[#This Row],[principal]]+Amortization32[[#This Row],[property
tax]])</f>
        <v>481.9046650419657</v>
      </c>
      <c r="I16" s="216">
        <f ca="1">IF(Amortization32[[#This Row],[payment
date]]="",0,Amortization32[[#This Row],[opening
balance]]-Amortization32[[#This Row],[principal]])</f>
        <v>19919.144533096805</v>
      </c>
      <c r="J16" s="217">
        <f ca="1">IF(Amortization32[[#This Row],[closing
balance]]&gt;0,LastRow-ROW(),0)</f>
        <v>35</v>
      </c>
    </row>
    <row r="17" spans="2:10" ht="15" customHeight="1">
      <c r="B17" s="214">
        <f>IF(SUM(ROWS($B$4:B17))&gt;'Mortgage Calculator'!DurationOfLoan,"",SUM(ROWS($B$4:B17)))</f>
        <v>14</v>
      </c>
      <c r="C17" s="215">
        <f ca="1">IFERROR(DATE(YEAR('Mortgage Calculator'!LoanStart), MONTH('Mortgage Calculator'!LoanStart) +B17,DAY('Mortgage Calculator'!LoanStart)), "")</f>
        <v>45132</v>
      </c>
      <c r="D17" s="216">
        <f>IFERROR(-FV('Mortgage Calculator'!InterestRate/12,B17-1,-'Mortgage Calculator'!MonthlyLoanPayment,'Mortgage Calculator'!LoanAmount),"")</f>
        <v>19542.124819332421</v>
      </c>
      <c r="E17" s="216">
        <v>408.55455682986542</v>
      </c>
      <c r="F17" s="216">
        <v>73.345056899641548</v>
      </c>
      <c r="G17" s="216">
        <f ca="1">IF(Amortization32[[#This Row],[payment
date]]="",0,'Mortgage Calculator'!PropertyTaxAmount)</f>
        <v>0</v>
      </c>
      <c r="H17" s="216">
        <f ca="1">IF(Amortization32[[#This Row],[payment
date]]="",0,Amortization32[[#This Row],[interest]]+Amortization32[[#This Row],[principal]]+Amortization32[[#This Row],[property
tax]])</f>
        <v>481.899613729507</v>
      </c>
      <c r="I17" s="216">
        <f ca="1">IF(Amortization32[[#This Row],[payment
date]]="",0,Amortization32[[#This Row],[opening
balance]]-Amortization32[[#This Row],[principal]])</f>
        <v>19468.77976243278</v>
      </c>
      <c r="J17" s="217">
        <f ca="1">IF(Amortization32[[#This Row],[closing
balance]]&gt;0,LastRow-ROW(),0)</f>
        <v>34</v>
      </c>
    </row>
    <row r="18" spans="2:10" ht="15" customHeight="1">
      <c r="B18" s="214">
        <f>IF(SUM(ROWS($B$4:B18))&gt;'Mortgage Calculator'!DurationOfLoan,"",SUM(ROWS($B$4:B18)))</f>
        <v>15</v>
      </c>
      <c r="C18" s="215">
        <f ca="1">IFERROR(DATE(YEAR('Mortgage Calculator'!LoanStart), MONTH('Mortgage Calculator'!LoanStart) +B18,DAY('Mortgage Calculator'!LoanStart)), "")</f>
        <v>45163</v>
      </c>
      <c r="D18" s="216">
        <f>IFERROR(-FV('Mortgage Calculator'!InterestRate/12,B18-1,-'Mortgage Calculator'!MonthlyLoanPayment,'Mortgage Calculator'!LoanAmount),"")</f>
        <v>19087.104030389364</v>
      </c>
      <c r="E18" s="216">
        <v>407.93825461563927</v>
      </c>
      <c r="F18" s="216">
        <v>73.956265707138542</v>
      </c>
      <c r="G18" s="216">
        <f ca="1">IF(Amortization32[[#This Row],[payment
date]]="",0,'Mortgage Calculator'!PropertyTaxAmount)</f>
        <v>0</v>
      </c>
      <c r="H18" s="216">
        <f ca="1">IF(Amortization32[[#This Row],[payment
date]]="",0,Amortization32[[#This Row],[interest]]+Amortization32[[#This Row],[principal]]+Amortization32[[#This Row],[property
tax]])</f>
        <v>481.89452032277779</v>
      </c>
      <c r="I18" s="216">
        <f ca="1">IF(Amortization32[[#This Row],[payment
date]]="",0,Amortization32[[#This Row],[opening
balance]]-Amortization32[[#This Row],[principal]])</f>
        <v>19013.147764682224</v>
      </c>
      <c r="J18" s="217">
        <f ca="1">IF(Amortization32[[#This Row],[closing
balance]]&gt;0,LastRow-ROW(),0)</f>
        <v>33</v>
      </c>
    </row>
    <row r="19" spans="2:10" ht="15" customHeight="1">
      <c r="B19" s="214">
        <f>IF(SUM(ROWS($B$4:B19))&gt;'Mortgage Calculator'!DurationOfLoan,"",SUM(ROWS($B$4:B19)))</f>
        <v>16</v>
      </c>
      <c r="C19" s="215">
        <f ca="1">IFERROR(DATE(YEAR('Mortgage Calculator'!LoanStart), MONTH('Mortgage Calculator'!LoanStart) +B19,DAY('Mortgage Calculator'!LoanStart)), "")</f>
        <v>45194</v>
      </c>
      <c r="D19" s="216">
        <f>IFERROR(-FV('Mortgage Calculator'!InterestRate/12,B19-1,-'Mortgage Calculator'!MonthlyLoanPayment,'Mortgage Calculator'!LoanAmount),"")</f>
        <v>18626.759498215677</v>
      </c>
      <c r="E19" s="216">
        <v>407.3168165496279</v>
      </c>
      <c r="F19" s="216">
        <v>74.572567921364694</v>
      </c>
      <c r="G19" s="216">
        <f ca="1">IF(Amortization32[[#This Row],[payment
date]]="",0,'Mortgage Calculator'!PropertyTaxAmount)</f>
        <v>0</v>
      </c>
      <c r="H19" s="216">
        <f ca="1">IF(Amortization32[[#This Row],[payment
date]]="",0,Amortization32[[#This Row],[interest]]+Amortization32[[#This Row],[principal]]+Amortization32[[#This Row],[property
tax]])</f>
        <v>481.88938447099258</v>
      </c>
      <c r="I19" s="216">
        <f ca="1">IF(Amortization32[[#This Row],[payment
date]]="",0,Amortization32[[#This Row],[opening
balance]]-Amortization32[[#This Row],[principal]])</f>
        <v>18552.186930294312</v>
      </c>
      <c r="J19" s="217">
        <f ca="1">IF(Amortization32[[#This Row],[closing
balance]]&gt;0,LastRow-ROW(),0)</f>
        <v>32</v>
      </c>
    </row>
    <row r="20" spans="2:10" ht="15" customHeight="1">
      <c r="B20" s="214">
        <f>IF(SUM(ROWS($B$4:B20))&gt;'Mortgage Calculator'!DurationOfLoan,"",SUM(ROWS($B$4:B20)))</f>
        <v>17</v>
      </c>
      <c r="C20" s="215">
        <f ca="1">IFERROR(DATE(YEAR('Mortgage Calculator'!LoanStart), MONTH('Mortgage Calculator'!LoanStart) +B20,DAY('Mortgage Calculator'!LoanStart)), "")</f>
        <v>45224</v>
      </c>
      <c r="D20" s="216">
        <f>IFERROR(-FV('Mortgage Calculator'!InterestRate/12,B20-1,-'Mortgage Calculator'!MonthlyLoanPayment,'Mortgage Calculator'!LoanAmount),"")</f>
        <v>18161.028935015544</v>
      </c>
      <c r="E20" s="216">
        <v>406.69019983306646</v>
      </c>
      <c r="F20" s="216">
        <v>75.194005987376102</v>
      </c>
      <c r="G20" s="216">
        <f ca="1">IF(Amortization32[[#This Row],[payment
date]]="",0,'Mortgage Calculator'!PropertyTaxAmount)</f>
        <v>0</v>
      </c>
      <c r="H20" s="216">
        <f ca="1">IF(Amortization32[[#This Row],[payment
date]]="",0,Amortization32[[#This Row],[interest]]+Amortization32[[#This Row],[principal]]+Amortization32[[#This Row],[property
tax]])</f>
        <v>481.88420582044256</v>
      </c>
      <c r="I20" s="216">
        <f ca="1">IF(Amortization32[[#This Row],[payment
date]]="",0,Amortization32[[#This Row],[opening
balance]]-Amortization32[[#This Row],[principal]])</f>
        <v>18085.834929028166</v>
      </c>
      <c r="J20" s="217">
        <f ca="1">IF(Amortization32[[#This Row],[closing
balance]]&gt;0,LastRow-ROW(),0)</f>
        <v>31</v>
      </c>
    </row>
    <row r="21" spans="2:10" ht="15" customHeight="1">
      <c r="B21" s="214">
        <f>IF(SUM(ROWS($B$4:B21))&gt;'Mortgage Calculator'!DurationOfLoan,"",SUM(ROWS($B$4:B21)))</f>
        <v>18</v>
      </c>
      <c r="C21" s="215">
        <f ca="1">IFERROR(DATE(YEAR('Mortgage Calculator'!LoanStart), MONTH('Mortgage Calculator'!LoanStart) +B21,DAY('Mortgage Calculator'!LoanStart)), "")</f>
        <v>45255</v>
      </c>
      <c r="D21" s="216">
        <f>IFERROR(-FV('Mortgage Calculator'!InterestRate/12,B21-1,-'Mortgage Calculator'!MonthlyLoanPayment,'Mortgage Calculator'!LoanAmount),"")</f>
        <v>17689.849324225979</v>
      </c>
      <c r="E21" s="216">
        <v>406.0583613105336</v>
      </c>
      <c r="F21" s="216">
        <v>75.820622703937559</v>
      </c>
      <c r="G21" s="216">
        <f ca="1">IF(Amortization32[[#This Row],[payment
date]]="",0,'Mortgage Calculator'!PropertyTaxAmount)</f>
        <v>0</v>
      </c>
      <c r="H21" s="216">
        <f ca="1">IF(Amortization32[[#This Row],[payment
date]]="",0,Amortization32[[#This Row],[interest]]+Amortization32[[#This Row],[principal]]+Amortization32[[#This Row],[property
tax]])</f>
        <v>481.87898401447114</v>
      </c>
      <c r="I21" s="216">
        <f ca="1">IF(Amortization32[[#This Row],[payment
date]]="",0,Amortization32[[#This Row],[opening
balance]]-Amortization32[[#This Row],[principal]])</f>
        <v>17614.028701522042</v>
      </c>
      <c r="J21" s="217">
        <f ca="1">IF(Amortization32[[#This Row],[closing
balance]]&gt;0,LastRow-ROW(),0)</f>
        <v>30</v>
      </c>
    </row>
    <row r="22" spans="2:10" ht="15" customHeight="1">
      <c r="B22" s="214">
        <f>IF(SUM(ROWS($B$4:B22))&gt;'Mortgage Calculator'!DurationOfLoan,"",SUM(ROWS($B$4:B22)))</f>
        <v>19</v>
      </c>
      <c r="C22" s="215">
        <f ca="1">IFERROR(DATE(YEAR('Mortgage Calculator'!LoanStart), MONTH('Mortgage Calculator'!LoanStart) +B22,DAY('Mortgage Calculator'!LoanStart)), "")</f>
        <v>45285</v>
      </c>
      <c r="D22" s="216">
        <f>IFERROR(-FV('Mortgage Calculator'!InterestRate/12,B22-1,-'Mortgage Calculator'!MonthlyLoanPayment,'Mortgage Calculator'!LoanAmount),"")</f>
        <v>17213.156911990169</v>
      </c>
      <c r="E22" s="216">
        <v>405.42125746697974</v>
      </c>
      <c r="F22" s="216">
        <v>76.452461226470376</v>
      </c>
      <c r="G22" s="216">
        <f ca="1">IF(Amortization32[[#This Row],[payment
date]]="",0,'Mortgage Calculator'!PropertyTaxAmount)</f>
        <v>0</v>
      </c>
      <c r="H22" s="216">
        <f ca="1">IF(Amortization32[[#This Row],[payment
date]]="",0,Amortization32[[#This Row],[interest]]+Amortization32[[#This Row],[principal]]+Amortization32[[#This Row],[property
tax]])</f>
        <v>481.87371869345009</v>
      </c>
      <c r="I22" s="216">
        <f ca="1">IF(Amortization32[[#This Row],[payment
date]]="",0,Amortization32[[#This Row],[opening
balance]]-Amortization32[[#This Row],[principal]])</f>
        <v>17136.7044507637</v>
      </c>
      <c r="J22" s="217">
        <f ca="1">IF(Amortization32[[#This Row],[closing
balance]]&gt;0,LastRow-ROW(),0)</f>
        <v>29</v>
      </c>
    </row>
    <row r="23" spans="2:10" ht="15" customHeight="1">
      <c r="B23" s="214">
        <f>IF(SUM(ROWS($B$4:B23))&gt;'Mortgage Calculator'!DurationOfLoan,"",SUM(ROWS($B$4:B23)))</f>
        <v>20</v>
      </c>
      <c r="C23" s="215">
        <f ca="1">IFERROR(DATE(YEAR('Mortgage Calculator'!LoanStart), MONTH('Mortgage Calculator'!LoanStart) +B23,DAY('Mortgage Calculator'!LoanStart)), "")</f>
        <v>45316</v>
      </c>
      <c r="D23" s="216">
        <f>IFERROR(-FV('Mortgage Calculator'!InterestRate/12,B23-1,-'Mortgage Calculator'!MonthlyLoanPayment,'Mortgage Calculator'!LoanAmount),"")</f>
        <v>16730.887198531207</v>
      </c>
      <c r="E23" s="216">
        <v>404.77884442472953</v>
      </c>
      <c r="F23" s="216">
        <v>77.089565070024307</v>
      </c>
      <c r="G23" s="216">
        <f ca="1">IF(Amortization32[[#This Row],[payment
date]]="",0,'Mortgage Calculator'!PropertyTaxAmount)</f>
        <v>0</v>
      </c>
      <c r="H23" s="216">
        <f ca="1">IF(Amortization32[[#This Row],[payment
date]]="",0,Amortization32[[#This Row],[interest]]+Amortization32[[#This Row],[principal]]+Amortization32[[#This Row],[property
tax]])</f>
        <v>481.86840949475385</v>
      </c>
      <c r="I23" s="216">
        <f ca="1">IF(Amortization32[[#This Row],[payment
date]]="",0,Amortization32[[#This Row],[opening
balance]]-Amortization32[[#This Row],[principal]])</f>
        <v>16653.797633461181</v>
      </c>
      <c r="J23" s="217">
        <f ca="1">IF(Amortization32[[#This Row],[closing
balance]]&gt;0,LastRow-ROW(),0)</f>
        <v>28</v>
      </c>
    </row>
    <row r="24" spans="2:10" ht="15" customHeight="1">
      <c r="B24" s="214">
        <f>IF(SUM(ROWS($B$4:B24))&gt;'Mortgage Calculator'!DurationOfLoan,"",SUM(ROWS($B$4:B24)))</f>
        <v>21</v>
      </c>
      <c r="C24" s="215">
        <f ca="1">IFERROR(DATE(YEAR('Mortgage Calculator'!LoanStart), MONTH('Mortgage Calculator'!LoanStart) +B24,DAY('Mortgage Calculator'!LoanStart)), "")</f>
        <v>45347</v>
      </c>
      <c r="D24" s="216">
        <f>IFERROR(-FV('Mortgage Calculator'!InterestRate/12,B24-1,-'Mortgage Calculator'!MonthlyLoanPayment,'Mortgage Calculator'!LoanAmount),"")</f>
        <v>16242.974929424778</v>
      </c>
      <c r="E24" s="216">
        <v>404.13107794046056</v>
      </c>
      <c r="F24" s="216">
        <v>77.73197811227449</v>
      </c>
      <c r="G24" s="216">
        <f ca="1">IF(Amortization32[[#This Row],[payment
date]]="",0,'Mortgage Calculator'!PropertyTaxAmount)</f>
        <v>0</v>
      </c>
      <c r="H24" s="216">
        <f ca="1">IF(Amortization32[[#This Row],[payment
date]]="",0,Amortization32[[#This Row],[interest]]+Amortization32[[#This Row],[principal]]+Amortization32[[#This Row],[property
tax]])</f>
        <v>481.86305605273503</v>
      </c>
      <c r="I24" s="216">
        <f ca="1">IF(Amortization32[[#This Row],[payment
date]]="",0,Amortization32[[#This Row],[opening
balance]]-Amortization32[[#This Row],[principal]])</f>
        <v>16165.242951312503</v>
      </c>
      <c r="J24" s="217">
        <f ca="1">IF(Amortization32[[#This Row],[closing
balance]]&gt;0,LastRow-ROW(),0)</f>
        <v>27</v>
      </c>
    </row>
    <row r="25" spans="2:10" ht="15" customHeight="1">
      <c r="B25" s="214">
        <f>IF(SUM(ROWS($B$4:B25))&gt;'Mortgage Calculator'!DurationOfLoan,"",SUM(ROWS($B$4:B25)))</f>
        <v>22</v>
      </c>
      <c r="C25" s="215">
        <f ca="1">IFERROR(DATE(YEAR('Mortgage Calculator'!LoanStart), MONTH('Mortgage Calculator'!LoanStart) +B25,DAY('Mortgage Calculator'!LoanStart)), "")</f>
        <v>45376</v>
      </c>
      <c r="D25" s="216">
        <f>IFERROR(-FV('Mortgage Calculator'!InterestRate/12,B25-1,-'Mortgage Calculator'!MonthlyLoanPayment,'Mortgage Calculator'!LoanAmount),"")</f>
        <v>15749.354086769803</v>
      </c>
      <c r="E25" s="216">
        <v>403.47791340215599</v>
      </c>
      <c r="F25" s="216">
        <v>78.379744596543446</v>
      </c>
      <c r="G25" s="216">
        <f ca="1">IF(Amortization32[[#This Row],[payment
date]]="",0,'Mortgage Calculator'!PropertyTaxAmount)</f>
        <v>0</v>
      </c>
      <c r="H25" s="216">
        <f ca="1">IF(Amortization32[[#This Row],[payment
date]]="",0,Amortization32[[#This Row],[interest]]+Amortization32[[#This Row],[principal]]+Amortization32[[#This Row],[property
tax]])</f>
        <v>481.85765799869944</v>
      </c>
      <c r="I25" s="216">
        <f ca="1">IF(Amortization32[[#This Row],[payment
date]]="",0,Amortization32[[#This Row],[opening
balance]]-Amortization32[[#This Row],[principal]])</f>
        <v>15670.97434217326</v>
      </c>
      <c r="J25" s="217">
        <f ca="1">IF(Amortization32[[#This Row],[closing
balance]]&gt;0,LastRow-ROW(),0)</f>
        <v>26</v>
      </c>
    </row>
    <row r="26" spans="2:10" ht="15" customHeight="1">
      <c r="B26" s="214">
        <f>IF(SUM(ROWS($B$4:B26))&gt;'Mortgage Calculator'!DurationOfLoan,"",SUM(ROWS($B$4:B26)))</f>
        <v>23</v>
      </c>
      <c r="C26" s="215">
        <f ca="1">IFERROR(DATE(YEAR('Mortgage Calculator'!LoanStart), MONTH('Mortgage Calculator'!LoanStart) +B26,DAY('Mortgage Calculator'!LoanStart)), "")</f>
        <v>45407</v>
      </c>
      <c r="D26" s="216">
        <f>IFERROR(-FV('Mortgage Calculator'!InterestRate/12,B26-1,-'Mortgage Calculator'!MonthlyLoanPayment,'Mortgage Calculator'!LoanAmount),"")</f>
        <v>15249.957880255752</v>
      </c>
      <c r="E26" s="216">
        <v>402.81930582603229</v>
      </c>
      <c r="F26" s="216">
        <v>79.032909134847984</v>
      </c>
      <c r="G26" s="216">
        <f ca="1">IF(Amortization32[[#This Row],[payment
date]]="",0,'Mortgage Calculator'!PropertyTaxAmount)</f>
        <v>0</v>
      </c>
      <c r="H26" s="216">
        <f ca="1">IF(Amortization32[[#This Row],[payment
date]]="",0,Amortization32[[#This Row],[interest]]+Amortization32[[#This Row],[principal]]+Amortization32[[#This Row],[property
tax]])</f>
        <v>481.85221496088025</v>
      </c>
      <c r="I26" s="216">
        <f ca="1">IF(Amortization32[[#This Row],[payment
date]]="",0,Amortization32[[#This Row],[opening
balance]]-Amortization32[[#This Row],[principal]])</f>
        <v>15170.924971120903</v>
      </c>
      <c r="J26" s="217">
        <f ca="1">IF(Amortization32[[#This Row],[closing
balance]]&gt;0,LastRow-ROW(),0)</f>
        <v>25</v>
      </c>
    </row>
    <row r="27" spans="2:10" ht="15" customHeight="1">
      <c r="B27" s="214">
        <f>IF(SUM(ROWS($B$4:B27))&gt;'Mortgage Calculator'!DurationOfLoan,"",SUM(ROWS($B$4:B27)))</f>
        <v>24</v>
      </c>
      <c r="C27" s="215">
        <f ca="1">IFERROR(DATE(YEAR('Mortgage Calculator'!LoanStart), MONTH('Mortgage Calculator'!LoanStart) +B27,DAY('Mortgage Calculator'!LoanStart)), "")</f>
        <v>45437</v>
      </c>
      <c r="D27" s="216">
        <f>IFERROR(-FV('Mortgage Calculator'!InterestRate/12,B27-1,-'Mortgage Calculator'!MonthlyLoanPayment,'Mortgage Calculator'!LoanAmount),"")</f>
        <v>14744.718738125499</v>
      </c>
      <c r="E27" s="216">
        <v>402.15520985344085</v>
      </c>
      <c r="F27" s="216">
        <v>79.691516710971712</v>
      </c>
      <c r="G27" s="216">
        <f ca="1">IF(Amortization32[[#This Row],[payment
date]]="",0,'Mortgage Calculator'!PropertyTaxAmount)</f>
        <v>0</v>
      </c>
      <c r="H27" s="216">
        <f ca="1">IF(Amortization32[[#This Row],[payment
date]]="",0,Amortization32[[#This Row],[interest]]+Amortization32[[#This Row],[principal]]+Amortization32[[#This Row],[property
tax]])</f>
        <v>481.84672656441256</v>
      </c>
      <c r="I27" s="216">
        <f ca="1">IF(Amortization32[[#This Row],[payment
date]]="",0,Amortization32[[#This Row],[opening
balance]]-Amortization32[[#This Row],[principal]])</f>
        <v>14665.027221414528</v>
      </c>
      <c r="J27" s="217">
        <f ca="1">IF(Amortization32[[#This Row],[closing
balance]]&gt;0,LastRow-ROW(),0)</f>
        <v>24</v>
      </c>
    </row>
    <row r="28" spans="2:10" ht="15" customHeight="1">
      <c r="B28" s="214">
        <f>IF(SUM(ROWS($B$4:B28))&gt;'Mortgage Calculator'!DurationOfLoan,"",SUM(ROWS($B$4:B28)))</f>
        <v>25</v>
      </c>
      <c r="C28" s="215">
        <f ca="1">IFERROR(DATE(YEAR('Mortgage Calculator'!LoanStart), MONTH('Mortgage Calculator'!LoanStart) +B28,DAY('Mortgage Calculator'!LoanStart)), "")</f>
        <v>45468</v>
      </c>
      <c r="D28" s="216">
        <f>IFERROR(-FV('Mortgage Calculator'!InterestRate/12,B28-1,-'Mortgage Calculator'!MonthlyLoanPayment,'Mortgage Calculator'!LoanAmount),"")</f>
        <v>14233.568298032314</v>
      </c>
      <c r="E28" s="216">
        <v>401.48557974774451</v>
      </c>
      <c r="F28" s="216">
        <v>80.355612683563123</v>
      </c>
      <c r="G28" s="216">
        <f ca="1">IF(Amortization32[[#This Row],[payment
date]]="",0,'Mortgage Calculator'!PropertyTaxAmount)</f>
        <v>0</v>
      </c>
      <c r="H28" s="216">
        <f ca="1">IF(Amortization32[[#This Row],[payment
date]]="",0,Amortization32[[#This Row],[interest]]+Amortization32[[#This Row],[principal]]+Amortization32[[#This Row],[property
tax]])</f>
        <v>481.8411924313076</v>
      </c>
      <c r="I28" s="216">
        <f ca="1">IF(Amortization32[[#This Row],[payment
date]]="",0,Amortization32[[#This Row],[opening
balance]]-Amortization32[[#This Row],[principal]])</f>
        <v>14153.212685348752</v>
      </c>
      <c r="J28" s="217">
        <f ca="1">IF(Amortization32[[#This Row],[closing
balance]]&gt;0,LastRow-ROW(),0)</f>
        <v>23</v>
      </c>
    </row>
    <row r="29" spans="2:10" ht="15" customHeight="1">
      <c r="B29" s="214">
        <f>IF(SUM(ROWS($B$4:B29))&gt;'Mortgage Calculator'!DurationOfLoan,"",SUM(ROWS($B$4:B29)))</f>
        <v>26</v>
      </c>
      <c r="C29" s="215">
        <f ca="1">IFERROR(DATE(YEAR('Mortgage Calculator'!LoanStart), MONTH('Mortgage Calculator'!LoanStart) +B29,DAY('Mortgage Calculator'!LoanStart)), "")</f>
        <v>45498</v>
      </c>
      <c r="D29" s="216">
        <f>IFERROR(-FV('Mortgage Calculator'!InterestRate/12,B29-1,-'Mortgage Calculator'!MonthlyLoanPayment,'Mortgage Calculator'!LoanAmount),"")</f>
        <v>13716.437397790047</v>
      </c>
      <c r="E29" s="216">
        <v>400.81036939116734</v>
      </c>
      <c r="F29" s="216">
        <v>81.025242789259508</v>
      </c>
      <c r="G29" s="216">
        <f ca="1">IF(Amortization32[[#This Row],[payment
date]]="",0,'Mortgage Calculator'!PropertyTaxAmount)</f>
        <v>0</v>
      </c>
      <c r="H29" s="216">
        <f ca="1">IF(Amortization32[[#This Row],[payment
date]]="",0,Amortization32[[#This Row],[interest]]+Amortization32[[#This Row],[principal]]+Amortization32[[#This Row],[property
tax]])</f>
        <v>481.83561218042684</v>
      </c>
      <c r="I29" s="216">
        <f ca="1">IF(Amortization32[[#This Row],[payment
date]]="",0,Amortization32[[#This Row],[opening
balance]]-Amortization32[[#This Row],[principal]])</f>
        <v>13635.412155000788</v>
      </c>
      <c r="J29" s="217">
        <f ca="1">IF(Amortization32[[#This Row],[closing
balance]]&gt;0,LastRow-ROW(),0)</f>
        <v>22</v>
      </c>
    </row>
    <row r="30" spans="2:10" ht="15" customHeight="1">
      <c r="B30" s="214">
        <f>IF(SUM(ROWS($B$4:B30))&gt;'Mortgage Calculator'!DurationOfLoan,"",SUM(ROWS($B$4:B30)))</f>
        <v>27</v>
      </c>
      <c r="C30" s="215">
        <f ca="1">IFERROR(DATE(YEAR('Mortgage Calculator'!LoanStart), MONTH('Mortgage Calculator'!LoanStart) +B30,DAY('Mortgage Calculator'!LoanStart)), "")</f>
        <v>45529</v>
      </c>
      <c r="D30" s="216">
        <f>IFERROR(-FV('Mortgage Calculator'!InterestRate/12,B30-1,-'Mortgage Calculator'!MonthlyLoanPayment,'Mortgage Calculator'!LoanAmount),"")</f>
        <v>13193.256066014947</v>
      </c>
      <c r="E30" s="216">
        <v>400.12953228161871</v>
      </c>
      <c r="F30" s="216">
        <v>81.700453145836676</v>
      </c>
      <c r="G30" s="216">
        <f ca="1">IF(Amortization32[[#This Row],[payment
date]]="",0,'Mortgage Calculator'!PropertyTaxAmount)</f>
        <v>0</v>
      </c>
      <c r="H30" s="216">
        <f ca="1">IF(Amortization32[[#This Row],[payment
date]]="",0,Amortization32[[#This Row],[interest]]+Amortization32[[#This Row],[principal]]+Amortization32[[#This Row],[property
tax]])</f>
        <v>481.82998542745537</v>
      </c>
      <c r="I30" s="216">
        <f ca="1">IF(Amortization32[[#This Row],[payment
date]]="",0,Amortization32[[#This Row],[opening
balance]]-Amortization32[[#This Row],[principal]])</f>
        <v>13111.55561286911</v>
      </c>
      <c r="J30" s="217">
        <f ca="1">IF(Amortization32[[#This Row],[closing
balance]]&gt;0,LastRow-ROW(),0)</f>
        <v>21</v>
      </c>
    </row>
    <row r="31" spans="2:10" ht="15" customHeight="1">
      <c r="B31" s="214">
        <f>IF(SUM(ROWS($B$4:B31))&gt;'Mortgage Calculator'!DurationOfLoan,"",SUM(ROWS($B$4:B31)))</f>
        <v>28</v>
      </c>
      <c r="C31" s="215">
        <f ca="1">IFERROR(DATE(YEAR('Mortgage Calculator'!LoanStart), MONTH('Mortgage Calculator'!LoanStart) +B31,DAY('Mortgage Calculator'!LoanStart)), "")</f>
        <v>45560</v>
      </c>
      <c r="D31" s="216">
        <f>IFERROR(-FV('Mortgage Calculator'!InterestRate/12,B31-1,-'Mortgage Calculator'!MonthlyLoanPayment,'Mortgage Calculator'!LoanAmount),"")</f>
        <v>12663.953512658074</v>
      </c>
      <c r="E31" s="216">
        <v>399.44302152949052</v>
      </c>
      <c r="F31" s="216">
        <v>82.381290255385309</v>
      </c>
      <c r="G31" s="216">
        <f ca="1">IF(Amortization32[[#This Row],[payment
date]]="",0,'Mortgage Calculator'!PropertyTaxAmount)</f>
        <v>0</v>
      </c>
      <c r="H31" s="216">
        <f ca="1">IF(Amortization32[[#This Row],[payment
date]]="",0,Amortization32[[#This Row],[interest]]+Amortization32[[#This Row],[principal]]+Amortization32[[#This Row],[property
tax]])</f>
        <v>481.82431178487582</v>
      </c>
      <c r="I31" s="216">
        <f ca="1">IF(Amortization32[[#This Row],[payment
date]]="",0,Amortization32[[#This Row],[opening
balance]]-Amortization32[[#This Row],[principal]])</f>
        <v>12581.572222402689</v>
      </c>
      <c r="J31" s="217">
        <f ca="1">IF(Amortization32[[#This Row],[closing
balance]]&gt;0,LastRow-ROW(),0)</f>
        <v>20</v>
      </c>
    </row>
    <row r="32" spans="2:10" ht="15" customHeight="1">
      <c r="B32" s="214">
        <f>IF(SUM(ROWS($B$4:B32))&gt;'Mortgage Calculator'!DurationOfLoan,"",SUM(ROWS($B$4:B32)))</f>
        <v>29</v>
      </c>
      <c r="C32" s="215">
        <f ca="1">IFERROR(DATE(YEAR('Mortgage Calculator'!LoanStart), MONTH('Mortgage Calculator'!LoanStart) +B32,DAY('Mortgage Calculator'!LoanStart)), "")</f>
        <v>45590</v>
      </c>
      <c r="D32" s="216">
        <f>IFERROR(-FV('Mortgage Calculator'!InterestRate/12,B32-1,-'Mortgage Calculator'!MonthlyLoanPayment,'Mortgage Calculator'!LoanAmount),"")</f>
        <v>12128.458119426905</v>
      </c>
      <c r="E32" s="216">
        <v>398.75078985442792</v>
      </c>
      <c r="F32" s="216">
        <v>83.067801007513509</v>
      </c>
      <c r="G32" s="216">
        <f ca="1">IF(Amortization32[[#This Row],[payment
date]]="",0,'Mortgage Calculator'!PropertyTaxAmount)</f>
        <v>0</v>
      </c>
      <c r="H32" s="216">
        <f ca="1">IF(Amortization32[[#This Row],[payment
date]]="",0,Amortization32[[#This Row],[interest]]+Amortization32[[#This Row],[principal]]+Amortization32[[#This Row],[property
tax]])</f>
        <v>481.8185908619414</v>
      </c>
      <c r="I32" s="216">
        <f ca="1">IF(Amortization32[[#This Row],[payment
date]]="",0,Amortization32[[#This Row],[opening
balance]]-Amortization32[[#This Row],[principal]])</f>
        <v>12045.390318419391</v>
      </c>
      <c r="J32" s="217">
        <f ca="1">IF(Amortization32[[#This Row],[closing
balance]]&gt;0,LastRow-ROW(),0)</f>
        <v>19</v>
      </c>
    </row>
    <row r="33" spans="2:10" ht="15" customHeight="1">
      <c r="B33" s="214">
        <f>IF(SUM(ROWS($B$4:B33))&gt;'Mortgage Calculator'!DurationOfLoan,"",SUM(ROWS($B$4:B33)))</f>
        <v>30</v>
      </c>
      <c r="C33" s="215">
        <f ca="1">IFERROR(DATE(YEAR('Mortgage Calculator'!LoanStart), MONTH('Mortgage Calculator'!LoanStart) +B33,DAY('Mortgage Calculator'!LoanStart)), "")</f>
        <v>45621</v>
      </c>
      <c r="D33" s="216">
        <f>IFERROR(-FV('Mortgage Calculator'!InterestRate/12,B33-1,-'Mortgage Calculator'!MonthlyLoanPayment,'Mortgage Calculator'!LoanAmount),"")</f>
        <v>11586.697430094962</v>
      </c>
      <c r="E33" s="216">
        <v>398.0527895820731</v>
      </c>
      <c r="F33" s="216">
        <v>83.760032682576124</v>
      </c>
      <c r="G33" s="216">
        <f ca="1">IF(Amortization32[[#This Row],[payment
date]]="",0,'Mortgage Calculator'!PropertyTaxAmount)</f>
        <v>0</v>
      </c>
      <c r="H33" s="216">
        <f ca="1">IF(Amortization32[[#This Row],[payment
date]]="",0,Amortization32[[#This Row],[interest]]+Amortization32[[#This Row],[principal]]+Amortization32[[#This Row],[property
tax]])</f>
        <v>481.81282226464924</v>
      </c>
      <c r="I33" s="216">
        <f ca="1">IF(Amortization32[[#This Row],[payment
date]]="",0,Amortization32[[#This Row],[opening
balance]]-Amortization32[[#This Row],[principal]])</f>
        <v>11502.937397412386</v>
      </c>
      <c r="J33" s="217">
        <f ca="1">IF(Amortization32[[#This Row],[closing
balance]]&gt;0,LastRow-ROW(),0)</f>
        <v>18</v>
      </c>
    </row>
    <row r="34" spans="2:10" ht="15" customHeight="1">
      <c r="B34" s="214">
        <f>IF(SUM(ROWS($B$4:B34))&gt;'Mortgage Calculator'!DurationOfLoan,"",SUM(ROWS($B$4:B34)))</f>
        <v>31</v>
      </c>
      <c r="C34" s="215">
        <f ca="1">IFERROR(DATE(YEAR('Mortgage Calculator'!LoanStart), MONTH('Mortgage Calculator'!LoanStart) +B34,DAY('Mortgage Calculator'!LoanStart)), "")</f>
        <v>45651</v>
      </c>
      <c r="D34" s="216">
        <f>IFERROR(-FV('Mortgage Calculator'!InterestRate/12,B34-1,-'Mortgage Calculator'!MonthlyLoanPayment,'Mortgage Calculator'!LoanAmount),"")</f>
        <v>11038.598140697828</v>
      </c>
      <c r="E34" s="216">
        <v>397.34897264078194</v>
      </c>
      <c r="F34" s="216">
        <v>84.458032954930928</v>
      </c>
      <c r="G34" s="216">
        <f ca="1">IF(Amortization32[[#This Row],[payment
date]]="",0,'Mortgage Calculator'!PropertyTaxAmount)</f>
        <v>0</v>
      </c>
      <c r="H34" s="216">
        <f ca="1">IF(Amortization32[[#This Row],[payment
date]]="",0,Amortization32[[#This Row],[interest]]+Amortization32[[#This Row],[principal]]+Amortization32[[#This Row],[property
tax]])</f>
        <v>481.80700559571289</v>
      </c>
      <c r="I34" s="216">
        <f ca="1">IF(Amortization32[[#This Row],[payment
date]]="",0,Amortization32[[#This Row],[opening
balance]]-Amortization32[[#This Row],[principal]])</f>
        <v>10954.140107742896</v>
      </c>
      <c r="J34" s="217">
        <f ca="1">IF(Amortization32[[#This Row],[closing
balance]]&gt;0,LastRow-ROW(),0)</f>
        <v>17</v>
      </c>
    </row>
    <row r="35" spans="2:10" ht="15" customHeight="1">
      <c r="B35" s="214">
        <f>IF(SUM(ROWS($B$4:B35))&gt;'Mortgage Calculator'!DurationOfLoan,"",SUM(ROWS($B$4:B35)))</f>
        <v>32</v>
      </c>
      <c r="C35" s="215">
        <f ca="1">IFERROR(DATE(YEAR('Mortgage Calculator'!LoanStart), MONTH('Mortgage Calculator'!LoanStart) +B35,DAY('Mortgage Calculator'!LoanStart)), "")</f>
        <v>45682</v>
      </c>
      <c r="D35" s="216">
        <f>IFERROR(-FV('Mortgage Calculator'!InterestRate/12,B35-1,-'Mortgage Calculator'!MonthlyLoanPayment,'Mortgage Calculator'!LoanAmount),"")</f>
        <v>10484.08608961475</v>
      </c>
      <c r="E35" s="216">
        <v>396.63929055831346</v>
      </c>
      <c r="F35" s="216">
        <v>85.161849896222009</v>
      </c>
      <c r="G35" s="216">
        <f ca="1">IF(Amortization32[[#This Row],[payment
date]]="",0,'Mortgage Calculator'!PropertyTaxAmount)</f>
        <v>0</v>
      </c>
      <c r="H35" s="216">
        <f ca="1">IF(Amortization32[[#This Row],[payment
date]]="",0,Amortization32[[#This Row],[interest]]+Amortization32[[#This Row],[principal]]+Amortization32[[#This Row],[property
tax]])</f>
        <v>481.80114045453547</v>
      </c>
      <c r="I35" s="216">
        <f ca="1">IF(Amortization32[[#This Row],[payment
date]]="",0,Amortization32[[#This Row],[opening
balance]]-Amortization32[[#This Row],[principal]])</f>
        <v>10398.924239718528</v>
      </c>
      <c r="J35" s="217">
        <f ca="1">IF(Amortization32[[#This Row],[closing
balance]]&gt;0,LastRow-ROW(),0)</f>
        <v>16</v>
      </c>
    </row>
    <row r="36" spans="2:10" ht="15" customHeight="1">
      <c r="B36" s="214">
        <f>IF(SUM(ROWS($B$4:B36))&gt;'Mortgage Calculator'!DurationOfLoan,"",SUM(ROWS($B$4:B36)))</f>
        <v>33</v>
      </c>
      <c r="C36" s="215">
        <f ca="1">IFERROR(DATE(YEAR('Mortgage Calculator'!LoanStart), MONTH('Mortgage Calculator'!LoanStart) +B36,DAY('Mortgage Calculator'!LoanStart)), "")</f>
        <v>45713</v>
      </c>
      <c r="D36" s="216">
        <f>IFERROR(-FV('Mortgage Calculator'!InterestRate/12,B36-1,-'Mortgage Calculator'!MonthlyLoanPayment,'Mortgage Calculator'!LoanAmount),"")</f>
        <v>9923.0862475339782</v>
      </c>
      <c r="E36" s="216">
        <v>395.92369445849107</v>
      </c>
      <c r="F36" s="216">
        <v>85.871531978690513</v>
      </c>
      <c r="G36" s="216">
        <f ca="1">IF(Amortization32[[#This Row],[payment
date]]="",0,'Mortgage Calculator'!PropertyTaxAmount)</f>
        <v>0</v>
      </c>
      <c r="H36" s="216">
        <f ca="1">IF(Amortization32[[#This Row],[payment
date]]="",0,Amortization32[[#This Row],[interest]]+Amortization32[[#This Row],[principal]]+Amortization32[[#This Row],[property
tax]])</f>
        <v>481.79522643718155</v>
      </c>
      <c r="I36" s="216">
        <f ca="1">IF(Amortization32[[#This Row],[payment
date]]="",0,Amortization32[[#This Row],[opening
balance]]-Amortization32[[#This Row],[principal]])</f>
        <v>9837.2147155552884</v>
      </c>
      <c r="J36" s="217">
        <f ca="1">IF(Amortization32[[#This Row],[closing
balance]]&gt;0,LastRow-ROW(),0)</f>
        <v>15</v>
      </c>
    </row>
    <row r="37" spans="2:10" ht="15" customHeight="1">
      <c r="B37" s="214">
        <f>IF(SUM(ROWS($B$4:B37))&gt;'Mortgage Calculator'!DurationOfLoan,"",SUM(ROWS($B$4:B37)))</f>
        <v>34</v>
      </c>
      <c r="C37" s="215">
        <f ca="1">IFERROR(DATE(YEAR('Mortgage Calculator'!LoanStart), MONTH('Mortgage Calculator'!LoanStart) +B37,DAY('Mortgage Calculator'!LoanStart)), "")</f>
        <v>45741</v>
      </c>
      <c r="D37" s="216">
        <f>IFERROR(-FV('Mortgage Calculator'!InterestRate/12,B37-1,-'Mortgage Calculator'!MonthlyLoanPayment,'Mortgage Calculator'!LoanAmount),"")</f>
        <v>9355.5227073008828</v>
      </c>
      <c r="E37" s="216">
        <v>395.20213505783687</v>
      </c>
      <c r="F37" s="216">
        <v>86.587128078512961</v>
      </c>
      <c r="G37" s="216">
        <f ca="1">IF(Amortization32[[#This Row],[payment
date]]="",0,'Mortgage Calculator'!PropertyTaxAmount)</f>
        <v>0</v>
      </c>
      <c r="H37" s="216">
        <f ca="1">IF(Amortization32[[#This Row],[payment
date]]="",0,Amortization32[[#This Row],[interest]]+Amortization32[[#This Row],[principal]]+Amortization32[[#This Row],[property
tax]])</f>
        <v>481.78926313634986</v>
      </c>
      <c r="I37" s="216">
        <f ca="1">IF(Amortization32[[#This Row],[payment
date]]="",0,Amortization32[[#This Row],[opening
balance]]-Amortization32[[#This Row],[principal]])</f>
        <v>9268.9355792223705</v>
      </c>
      <c r="J37" s="217">
        <f ca="1">IF(Amortization32[[#This Row],[closing
balance]]&gt;0,LastRow-ROW(),0)</f>
        <v>14</v>
      </c>
    </row>
    <row r="38" spans="2:10" ht="15" customHeight="1">
      <c r="B38" s="214">
        <f>IF(SUM(ROWS($B$4:B38))&gt;'Mortgage Calculator'!DurationOfLoan,"",SUM(ROWS($B$4:B38)))</f>
        <v>35</v>
      </c>
      <c r="C38" s="215">
        <f ca="1">IFERROR(DATE(YEAR('Mortgage Calculator'!LoanStart), MONTH('Mortgage Calculator'!LoanStart) +B38,DAY('Mortgage Calculator'!LoanStart)), "")</f>
        <v>45772</v>
      </c>
      <c r="D38" s="216">
        <f>IFERROR(-FV('Mortgage Calculator'!InterestRate/12,B38-1,-'Mortgage Calculator'!MonthlyLoanPayment,'Mortgage Calculator'!LoanAmount),"")</f>
        <v>8781.3186736470416</v>
      </c>
      <c r="E38" s="216">
        <v>394.47456266217705</v>
      </c>
      <c r="F38" s="216">
        <v>87.308687479167233</v>
      </c>
      <c r="G38" s="216">
        <f ca="1">IF(Amortization32[[#This Row],[payment
date]]="",0,'Mortgage Calculator'!PropertyTaxAmount)</f>
        <v>0</v>
      </c>
      <c r="H38" s="216">
        <f ca="1">IF(Amortization32[[#This Row],[payment
date]]="",0,Amortization32[[#This Row],[interest]]+Amortization32[[#This Row],[principal]]+Amortization32[[#This Row],[property
tax]])</f>
        <v>481.7832501413443</v>
      </c>
      <c r="I38" s="216">
        <f ca="1">IF(Amortization32[[#This Row],[payment
date]]="",0,Amortization32[[#This Row],[opening
balance]]-Amortization32[[#This Row],[principal]])</f>
        <v>8694.0099861678736</v>
      </c>
      <c r="J38" s="217">
        <f ca="1">IF(Amortization32[[#This Row],[closing
balance]]&gt;0,LastRow-ROW(),0)</f>
        <v>13</v>
      </c>
    </row>
    <row r="39" spans="2:10" ht="15" customHeight="1">
      <c r="B39" s="214">
        <f>IF(SUM(ROWS($B$4:B39))&gt;'Mortgage Calculator'!DurationOfLoan,"",SUM(ROWS($B$4:B39)))</f>
        <v>36</v>
      </c>
      <c r="C39" s="215">
        <f ca="1">IFERROR(DATE(YEAR('Mortgage Calculator'!LoanStart), MONTH('Mortgage Calculator'!LoanStart) +B39,DAY('Mortgage Calculator'!LoanStart)), "")</f>
        <v>45802</v>
      </c>
      <c r="D39" s="216">
        <f>IFERROR(-FV('Mortgage Calculator'!InterestRate/12,B39-1,-'Mortgage Calculator'!MonthlyLoanPayment,'Mortgage Calculator'!LoanAmount),"")</f>
        <v>8200.3964527994758</v>
      </c>
      <c r="E39" s="216">
        <v>393.74092716322025</v>
      </c>
      <c r="F39" s="216">
        <v>88.036259874826953</v>
      </c>
      <c r="G39" s="216">
        <f ca="1">IF(Amortization32[[#This Row],[payment
date]]="",0,'Mortgage Calculator'!PropertyTaxAmount)</f>
        <v>0</v>
      </c>
      <c r="H39" s="216">
        <f ca="1">IF(Amortization32[[#This Row],[payment
date]]="",0,Amortization32[[#This Row],[interest]]+Amortization32[[#This Row],[principal]]+Amortization32[[#This Row],[property
tax]])</f>
        <v>481.7771870380472</v>
      </c>
      <c r="I39" s="216">
        <f ca="1">IF(Amortization32[[#This Row],[payment
date]]="",0,Amortization32[[#This Row],[opening
balance]]-Amortization32[[#This Row],[principal]])</f>
        <v>8112.3601929246488</v>
      </c>
      <c r="J39" s="217">
        <f ca="1">IF(Amortization32[[#This Row],[closing
balance]]&gt;0,LastRow-ROW(),0)</f>
        <v>12</v>
      </c>
    </row>
    <row r="40" spans="2:10" ht="15" customHeight="1">
      <c r="B40" s="214">
        <f>IF(SUM(ROWS($B$4:B40))&gt;'Mortgage Calculator'!DurationOfLoan,"",SUM(ROWS($B$4:B40)))</f>
        <v>37</v>
      </c>
      <c r="C40" s="215">
        <f ca="1">IFERROR(DATE(YEAR('Mortgage Calculator'!LoanStart), MONTH('Mortgage Calculator'!LoanStart) +B40,DAY('Mortgage Calculator'!LoanStart)), "")</f>
        <v>45833</v>
      </c>
      <c r="D40" s="216">
        <f>IFERROR(-FV('Mortgage Calculator'!InterestRate/12,B40-1,-'Mortgage Calculator'!MonthlyLoanPayment,'Mortgage Calculator'!LoanAmount),"")</f>
        <v>7612.6774419679714</v>
      </c>
      <c r="E40" s="216">
        <v>393.00117803510534</v>
      </c>
      <c r="F40" s="216">
        <v>88.769895373783854</v>
      </c>
      <c r="G40" s="216">
        <f ca="1">IF(Amortization32[[#This Row],[payment
date]]="",0,'Mortgage Calculator'!PropertyTaxAmount)</f>
        <v>0</v>
      </c>
      <c r="H40" s="216">
        <f ca="1">IF(Amortization32[[#This Row],[payment
date]]="",0,Amortization32[[#This Row],[interest]]+Amortization32[[#This Row],[principal]]+Amortization32[[#This Row],[property
tax]])</f>
        <v>481.77107340888921</v>
      </c>
      <c r="I40" s="216">
        <f ca="1">IF(Amortization32[[#This Row],[payment
date]]="",0,Amortization32[[#This Row],[opening
balance]]-Amortization32[[#This Row],[principal]])</f>
        <v>7523.9075465941878</v>
      </c>
      <c r="J40" s="217">
        <f ca="1">IF(Amortization32[[#This Row],[closing
balance]]&gt;0,LastRow-ROW(),0)</f>
        <v>11</v>
      </c>
    </row>
    <row r="41" spans="2:10" ht="15" customHeight="1">
      <c r="B41" s="214">
        <f>IF(SUM(ROWS($B$4:B41))&gt;'Mortgage Calculator'!DurationOfLoan,"",SUM(ROWS($B$4:B41)))</f>
        <v>38</v>
      </c>
      <c r="C41" s="215">
        <f ca="1">IFERROR(DATE(YEAR('Mortgage Calculator'!LoanStart), MONTH('Mortgage Calculator'!LoanStart) +B41,DAY('Mortgage Calculator'!LoanStart)), "")</f>
        <v>45863</v>
      </c>
      <c r="D41" s="216">
        <f>IFERROR(-FV('Mortgage Calculator'!InterestRate/12,B41-1,-'Mortgage Calculator'!MonthlyLoanPayment,'Mortgage Calculator'!LoanAmount),"")</f>
        <v>7018.0821187097536</v>
      </c>
      <c r="E41" s="216">
        <v>392.2552643309229</v>
      </c>
      <c r="F41" s="216">
        <v>89.509644501898705</v>
      </c>
      <c r="G41" s="216">
        <f ca="1">IF(Amortization32[[#This Row],[payment
date]]="",0,'Mortgage Calculator'!PropertyTaxAmount)</f>
        <v>0</v>
      </c>
      <c r="H41" s="216">
        <f ca="1">IF(Amortization32[[#This Row],[payment
date]]="",0,Amortization32[[#This Row],[interest]]+Amortization32[[#This Row],[principal]]+Amortization32[[#This Row],[property
tax]])</f>
        <v>481.76490883282162</v>
      </c>
      <c r="I41" s="216">
        <f ca="1">IF(Amortization32[[#This Row],[payment
date]]="",0,Amortization32[[#This Row],[opening
balance]]-Amortization32[[#This Row],[principal]])</f>
        <v>6928.5724742078546</v>
      </c>
      <c r="J41" s="217">
        <f ca="1">IF(Amortization32[[#This Row],[closing
balance]]&gt;0,LastRow-ROW(),0)</f>
        <v>10</v>
      </c>
    </row>
    <row r="42" spans="2:10" ht="15" customHeight="1">
      <c r="B42" s="214">
        <f>IF(SUM(ROWS($B$4:B42))&gt;'Mortgage Calculator'!DurationOfLoan,"",SUM(ROWS($B$4:B42)))</f>
        <v>39</v>
      </c>
      <c r="C42" s="215">
        <f ca="1">IFERROR(DATE(YEAR('Mortgage Calculator'!LoanStart), MONTH('Mortgage Calculator'!LoanStart) +B42,DAY('Mortgage Calculator'!LoanStart)), "")</f>
        <v>45894</v>
      </c>
      <c r="D42" s="216">
        <f>IFERROR(-FV('Mortgage Calculator'!InterestRate/12,B42-1,-'Mortgage Calculator'!MonthlyLoanPayment,'Mortgage Calculator'!LoanAmount),"")</f>
        <v>6416.5300301694042</v>
      </c>
      <c r="E42" s="216">
        <v>391.50313467920552</v>
      </c>
      <c r="F42" s="216">
        <v>90.255558206081218</v>
      </c>
      <c r="G42" s="216">
        <f ca="1">IF(Amortization32[[#This Row],[payment
date]]="",0,'Mortgage Calculator'!PropertyTaxAmount)</f>
        <v>0</v>
      </c>
      <c r="H42" s="216">
        <f ca="1">IF(Amortization32[[#This Row],[payment
date]]="",0,Amortization32[[#This Row],[interest]]+Amortization32[[#This Row],[principal]]+Amortization32[[#This Row],[property
tax]])</f>
        <v>481.75869288528673</v>
      </c>
      <c r="I42" s="216">
        <f ca="1">IF(Amortization32[[#This Row],[payment
date]]="",0,Amortization32[[#This Row],[opening
balance]]-Amortization32[[#This Row],[principal]])</f>
        <v>6326.2744719633229</v>
      </c>
      <c r="J42" s="217">
        <f ca="1">IF(Amortization32[[#This Row],[closing
balance]]&gt;0,LastRow-ROW(),0)</f>
        <v>9</v>
      </c>
    </row>
    <row r="43" spans="2:10" ht="15" customHeight="1">
      <c r="B43" s="214">
        <f>IF(SUM(ROWS($B$4:B43))&gt;'Mortgage Calculator'!DurationOfLoan,"",SUM(ROWS($B$4:B43)))</f>
        <v>40</v>
      </c>
      <c r="C43" s="215">
        <f ca="1">IFERROR(DATE(YEAR('Mortgage Calculator'!LoanStart), MONTH('Mortgage Calculator'!LoanStart) +B43,DAY('Mortgage Calculator'!LoanStart)), "")</f>
        <v>45925</v>
      </c>
      <c r="D43" s="216">
        <f>IFERROR(-FV('Mortgage Calculator'!InterestRate/12,B43-1,-'Mortgage Calculator'!MonthlyLoanPayment,'Mortgage Calculator'!LoanAmount),"")</f>
        <v>5807.9397821931416</v>
      </c>
      <c r="E43" s="216">
        <v>390.74473728039061</v>
      </c>
      <c r="F43" s="216">
        <v>91.007687857798572</v>
      </c>
      <c r="G43" s="216">
        <f ca="1">IF(Amortization32[[#This Row],[payment
date]]="",0,'Mortgage Calculator'!PropertyTaxAmount)</f>
        <v>0</v>
      </c>
      <c r="H43" s="216">
        <f ca="1">IF(Amortization32[[#This Row],[payment
date]]="",0,Amortization32[[#This Row],[interest]]+Amortization32[[#This Row],[principal]]+Amortization32[[#This Row],[property
tax]])</f>
        <v>481.75242513818921</v>
      </c>
      <c r="I43" s="216">
        <f ca="1">IF(Amortization32[[#This Row],[payment
date]]="",0,Amortization32[[#This Row],[opening
balance]]-Amortization32[[#This Row],[principal]])</f>
        <v>5716.9320943353432</v>
      </c>
      <c r="J43" s="217">
        <f ca="1">IF(Amortization32[[#This Row],[closing
balance]]&gt;0,LastRow-ROW(),0)</f>
        <v>8</v>
      </c>
    </row>
    <row r="44" spans="2:10" ht="15" customHeight="1">
      <c r="B44" s="214">
        <f>IF(SUM(ROWS($B$4:B44))&gt;'Mortgage Calculator'!DurationOfLoan,"",SUM(ROWS($B$4:B44)))</f>
        <v>41</v>
      </c>
      <c r="C44" s="215">
        <f ca="1">IFERROR(DATE(YEAR('Mortgage Calculator'!LoanStart), MONTH('Mortgage Calculator'!LoanStart) +B44,DAY('Mortgage Calculator'!LoanStart)), "")</f>
        <v>45955</v>
      </c>
      <c r="D44" s="216">
        <f>IFERROR(-FV('Mortgage Calculator'!InterestRate/12,B44-1,-'Mortgage Calculator'!MonthlyLoanPayment,'Mortgage Calculator'!LoanAmount),"")</f>
        <v>5192.2290283155453</v>
      </c>
      <c r="E44" s="216">
        <v>389.98001990325218</v>
      </c>
      <c r="F44" s="216">
        <v>91.766085256613565</v>
      </c>
      <c r="G44" s="216">
        <f ca="1">IF(Amortization32[[#This Row],[payment
date]]="",0,'Mortgage Calculator'!PropertyTaxAmount)</f>
        <v>0</v>
      </c>
      <c r="H44" s="216">
        <f ca="1">IF(Amortization32[[#This Row],[payment
date]]="",0,Amortization32[[#This Row],[interest]]+Amortization32[[#This Row],[principal]]+Amortization32[[#This Row],[property
tax]])</f>
        <v>481.74610515986575</v>
      </c>
      <c r="I44" s="216">
        <f ca="1">IF(Amortization32[[#This Row],[payment
date]]="",0,Amortization32[[#This Row],[opening
balance]]-Amortization32[[#This Row],[principal]])</f>
        <v>5100.4629430589321</v>
      </c>
      <c r="J44" s="217">
        <f ca="1">IF(Amortization32[[#This Row],[closing
balance]]&gt;0,LastRow-ROW(),0)</f>
        <v>7</v>
      </c>
    </row>
    <row r="45" spans="2:10" ht="15" customHeight="1">
      <c r="B45" s="214">
        <f>IF(SUM(ROWS($B$4:B45))&gt;'Mortgage Calculator'!DurationOfLoan,"",SUM(ROWS($B$4:B45)))</f>
        <v>42</v>
      </c>
      <c r="C45" s="215">
        <f ca="1">IFERROR(DATE(YEAR('Mortgage Calculator'!LoanStart), MONTH('Mortgage Calculator'!LoanStart) +B45,DAY('Mortgage Calculator'!LoanStart)), "")</f>
        <v>45986</v>
      </c>
      <c r="D45" s="216">
        <f>IFERROR(-FV('Mortgage Calculator'!InterestRate/12,B45-1,-'Mortgage Calculator'!MonthlyLoanPayment,'Mortgage Calculator'!LoanAmount),"")</f>
        <v>4569.3144586175913</v>
      </c>
      <c r="E45" s="216">
        <v>389.20892988130424</v>
      </c>
      <c r="F45" s="216">
        <v>92.530802633752032</v>
      </c>
      <c r="G45" s="216">
        <f ca="1">IF(Amortization32[[#This Row],[payment
date]]="",0,'Mortgage Calculator'!PropertyTaxAmount)</f>
        <v>0</v>
      </c>
      <c r="H45" s="216">
        <f ca="1">IF(Amortization32[[#This Row],[payment
date]]="",0,Amortization32[[#This Row],[interest]]+Amortization32[[#This Row],[principal]]+Amortization32[[#This Row],[property
tax]])</f>
        <v>481.73973251505629</v>
      </c>
      <c r="I45" s="216">
        <f ca="1">IF(Amortization32[[#This Row],[payment
date]]="",0,Amortization32[[#This Row],[opening
balance]]-Amortization32[[#This Row],[principal]])</f>
        <v>4476.7836559838397</v>
      </c>
      <c r="J45" s="217">
        <f ca="1">IF(Amortization32[[#This Row],[closing
balance]]&gt;0,LastRow-ROW(),0)</f>
        <v>6</v>
      </c>
    </row>
    <row r="46" spans="2:10" ht="15" customHeight="1">
      <c r="B46" s="214">
        <f>IF(SUM(ROWS($B$4:B46))&gt;'Mortgage Calculator'!DurationOfLoan,"",SUM(ROWS($B$4:B46)))</f>
        <v>43</v>
      </c>
      <c r="C46" s="215">
        <f ca="1">IFERROR(DATE(YEAR('Mortgage Calculator'!LoanStart), MONTH('Mortgage Calculator'!LoanStart) +B46,DAY('Mortgage Calculator'!LoanStart)), "")</f>
        <v>46016</v>
      </c>
      <c r="D46" s="216">
        <f>IFERROR(-FV('Mortgage Calculator'!InterestRate/12,B46-1,-'Mortgage Calculator'!MonthlyLoanPayment,'Mortgage Calculator'!LoanAmount),"")</f>
        <v>3939.1117884541673</v>
      </c>
      <c r="E46" s="216">
        <v>388.43141410917343</v>
      </c>
      <c r="F46" s="216">
        <v>93.301892655699959</v>
      </c>
      <c r="G46" s="216">
        <f ca="1">IF(Amortization32[[#This Row],[payment
date]]="",0,'Mortgage Calculator'!PropertyTaxAmount)</f>
        <v>0</v>
      </c>
      <c r="H46" s="216">
        <f ca="1">IF(Amortization32[[#This Row],[payment
date]]="",0,Amortization32[[#This Row],[interest]]+Amortization32[[#This Row],[principal]]+Amortization32[[#This Row],[property
tax]])</f>
        <v>481.73330676487342</v>
      </c>
      <c r="I46" s="216">
        <f ca="1">IF(Amortization32[[#This Row],[payment
date]]="",0,Amortization32[[#This Row],[opening
balance]]-Amortization32[[#This Row],[principal]])</f>
        <v>3845.8098957984671</v>
      </c>
      <c r="J46" s="217">
        <f ca="1">IF(Amortization32[[#This Row],[closing
balance]]&gt;0,LastRow-ROW(),0)</f>
        <v>5</v>
      </c>
    </row>
    <row r="47" spans="2:10" ht="15" customHeight="1">
      <c r="B47" s="214">
        <f>IF(SUM(ROWS($B$4:B47))&gt;'Mortgage Calculator'!DurationOfLoan,"",SUM(ROWS($B$4:B47)))</f>
        <v>44</v>
      </c>
      <c r="C47" s="215">
        <f ca="1">IFERROR(DATE(YEAR('Mortgage Calculator'!LoanStart), MONTH('Mortgage Calculator'!LoanStart) +B47,DAY('Mortgage Calculator'!LoanStart)), "")</f>
        <v>46047</v>
      </c>
      <c r="D47" s="216">
        <f>IFERROR(-FV('Mortgage Calculator'!InterestRate/12,B47-1,-'Mortgage Calculator'!MonthlyLoanPayment,'Mortgage Calculator'!LoanAmount),"")</f>
        <v>3301.5357470498348</v>
      </c>
      <c r="E47" s="216">
        <v>387.64741903894151</v>
      </c>
      <c r="F47" s="216">
        <v>94.079408427830785</v>
      </c>
      <c r="G47" s="216">
        <f ca="1">IF(Amortization32[[#This Row],[payment
date]]="",0,'Mortgage Calculator'!PropertyTaxAmount)</f>
        <v>0</v>
      </c>
      <c r="H47" s="216">
        <f ca="1">IF(Amortization32[[#This Row],[payment
date]]="",0,Amortization32[[#This Row],[interest]]+Amortization32[[#This Row],[principal]]+Amortization32[[#This Row],[property
tax]])</f>
        <v>481.72682746677231</v>
      </c>
      <c r="I47" s="216">
        <f ca="1">IF(Amortization32[[#This Row],[payment
date]]="",0,Amortization32[[#This Row],[opening
balance]]-Amortization32[[#This Row],[principal]])</f>
        <v>3207.4563386220038</v>
      </c>
      <c r="J47" s="217">
        <f ca="1">IF(Amortization32[[#This Row],[closing
balance]]&gt;0,LastRow-ROW(),0)</f>
        <v>4</v>
      </c>
    </row>
    <row r="48" spans="2:10" ht="15" customHeight="1">
      <c r="B48" s="214">
        <f>IF(SUM(ROWS($B$4:B48))&gt;'Mortgage Calculator'!DurationOfLoan,"",SUM(ROWS($B$4:B48)))</f>
        <v>45</v>
      </c>
      <c r="C48" s="215">
        <f ca="1">IFERROR(DATE(YEAR('Mortgage Calculator'!LoanStart), MONTH('Mortgage Calculator'!LoanStart) +B48,DAY('Mortgage Calculator'!LoanStart)), "")</f>
        <v>46078</v>
      </c>
      <c r="D48" s="216">
        <f>IFERROR(-FV('Mortgage Calculator'!InterestRate/12,B48-1,-'Mortgage Calculator'!MonthlyLoanPayment,'Mortgage Calculator'!LoanAmount),"")</f>
        <v>2656.5000659610596</v>
      </c>
      <c r="E48" s="216">
        <v>386.85689067645762</v>
      </c>
      <c r="F48" s="216">
        <v>94.863403498062723</v>
      </c>
      <c r="G48" s="216">
        <f ca="1">IF(Amortization32[[#This Row],[payment
date]]="",0,'Mortgage Calculator'!PropertyTaxAmount)</f>
        <v>0</v>
      </c>
      <c r="H48" s="216">
        <f ca="1">IF(Amortization32[[#This Row],[payment
date]]="",0,Amortization32[[#This Row],[interest]]+Amortization32[[#This Row],[principal]]+Amortization32[[#This Row],[property
tax]])</f>
        <v>481.72029417452035</v>
      </c>
      <c r="I48" s="216">
        <f ca="1">IF(Amortization32[[#This Row],[payment
date]]="",0,Amortization32[[#This Row],[opening
balance]]-Amortization32[[#This Row],[principal]])</f>
        <v>2561.6366624629968</v>
      </c>
      <c r="J48" s="217">
        <f ca="1">IF(Amortization32[[#This Row],[closing
balance]]&gt;0,LastRow-ROW(),0)</f>
        <v>3</v>
      </c>
    </row>
    <row r="49" spans="2:10" ht="15" customHeight="1">
      <c r="B49" s="214">
        <f>IF(SUM(ROWS($B$4:B49))&gt;'Mortgage Calculator'!DurationOfLoan,"",SUM(ROWS($B$4:B49)))</f>
        <v>46</v>
      </c>
      <c r="C49" s="215">
        <f ca="1">IFERROR(DATE(YEAR('Mortgage Calculator'!LoanStart), MONTH('Mortgage Calculator'!LoanStart) +B49,DAY('Mortgage Calculator'!LoanStart)), "")</f>
        <v>46106</v>
      </c>
      <c r="D49" s="216">
        <f>IFERROR(-FV('Mortgage Calculator'!InterestRate/12,B49-1,-'Mortgage Calculator'!MonthlyLoanPayment,'Mortgage Calculator'!LoanAmount),"")</f>
        <v>2003.9174674035603</v>
      </c>
      <c r="E49" s="216">
        <v>386.05977457761963</v>
      </c>
      <c r="F49" s="216">
        <v>95.65393186054655</v>
      </c>
      <c r="G49" s="216">
        <f ca="1">IF(Amortization32[[#This Row],[payment
date]]="",0,'Mortgage Calculator'!PropertyTaxAmount)</f>
        <v>0</v>
      </c>
      <c r="H49" s="216">
        <f ca="1">IF(Amortization32[[#This Row],[payment
date]]="",0,Amortization32[[#This Row],[interest]]+Amortization32[[#This Row],[principal]]+Amortization32[[#This Row],[property
tax]])</f>
        <v>481.71370643816618</v>
      </c>
      <c r="I49" s="216">
        <f ca="1">IF(Amortization32[[#This Row],[payment
date]]="",0,Amortization32[[#This Row],[opening
balance]]-Amortization32[[#This Row],[principal]])</f>
        <v>1908.2635355430139</v>
      </c>
      <c r="J49" s="217">
        <f ca="1">IF(Amortization32[[#This Row],[closing
balance]]&gt;0,LastRow-ROW(),0)</f>
        <v>2</v>
      </c>
    </row>
    <row r="50" spans="2:10" ht="15" customHeight="1">
      <c r="B50" s="214">
        <f>IF(SUM(ROWS($B$4:B50))&gt;'Mortgage Calculator'!DurationOfLoan,"",SUM(ROWS($B$4:B50)))</f>
        <v>47</v>
      </c>
      <c r="C50" s="215">
        <f ca="1">IFERROR(DATE(YEAR('Mortgage Calculator'!LoanStart), MONTH('Mortgage Calculator'!LoanStart) +B50,DAY('Mortgage Calculator'!LoanStart)), "")</f>
        <v>46137</v>
      </c>
      <c r="D50" s="216">
        <f>IFERROR(-FV('Mortgage Calculator'!InterestRate/12,B50-1,-'Mortgage Calculator'!MonthlyLoanPayment,'Mortgage Calculator'!LoanAmount),"")</f>
        <v>1343.6996524429269</v>
      </c>
      <c r="E50" s="216">
        <v>385.25601584462487</v>
      </c>
      <c r="F50" s="216">
        <v>96.451047959384425</v>
      </c>
      <c r="G50" s="216">
        <f ca="1">IF(Amortization32[[#This Row],[payment
date]]="",0,'Mortgage Calculator'!PropertyTaxAmount)</f>
        <v>0</v>
      </c>
      <c r="H50" s="216">
        <f ca="1">IF(Amortization32[[#This Row],[payment
date]]="",0,Amortization32[[#This Row],[interest]]+Amortization32[[#This Row],[principal]]+Amortization32[[#This Row],[property
tax]])</f>
        <v>481.70706380400929</v>
      </c>
      <c r="I50" s="216">
        <f ca="1">IF(Amortization32[[#This Row],[payment
date]]="",0,Amortization32[[#This Row],[opening
balance]]-Amortization32[[#This Row],[principal]])</f>
        <v>1247.2486044835425</v>
      </c>
      <c r="J50" s="217">
        <f ca="1">IF(Amortization32[[#This Row],[closing
balance]]&gt;0,LastRow-ROW(),0)</f>
        <v>1</v>
      </c>
    </row>
    <row r="51" spans="2:10" ht="15" customHeight="1">
      <c r="B51" s="214">
        <f>IF(SUM(ROWS($B$4:B51))&gt;'Mortgage Calculator'!DurationOfLoan,"",SUM(ROWS($B$4:B51)))</f>
        <v>48</v>
      </c>
      <c r="C51" s="215">
        <f ca="1">IFERROR(DATE(YEAR('Mortgage Calculator'!LoanStart), MONTH('Mortgage Calculator'!LoanStart) +B51,DAY('Mortgage Calculator'!LoanStart)), "")</f>
        <v>46167</v>
      </c>
      <c r="D51" s="216">
        <f>IFERROR(-FV('Mortgage Calculator'!InterestRate/12,B51-1,-'Mortgage Calculator'!MonthlyLoanPayment,'Mortgage Calculator'!LoanAmount),"")</f>
        <v>675.75728904727293</v>
      </c>
      <c r="E51" s="216">
        <v>384.44555912218834</v>
      </c>
      <c r="F51" s="216">
        <v>97.254806692379319</v>
      </c>
      <c r="G51" s="216">
        <f ca="1">IF(Amortization32[[#This Row],[payment
date]]="",0,'Mortgage Calculator'!PropertyTaxAmount)</f>
        <v>0</v>
      </c>
      <c r="H51" s="216">
        <f ca="1">IF(Amortization32[[#This Row],[payment
date]]="",0,Amortization32[[#This Row],[interest]]+Amortization32[[#This Row],[principal]]+Amortization32[[#This Row],[property
tax]])</f>
        <v>481.70036581456765</v>
      </c>
      <c r="I51" s="216">
        <f ca="1">IF(Amortization32[[#This Row],[payment
date]]="",0,Amortization32[[#This Row],[opening
balance]]-Amortization32[[#This Row],[principal]])</f>
        <v>578.50248235489357</v>
      </c>
      <c r="J51" s="217">
        <f ca="1">IF(Amortization32[[#This Row],[closing
balance]]&gt;0,LastRow-ROW(),0)</f>
        <v>0</v>
      </c>
    </row>
    <row r="52" spans="2:10" ht="15" customHeight="1">
      <c r="B52" s="214" t="str">
        <f>IF(SUM(ROWS($B$4:B52))&gt;'Mortgage Calculator'!DurationOfLoan,"",SUM(ROWS($B$4:B52)))</f>
        <v/>
      </c>
      <c r="C52" s="215" t="str">
        <f ca="1">IFERROR(DATE(YEAR('Mortgage Calculator'!LoanStart), MONTH('Mortgage Calculator'!LoanStart) +B52,DAY('Mortgage Calculator'!LoanStart)), "")</f>
        <v/>
      </c>
      <c r="D52" s="216" t="str">
        <f>IFERROR(-FV('Mortgage Calculator'!InterestRate/12,B52-1,-'Mortgage Calculator'!MonthlyLoanPayment,'Mortgage Calculator'!LoanAmount),"")</f>
        <v/>
      </c>
      <c r="E52" s="216">
        <v>383.62834859373146</v>
      </c>
      <c r="F52" s="216">
        <v>98.065263414815803</v>
      </c>
      <c r="G52" s="216">
        <f ca="1">IF(Amortization32[[#This Row],[payment
date]]="",0,'Mortgage Calculator'!PropertyTaxAmount)</f>
        <v>0</v>
      </c>
      <c r="H52" s="216">
        <f ca="1">IF(Amortization32[[#This Row],[payment
date]]="",0,Amortization32[[#This Row],[interest]]+Amortization32[[#This Row],[principal]]+Amortization32[[#This Row],[property
tax]])</f>
        <v>0</v>
      </c>
      <c r="I52" s="216">
        <f ca="1">IF(Amortization32[[#This Row],[payment
date]]="",0,Amortization32[[#This Row],[opening
balance]]-Amortization32[[#This Row],[principal]])</f>
        <v>0</v>
      </c>
      <c r="J52" s="217">
        <f ca="1">IF(Amortization32[[#This Row],[closing
balance]]&gt;0,LastRow-ROW(),0)</f>
        <v>0</v>
      </c>
    </row>
    <row r="53" spans="2:10" ht="15" customHeight="1">
      <c r="B53" s="214" t="str">
        <f>IF(SUM(ROWS($B$4:B53))&gt;'Mortgage Calculator'!DurationOfLoan,"",SUM(ROWS($B$4:B53)))</f>
        <v/>
      </c>
      <c r="C53" s="215" t="str">
        <f ca="1">IFERROR(DATE(YEAR('Mortgage Calculator'!LoanStart), MONTH('Mortgage Calculator'!LoanStart) +B53,DAY('Mortgage Calculator'!LoanStart)), "")</f>
        <v/>
      </c>
      <c r="D53" s="216" t="str">
        <f>IFERROR(-FV('Mortgage Calculator'!InterestRate/12,B53-1,-'Mortgage Calculator'!MonthlyLoanPayment,'Mortgage Calculator'!LoanAmount),"")</f>
        <v/>
      </c>
      <c r="E53" s="216">
        <v>382.80432797753758</v>
      </c>
      <c r="F53" s="216">
        <v>98.882473943272586</v>
      </c>
      <c r="G53" s="216">
        <f ca="1">IF(Amortization32[[#This Row],[payment
date]]="",0,'Mortgage Calculator'!PropertyTaxAmount)</f>
        <v>0</v>
      </c>
      <c r="H53" s="216">
        <f ca="1">IF(Amortization32[[#This Row],[payment
date]]="",0,Amortization32[[#This Row],[interest]]+Amortization32[[#This Row],[principal]]+Amortization32[[#This Row],[property
tax]])</f>
        <v>0</v>
      </c>
      <c r="I53" s="216">
        <f ca="1">IF(Amortization32[[#This Row],[payment
date]]="",0,Amortization32[[#This Row],[opening
balance]]-Amortization32[[#This Row],[principal]])</f>
        <v>0</v>
      </c>
      <c r="J53" s="217">
        <f ca="1">IF(Amortization32[[#This Row],[closing
balance]]&gt;0,LastRow-ROW(),0)</f>
        <v>0</v>
      </c>
    </row>
    <row r="54" spans="2:10" ht="15" customHeight="1">
      <c r="B54" s="214" t="str">
        <f>IF(SUM(ROWS($B$4:B54))&gt;'Mortgage Calculator'!DurationOfLoan,"",SUM(ROWS($B$4:B54)))</f>
        <v/>
      </c>
      <c r="C54" s="215" t="str">
        <f ca="1">IFERROR(DATE(YEAR('Mortgage Calculator'!LoanStart), MONTH('Mortgage Calculator'!LoanStart) +B54,DAY('Mortgage Calculator'!LoanStart)), "")</f>
        <v/>
      </c>
      <c r="D54" s="216" t="str">
        <f>IFERROR(-FV('Mortgage Calculator'!InterestRate/12,B54-1,-'Mortgage Calculator'!MonthlyLoanPayment,'Mortgage Calculator'!LoanAmount),"")</f>
        <v/>
      </c>
      <c r="E54" s="216">
        <v>381.97344052287536</v>
      </c>
      <c r="F54" s="216">
        <v>99.706494559466549</v>
      </c>
      <c r="G54" s="216">
        <f ca="1">IF(Amortization32[[#This Row],[payment
date]]="",0,'Mortgage Calculator'!PropertyTaxAmount)</f>
        <v>0</v>
      </c>
      <c r="H54" s="216">
        <f ca="1">IF(Amortization32[[#This Row],[payment
date]]="",0,Amortization32[[#This Row],[interest]]+Amortization32[[#This Row],[principal]]+Amortization32[[#This Row],[property
tax]])</f>
        <v>0</v>
      </c>
      <c r="I54" s="216">
        <f ca="1">IF(Amortization32[[#This Row],[payment
date]]="",0,Amortization32[[#This Row],[opening
balance]]-Amortization32[[#This Row],[principal]])</f>
        <v>0</v>
      </c>
      <c r="J54" s="217">
        <f ca="1">IF(Amortization32[[#This Row],[closing
balance]]&gt;0,LastRow-ROW(),0)</f>
        <v>0</v>
      </c>
    </row>
    <row r="55" spans="2:10" ht="15" customHeight="1">
      <c r="B55" s="214" t="str">
        <f>IF(SUM(ROWS($B$4:B55))&gt;'Mortgage Calculator'!DurationOfLoan,"",SUM(ROWS($B$4:B55)))</f>
        <v/>
      </c>
      <c r="C55" s="215" t="str">
        <f ca="1">IFERROR(DATE(YEAR('Mortgage Calculator'!LoanStart), MONTH('Mortgage Calculator'!LoanStart) +B55,DAY('Mortgage Calculator'!LoanStart)), "")</f>
        <v/>
      </c>
      <c r="D55" s="216" t="str">
        <f>IFERROR(-FV('Mortgage Calculator'!InterestRate/12,B55-1,-'Mortgage Calculator'!MonthlyLoanPayment,'Mortgage Calculator'!LoanAmount),"")</f>
        <v/>
      </c>
      <c r="E55" s="216">
        <v>381.13562900609105</v>
      </c>
      <c r="F55" s="216">
        <v>100.53738201412874</v>
      </c>
      <c r="G55" s="216">
        <f ca="1">IF(Amortization32[[#This Row],[payment
date]]="",0,'Mortgage Calculator'!PropertyTaxAmount)</f>
        <v>0</v>
      </c>
      <c r="H55" s="216">
        <f ca="1">IF(Amortization32[[#This Row],[payment
date]]="",0,Amortization32[[#This Row],[interest]]+Amortization32[[#This Row],[principal]]+Amortization32[[#This Row],[property
tax]])</f>
        <v>0</v>
      </c>
      <c r="I55" s="216">
        <f ca="1">IF(Amortization32[[#This Row],[payment
date]]="",0,Amortization32[[#This Row],[opening
balance]]-Amortization32[[#This Row],[principal]])</f>
        <v>0</v>
      </c>
      <c r="J55" s="217">
        <f ca="1">IF(Amortization32[[#This Row],[closing
balance]]&gt;0,LastRow-ROW(),0)</f>
        <v>0</v>
      </c>
    </row>
    <row r="56" spans="2:10" ht="15" customHeight="1">
      <c r="B56" s="214" t="str">
        <f>IF(SUM(ROWS($B$4:B56))&gt;'Mortgage Calculator'!DurationOfLoan,"",SUM(ROWS($B$4:B56)))</f>
        <v/>
      </c>
      <c r="C56" s="215" t="str">
        <f ca="1">IFERROR(DATE(YEAR('Mortgage Calculator'!LoanStart), MONTH('Mortgage Calculator'!LoanStart) +B56,DAY('Mortgage Calculator'!LoanStart)), "")</f>
        <v/>
      </c>
      <c r="D56" s="216" t="str">
        <f>IFERROR(-FV('Mortgage Calculator'!InterestRate/12,B56-1,-'Mortgage Calculator'!MonthlyLoanPayment,'Mortgage Calculator'!LoanAmount),"")</f>
        <v/>
      </c>
      <c r="E56" s="216">
        <v>380.29083572666673</v>
      </c>
      <c r="F56" s="216">
        <v>101.37519353091317</v>
      </c>
      <c r="G56" s="216">
        <f ca="1">IF(Amortization32[[#This Row],[payment
date]]="",0,'Mortgage Calculator'!PropertyTaxAmount)</f>
        <v>0</v>
      </c>
      <c r="H56" s="216">
        <f ca="1">IF(Amortization32[[#This Row],[payment
date]]="",0,Amortization32[[#This Row],[interest]]+Amortization32[[#This Row],[principal]]+Amortization32[[#This Row],[property
tax]])</f>
        <v>0</v>
      </c>
      <c r="I56" s="216">
        <f ca="1">IF(Amortization32[[#This Row],[payment
date]]="",0,Amortization32[[#This Row],[opening
balance]]-Amortization32[[#This Row],[principal]])</f>
        <v>0</v>
      </c>
      <c r="J56" s="217">
        <f ca="1">IF(Amortization32[[#This Row],[closing
balance]]&gt;0,LastRow-ROW(),0)</f>
        <v>0</v>
      </c>
    </row>
    <row r="57" spans="2:10" ht="15" customHeight="1">
      <c r="B57" s="214" t="str">
        <f>IF(SUM(ROWS($B$4:B57))&gt;'Mortgage Calculator'!DurationOfLoan,"",SUM(ROWS($B$4:B57)))</f>
        <v/>
      </c>
      <c r="C57" s="215" t="str">
        <f ca="1">IFERROR(DATE(YEAR('Mortgage Calculator'!LoanStart), MONTH('Mortgage Calculator'!LoanStart) +B57,DAY('Mortgage Calculator'!LoanStart)), "")</f>
        <v/>
      </c>
      <c r="D57" s="216" t="str">
        <f>IFERROR(-FV('Mortgage Calculator'!InterestRate/12,B57-1,-'Mortgage Calculator'!MonthlyLoanPayment,'Mortgage Calculator'!LoanAmount),"")</f>
        <v/>
      </c>
      <c r="E57" s="216">
        <v>379.4390025032472</v>
      </c>
      <c r="F57" s="216">
        <v>102.21998681033745</v>
      </c>
      <c r="G57" s="216">
        <f ca="1">IF(Amortization32[[#This Row],[payment
date]]="",0,'Mortgage Calculator'!PropertyTaxAmount)</f>
        <v>0</v>
      </c>
      <c r="H57" s="216">
        <f ca="1">IF(Amortization32[[#This Row],[payment
date]]="",0,Amortization32[[#This Row],[interest]]+Amortization32[[#This Row],[principal]]+Amortization32[[#This Row],[property
tax]])</f>
        <v>0</v>
      </c>
      <c r="I57" s="216">
        <f ca="1">IF(Amortization32[[#This Row],[payment
date]]="",0,Amortization32[[#This Row],[opening
balance]]-Amortization32[[#This Row],[principal]])</f>
        <v>0</v>
      </c>
      <c r="J57" s="217">
        <f ca="1">IF(Amortization32[[#This Row],[closing
balance]]&gt;0,LastRow-ROW(),0)</f>
        <v>0</v>
      </c>
    </row>
    <row r="58" spans="2:10" ht="15" customHeight="1">
      <c r="B58" s="214" t="str">
        <f>IF(SUM(ROWS($B$4:B58))&gt;'Mortgage Calculator'!DurationOfLoan,"",SUM(ROWS($B$4:B58)))</f>
        <v/>
      </c>
      <c r="C58" s="215" t="str">
        <f ca="1">IFERROR(DATE(YEAR('Mortgage Calculator'!LoanStart), MONTH('Mortgage Calculator'!LoanStart) +B58,DAY('Mortgage Calculator'!LoanStart)), "")</f>
        <v/>
      </c>
      <c r="D58" s="216" t="str">
        <f>IFERROR(-FV('Mortgage Calculator'!InterestRate/12,B58-1,-'Mortgage Calculator'!MonthlyLoanPayment,'Mortgage Calculator'!LoanAmount),"")</f>
        <v/>
      </c>
      <c r="E58" s="216">
        <v>378.58007066963262</v>
      </c>
      <c r="F58" s="216">
        <v>103.07182003375691</v>
      </c>
      <c r="G58" s="216">
        <f ca="1">IF(Amortization32[[#This Row],[payment
date]]="",0,'Mortgage Calculator'!PropertyTaxAmount)</f>
        <v>0</v>
      </c>
      <c r="H58" s="216">
        <f ca="1">IF(Amortization32[[#This Row],[payment
date]]="",0,Amortization32[[#This Row],[interest]]+Amortization32[[#This Row],[principal]]+Amortization32[[#This Row],[property
tax]])</f>
        <v>0</v>
      </c>
      <c r="I58" s="216">
        <f ca="1">IF(Amortization32[[#This Row],[payment
date]]="",0,Amortization32[[#This Row],[opening
balance]]-Amortization32[[#This Row],[principal]])</f>
        <v>0</v>
      </c>
      <c r="J58" s="217">
        <f ca="1">IF(Amortization32[[#This Row],[closing
balance]]&gt;0,LastRow-ROW(),0)</f>
        <v>0</v>
      </c>
    </row>
    <row r="59" spans="2:10" ht="15" customHeight="1">
      <c r="B59" s="214" t="str">
        <f>IF(SUM(ROWS($B$4:B59))&gt;'Mortgage Calculator'!DurationOfLoan,"",SUM(ROWS($B$4:B59)))</f>
        <v/>
      </c>
      <c r="C59" s="215" t="str">
        <f ca="1">IFERROR(DATE(YEAR('Mortgage Calculator'!LoanStart), MONTH('Mortgage Calculator'!LoanStart) +B59,DAY('Mortgage Calculator'!LoanStart)), "")</f>
        <v/>
      </c>
      <c r="D59" s="216" t="str">
        <f>IFERROR(-FV('Mortgage Calculator'!InterestRate/12,B59-1,-'Mortgage Calculator'!MonthlyLoanPayment,'Mortgage Calculator'!LoanAmount),"")</f>
        <v/>
      </c>
      <c r="E59" s="216">
        <v>377.71398107073782</v>
      </c>
      <c r="F59" s="216">
        <v>103.93075186737155</v>
      </c>
      <c r="G59" s="216">
        <f ca="1">IF(Amortization32[[#This Row],[payment
date]]="",0,'Mortgage Calculator'!PropertyTaxAmount)</f>
        <v>0</v>
      </c>
      <c r="H59" s="216">
        <f ca="1">IF(Amortization32[[#This Row],[payment
date]]="",0,Amortization32[[#This Row],[interest]]+Amortization32[[#This Row],[principal]]+Amortization32[[#This Row],[property
tax]])</f>
        <v>0</v>
      </c>
      <c r="I59" s="216">
        <f ca="1">IF(Amortization32[[#This Row],[payment
date]]="",0,Amortization32[[#This Row],[opening
balance]]-Amortization32[[#This Row],[principal]])</f>
        <v>0</v>
      </c>
      <c r="J59" s="217">
        <f ca="1">IF(Amortization32[[#This Row],[closing
balance]]&gt;0,LastRow-ROW(),0)</f>
        <v>0</v>
      </c>
    </row>
    <row r="60" spans="2:10" ht="15" customHeight="1">
      <c r="B60" s="214" t="str">
        <f>IF(SUM(ROWS($B$4:B60))&gt;'Mortgage Calculator'!DurationOfLoan,"",SUM(ROWS($B$4:B60)))</f>
        <v/>
      </c>
      <c r="C60" s="215" t="str">
        <f ca="1">IFERROR(DATE(YEAR('Mortgage Calculator'!LoanStart), MONTH('Mortgage Calculator'!LoanStart) +B60,DAY('Mortgage Calculator'!LoanStart)), "")</f>
        <v/>
      </c>
      <c r="D60" s="216" t="str">
        <f>IFERROR(-FV('Mortgage Calculator'!InterestRate/12,B60-1,-'Mortgage Calculator'!MonthlyLoanPayment,'Mortgage Calculator'!LoanAmount),"")</f>
        <v/>
      </c>
      <c r="E60" s="216">
        <v>376.84067405851897</v>
      </c>
      <c r="F60" s="216">
        <v>104.7968414662663</v>
      </c>
      <c r="G60" s="216">
        <f ca="1">IF(Amortization32[[#This Row],[payment
date]]="",0,'Mortgage Calculator'!PropertyTaxAmount)</f>
        <v>0</v>
      </c>
      <c r="H60" s="216">
        <f ca="1">IF(Amortization32[[#This Row],[payment
date]]="",0,Amortization32[[#This Row],[interest]]+Amortization32[[#This Row],[principal]]+Amortization32[[#This Row],[property
tax]])</f>
        <v>0</v>
      </c>
      <c r="I60" s="216">
        <f ca="1">IF(Amortization32[[#This Row],[payment
date]]="",0,Amortization32[[#This Row],[opening
balance]]-Amortization32[[#This Row],[principal]])</f>
        <v>0</v>
      </c>
      <c r="J60" s="217">
        <f ca="1">IF(Amortization32[[#This Row],[closing
balance]]&gt;0,LastRow-ROW(),0)</f>
        <v>0</v>
      </c>
    </row>
    <row r="61" spans="2:10" ht="15" customHeight="1">
      <c r="B61" s="214" t="str">
        <f>IF(SUM(ROWS($B$4:B61))&gt;'Mortgage Calculator'!DurationOfLoan,"",SUM(ROWS($B$4:B61)))</f>
        <v/>
      </c>
      <c r="C61" s="215" t="str">
        <f ca="1">IFERROR(DATE(YEAR('Mortgage Calculator'!LoanStart), MONTH('Mortgage Calculator'!LoanStart) +B61,DAY('Mortgage Calculator'!LoanStart)), "")</f>
        <v/>
      </c>
      <c r="D61" s="216" t="str">
        <f>IFERROR(-FV('Mortgage Calculator'!InterestRate/12,B61-1,-'Mortgage Calculator'!MonthlyLoanPayment,'Mortgage Calculator'!LoanAmount),"")</f>
        <v/>
      </c>
      <c r="E61" s="216">
        <v>375.96008948786493</v>
      </c>
      <c r="F61" s="216">
        <v>105.67014847848522</v>
      </c>
      <c r="G61" s="216">
        <f ca="1">IF(Amortization32[[#This Row],[payment
date]]="",0,'Mortgage Calculator'!PropertyTaxAmount)</f>
        <v>0</v>
      </c>
      <c r="H61" s="216">
        <f ca="1">IF(Amortization32[[#This Row],[payment
date]]="",0,Amortization32[[#This Row],[interest]]+Amortization32[[#This Row],[principal]]+Amortization32[[#This Row],[property
tax]])</f>
        <v>0</v>
      </c>
      <c r="I61" s="216">
        <f ca="1">IF(Amortization32[[#This Row],[payment
date]]="",0,Amortization32[[#This Row],[opening
balance]]-Amortization32[[#This Row],[principal]])</f>
        <v>0</v>
      </c>
      <c r="J61" s="217">
        <f ca="1">IF(Amortization32[[#This Row],[closing
balance]]&gt;0,LastRow-ROW(),0)</f>
        <v>0</v>
      </c>
    </row>
    <row r="62" spans="2:10" ht="15" customHeight="1">
      <c r="B62" s="214" t="str">
        <f>IF(SUM(ROWS($B$4:B62))&gt;'Mortgage Calculator'!DurationOfLoan,"",SUM(ROWS($B$4:B62)))</f>
        <v/>
      </c>
      <c r="C62" s="215" t="str">
        <f ca="1">IFERROR(DATE(YEAR('Mortgage Calculator'!LoanStart), MONTH('Mortgage Calculator'!LoanStart) +B62,DAY('Mortgage Calculator'!LoanStart)), "")</f>
        <v/>
      </c>
      <c r="D62" s="216" t="str">
        <f>IFERROR(-FV('Mortgage Calculator'!InterestRate/12,B62-1,-'Mortgage Calculator'!MonthlyLoanPayment,'Mortgage Calculator'!LoanAmount),"")</f>
        <v/>
      </c>
      <c r="E62" s="216">
        <v>375.07216671245544</v>
      </c>
      <c r="F62" s="216">
        <v>106.55073304913928</v>
      </c>
      <c r="G62" s="216">
        <f ca="1">IF(Amortization32[[#This Row],[payment
date]]="",0,'Mortgage Calculator'!PropertyTaxAmount)</f>
        <v>0</v>
      </c>
      <c r="H62" s="216">
        <f ca="1">IF(Amortization32[[#This Row],[payment
date]]="",0,Amortization32[[#This Row],[interest]]+Amortization32[[#This Row],[principal]]+Amortization32[[#This Row],[property
tax]])</f>
        <v>0</v>
      </c>
      <c r="I62" s="216">
        <f ca="1">IF(Amortization32[[#This Row],[payment
date]]="",0,Amortization32[[#This Row],[opening
balance]]-Amortization32[[#This Row],[principal]])</f>
        <v>0</v>
      </c>
      <c r="J62" s="217">
        <f ca="1">IF(Amortization32[[#This Row],[closing
balance]]&gt;0,LastRow-ROW(),0)</f>
        <v>0</v>
      </c>
    </row>
    <row r="63" spans="2:10" ht="15" customHeight="1">
      <c r="B63" s="214" t="str">
        <f>IF(SUM(ROWS($B$4:B63))&gt;'Mortgage Calculator'!DurationOfLoan,"",SUM(ROWS($B$4:B63)))</f>
        <v/>
      </c>
      <c r="C63" s="215" t="str">
        <f ca="1">IFERROR(DATE(YEAR('Mortgage Calculator'!LoanStart), MONTH('Mortgage Calculator'!LoanStart) +B63,DAY('Mortgage Calculator'!LoanStart)), "")</f>
        <v/>
      </c>
      <c r="D63" s="216" t="str">
        <f>IFERROR(-FV('Mortgage Calculator'!InterestRate/12,B63-1,-'Mortgage Calculator'!MonthlyLoanPayment,'Mortgage Calculator'!LoanAmount),"")</f>
        <v/>
      </c>
      <c r="E63" s="216">
        <v>374.1768445805842</v>
      </c>
      <c r="F63" s="216">
        <v>107.43865582454879</v>
      </c>
      <c r="G63" s="216">
        <f ca="1">IF(Amortization32[[#This Row],[payment
date]]="",0,'Mortgage Calculator'!PropertyTaxAmount)</f>
        <v>0</v>
      </c>
      <c r="H63" s="216">
        <f ca="1">IF(Amortization32[[#This Row],[payment
date]]="",0,Amortization32[[#This Row],[interest]]+Amortization32[[#This Row],[principal]]+Amortization32[[#This Row],[property
tax]])</f>
        <v>0</v>
      </c>
      <c r="I63" s="216">
        <f ca="1">IF(Amortization32[[#This Row],[payment
date]]="",0,Amortization32[[#This Row],[opening
balance]]-Amortization32[[#This Row],[principal]])</f>
        <v>0</v>
      </c>
      <c r="J63" s="217">
        <f ca="1">IF(Amortization32[[#This Row],[closing
balance]]&gt;0,LastRow-ROW(),0)</f>
        <v>0</v>
      </c>
    </row>
    <row r="64" spans="2:10" ht="15" customHeight="1">
      <c r="B64" s="214" t="str">
        <f>IF(SUM(ROWS($B$4:B64))&gt;'Mortgage Calculator'!DurationOfLoan,"",SUM(ROWS($B$4:B64)))</f>
        <v/>
      </c>
      <c r="C64" s="215" t="str">
        <f ca="1">IFERROR(DATE(YEAR('Mortgage Calculator'!LoanStart), MONTH('Mortgage Calculator'!LoanStart) +B64,DAY('Mortgage Calculator'!LoanStart)), "")</f>
        <v/>
      </c>
      <c r="D64" s="216" t="str">
        <f>IFERROR(-FV('Mortgage Calculator'!InterestRate/12,B64-1,-'Mortgage Calculator'!MonthlyLoanPayment,'Mortgage Calculator'!LoanAmount),"")</f>
        <v/>
      </c>
      <c r="E64" s="216">
        <v>373.27406143094743</v>
      </c>
      <c r="F64" s="216">
        <v>108.33397795642003</v>
      </c>
      <c r="G64" s="216">
        <f ca="1">IF(Amortization32[[#This Row],[payment
date]]="",0,'Mortgage Calculator'!PropertyTaxAmount)</f>
        <v>0</v>
      </c>
      <c r="H64" s="216">
        <f ca="1">IF(Amortization32[[#This Row],[payment
date]]="",0,Amortization32[[#This Row],[interest]]+Amortization32[[#This Row],[principal]]+Amortization32[[#This Row],[property
tax]])</f>
        <v>0</v>
      </c>
      <c r="I64" s="216">
        <f ca="1">IF(Amortization32[[#This Row],[payment
date]]="",0,Amortization32[[#This Row],[opening
balance]]-Amortization32[[#This Row],[principal]])</f>
        <v>0</v>
      </c>
      <c r="J64" s="217">
        <f ca="1">IF(Amortization32[[#This Row],[closing
balance]]&gt;0,LastRow-ROW(),0)</f>
        <v>0</v>
      </c>
    </row>
    <row r="65" spans="2:10" ht="15" customHeight="1">
      <c r="B65" s="214" t="str">
        <f>IF(SUM(ROWS($B$4:B65))&gt;'Mortgage Calculator'!DurationOfLoan,"",SUM(ROWS($B$4:B65)))</f>
        <v/>
      </c>
      <c r="C65" s="215" t="str">
        <f ca="1">IFERROR(DATE(YEAR('Mortgage Calculator'!LoanStart), MONTH('Mortgage Calculator'!LoanStart) +B65,DAY('Mortgage Calculator'!LoanStart)), "")</f>
        <v/>
      </c>
      <c r="D65" s="216" t="str">
        <f>IFERROR(-FV('Mortgage Calculator'!InterestRate/12,B65-1,-'Mortgage Calculator'!MonthlyLoanPayment,'Mortgage Calculator'!LoanAmount),"")</f>
        <v/>
      </c>
      <c r="E65" s="216">
        <v>372.36375508839694</v>
      </c>
      <c r="F65" s="216">
        <v>109.23676110605685</v>
      </c>
      <c r="G65" s="216">
        <f ca="1">IF(Amortization32[[#This Row],[payment
date]]="",0,'Mortgage Calculator'!PropertyTaxAmount)</f>
        <v>0</v>
      </c>
      <c r="H65" s="216">
        <f ca="1">IF(Amortization32[[#This Row],[payment
date]]="",0,Amortization32[[#This Row],[interest]]+Amortization32[[#This Row],[principal]]+Amortization32[[#This Row],[property
tax]])</f>
        <v>0</v>
      </c>
      <c r="I65" s="216">
        <f ca="1">IF(Amortization32[[#This Row],[payment
date]]="",0,Amortization32[[#This Row],[opening
balance]]-Amortization32[[#This Row],[principal]])</f>
        <v>0</v>
      </c>
      <c r="J65" s="217">
        <f ca="1">IF(Amortization32[[#This Row],[closing
balance]]&gt;0,LastRow-ROW(),0)</f>
        <v>0</v>
      </c>
    </row>
    <row r="66" spans="2:10" ht="15" customHeight="1">
      <c r="B66" s="214" t="str">
        <f>IF(SUM(ROWS($B$4:B66))&gt;'Mortgage Calculator'!DurationOfLoan,"",SUM(ROWS($B$4:B66)))</f>
        <v/>
      </c>
      <c r="C66" s="215" t="str">
        <f ca="1">IFERROR(DATE(YEAR('Mortgage Calculator'!LoanStart), MONTH('Mortgage Calculator'!LoanStart) +B66,DAY('Mortgage Calculator'!LoanStart)), "")</f>
        <v/>
      </c>
      <c r="D66" s="216" t="str">
        <f>IFERROR(-FV('Mortgage Calculator'!InterestRate/12,B66-1,-'Mortgage Calculator'!MonthlyLoanPayment,'Mortgage Calculator'!LoanAmount),"")</f>
        <v/>
      </c>
      <c r="E66" s="216">
        <v>371.44586285965852</v>
      </c>
      <c r="F66" s="216">
        <v>110.14706744860734</v>
      </c>
      <c r="G66" s="216">
        <f ca="1">IF(Amortization32[[#This Row],[payment
date]]="",0,'Mortgage Calculator'!PropertyTaxAmount)</f>
        <v>0</v>
      </c>
      <c r="H66" s="216">
        <f ca="1">IF(Amortization32[[#This Row],[payment
date]]="",0,Amortization32[[#This Row],[interest]]+Amortization32[[#This Row],[principal]]+Amortization32[[#This Row],[property
tax]])</f>
        <v>0</v>
      </c>
      <c r="I66" s="216">
        <f ca="1">IF(Amortization32[[#This Row],[payment
date]]="",0,Amortization32[[#This Row],[opening
balance]]-Amortization32[[#This Row],[principal]])</f>
        <v>0</v>
      </c>
      <c r="J66" s="217">
        <f ca="1">IF(Amortization32[[#This Row],[closing
balance]]&gt;0,LastRow-ROW(),0)</f>
        <v>0</v>
      </c>
    </row>
    <row r="67" spans="2:10" ht="15" customHeight="1">
      <c r="B67" s="214" t="str">
        <f>IF(SUM(ROWS($B$4:B67))&gt;'Mortgage Calculator'!DurationOfLoan,"",SUM(ROWS($B$4:B67)))</f>
        <v/>
      </c>
      <c r="C67" s="215" t="str">
        <f ca="1">IFERROR(DATE(YEAR('Mortgage Calculator'!LoanStart), MONTH('Mortgage Calculator'!LoanStart) +B67,DAY('Mortgage Calculator'!LoanStart)), "")</f>
        <v/>
      </c>
      <c r="D67" s="216" t="str">
        <f>IFERROR(-FV('Mortgage Calculator'!InterestRate/12,B67-1,-'Mortgage Calculator'!MonthlyLoanPayment,'Mortgage Calculator'!LoanAmount),"")</f>
        <v/>
      </c>
      <c r="E67" s="216">
        <v>370.52032152901398</v>
      </c>
      <c r="F67" s="216">
        <v>111.06495967734573</v>
      </c>
      <c r="G67" s="216">
        <f ca="1">IF(Amortization32[[#This Row],[payment
date]]="",0,'Mortgage Calculator'!PropertyTaxAmount)</f>
        <v>0</v>
      </c>
      <c r="H67" s="216">
        <f ca="1">IF(Amortization32[[#This Row],[payment
date]]="",0,Amortization32[[#This Row],[interest]]+Amortization32[[#This Row],[principal]]+Amortization32[[#This Row],[property
tax]])</f>
        <v>0</v>
      </c>
      <c r="I67" s="216">
        <f ca="1">IF(Amortization32[[#This Row],[payment
date]]="",0,Amortization32[[#This Row],[opening
balance]]-Amortization32[[#This Row],[principal]])</f>
        <v>0</v>
      </c>
      <c r="J67" s="217">
        <f ca="1">IF(Amortization32[[#This Row],[closing
balance]]&gt;0,LastRow-ROW(),0)</f>
        <v>0</v>
      </c>
    </row>
    <row r="68" spans="2:10" ht="15" customHeight="1">
      <c r="B68" s="214" t="str">
        <f>IF(SUM(ROWS($B$4:B68))&gt;'Mortgage Calculator'!DurationOfLoan,"",SUM(ROWS($B$4:B68)))</f>
        <v/>
      </c>
      <c r="C68" s="215" t="str">
        <f ca="1">IFERROR(DATE(YEAR('Mortgage Calculator'!LoanStart), MONTH('Mortgage Calculator'!LoanStart) +B68,DAY('Mortgage Calculator'!LoanStart)), "")</f>
        <v/>
      </c>
      <c r="D68" s="216" t="str">
        <f>IFERROR(-FV('Mortgage Calculator'!InterestRate/12,B68-1,-'Mortgage Calculator'!MonthlyLoanPayment,'Mortgage Calculator'!LoanAmount),"")</f>
        <v/>
      </c>
      <c r="E68" s="216">
        <v>369.58706735394748</v>
      </c>
      <c r="F68" s="216">
        <v>111.99050100799026</v>
      </c>
      <c r="G68" s="216">
        <f ca="1">IF(Amortization32[[#This Row],[payment
date]]="",0,'Mortgage Calculator'!PropertyTaxAmount)</f>
        <v>0</v>
      </c>
      <c r="H68" s="216">
        <f ca="1">IF(Amortization32[[#This Row],[payment
date]]="",0,Amortization32[[#This Row],[interest]]+Amortization32[[#This Row],[principal]]+Amortization32[[#This Row],[property
tax]])</f>
        <v>0</v>
      </c>
      <c r="I68" s="216">
        <f ca="1">IF(Amortization32[[#This Row],[payment
date]]="",0,Amortization32[[#This Row],[opening
balance]]-Amortization32[[#This Row],[principal]])</f>
        <v>0</v>
      </c>
      <c r="J68" s="217">
        <f ca="1">IF(Amortization32[[#This Row],[closing
balance]]&gt;0,LastRow-ROW(),0)</f>
        <v>0</v>
      </c>
    </row>
    <row r="69" spans="2:10" ht="15" customHeight="1">
      <c r="B69" s="214" t="str">
        <f>IF(SUM(ROWS($B$4:B69))&gt;'Mortgage Calculator'!DurationOfLoan,"",SUM(ROWS($B$4:B69)))</f>
        <v/>
      </c>
      <c r="C69" s="215" t="str">
        <f ca="1">IFERROR(DATE(YEAR('Mortgage Calculator'!LoanStart), MONTH('Mortgage Calculator'!LoanStart) +B69,DAY('Mortgage Calculator'!LoanStart)), "")</f>
        <v/>
      </c>
      <c r="D69" s="216" t="str">
        <f>IFERROR(-FV('Mortgage Calculator'!InterestRate/12,B69-1,-'Mortgage Calculator'!MonthlyLoanPayment,'Mortgage Calculator'!LoanAmount),"")</f>
        <v/>
      </c>
      <c r="E69" s="216">
        <v>368.64603606075531</v>
      </c>
      <c r="F69" s="216">
        <v>112.92375518305688</v>
      </c>
      <c r="G69" s="216">
        <f ca="1">IF(Amortization32[[#This Row],[payment
date]]="",0,'Mortgage Calculator'!PropertyTaxAmount)</f>
        <v>0</v>
      </c>
      <c r="H69" s="216">
        <f ca="1">IF(Amortization32[[#This Row],[payment
date]]="",0,Amortization32[[#This Row],[interest]]+Amortization32[[#This Row],[principal]]+Amortization32[[#This Row],[property
tax]])</f>
        <v>0</v>
      </c>
      <c r="I69" s="216">
        <f ca="1">IF(Amortization32[[#This Row],[payment
date]]="",0,Amortization32[[#This Row],[opening
balance]]-Amortization32[[#This Row],[principal]])</f>
        <v>0</v>
      </c>
      <c r="J69" s="217">
        <f ca="1">IF(Amortization32[[#This Row],[closing
balance]]&gt;0,LastRow-ROW(),0)</f>
        <v>0</v>
      </c>
    </row>
    <row r="70" spans="2:10" ht="15" customHeight="1">
      <c r="B70" s="214" t="str">
        <f>IF(SUM(ROWS($B$4:B70))&gt;'Mortgage Calculator'!DurationOfLoan,"",SUM(ROWS($B$4:B70)))</f>
        <v/>
      </c>
      <c r="C70" s="215" t="str">
        <f ca="1">IFERROR(DATE(YEAR('Mortgage Calculator'!LoanStart), MONTH('Mortgage Calculator'!LoanStart) +B70,DAY('Mortgage Calculator'!LoanStart)), "")</f>
        <v/>
      </c>
      <c r="D70" s="216" t="str">
        <f>IFERROR(-FV('Mortgage Calculator'!InterestRate/12,B70-1,-'Mortgage Calculator'!MonthlyLoanPayment,'Mortgage Calculator'!LoanAmount),"")</f>
        <v/>
      </c>
      <c r="E70" s="216">
        <v>367.69716284011992</v>
      </c>
      <c r="F70" s="216">
        <v>113.86478647624901</v>
      </c>
      <c r="G70" s="216">
        <f ca="1">IF(Amortization32[[#This Row],[payment
date]]="",0,'Mortgage Calculator'!PropertyTaxAmount)</f>
        <v>0</v>
      </c>
      <c r="H70" s="216">
        <f ca="1">IF(Amortization32[[#This Row],[payment
date]]="",0,Amortization32[[#This Row],[interest]]+Amortization32[[#This Row],[principal]]+Amortization32[[#This Row],[property
tax]])</f>
        <v>0</v>
      </c>
      <c r="I70" s="216">
        <f ca="1">IF(Amortization32[[#This Row],[payment
date]]="",0,Amortization32[[#This Row],[opening
balance]]-Amortization32[[#This Row],[principal]])</f>
        <v>0</v>
      </c>
      <c r="J70" s="217">
        <f ca="1">IF(Amortization32[[#This Row],[closing
balance]]&gt;0,LastRow-ROW(),0)</f>
        <v>0</v>
      </c>
    </row>
    <row r="71" spans="2:10" ht="15" customHeight="1">
      <c r="B71" s="214" t="str">
        <f>IF(SUM(ROWS($B$4:B71))&gt;'Mortgage Calculator'!DurationOfLoan,"",SUM(ROWS($B$4:B71)))</f>
        <v/>
      </c>
      <c r="C71" s="215" t="str">
        <f ca="1">IFERROR(DATE(YEAR('Mortgage Calculator'!LoanStart), MONTH('Mortgage Calculator'!LoanStart) +B71,DAY('Mortgage Calculator'!LoanStart)), "")</f>
        <v/>
      </c>
      <c r="D71" s="216" t="str">
        <f>IFERROR(-FV('Mortgage Calculator'!InterestRate/12,B71-1,-'Mortgage Calculator'!MonthlyLoanPayment,'Mortgage Calculator'!LoanAmount),"")</f>
        <v/>
      </c>
      <c r="E71" s="216">
        <v>366.74038234264583</v>
      </c>
      <c r="F71" s="216">
        <v>114.8136596968844</v>
      </c>
      <c r="G71" s="216">
        <f ca="1">IF(Amortization32[[#This Row],[payment
date]]="",0,'Mortgage Calculator'!PropertyTaxAmount)</f>
        <v>0</v>
      </c>
      <c r="H71" s="216">
        <f ca="1">IF(Amortization32[[#This Row],[payment
date]]="",0,Amortization32[[#This Row],[interest]]+Amortization32[[#This Row],[principal]]+Amortization32[[#This Row],[property
tax]])</f>
        <v>0</v>
      </c>
      <c r="I71" s="216">
        <f ca="1">IF(Amortization32[[#This Row],[payment
date]]="",0,Amortization32[[#This Row],[opening
balance]]-Amortization32[[#This Row],[principal]])</f>
        <v>0</v>
      </c>
      <c r="J71" s="217">
        <f ca="1">IF(Amortization32[[#This Row],[closing
balance]]&gt;0,LastRow-ROW(),0)</f>
        <v>0</v>
      </c>
    </row>
    <row r="72" spans="2:10" ht="15" customHeight="1">
      <c r="B72" s="214" t="str">
        <f>IF(SUM(ROWS($B$4:B72))&gt;'Mortgage Calculator'!DurationOfLoan,"",SUM(ROWS($B$4:B72)))</f>
        <v/>
      </c>
      <c r="C72" s="215" t="str">
        <f ca="1">IFERROR(DATE(YEAR('Mortgage Calculator'!LoanStart), MONTH('Mortgage Calculator'!LoanStart) +B72,DAY('Mortgage Calculator'!LoanStart)), "")</f>
        <v/>
      </c>
      <c r="D72" s="216" t="str">
        <f>IFERROR(-FV('Mortgage Calculator'!InterestRate/12,B72-1,-'Mortgage Calculator'!MonthlyLoanPayment,'Mortgage Calculator'!LoanAmount),"")</f>
        <v/>
      </c>
      <c r="E72" s="216">
        <v>365.77562867435955</v>
      </c>
      <c r="F72" s="216">
        <v>115.77044019435844</v>
      </c>
      <c r="G72" s="216">
        <f ca="1">IF(Amortization32[[#This Row],[payment
date]]="",0,'Mortgage Calculator'!PropertyTaxAmount)</f>
        <v>0</v>
      </c>
      <c r="H72" s="216">
        <f ca="1">IF(Amortization32[[#This Row],[payment
date]]="",0,Amortization32[[#This Row],[interest]]+Amortization32[[#This Row],[principal]]+Amortization32[[#This Row],[property
tax]])</f>
        <v>0</v>
      </c>
      <c r="I72" s="216">
        <f ca="1">IF(Amortization32[[#This Row],[payment
date]]="",0,Amortization32[[#This Row],[opening
balance]]-Amortization32[[#This Row],[principal]])</f>
        <v>0</v>
      </c>
      <c r="J72" s="217">
        <f ca="1">IF(Amortization32[[#This Row],[closing
balance]]&gt;0,LastRow-ROW(),0)</f>
        <v>0</v>
      </c>
    </row>
    <row r="73" spans="2:10" ht="15" customHeight="1">
      <c r="B73" s="214" t="str">
        <f>IF(SUM(ROWS($B$4:B73))&gt;'Mortgage Calculator'!DurationOfLoan,"",SUM(ROWS($B$4:B73)))</f>
        <v/>
      </c>
      <c r="C73" s="215" t="str">
        <f ca="1">IFERROR(DATE(YEAR('Mortgage Calculator'!LoanStart), MONTH('Mortgage Calculator'!LoanStart) +B73,DAY('Mortgage Calculator'!LoanStart)), "")</f>
        <v/>
      </c>
      <c r="D73" s="216" t="str">
        <f>IFERROR(-FV('Mortgage Calculator'!InterestRate/12,B73-1,-'Mortgage Calculator'!MonthlyLoanPayment,'Mortgage Calculator'!LoanAmount),"")</f>
        <v/>
      </c>
      <c r="E73" s="216">
        <v>364.80283539217095</v>
      </c>
      <c r="F73" s="216">
        <v>116.73519386264478</v>
      </c>
      <c r="G73" s="216">
        <f ca="1">IF(Amortization32[[#This Row],[payment
date]]="",0,'Mortgage Calculator'!PropertyTaxAmount)</f>
        <v>0</v>
      </c>
      <c r="H73" s="216">
        <f ca="1">IF(Amortization32[[#This Row],[payment
date]]="",0,Amortization32[[#This Row],[interest]]+Amortization32[[#This Row],[principal]]+Amortization32[[#This Row],[property
tax]])</f>
        <v>0</v>
      </c>
      <c r="I73" s="216">
        <f ca="1">IF(Amortization32[[#This Row],[payment
date]]="",0,Amortization32[[#This Row],[opening
balance]]-Amortization32[[#This Row],[principal]])</f>
        <v>0</v>
      </c>
      <c r="J73" s="217">
        <f ca="1">IF(Amortization32[[#This Row],[closing
balance]]&gt;0,LastRow-ROW(),0)</f>
        <v>0</v>
      </c>
    </row>
    <row r="74" spans="2:10" ht="15" customHeight="1">
      <c r="B74" s="214" t="str">
        <f>IF(SUM(ROWS($B$4:B74))&gt;'Mortgage Calculator'!DurationOfLoan,"",SUM(ROWS($B$4:B74)))</f>
        <v/>
      </c>
      <c r="C74" s="215" t="str">
        <f ca="1">IFERROR(DATE(YEAR('Mortgage Calculator'!LoanStart), MONTH('Mortgage Calculator'!LoanStart) +B74,DAY('Mortgage Calculator'!LoanStart)), "")</f>
        <v/>
      </c>
      <c r="D74" s="216" t="str">
        <f>IFERROR(-FV('Mortgage Calculator'!InterestRate/12,B74-1,-'Mortgage Calculator'!MonthlyLoanPayment,'Mortgage Calculator'!LoanAmount),"")</f>
        <v/>
      </c>
      <c r="E74" s="216">
        <v>363.8219354992973</v>
      </c>
      <c r="F74" s="216">
        <v>117.7079871448335</v>
      </c>
      <c r="G74" s="216">
        <f ca="1">IF(Amortization32[[#This Row],[payment
date]]="",0,'Mortgage Calculator'!PropertyTaxAmount)</f>
        <v>0</v>
      </c>
      <c r="H74" s="216">
        <f ca="1">IF(Amortization32[[#This Row],[payment
date]]="",0,Amortization32[[#This Row],[interest]]+Amortization32[[#This Row],[principal]]+Amortization32[[#This Row],[property
tax]])</f>
        <v>0</v>
      </c>
      <c r="I74" s="216">
        <f ca="1">IF(Amortization32[[#This Row],[payment
date]]="",0,Amortization32[[#This Row],[opening
balance]]-Amortization32[[#This Row],[principal]])</f>
        <v>0</v>
      </c>
      <c r="J74" s="217">
        <f ca="1">IF(Amortization32[[#This Row],[closing
balance]]&gt;0,LastRow-ROW(),0)</f>
        <v>0</v>
      </c>
    </row>
    <row r="75" spans="2:10" ht="15" customHeight="1">
      <c r="B75" s="214" t="str">
        <f>IF(SUM(ROWS($B$4:B75))&gt;'Mortgage Calculator'!DurationOfLoan,"",SUM(ROWS($B$4:B75)))</f>
        <v/>
      </c>
      <c r="C75" s="215" t="str">
        <f ca="1">IFERROR(DATE(YEAR('Mortgage Calculator'!LoanStart), MONTH('Mortgage Calculator'!LoanStart) +B75,DAY('Mortgage Calculator'!LoanStart)), "")</f>
        <v/>
      </c>
      <c r="D75" s="216" t="str">
        <f>IFERROR(-FV('Mortgage Calculator'!InterestRate/12,B75-1,-'Mortgage Calculator'!MonthlyLoanPayment,'Mortgage Calculator'!LoanAmount),"")</f>
        <v/>
      </c>
      <c r="E75" s="216">
        <v>362.83286144064971</v>
      </c>
      <c r="F75" s="216">
        <v>118.6888870377071</v>
      </c>
      <c r="G75" s="216">
        <f ca="1">IF(Amortization32[[#This Row],[payment
date]]="",0,'Mortgage Calculator'!PropertyTaxAmount)</f>
        <v>0</v>
      </c>
      <c r="H75" s="216">
        <f ca="1">IF(Amortization32[[#This Row],[payment
date]]="",0,Amortization32[[#This Row],[interest]]+Amortization32[[#This Row],[principal]]+Amortization32[[#This Row],[property
tax]])</f>
        <v>0</v>
      </c>
      <c r="I75" s="216">
        <f ca="1">IF(Amortization32[[#This Row],[payment
date]]="",0,Amortization32[[#This Row],[opening
balance]]-Amortization32[[#This Row],[principal]])</f>
        <v>0</v>
      </c>
      <c r="J75" s="217">
        <f ca="1">IF(Amortization32[[#This Row],[closing
balance]]&gt;0,LastRow-ROW(),0)</f>
        <v>0</v>
      </c>
    </row>
    <row r="76" spans="2:10" ht="15" customHeight="1">
      <c r="B76" s="214" t="str">
        <f>IF(SUM(ROWS($B$4:B76))&gt;'Mortgage Calculator'!DurationOfLoan,"",SUM(ROWS($B$4:B76)))</f>
        <v/>
      </c>
      <c r="C76" s="215" t="str">
        <f ca="1">IFERROR(DATE(YEAR('Mortgage Calculator'!LoanStart), MONTH('Mortgage Calculator'!LoanStart) +B76,DAY('Mortgage Calculator'!LoanStart)), "")</f>
        <v/>
      </c>
      <c r="D76" s="216" t="str">
        <f>IFERROR(-FV('Mortgage Calculator'!InterestRate/12,B76-1,-'Mortgage Calculator'!MonthlyLoanPayment,'Mortgage Calculator'!LoanAmount),"")</f>
        <v/>
      </c>
      <c r="E76" s="216">
        <v>361.83554509818003</v>
      </c>
      <c r="F76" s="216">
        <v>119.67796109635465</v>
      </c>
      <c r="G76" s="216">
        <f ca="1">IF(Amortization32[[#This Row],[payment
date]]="",0,'Mortgage Calculator'!PropertyTaxAmount)</f>
        <v>0</v>
      </c>
      <c r="H76" s="216">
        <f ca="1">IF(Amortization32[[#This Row],[payment
date]]="",0,Amortization32[[#This Row],[interest]]+Amortization32[[#This Row],[principal]]+Amortization32[[#This Row],[property
tax]])</f>
        <v>0</v>
      </c>
      <c r="I76" s="216">
        <f ca="1">IF(Amortization32[[#This Row],[payment
date]]="",0,Amortization32[[#This Row],[opening
balance]]-Amortization32[[#This Row],[principal]])</f>
        <v>0</v>
      </c>
      <c r="J76" s="217">
        <f ca="1">IF(Amortization32[[#This Row],[closing
balance]]&gt;0,LastRow-ROW(),0)</f>
        <v>0</v>
      </c>
    </row>
    <row r="77" spans="2:10" ht="15" customHeight="1">
      <c r="B77" s="214" t="str">
        <f>IF(SUM(ROWS($B$4:B77))&gt;'Mortgage Calculator'!DurationOfLoan,"",SUM(ROWS($B$4:B77)))</f>
        <v/>
      </c>
      <c r="C77" s="215" t="str">
        <f ca="1">IFERROR(DATE(YEAR('Mortgage Calculator'!LoanStart), MONTH('Mortgage Calculator'!LoanStart) +B77,DAY('Mortgage Calculator'!LoanStart)), "")</f>
        <v/>
      </c>
      <c r="D77" s="216" t="str">
        <f>IFERROR(-FV('Mortgage Calculator'!InterestRate/12,B77-1,-'Mortgage Calculator'!MonthlyLoanPayment,'Mortgage Calculator'!LoanAmount),"")</f>
        <v/>
      </c>
      <c r="E77" s="216">
        <v>360.82991778618992</v>
      </c>
      <c r="F77" s="216">
        <v>120.67527743882427</v>
      </c>
      <c r="G77" s="216">
        <f ca="1">IF(Amortization32[[#This Row],[payment
date]]="",0,'Mortgage Calculator'!PropertyTaxAmount)</f>
        <v>0</v>
      </c>
      <c r="H77" s="216">
        <f ca="1">IF(Amortization32[[#This Row],[payment
date]]="",0,Amortization32[[#This Row],[interest]]+Amortization32[[#This Row],[principal]]+Amortization32[[#This Row],[property
tax]])</f>
        <v>0</v>
      </c>
      <c r="I77" s="216">
        <f ca="1">IF(Amortization32[[#This Row],[payment
date]]="",0,Amortization32[[#This Row],[opening
balance]]-Amortization32[[#This Row],[principal]])</f>
        <v>0</v>
      </c>
      <c r="J77" s="217">
        <f ca="1">IF(Amortization32[[#This Row],[closing
balance]]&gt;0,LastRow-ROW(),0)</f>
        <v>0</v>
      </c>
    </row>
    <row r="78" spans="2:10" ht="15" customHeight="1">
      <c r="B78" s="214" t="str">
        <f>IF(SUM(ROWS($B$4:B78))&gt;'Mortgage Calculator'!DurationOfLoan,"",SUM(ROWS($B$4:B78)))</f>
        <v/>
      </c>
      <c r="C78" s="215" t="str">
        <f ca="1">IFERROR(DATE(YEAR('Mortgage Calculator'!LoanStart), MONTH('Mortgage Calculator'!LoanStart) +B78,DAY('Mortgage Calculator'!LoanStart)), "")</f>
        <v/>
      </c>
      <c r="D78" s="216" t="str">
        <f>IFERROR(-FV('Mortgage Calculator'!InterestRate/12,B78-1,-'Mortgage Calculator'!MonthlyLoanPayment,'Mortgage Calculator'!LoanAmount),"")</f>
        <v/>
      </c>
      <c r="E78" s="216">
        <v>359.81591024659974</v>
      </c>
      <c r="F78" s="216">
        <v>121.68090475081448</v>
      </c>
      <c r="G78" s="216">
        <f ca="1">IF(Amortization32[[#This Row],[payment
date]]="",0,'Mortgage Calculator'!PropertyTaxAmount)</f>
        <v>0</v>
      </c>
      <c r="H78" s="216">
        <f ca="1">IF(Amortization32[[#This Row],[payment
date]]="",0,Amortization32[[#This Row],[interest]]+Amortization32[[#This Row],[principal]]+Amortization32[[#This Row],[property
tax]])</f>
        <v>0</v>
      </c>
      <c r="I78" s="216">
        <f ca="1">IF(Amortization32[[#This Row],[payment
date]]="",0,Amortization32[[#This Row],[opening
balance]]-Amortization32[[#This Row],[principal]])</f>
        <v>0</v>
      </c>
      <c r="J78" s="217">
        <f ca="1">IF(Amortization32[[#This Row],[closing
balance]]&gt;0,LastRow-ROW(),0)</f>
        <v>0</v>
      </c>
    </row>
    <row r="79" spans="2:10" ht="15" customHeight="1">
      <c r="B79" s="214" t="str">
        <f>IF(SUM(ROWS($B$4:B79))&gt;'Mortgage Calculator'!DurationOfLoan,"",SUM(ROWS($B$4:B79)))</f>
        <v/>
      </c>
      <c r="C79" s="215" t="str">
        <f ca="1">IFERROR(DATE(YEAR('Mortgage Calculator'!LoanStart), MONTH('Mortgage Calculator'!LoanStart) +B79,DAY('Mortgage Calculator'!LoanStart)), "")</f>
        <v/>
      </c>
      <c r="D79" s="216" t="str">
        <f>IFERROR(-FV('Mortgage Calculator'!InterestRate/12,B79-1,-'Mortgage Calculator'!MonthlyLoanPayment,'Mortgage Calculator'!LoanAmount),"")</f>
        <v/>
      </c>
      <c r="E79" s="216">
        <v>358.79345264417975</v>
      </c>
      <c r="F79" s="216">
        <v>122.69491229040457</v>
      </c>
      <c r="G79" s="216">
        <f ca="1">IF(Amortization32[[#This Row],[payment
date]]="",0,'Mortgage Calculator'!PropertyTaxAmount)</f>
        <v>0</v>
      </c>
      <c r="H79" s="216">
        <f ca="1">IF(Amortization32[[#This Row],[payment
date]]="",0,Amortization32[[#This Row],[interest]]+Amortization32[[#This Row],[principal]]+Amortization32[[#This Row],[property
tax]])</f>
        <v>0</v>
      </c>
      <c r="I79" s="216">
        <f ca="1">IF(Amortization32[[#This Row],[payment
date]]="",0,Amortization32[[#This Row],[opening
balance]]-Amortization32[[#This Row],[principal]])</f>
        <v>0</v>
      </c>
      <c r="J79" s="217">
        <f ca="1">IF(Amortization32[[#This Row],[closing
balance]]&gt;0,LastRow-ROW(),0)</f>
        <v>0</v>
      </c>
    </row>
    <row r="80" spans="2:10" ht="15" customHeight="1">
      <c r="B80" s="214" t="str">
        <f>IF(SUM(ROWS($B$4:B80))&gt;'Mortgage Calculator'!DurationOfLoan,"",SUM(ROWS($B$4:B80)))</f>
        <v/>
      </c>
      <c r="C80" s="215" t="str">
        <f ca="1">IFERROR(DATE(YEAR('Mortgage Calculator'!LoanStart), MONTH('Mortgage Calculator'!LoanStart) +B80,DAY('Mortgage Calculator'!LoanStart)), "")</f>
        <v/>
      </c>
      <c r="D80" s="216" t="str">
        <f>IFERROR(-FV('Mortgage Calculator'!InterestRate/12,B80-1,-'Mortgage Calculator'!MonthlyLoanPayment,'Mortgage Calculator'!LoanAmount),"")</f>
        <v/>
      </c>
      <c r="E80" s="216">
        <v>357.76247456173957</v>
      </c>
      <c r="F80" s="216">
        <v>123.71736989282464</v>
      </c>
      <c r="G80" s="216">
        <f ca="1">IF(Amortization32[[#This Row],[payment
date]]="",0,'Mortgage Calculator'!PropertyTaxAmount)</f>
        <v>0</v>
      </c>
      <c r="H80" s="216">
        <f ca="1">IF(Amortization32[[#This Row],[payment
date]]="",0,Amortization32[[#This Row],[interest]]+Amortization32[[#This Row],[principal]]+Amortization32[[#This Row],[property
tax]])</f>
        <v>0</v>
      </c>
      <c r="I80" s="216">
        <f ca="1">IF(Amortization32[[#This Row],[payment
date]]="",0,Amortization32[[#This Row],[opening
balance]]-Amortization32[[#This Row],[principal]])</f>
        <v>0</v>
      </c>
      <c r="J80" s="217">
        <f ca="1">IF(Amortization32[[#This Row],[closing
balance]]&gt;0,LastRow-ROW(),0)</f>
        <v>0</v>
      </c>
    </row>
    <row r="81" spans="2:10" ht="15" customHeight="1">
      <c r="B81" s="214" t="str">
        <f>IF(SUM(ROWS($B$4:B81))&gt;'Mortgage Calculator'!DurationOfLoan,"",SUM(ROWS($B$4:B81)))</f>
        <v/>
      </c>
      <c r="C81" s="215" t="str">
        <f ca="1">IFERROR(DATE(YEAR('Mortgage Calculator'!LoanStart), MONTH('Mortgage Calculator'!LoanStart) +B81,DAY('Mortgage Calculator'!LoanStart)), "")</f>
        <v/>
      </c>
      <c r="D81" s="216" t="str">
        <f>IFERROR(-FV('Mortgage Calculator'!InterestRate/12,B81-1,-'Mortgage Calculator'!MonthlyLoanPayment,'Mortgage Calculator'!LoanAmount),"")</f>
        <v/>
      </c>
      <c r="E81" s="216">
        <v>356.72290499527907</v>
      </c>
      <c r="F81" s="216">
        <v>124.74834797526483</v>
      </c>
      <c r="G81" s="216">
        <f ca="1">IF(Amortization32[[#This Row],[payment
date]]="",0,'Mortgage Calculator'!PropertyTaxAmount)</f>
        <v>0</v>
      </c>
      <c r="H81" s="216">
        <f ca="1">IF(Amortization32[[#This Row],[payment
date]]="",0,Amortization32[[#This Row],[interest]]+Amortization32[[#This Row],[principal]]+Amortization32[[#This Row],[property
tax]])</f>
        <v>0</v>
      </c>
      <c r="I81" s="216">
        <f ca="1">IF(Amortization32[[#This Row],[payment
date]]="",0,Amortization32[[#This Row],[opening
balance]]-Amortization32[[#This Row],[principal]])</f>
        <v>0</v>
      </c>
      <c r="J81" s="217">
        <f ca="1">IF(Amortization32[[#This Row],[closing
balance]]&gt;0,LastRow-ROW(),0)</f>
        <v>0</v>
      </c>
    </row>
    <row r="82" spans="2:10" ht="15" customHeight="1">
      <c r="B82" s="214" t="str">
        <f>IF(SUM(ROWS($B$4:B82))&gt;'Mortgage Calculator'!DurationOfLoan,"",SUM(ROWS($B$4:B82)))</f>
        <v/>
      </c>
      <c r="C82" s="215" t="str">
        <f ca="1">IFERROR(DATE(YEAR('Mortgage Calculator'!LoanStart), MONTH('Mortgage Calculator'!LoanStart) +B82,DAY('Mortgage Calculator'!LoanStart)), "")</f>
        <v/>
      </c>
      <c r="D82" s="216" t="str">
        <f>IFERROR(-FV('Mortgage Calculator'!InterestRate/12,B82-1,-'Mortgage Calculator'!MonthlyLoanPayment,'Mortgage Calculator'!LoanAmount),"")</f>
        <v/>
      </c>
      <c r="E82" s="216">
        <v>355.67467234909799</v>
      </c>
      <c r="F82" s="216">
        <v>125.78791754172538</v>
      </c>
      <c r="G82" s="216">
        <f ca="1">IF(Amortization32[[#This Row],[payment
date]]="",0,'Mortgage Calculator'!PropertyTaxAmount)</f>
        <v>0</v>
      </c>
      <c r="H82" s="216">
        <f ca="1">IF(Amortization32[[#This Row],[payment
date]]="",0,Amortization32[[#This Row],[interest]]+Amortization32[[#This Row],[principal]]+Amortization32[[#This Row],[property
tax]])</f>
        <v>0</v>
      </c>
      <c r="I82" s="216">
        <f ca="1">IF(Amortization32[[#This Row],[payment
date]]="",0,Amortization32[[#This Row],[opening
balance]]-Amortization32[[#This Row],[principal]])</f>
        <v>0</v>
      </c>
      <c r="J82" s="217">
        <f ca="1">IF(Amortization32[[#This Row],[closing
balance]]&gt;0,LastRow-ROW(),0)</f>
        <v>0</v>
      </c>
    </row>
    <row r="83" spans="2:10" ht="15" customHeight="1">
      <c r="B83" s="214" t="str">
        <f>IF(SUM(ROWS($B$4:B83))&gt;'Mortgage Calculator'!DurationOfLoan,"",SUM(ROWS($B$4:B83)))</f>
        <v/>
      </c>
      <c r="C83" s="215" t="str">
        <f ca="1">IFERROR(DATE(YEAR('Mortgage Calculator'!LoanStart), MONTH('Mortgage Calculator'!LoanStart) +B83,DAY('Mortgage Calculator'!LoanStart)), "")</f>
        <v/>
      </c>
      <c r="D83" s="216" t="str">
        <f>IFERROR(-FV('Mortgage Calculator'!InterestRate/12,B83-1,-'Mortgage Calculator'!MonthlyLoanPayment,'Mortgage Calculator'!LoanAmount),"")</f>
        <v/>
      </c>
      <c r="E83" s="216">
        <v>354.61770443086544</v>
      </c>
      <c r="F83" s="216">
        <v>126.83615018790645</v>
      </c>
      <c r="G83" s="216">
        <f ca="1">IF(Amortization32[[#This Row],[payment
date]]="",0,'Mortgage Calculator'!PropertyTaxAmount)</f>
        <v>0</v>
      </c>
      <c r="H83" s="216">
        <f ca="1">IF(Amortization32[[#This Row],[payment
date]]="",0,Amortization32[[#This Row],[interest]]+Amortization32[[#This Row],[principal]]+Amortization32[[#This Row],[property
tax]])</f>
        <v>0</v>
      </c>
      <c r="I83" s="216">
        <f ca="1">IF(Amortization32[[#This Row],[payment
date]]="",0,Amortization32[[#This Row],[opening
balance]]-Amortization32[[#This Row],[principal]])</f>
        <v>0</v>
      </c>
      <c r="J83" s="217">
        <f ca="1">IF(Amortization32[[#This Row],[closing
balance]]&gt;0,LastRow-ROW(),0)</f>
        <v>0</v>
      </c>
    </row>
    <row r="84" spans="2:10" ht="15" customHeight="1">
      <c r="B84" s="214" t="str">
        <f>IF(SUM(ROWS($B$4:B84))&gt;'Mortgage Calculator'!DurationOfLoan,"",SUM(ROWS($B$4:B84)))</f>
        <v/>
      </c>
      <c r="C84" s="215" t="str">
        <f ca="1">IFERROR(DATE(YEAR('Mortgage Calculator'!LoanStart), MONTH('Mortgage Calculator'!LoanStart) +B84,DAY('Mortgage Calculator'!LoanStart)), "")</f>
        <v/>
      </c>
      <c r="D84" s="216" t="str">
        <f>IFERROR(-FV('Mortgage Calculator'!InterestRate/12,B84-1,-'Mortgage Calculator'!MonthlyLoanPayment,'Mortgage Calculator'!LoanAmount),"")</f>
        <v/>
      </c>
      <c r="E84" s="216">
        <v>353.55192844664759</v>
      </c>
      <c r="F84" s="216">
        <v>127.89311810613903</v>
      </c>
      <c r="G84" s="216">
        <f ca="1">IF(Amortization32[[#This Row],[payment
date]]="",0,'Mortgage Calculator'!PropertyTaxAmount)</f>
        <v>0</v>
      </c>
      <c r="H84" s="216">
        <f ca="1">IF(Amortization32[[#This Row],[payment
date]]="",0,Amortization32[[#This Row],[interest]]+Amortization32[[#This Row],[principal]]+Amortization32[[#This Row],[property
tax]])</f>
        <v>0</v>
      </c>
      <c r="I84" s="216">
        <f ca="1">IF(Amortization32[[#This Row],[payment
date]]="",0,Amortization32[[#This Row],[opening
balance]]-Amortization32[[#This Row],[principal]])</f>
        <v>0</v>
      </c>
      <c r="J84" s="217">
        <f ca="1">IF(Amortization32[[#This Row],[closing
balance]]&gt;0,LastRow-ROW(),0)</f>
        <v>0</v>
      </c>
    </row>
    <row r="85" spans="2:10" ht="15" customHeight="1">
      <c r="B85" s="214" t="str">
        <f>IF(SUM(ROWS($B$4:B85))&gt;'Mortgage Calculator'!DurationOfLoan,"",SUM(ROWS($B$4:B85)))</f>
        <v/>
      </c>
      <c r="C85" s="215" t="str">
        <f ca="1">IFERROR(DATE(YEAR('Mortgage Calculator'!LoanStart), MONTH('Mortgage Calculator'!LoanStart) +B85,DAY('Mortgage Calculator'!LoanStart)), "")</f>
        <v/>
      </c>
      <c r="D85" s="216" t="str">
        <f>IFERROR(-FV('Mortgage Calculator'!InterestRate/12,B85-1,-'Mortgage Calculator'!MonthlyLoanPayment,'Mortgage Calculator'!LoanAmount),"")</f>
        <v/>
      </c>
      <c r="E85" s="216">
        <v>352.47727099589457</v>
      </c>
      <c r="F85" s="216">
        <v>128.95889409035686</v>
      </c>
      <c r="G85" s="216">
        <f ca="1">IF(Amortization32[[#This Row],[payment
date]]="",0,'Mortgage Calculator'!PropertyTaxAmount)</f>
        <v>0</v>
      </c>
      <c r="H85" s="216">
        <f ca="1">IF(Amortization32[[#This Row],[payment
date]]="",0,Amortization32[[#This Row],[interest]]+Amortization32[[#This Row],[principal]]+Amortization32[[#This Row],[property
tax]])</f>
        <v>0</v>
      </c>
      <c r="I85" s="216">
        <f ca="1">IF(Amortization32[[#This Row],[payment
date]]="",0,Amortization32[[#This Row],[opening
balance]]-Amortization32[[#This Row],[principal]])</f>
        <v>0</v>
      </c>
      <c r="J85" s="217">
        <f ca="1">IF(Amortization32[[#This Row],[closing
balance]]&gt;0,LastRow-ROW(),0)</f>
        <v>0</v>
      </c>
    </row>
    <row r="86" spans="2:10" ht="15" customHeight="1">
      <c r="B86" s="214" t="str">
        <f>IF(SUM(ROWS($B$4:B86))&gt;'Mortgage Calculator'!DurationOfLoan,"",SUM(ROWS($B$4:B86)))</f>
        <v/>
      </c>
      <c r="C86" s="215" t="str">
        <f ca="1">IFERROR(DATE(YEAR('Mortgage Calculator'!LoanStart), MONTH('Mortgage Calculator'!LoanStart) +B86,DAY('Mortgage Calculator'!LoanStart)), "")</f>
        <v/>
      </c>
      <c r="D86" s="216" t="str">
        <f>IFERROR(-FV('Mortgage Calculator'!InterestRate/12,B86-1,-'Mortgage Calculator'!MonthlyLoanPayment,'Mortgage Calculator'!LoanAmount),"")</f>
        <v/>
      </c>
      <c r="E86" s="216">
        <v>351.39365806638546</v>
      </c>
      <c r="F86" s="216">
        <v>130.03355154110983</v>
      </c>
      <c r="G86" s="216">
        <f ca="1">IF(Amortization32[[#This Row],[payment
date]]="",0,'Mortgage Calculator'!PropertyTaxAmount)</f>
        <v>0</v>
      </c>
      <c r="H86" s="216">
        <f ca="1">IF(Amortization32[[#This Row],[payment
date]]="",0,Amortization32[[#This Row],[interest]]+Amortization32[[#This Row],[principal]]+Amortization32[[#This Row],[property
tax]])</f>
        <v>0</v>
      </c>
      <c r="I86" s="216">
        <f ca="1">IF(Amortization32[[#This Row],[payment
date]]="",0,Amortization32[[#This Row],[opening
balance]]-Amortization32[[#This Row],[principal]])</f>
        <v>0</v>
      </c>
      <c r="J86" s="217">
        <f ca="1">IF(Amortization32[[#This Row],[closing
balance]]&gt;0,LastRow-ROW(),0)</f>
        <v>0</v>
      </c>
    </row>
    <row r="87" spans="2:10" ht="15" customHeight="1">
      <c r="B87" s="214" t="str">
        <f>IF(SUM(ROWS($B$4:B87))&gt;'Mortgage Calculator'!DurationOfLoan,"",SUM(ROWS($B$4:B87)))</f>
        <v/>
      </c>
      <c r="C87" s="215" t="str">
        <f ca="1">IFERROR(DATE(YEAR('Mortgage Calculator'!LoanStart), MONTH('Mortgage Calculator'!LoanStart) +B87,DAY('Mortgage Calculator'!LoanStart)), "")</f>
        <v/>
      </c>
      <c r="D87" s="216" t="str">
        <f>IFERROR(-FV('Mortgage Calculator'!InterestRate/12,B87-1,-'Mortgage Calculator'!MonthlyLoanPayment,'Mortgage Calculator'!LoanAmount),"")</f>
        <v/>
      </c>
      <c r="E87" s="216">
        <v>350.30101502913021</v>
      </c>
      <c r="F87" s="216">
        <v>131.11716447061909</v>
      </c>
      <c r="G87" s="216">
        <f ca="1">IF(Amortization32[[#This Row],[payment
date]]="",0,'Mortgage Calculator'!PropertyTaxAmount)</f>
        <v>0</v>
      </c>
      <c r="H87" s="216">
        <f ca="1">IF(Amortization32[[#This Row],[payment
date]]="",0,Amortization32[[#This Row],[interest]]+Amortization32[[#This Row],[principal]]+Amortization32[[#This Row],[property
tax]])</f>
        <v>0</v>
      </c>
      <c r="I87" s="216">
        <f ca="1">IF(Amortization32[[#This Row],[payment
date]]="",0,Amortization32[[#This Row],[opening
balance]]-Amortization32[[#This Row],[principal]])</f>
        <v>0</v>
      </c>
      <c r="J87" s="217">
        <f ca="1">IF(Amortization32[[#This Row],[closing
balance]]&gt;0,LastRow-ROW(),0)</f>
        <v>0</v>
      </c>
    </row>
    <row r="88" spans="2:10" ht="15" customHeight="1">
      <c r="B88" s="214" t="str">
        <f>IF(SUM(ROWS($B$4:B88))&gt;'Mortgage Calculator'!DurationOfLoan,"",SUM(ROWS($B$4:B88)))</f>
        <v/>
      </c>
      <c r="C88" s="215" t="str">
        <f ca="1">IFERROR(DATE(YEAR('Mortgage Calculator'!LoanStart), MONTH('Mortgage Calculator'!LoanStart) +B88,DAY('Mortgage Calculator'!LoanStart)), "")</f>
        <v/>
      </c>
      <c r="D88" s="216" t="str">
        <f>IFERROR(-FV('Mortgage Calculator'!InterestRate/12,B88-1,-'Mortgage Calculator'!MonthlyLoanPayment,'Mortgage Calculator'!LoanAmount),"")</f>
        <v/>
      </c>
      <c r="E88" s="216">
        <v>349.19926663323133</v>
      </c>
      <c r="F88" s="216">
        <v>132.20980750787422</v>
      </c>
      <c r="G88" s="216">
        <f ca="1">IF(Amortization32[[#This Row],[payment
date]]="",0,'Mortgage Calculator'!PropertyTaxAmount)</f>
        <v>0</v>
      </c>
      <c r="H88" s="216">
        <f ca="1">IF(Amortization32[[#This Row],[payment
date]]="",0,Amortization32[[#This Row],[interest]]+Amortization32[[#This Row],[principal]]+Amortization32[[#This Row],[property
tax]])</f>
        <v>0</v>
      </c>
      <c r="I88" s="216">
        <f ca="1">IF(Amortization32[[#This Row],[payment
date]]="",0,Amortization32[[#This Row],[opening
balance]]-Amortization32[[#This Row],[principal]])</f>
        <v>0</v>
      </c>
      <c r="J88" s="217">
        <f ca="1">IF(Amortization32[[#This Row],[closing
balance]]&gt;0,LastRow-ROW(),0)</f>
        <v>0</v>
      </c>
    </row>
    <row r="89" spans="2:10" ht="15" customHeight="1">
      <c r="B89" s="214" t="str">
        <f>IF(SUM(ROWS($B$4:B89))&gt;'Mortgage Calculator'!DurationOfLoan,"",SUM(ROWS($B$4:B89)))</f>
        <v/>
      </c>
      <c r="C89" s="215" t="str">
        <f ca="1">IFERROR(DATE(YEAR('Mortgage Calculator'!LoanStart), MONTH('Mortgage Calculator'!LoanStart) +B89,DAY('Mortgage Calculator'!LoanStart)), "")</f>
        <v/>
      </c>
      <c r="D89" s="216" t="str">
        <f>IFERROR(-FV('Mortgage Calculator'!InterestRate/12,B89-1,-'Mortgage Calculator'!MonthlyLoanPayment,'Mortgage Calculator'!LoanAmount),"")</f>
        <v/>
      </c>
      <c r="E89" s="216">
        <v>348.08833700069988</v>
      </c>
      <c r="F89" s="216">
        <v>133.31155590377321</v>
      </c>
      <c r="G89" s="216">
        <f ca="1">IF(Amortization32[[#This Row],[payment
date]]="",0,'Mortgage Calculator'!PropertyTaxAmount)</f>
        <v>0</v>
      </c>
      <c r="H89" s="216">
        <f ca="1">IF(Amortization32[[#This Row],[payment
date]]="",0,Amortization32[[#This Row],[interest]]+Amortization32[[#This Row],[principal]]+Amortization32[[#This Row],[property
tax]])</f>
        <v>0</v>
      </c>
      <c r="I89" s="216">
        <f ca="1">IF(Amortization32[[#This Row],[payment
date]]="",0,Amortization32[[#This Row],[opening
balance]]-Amortization32[[#This Row],[principal]])</f>
        <v>0</v>
      </c>
      <c r="J89" s="217">
        <f ca="1">IF(Amortization32[[#This Row],[closing
balance]]&gt;0,LastRow-ROW(),0)</f>
        <v>0</v>
      </c>
    </row>
    <row r="90" spans="2:10" ht="15" customHeight="1">
      <c r="B90" s="214" t="str">
        <f>IF(SUM(ROWS($B$4:B90))&gt;'Mortgage Calculator'!DurationOfLoan,"",SUM(ROWS($B$4:B90)))</f>
        <v/>
      </c>
      <c r="C90" s="215" t="str">
        <f ca="1">IFERROR(DATE(YEAR('Mortgage Calculator'!LoanStart), MONTH('Mortgage Calculator'!LoanStart) +B90,DAY('Mortgage Calculator'!LoanStart)), "")</f>
        <v/>
      </c>
      <c r="D90" s="216" t="str">
        <f>IFERROR(-FV('Mortgage Calculator'!InterestRate/12,B90-1,-'Mortgage Calculator'!MonthlyLoanPayment,'Mortgage Calculator'!LoanAmount),"")</f>
        <v/>
      </c>
      <c r="E90" s="216">
        <v>346.96814962123074</v>
      </c>
      <c r="F90" s="216">
        <v>134.42248553630466</v>
      </c>
      <c r="G90" s="216">
        <f ca="1">IF(Amortization32[[#This Row],[payment
date]]="",0,'Mortgage Calculator'!PropertyTaxAmount)</f>
        <v>0</v>
      </c>
      <c r="H90" s="216">
        <f ca="1">IF(Amortization32[[#This Row],[payment
date]]="",0,Amortization32[[#This Row],[interest]]+Amortization32[[#This Row],[principal]]+Amortization32[[#This Row],[property
tax]])</f>
        <v>0</v>
      </c>
      <c r="I90" s="216">
        <f ca="1">IF(Amortization32[[#This Row],[payment
date]]="",0,Amortization32[[#This Row],[opening
balance]]-Amortization32[[#This Row],[principal]])</f>
        <v>0</v>
      </c>
      <c r="J90" s="217">
        <f ca="1">IF(Amortization32[[#This Row],[closing
balance]]&gt;0,LastRow-ROW(),0)</f>
        <v>0</v>
      </c>
    </row>
    <row r="91" spans="2:10" ht="15" customHeight="1">
      <c r="B91" s="214" t="str">
        <f>IF(SUM(ROWS($B$4:B91))&gt;'Mortgage Calculator'!DurationOfLoan,"",SUM(ROWS($B$4:B91)))</f>
        <v/>
      </c>
      <c r="C91" s="215" t="str">
        <f ca="1">IFERROR(DATE(YEAR('Mortgage Calculator'!LoanStart), MONTH('Mortgage Calculator'!LoanStart) +B91,DAY('Mortgage Calculator'!LoanStart)), "")</f>
        <v/>
      </c>
      <c r="D91" s="216" t="str">
        <f>IFERROR(-FV('Mortgage Calculator'!InterestRate/12,B91-1,-'Mortgage Calculator'!MonthlyLoanPayment,'Mortgage Calculator'!LoanAmount),"")</f>
        <v/>
      </c>
      <c r="E91" s="216">
        <v>345.83862734693253</v>
      </c>
      <c r="F91" s="216">
        <v>135.54267291577384</v>
      </c>
      <c r="G91" s="216">
        <f ca="1">IF(Amortization32[[#This Row],[payment
date]]="",0,'Mortgage Calculator'!PropertyTaxAmount)</f>
        <v>0</v>
      </c>
      <c r="H91" s="216">
        <f ca="1">IF(Amortization32[[#This Row],[payment
date]]="",0,Amortization32[[#This Row],[interest]]+Amortization32[[#This Row],[principal]]+Amortization32[[#This Row],[property
tax]])</f>
        <v>0</v>
      </c>
      <c r="I91" s="216">
        <f ca="1">IF(Amortization32[[#This Row],[payment
date]]="",0,Amortization32[[#This Row],[opening
balance]]-Amortization32[[#This Row],[principal]])</f>
        <v>0</v>
      </c>
      <c r="J91" s="217">
        <f ca="1">IF(Amortization32[[#This Row],[closing
balance]]&gt;0,LastRow-ROW(),0)</f>
        <v>0</v>
      </c>
    </row>
    <row r="92" spans="2:10" ht="15" customHeight="1">
      <c r="B92" s="214" t="str">
        <f>IF(SUM(ROWS($B$4:B92))&gt;'Mortgage Calculator'!DurationOfLoan,"",SUM(ROWS($B$4:B92)))</f>
        <v/>
      </c>
      <c r="C92" s="215" t="str">
        <f ca="1">IFERROR(DATE(YEAR('Mortgage Calculator'!LoanStart), MONTH('Mortgage Calculator'!LoanStart) +B92,DAY('Mortgage Calculator'!LoanStart)), "")</f>
        <v/>
      </c>
      <c r="D92" s="216" t="str">
        <f>IFERROR(-FV('Mortgage Calculator'!InterestRate/12,B92-1,-'Mortgage Calculator'!MonthlyLoanPayment,'Mortgage Calculator'!LoanAmount),"")</f>
        <v/>
      </c>
      <c r="E92" s="216">
        <v>344.69969238701538</v>
      </c>
      <c r="F92" s="216">
        <v>136.6721951900719</v>
      </c>
      <c r="G92" s="216">
        <f ca="1">IF(Amortization32[[#This Row],[payment
date]]="",0,'Mortgage Calculator'!PropertyTaxAmount)</f>
        <v>0</v>
      </c>
      <c r="H92" s="216">
        <f ca="1">IF(Amortization32[[#This Row],[payment
date]]="",0,Amortization32[[#This Row],[interest]]+Amortization32[[#This Row],[principal]]+Amortization32[[#This Row],[property
tax]])</f>
        <v>0</v>
      </c>
      <c r="I92" s="216">
        <f ca="1">IF(Amortization32[[#This Row],[payment
date]]="",0,Amortization32[[#This Row],[opening
balance]]-Amortization32[[#This Row],[principal]])</f>
        <v>0</v>
      </c>
      <c r="J92" s="217">
        <f ca="1">IF(Amortization32[[#This Row],[closing
balance]]&gt;0,LastRow-ROW(),0)</f>
        <v>0</v>
      </c>
    </row>
    <row r="93" spans="2:10" ht="15" customHeight="1">
      <c r="B93" s="214" t="str">
        <f>IF(SUM(ROWS($B$4:B93))&gt;'Mortgage Calculator'!DurationOfLoan,"",SUM(ROWS($B$4:B93)))</f>
        <v/>
      </c>
      <c r="C93" s="215" t="str">
        <f ca="1">IFERROR(DATE(YEAR('Mortgage Calculator'!LoanStart), MONTH('Mortgage Calculator'!LoanStart) +B93,DAY('Mortgage Calculator'!LoanStart)), "")</f>
        <v/>
      </c>
      <c r="D93" s="216" t="str">
        <f>IFERROR(-FV('Mortgage Calculator'!InterestRate/12,B93-1,-'Mortgage Calculator'!MonthlyLoanPayment,'Mortgage Calculator'!LoanAmount),"")</f>
        <v/>
      </c>
      <c r="E93" s="216">
        <v>343.55126630243205</v>
      </c>
      <c r="F93" s="216">
        <v>137.81113014998928</v>
      </c>
      <c r="G93" s="216">
        <f ca="1">IF(Amortization32[[#This Row],[payment
date]]="",0,'Mortgage Calculator'!PropertyTaxAmount)</f>
        <v>0</v>
      </c>
      <c r="H93" s="216">
        <f ca="1">IF(Amortization32[[#This Row],[payment
date]]="",0,Amortization32[[#This Row],[interest]]+Amortization32[[#This Row],[principal]]+Amortization32[[#This Row],[property
tax]])</f>
        <v>0</v>
      </c>
      <c r="I93" s="216">
        <f ca="1">IF(Amortization32[[#This Row],[payment
date]]="",0,Amortization32[[#This Row],[opening
balance]]-Amortization32[[#This Row],[principal]])</f>
        <v>0</v>
      </c>
      <c r="J93" s="217">
        <f ca="1">IF(Amortization32[[#This Row],[closing
balance]]&gt;0,LastRow-ROW(),0)</f>
        <v>0</v>
      </c>
    </row>
    <row r="94" spans="2:10" ht="15" customHeight="1">
      <c r="B94" s="214" t="str">
        <f>IF(SUM(ROWS($B$4:B94))&gt;'Mortgage Calculator'!DurationOfLoan,"",SUM(ROWS($B$4:B94)))</f>
        <v/>
      </c>
      <c r="C94" s="215" t="str">
        <f ca="1">IFERROR(DATE(YEAR('Mortgage Calculator'!LoanStart), MONTH('Mortgage Calculator'!LoanStart) +B94,DAY('Mortgage Calculator'!LoanStart)), "")</f>
        <v/>
      </c>
      <c r="D94" s="216" t="str">
        <f>IFERROR(-FV('Mortgage Calculator'!InterestRate/12,B94-1,-'Mortgage Calculator'!MonthlyLoanPayment,'Mortgage Calculator'!LoanAmount),"")</f>
        <v/>
      </c>
      <c r="E94" s="216">
        <v>342.39327000047723</v>
      </c>
      <c r="F94" s="216">
        <v>138.95955623457246</v>
      </c>
      <c r="G94" s="216">
        <f ca="1">IF(Amortization32[[#This Row],[payment
date]]="",0,'Mortgage Calculator'!PropertyTaxAmount)</f>
        <v>0</v>
      </c>
      <c r="H94" s="216">
        <f ca="1">IF(Amortization32[[#This Row],[payment
date]]="",0,Amortization32[[#This Row],[interest]]+Amortization32[[#This Row],[principal]]+Amortization32[[#This Row],[property
tax]])</f>
        <v>0</v>
      </c>
      <c r="I94" s="216">
        <f ca="1">IF(Amortization32[[#This Row],[payment
date]]="",0,Amortization32[[#This Row],[opening
balance]]-Amortization32[[#This Row],[principal]])</f>
        <v>0</v>
      </c>
      <c r="J94" s="217">
        <f ca="1">IF(Amortization32[[#This Row],[closing
balance]]&gt;0,LastRow-ROW(),0)</f>
        <v>0</v>
      </c>
    </row>
    <row r="95" spans="2:10" ht="15" customHeight="1">
      <c r="B95" s="214" t="str">
        <f>IF(SUM(ROWS($B$4:B95))&gt;'Mortgage Calculator'!DurationOfLoan,"",SUM(ROWS($B$4:B95)))</f>
        <v/>
      </c>
      <c r="C95" s="215" t="str">
        <f ca="1">IFERROR(DATE(YEAR('Mortgage Calculator'!LoanStart), MONTH('Mortgage Calculator'!LoanStart) +B95,DAY('Mortgage Calculator'!LoanStart)), "")</f>
        <v/>
      </c>
      <c r="D95" s="216" t="str">
        <f>IFERROR(-FV('Mortgage Calculator'!InterestRate/12,B95-1,-'Mortgage Calculator'!MonthlyLoanPayment,'Mortgage Calculator'!LoanAmount),"")</f>
        <v/>
      </c>
      <c r="E95" s="216">
        <v>341.2256237293397</v>
      </c>
      <c r="F95" s="216">
        <v>140.11755253652717</v>
      </c>
      <c r="G95" s="216">
        <f ca="1">IF(Amortization32[[#This Row],[payment
date]]="",0,'Mortgage Calculator'!PropertyTaxAmount)</f>
        <v>0</v>
      </c>
      <c r="H95" s="216">
        <f ca="1">IF(Amortization32[[#This Row],[payment
date]]="",0,Amortization32[[#This Row],[interest]]+Amortization32[[#This Row],[principal]]+Amortization32[[#This Row],[property
tax]])</f>
        <v>0</v>
      </c>
      <c r="I95" s="216">
        <f ca="1">IF(Amortization32[[#This Row],[payment
date]]="",0,Amortization32[[#This Row],[opening
balance]]-Amortization32[[#This Row],[principal]])</f>
        <v>0</v>
      </c>
      <c r="J95" s="217">
        <f ca="1">IF(Amortization32[[#This Row],[closing
balance]]&gt;0,LastRow-ROW(),0)</f>
        <v>0</v>
      </c>
    </row>
    <row r="96" spans="2:10" ht="15" customHeight="1">
      <c r="B96" s="214" t="str">
        <f>IF(SUM(ROWS($B$4:B96))&gt;'Mortgage Calculator'!DurationOfLoan,"",SUM(ROWS($B$4:B96)))</f>
        <v/>
      </c>
      <c r="C96" s="215" t="str">
        <f ca="1">IFERROR(DATE(YEAR('Mortgage Calculator'!LoanStart), MONTH('Mortgage Calculator'!LoanStart) +B96,DAY('Mortgage Calculator'!LoanStart)), "")</f>
        <v/>
      </c>
      <c r="D96" s="216" t="str">
        <f>IFERROR(-FV('Mortgage Calculator'!InterestRate/12,B96-1,-'Mortgage Calculator'!MonthlyLoanPayment,'Mortgage Calculator'!LoanAmount),"")</f>
        <v/>
      </c>
      <c r="E96" s="216">
        <v>340.04824707260912</v>
      </c>
      <c r="F96" s="216">
        <v>141.28519880766501</v>
      </c>
      <c r="G96" s="216">
        <f ca="1">IF(Amortization32[[#This Row],[payment
date]]="",0,'Mortgage Calculator'!PropertyTaxAmount)</f>
        <v>0</v>
      </c>
      <c r="H96" s="216">
        <f ca="1">IF(Amortization32[[#This Row],[payment
date]]="",0,Amortization32[[#This Row],[interest]]+Amortization32[[#This Row],[principal]]+Amortization32[[#This Row],[property
tax]])</f>
        <v>0</v>
      </c>
      <c r="I96" s="216">
        <f ca="1">IF(Amortization32[[#This Row],[payment
date]]="",0,Amortization32[[#This Row],[opening
balance]]-Amortization32[[#This Row],[principal]])</f>
        <v>0</v>
      </c>
      <c r="J96" s="217">
        <f ca="1">IF(Amortization32[[#This Row],[closing
balance]]&gt;0,LastRow-ROW(),0)</f>
        <v>0</v>
      </c>
    </row>
    <row r="97" spans="2:10" ht="15" customHeight="1">
      <c r="B97" s="214" t="str">
        <f>IF(SUM(ROWS($B$4:B97))&gt;'Mortgage Calculator'!DurationOfLoan,"",SUM(ROWS($B$4:B97)))</f>
        <v/>
      </c>
      <c r="C97" s="215" t="str">
        <f ca="1">IFERROR(DATE(YEAR('Mortgage Calculator'!LoanStart), MONTH('Mortgage Calculator'!LoanStart) +B97,DAY('Mortgage Calculator'!LoanStart)), "")</f>
        <v/>
      </c>
      <c r="D97" s="216" t="str">
        <f>IFERROR(-FV('Mortgage Calculator'!InterestRate/12,B97-1,-'Mortgage Calculator'!MonthlyLoanPayment,'Mortgage Calculator'!LoanAmount),"")</f>
        <v/>
      </c>
      <c r="E97" s="216">
        <v>338.86105894373918</v>
      </c>
      <c r="F97" s="216">
        <v>142.46257546439551</v>
      </c>
      <c r="G97" s="216">
        <f ca="1">IF(Amortization32[[#This Row],[payment
date]]="",0,'Mortgage Calculator'!PropertyTaxAmount)</f>
        <v>0</v>
      </c>
      <c r="H97" s="216">
        <f ca="1">IF(Amortization32[[#This Row],[payment
date]]="",0,Amortization32[[#This Row],[interest]]+Amortization32[[#This Row],[principal]]+Amortization32[[#This Row],[property
tax]])</f>
        <v>0</v>
      </c>
      <c r="I97" s="216">
        <f ca="1">IF(Amortization32[[#This Row],[payment
date]]="",0,Amortization32[[#This Row],[opening
balance]]-Amortization32[[#This Row],[principal]])</f>
        <v>0</v>
      </c>
      <c r="J97" s="217">
        <f ca="1">IF(Amortization32[[#This Row],[closing
balance]]&gt;0,LastRow-ROW(),0)</f>
        <v>0</v>
      </c>
    </row>
    <row r="98" spans="2:10" ht="15" customHeight="1">
      <c r="B98" s="214" t="str">
        <f>IF(SUM(ROWS($B$4:B98))&gt;'Mortgage Calculator'!DurationOfLoan,"",SUM(ROWS($B$4:B98)))</f>
        <v/>
      </c>
      <c r="C98" s="215" t="str">
        <f ca="1">IFERROR(DATE(YEAR('Mortgage Calculator'!LoanStart), MONTH('Mortgage Calculator'!LoanStart) +B98,DAY('Mortgage Calculator'!LoanStart)), "")</f>
        <v/>
      </c>
      <c r="D98" s="216" t="str">
        <f>IFERROR(-FV('Mortgage Calculator'!InterestRate/12,B98-1,-'Mortgage Calculator'!MonthlyLoanPayment,'Mortgage Calculator'!LoanAmount),"")</f>
        <v/>
      </c>
      <c r="E98" s="216">
        <v>337.66397758046185</v>
      </c>
      <c r="F98" s="216">
        <v>143.6497635932655</v>
      </c>
      <c r="G98" s="216">
        <f ca="1">IF(Amortization32[[#This Row],[payment
date]]="",0,'Mortgage Calculator'!PropertyTaxAmount)</f>
        <v>0</v>
      </c>
      <c r="H98" s="216">
        <f ca="1">IF(Amortization32[[#This Row],[payment
date]]="",0,Amortization32[[#This Row],[interest]]+Amortization32[[#This Row],[principal]]+Amortization32[[#This Row],[property
tax]])</f>
        <v>0</v>
      </c>
      <c r="I98" s="216">
        <f ca="1">IF(Amortization32[[#This Row],[payment
date]]="",0,Amortization32[[#This Row],[opening
balance]]-Amortization32[[#This Row],[principal]])</f>
        <v>0</v>
      </c>
      <c r="J98" s="217">
        <f ca="1">IF(Amortization32[[#This Row],[closing
balance]]&gt;0,LastRow-ROW(),0)</f>
        <v>0</v>
      </c>
    </row>
    <row r="99" spans="2:10" ht="15" customHeight="1">
      <c r="B99" s="214" t="str">
        <f>IF(SUM(ROWS($B$4:B99))&gt;'Mortgage Calculator'!DurationOfLoan,"",SUM(ROWS($B$4:B99)))</f>
        <v/>
      </c>
      <c r="C99" s="215" t="str">
        <f ca="1">IFERROR(DATE(YEAR('Mortgage Calculator'!LoanStart), MONTH('Mortgage Calculator'!LoanStart) +B99,DAY('Mortgage Calculator'!LoanStart)), "")</f>
        <v/>
      </c>
      <c r="D99" s="216" t="str">
        <f>IFERROR(-FV('Mortgage Calculator'!InterestRate/12,B99-1,-'Mortgage Calculator'!MonthlyLoanPayment,'Mortgage Calculator'!LoanAmount),"")</f>
        <v/>
      </c>
      <c r="E99" s="216">
        <v>336.45692053915747</v>
      </c>
      <c r="F99" s="216">
        <v>144.84684495654267</v>
      </c>
      <c r="G99" s="216">
        <f ca="1">IF(Amortization32[[#This Row],[payment
date]]="",0,'Mortgage Calculator'!PropertyTaxAmount)</f>
        <v>0</v>
      </c>
      <c r="H99" s="216">
        <f ca="1">IF(Amortization32[[#This Row],[payment
date]]="",0,Amortization32[[#This Row],[interest]]+Amortization32[[#This Row],[principal]]+Amortization32[[#This Row],[property
tax]])</f>
        <v>0</v>
      </c>
      <c r="I99" s="216">
        <f ca="1">IF(Amortization32[[#This Row],[payment
date]]="",0,Amortization32[[#This Row],[opening
balance]]-Amortization32[[#This Row],[principal]])</f>
        <v>0</v>
      </c>
      <c r="J99" s="217">
        <f ca="1">IF(Amortization32[[#This Row],[closing
balance]]&gt;0,LastRow-ROW(),0)</f>
        <v>0</v>
      </c>
    </row>
    <row r="100" spans="2:10" ht="15" customHeight="1">
      <c r="B100" s="214" t="str">
        <f>IF(SUM(ROWS($B$4:B100))&gt;'Mortgage Calculator'!DurationOfLoan,"",SUM(ROWS($B$4:B100)))</f>
        <v/>
      </c>
      <c r="C100" s="215" t="str">
        <f ca="1">IFERROR(DATE(YEAR('Mortgage Calculator'!LoanStart), MONTH('Mortgage Calculator'!LoanStart) +B100,DAY('Mortgage Calculator'!LoanStart)), "")</f>
        <v/>
      </c>
      <c r="D100" s="216" t="str">
        <f>IFERROR(-FV('Mortgage Calculator'!InterestRate/12,B100-1,-'Mortgage Calculator'!MonthlyLoanPayment,'Mortgage Calculator'!LoanAmount),"")</f>
        <v/>
      </c>
      <c r="E100" s="216">
        <v>335.23980468917529</v>
      </c>
      <c r="F100" s="216">
        <v>146.05390199784725</v>
      </c>
      <c r="G100" s="216">
        <f ca="1">IF(Amortization32[[#This Row],[payment
date]]="",0,'Mortgage Calculator'!PropertyTaxAmount)</f>
        <v>0</v>
      </c>
      <c r="H100" s="216">
        <f ca="1">IF(Amortization32[[#This Row],[payment
date]]="",0,Amortization32[[#This Row],[interest]]+Amortization32[[#This Row],[principal]]+Amortization32[[#This Row],[property
tax]])</f>
        <v>0</v>
      </c>
      <c r="I100" s="216">
        <f ca="1">IF(Amortization32[[#This Row],[payment
date]]="",0,Amortization32[[#This Row],[opening
balance]]-Amortization32[[#This Row],[principal]])</f>
        <v>0</v>
      </c>
      <c r="J100" s="217">
        <f ca="1">IF(Amortization32[[#This Row],[closing
balance]]&gt;0,LastRow-ROW(),0)</f>
        <v>0</v>
      </c>
    </row>
    <row r="101" spans="2:10" ht="15" customHeight="1">
      <c r="B101" s="214" t="str">
        <f>IF(SUM(ROWS($B$4:B101))&gt;'Mortgage Calculator'!DurationOfLoan,"",SUM(ROWS($B$4:B101)))</f>
        <v/>
      </c>
      <c r="C101" s="215" t="str">
        <f ca="1">IFERROR(DATE(YEAR('Mortgage Calculator'!LoanStart), MONTH('Mortgage Calculator'!LoanStart) +B101,DAY('Mortgage Calculator'!LoanStart)), "")</f>
        <v/>
      </c>
      <c r="D101" s="216" t="str">
        <f>IFERROR(-FV('Mortgage Calculator'!InterestRate/12,B101-1,-'Mortgage Calculator'!MonthlyLoanPayment,'Mortgage Calculator'!LoanAmount),"")</f>
        <v/>
      </c>
      <c r="E101" s="216">
        <v>334.01254620711006</v>
      </c>
      <c r="F101" s="216">
        <v>147.27101784782923</v>
      </c>
      <c r="G101" s="216">
        <f ca="1">IF(Amortization32[[#This Row],[payment
date]]="",0,'Mortgage Calculator'!PropertyTaxAmount)</f>
        <v>0</v>
      </c>
      <c r="H101" s="216">
        <f ca="1">IF(Amortization32[[#This Row],[payment
date]]="",0,Amortization32[[#This Row],[interest]]+Amortization32[[#This Row],[principal]]+Amortization32[[#This Row],[property
tax]])</f>
        <v>0</v>
      </c>
      <c r="I101" s="216">
        <f ca="1">IF(Amortization32[[#This Row],[payment
date]]="",0,Amortization32[[#This Row],[opening
balance]]-Amortization32[[#This Row],[principal]])</f>
        <v>0</v>
      </c>
      <c r="J101" s="217">
        <f ca="1">IF(Amortization32[[#This Row],[closing
balance]]&gt;0,LastRow-ROW(),0)</f>
        <v>0</v>
      </c>
    </row>
    <row r="102" spans="2:10" ht="15" customHeight="1">
      <c r="B102" s="214" t="str">
        <f>IF(SUM(ROWS($B$4:B102))&gt;'Mortgage Calculator'!DurationOfLoan,"",SUM(ROWS($B$4:B102)))</f>
        <v/>
      </c>
      <c r="C102" s="215" t="str">
        <f ca="1">IFERROR(DATE(YEAR('Mortgage Calculator'!LoanStart), MONTH('Mortgage Calculator'!LoanStart) +B102,DAY('Mortgage Calculator'!LoanStart)), "")</f>
        <v/>
      </c>
      <c r="D102" s="216" t="str">
        <f>IFERROR(-FV('Mortgage Calculator'!InterestRate/12,B102-1,-'Mortgage Calculator'!MonthlyLoanPayment,'Mortgage Calculator'!LoanAmount),"")</f>
        <v/>
      </c>
      <c r="E102" s="216">
        <v>332.77506057102778</v>
      </c>
      <c r="F102" s="216">
        <v>148.49827632989451</v>
      </c>
      <c r="G102" s="216">
        <f ca="1">IF(Amortization32[[#This Row],[payment
date]]="",0,'Mortgage Calculator'!PropertyTaxAmount)</f>
        <v>0</v>
      </c>
      <c r="H102" s="216">
        <f ca="1">IF(Amortization32[[#This Row],[payment
date]]="",0,Amortization32[[#This Row],[interest]]+Amortization32[[#This Row],[principal]]+Amortization32[[#This Row],[property
tax]])</f>
        <v>0</v>
      </c>
      <c r="I102" s="216">
        <f ca="1">IF(Amortization32[[#This Row],[payment
date]]="",0,Amortization32[[#This Row],[opening
balance]]-Amortization32[[#This Row],[principal]])</f>
        <v>0</v>
      </c>
      <c r="J102" s="217">
        <f ca="1">IF(Amortization32[[#This Row],[closing
balance]]&gt;0,LastRow-ROW(),0)</f>
        <v>0</v>
      </c>
    </row>
    <row r="103" spans="2:10" ht="15" customHeight="1">
      <c r="B103" s="214" t="str">
        <f>IF(SUM(ROWS($B$4:B103))&gt;'Mortgage Calculator'!DurationOfLoan,"",SUM(ROWS($B$4:B103)))</f>
        <v/>
      </c>
      <c r="C103" s="215" t="str">
        <f ca="1">IFERROR(DATE(YEAR('Mortgage Calculator'!LoanStart), MONTH('Mortgage Calculator'!LoanStart) +B103,DAY('Mortgage Calculator'!LoanStart)), "")</f>
        <v/>
      </c>
      <c r="D103" s="216" t="str">
        <f>IFERROR(-FV('Mortgage Calculator'!InterestRate/12,B103-1,-'Mortgage Calculator'!MonthlyLoanPayment,'Mortgage Calculator'!LoanAmount),"")</f>
        <v/>
      </c>
      <c r="E103" s="216">
        <v>331.52726255464449</v>
      </c>
      <c r="F103" s="216">
        <v>149.73576196597702</v>
      </c>
      <c r="G103" s="216">
        <f ca="1">IF(Amortization32[[#This Row],[payment
date]]="",0,'Mortgage Calculator'!PropertyTaxAmount)</f>
        <v>0</v>
      </c>
      <c r="H103" s="216">
        <f ca="1">IF(Amortization32[[#This Row],[payment
date]]="",0,Amortization32[[#This Row],[interest]]+Amortization32[[#This Row],[principal]]+Amortization32[[#This Row],[property
tax]])</f>
        <v>0</v>
      </c>
      <c r="I103" s="216">
        <f ca="1">IF(Amortization32[[#This Row],[payment
date]]="",0,Amortization32[[#This Row],[opening
balance]]-Amortization32[[#This Row],[principal]])</f>
        <v>0</v>
      </c>
      <c r="J103" s="217">
        <f ca="1">IF(Amortization32[[#This Row],[closing
balance]]&gt;0,LastRow-ROW(),0)</f>
        <v>0</v>
      </c>
    </row>
    <row r="104" spans="2:10" ht="15" customHeight="1">
      <c r="B104" s="214" t="str">
        <f>IF(SUM(ROWS($B$4:B104))&gt;'Mortgage Calculator'!DurationOfLoan,"",SUM(ROWS($B$4:B104)))</f>
        <v/>
      </c>
      <c r="C104" s="215" t="str">
        <f ca="1">IFERROR(DATE(YEAR('Mortgage Calculator'!LoanStart), MONTH('Mortgage Calculator'!LoanStart) +B104,DAY('Mortgage Calculator'!LoanStart)), "")</f>
        <v/>
      </c>
      <c r="D104" s="216" t="str">
        <f>IFERROR(-FV('Mortgage Calculator'!InterestRate/12,B104-1,-'Mortgage Calculator'!MonthlyLoanPayment,'Mortgage Calculator'!LoanAmount),"")</f>
        <v/>
      </c>
      <c r="E104" s="216">
        <v>330.26906622145822</v>
      </c>
      <c r="F104" s="216">
        <v>150.98355998236011</v>
      </c>
      <c r="G104" s="216">
        <f ca="1">IF(Amortization32[[#This Row],[payment
date]]="",0,'Mortgage Calculator'!PropertyTaxAmount)</f>
        <v>0</v>
      </c>
      <c r="H104" s="216">
        <f ca="1">IF(Amortization32[[#This Row],[payment
date]]="",0,Amortization32[[#This Row],[interest]]+Amortization32[[#This Row],[principal]]+Amortization32[[#This Row],[property
tax]])</f>
        <v>0</v>
      </c>
      <c r="I104" s="216">
        <f ca="1">IF(Amortization32[[#This Row],[payment
date]]="",0,Amortization32[[#This Row],[opening
balance]]-Amortization32[[#This Row],[principal]])</f>
        <v>0</v>
      </c>
      <c r="J104" s="217">
        <f ca="1">IF(Amortization32[[#This Row],[closing
balance]]&gt;0,LastRow-ROW(),0)</f>
        <v>0</v>
      </c>
    </row>
    <row r="105" spans="2:10" ht="15" customHeight="1">
      <c r="B105" s="214" t="str">
        <f>IF(SUM(ROWS($B$4:B105))&gt;'Mortgage Calculator'!DurationOfLoan,"",SUM(ROWS($B$4:B105)))</f>
        <v/>
      </c>
      <c r="C105" s="215" t="str">
        <f ca="1">IFERROR(DATE(YEAR('Mortgage Calculator'!LoanStart), MONTH('Mortgage Calculator'!LoanStart) +B105,DAY('Mortgage Calculator'!LoanStart)), "")</f>
        <v/>
      </c>
      <c r="D105" s="216" t="str">
        <f>IFERROR(-FV('Mortgage Calculator'!InterestRate/12,B105-1,-'Mortgage Calculator'!MonthlyLoanPayment,'Mortgage Calculator'!LoanAmount),"")</f>
        <v/>
      </c>
      <c r="E105" s="216">
        <v>329.00038491882879</v>
      </c>
      <c r="F105" s="216">
        <v>152.24175631554647</v>
      </c>
      <c r="G105" s="216">
        <f ca="1">IF(Amortization32[[#This Row],[payment
date]]="",0,'Mortgage Calculator'!PropertyTaxAmount)</f>
        <v>0</v>
      </c>
      <c r="H105" s="216">
        <f ca="1">IF(Amortization32[[#This Row],[payment
date]]="",0,Amortization32[[#This Row],[interest]]+Amortization32[[#This Row],[principal]]+Amortization32[[#This Row],[property
tax]])</f>
        <v>0</v>
      </c>
      <c r="I105" s="216">
        <f ca="1">IF(Amortization32[[#This Row],[payment
date]]="",0,Amortization32[[#This Row],[opening
balance]]-Amortization32[[#This Row],[principal]])</f>
        <v>0</v>
      </c>
      <c r="J105" s="217">
        <f ca="1">IF(Amortization32[[#This Row],[closing
balance]]&gt;0,LastRow-ROW(),0)</f>
        <v>0</v>
      </c>
    </row>
    <row r="106" spans="2:10" ht="15" customHeight="1">
      <c r="B106" s="214" t="str">
        <f>IF(SUM(ROWS($B$4:B106))&gt;'Mortgage Calculator'!DurationOfLoan,"",SUM(ROWS($B$4:B106)))</f>
        <v/>
      </c>
      <c r="C106" s="215" t="str">
        <f ca="1">IFERROR(DATE(YEAR('Mortgage Calculator'!LoanStart), MONTH('Mortgage Calculator'!LoanStart) +B106,DAY('Mortgage Calculator'!LoanStart)), "")</f>
        <v/>
      </c>
      <c r="D106" s="216" t="str">
        <f>IFERROR(-FV('Mortgage Calculator'!InterestRate/12,B106-1,-'Mortgage Calculator'!MonthlyLoanPayment,'Mortgage Calculator'!LoanAmount),"")</f>
        <v/>
      </c>
      <c r="E106" s="216">
        <v>327.72113127201072</v>
      </c>
      <c r="F106" s="216">
        <v>153.51043761817616</v>
      </c>
      <c r="G106" s="216">
        <f ca="1">IF(Amortization32[[#This Row],[payment
date]]="",0,'Mortgage Calculator'!PropertyTaxAmount)</f>
        <v>0</v>
      </c>
      <c r="H106" s="216">
        <f ca="1">IF(Amortization32[[#This Row],[payment
date]]="",0,Amortization32[[#This Row],[interest]]+Amortization32[[#This Row],[principal]]+Amortization32[[#This Row],[property
tax]])</f>
        <v>0</v>
      </c>
      <c r="I106" s="216">
        <f ca="1">IF(Amortization32[[#This Row],[payment
date]]="",0,Amortization32[[#This Row],[opening
balance]]-Amortization32[[#This Row],[principal]])</f>
        <v>0</v>
      </c>
      <c r="J106" s="217">
        <f ca="1">IF(Amortization32[[#This Row],[closing
balance]]&gt;0,LastRow-ROW(),0)</f>
        <v>0</v>
      </c>
    </row>
    <row r="107" spans="2:10" ht="15" customHeight="1">
      <c r="B107" s="214" t="str">
        <f>IF(SUM(ROWS($B$4:B107))&gt;'Mortgage Calculator'!DurationOfLoan,"",SUM(ROWS($B$4:B107)))</f>
        <v/>
      </c>
      <c r="C107" s="215" t="str">
        <f ca="1">IFERROR(DATE(YEAR('Mortgage Calculator'!LoanStart), MONTH('Mortgage Calculator'!LoanStart) +B107,DAY('Mortgage Calculator'!LoanStart)), "")</f>
        <v/>
      </c>
      <c r="D107" s="216" t="str">
        <f>IFERROR(-FV('Mortgage Calculator'!InterestRate/12,B107-1,-'Mortgage Calculator'!MonthlyLoanPayment,'Mortgage Calculator'!LoanAmount),"")</f>
        <v/>
      </c>
      <c r="E107" s="216">
        <v>326.43121717813557</v>
      </c>
      <c r="F107" s="216">
        <v>154.7896912649943</v>
      </c>
      <c r="G107" s="216">
        <f ca="1">IF(Amortization32[[#This Row],[payment
date]]="",0,'Mortgage Calculator'!PropertyTaxAmount)</f>
        <v>0</v>
      </c>
      <c r="H107" s="216">
        <f ca="1">IF(Amortization32[[#This Row],[payment
date]]="",0,Amortization32[[#This Row],[interest]]+Amortization32[[#This Row],[principal]]+Amortization32[[#This Row],[property
tax]])</f>
        <v>0</v>
      </c>
      <c r="I107" s="216">
        <f ca="1">IF(Amortization32[[#This Row],[payment
date]]="",0,Amortization32[[#This Row],[opening
balance]]-Amortization32[[#This Row],[principal]])</f>
        <v>0</v>
      </c>
      <c r="J107" s="217">
        <f ca="1">IF(Amortization32[[#This Row],[closing
balance]]&gt;0,LastRow-ROW(),0)</f>
        <v>0</v>
      </c>
    </row>
    <row r="108" spans="2:10" ht="15" customHeight="1">
      <c r="B108" s="214" t="str">
        <f>IF(SUM(ROWS($B$4:B108))&gt;'Mortgage Calculator'!DurationOfLoan,"",SUM(ROWS($B$4:B108)))</f>
        <v/>
      </c>
      <c r="C108" s="215" t="str">
        <f ca="1">IFERROR(DATE(YEAR('Mortgage Calculator'!LoanStart), MONTH('Mortgage Calculator'!LoanStart) +B108,DAY('Mortgage Calculator'!LoanStart)), "")</f>
        <v/>
      </c>
      <c r="D108" s="216" t="str">
        <f>IFERROR(-FV('Mortgage Calculator'!InterestRate/12,B108-1,-'Mortgage Calculator'!MonthlyLoanPayment,'Mortgage Calculator'!LoanAmount),"")</f>
        <v/>
      </c>
      <c r="E108" s="216">
        <v>325.13055380014509</v>
      </c>
      <c r="F108" s="216">
        <v>156.07960535886917</v>
      </c>
      <c r="G108" s="216">
        <f ca="1">IF(Amortization32[[#This Row],[payment
date]]="",0,'Mortgage Calculator'!PropertyTaxAmount)</f>
        <v>0</v>
      </c>
      <c r="H108" s="216">
        <f ca="1">IF(Amortization32[[#This Row],[payment
date]]="",0,Amortization32[[#This Row],[interest]]+Amortization32[[#This Row],[principal]]+Amortization32[[#This Row],[property
tax]])</f>
        <v>0</v>
      </c>
      <c r="I108" s="216">
        <f ca="1">IF(Amortization32[[#This Row],[payment
date]]="",0,Amortization32[[#This Row],[opening
balance]]-Amortization32[[#This Row],[principal]])</f>
        <v>0</v>
      </c>
      <c r="J108" s="217">
        <f ca="1">IF(Amortization32[[#This Row],[closing
balance]]&gt;0,LastRow-ROW(),0)</f>
        <v>0</v>
      </c>
    </row>
    <row r="109" spans="2:10" ht="15" customHeight="1">
      <c r="B109" s="214" t="str">
        <f>IF(SUM(ROWS($B$4:B109))&gt;'Mortgage Calculator'!DurationOfLoan,"",SUM(ROWS($B$4:B109)))</f>
        <v/>
      </c>
      <c r="C109" s="215" t="str">
        <f ca="1">IFERROR(DATE(YEAR('Mortgage Calculator'!LoanStart), MONTH('Mortgage Calculator'!LoanStart) +B109,DAY('Mortgage Calculator'!LoanStart)), "")</f>
        <v/>
      </c>
      <c r="D109" s="216" t="str">
        <f>IFERROR(-FV('Mortgage Calculator'!InterestRate/12,B109-1,-'Mortgage Calculator'!MonthlyLoanPayment,'Mortgage Calculator'!LoanAmount),"")</f>
        <v/>
      </c>
      <c r="E109" s="216">
        <v>323.81905156067126</v>
      </c>
      <c r="F109" s="216">
        <v>157.38026873685976</v>
      </c>
      <c r="G109" s="216">
        <f ca="1">IF(Amortization32[[#This Row],[payment
date]]="",0,'Mortgage Calculator'!PropertyTaxAmount)</f>
        <v>0</v>
      </c>
      <c r="H109" s="216">
        <f ca="1">IF(Amortization32[[#This Row],[payment
date]]="",0,Amortization32[[#This Row],[interest]]+Amortization32[[#This Row],[principal]]+Amortization32[[#This Row],[property
tax]])</f>
        <v>0</v>
      </c>
      <c r="I109" s="216">
        <f ca="1">IF(Amortization32[[#This Row],[payment
date]]="",0,Amortization32[[#This Row],[opening
balance]]-Amortization32[[#This Row],[principal]])</f>
        <v>0</v>
      </c>
      <c r="J109" s="217">
        <f ca="1">IF(Amortization32[[#This Row],[closing
balance]]&gt;0,LastRow-ROW(),0)</f>
        <v>0</v>
      </c>
    </row>
    <row r="110" spans="2:10" ht="15" customHeight="1">
      <c r="B110" s="214" t="str">
        <f>IF(SUM(ROWS($B$4:B110))&gt;'Mortgage Calculator'!DurationOfLoan,"",SUM(ROWS($B$4:B110)))</f>
        <v/>
      </c>
      <c r="C110" s="215" t="str">
        <f ca="1">IFERROR(DATE(YEAR('Mortgage Calculator'!LoanStart), MONTH('Mortgage Calculator'!LoanStart) +B110,DAY('Mortgage Calculator'!LoanStart)), "")</f>
        <v/>
      </c>
      <c r="D110" s="216" t="str">
        <f>IFERROR(-FV('Mortgage Calculator'!InterestRate/12,B110-1,-'Mortgage Calculator'!MonthlyLoanPayment,'Mortgage Calculator'!LoanAmount),"")</f>
        <v/>
      </c>
      <c r="E110" s="216">
        <v>322.49662013586857</v>
      </c>
      <c r="F110" s="216">
        <v>158.6917709763336</v>
      </c>
      <c r="G110" s="216">
        <f ca="1">IF(Amortization32[[#This Row],[payment
date]]="",0,'Mortgage Calculator'!PropertyTaxAmount)</f>
        <v>0</v>
      </c>
      <c r="H110" s="216">
        <f ca="1">IF(Amortization32[[#This Row],[payment
date]]="",0,Amortization32[[#This Row],[interest]]+Amortization32[[#This Row],[principal]]+Amortization32[[#This Row],[property
tax]])</f>
        <v>0</v>
      </c>
      <c r="I110" s="216">
        <f ca="1">IF(Amortization32[[#This Row],[payment
date]]="",0,Amortization32[[#This Row],[opening
balance]]-Amortization32[[#This Row],[principal]])</f>
        <v>0</v>
      </c>
      <c r="J110" s="217">
        <f ca="1">IF(Amortization32[[#This Row],[closing
balance]]&gt;0,LastRow-ROW(),0)</f>
        <v>0</v>
      </c>
    </row>
    <row r="111" spans="2:10" ht="15" customHeight="1">
      <c r="B111" s="214" t="str">
        <f>IF(SUM(ROWS($B$4:B111))&gt;'Mortgage Calculator'!DurationOfLoan,"",SUM(ROWS($B$4:B111)))</f>
        <v/>
      </c>
      <c r="C111" s="215" t="str">
        <f ca="1">IFERROR(DATE(YEAR('Mortgage Calculator'!LoanStart), MONTH('Mortgage Calculator'!LoanStart) +B111,DAY('Mortgage Calculator'!LoanStart)), "")</f>
        <v/>
      </c>
      <c r="D111" s="216" t="str">
        <f>IFERROR(-FV('Mortgage Calculator'!InterestRate/12,B111-1,-'Mortgage Calculator'!MonthlyLoanPayment,'Mortgage Calculator'!LoanAmount),"")</f>
        <v/>
      </c>
      <c r="E111" s="216">
        <v>321.16316844919237</v>
      </c>
      <c r="F111" s="216">
        <v>160.01420240113646</v>
      </c>
      <c r="G111" s="216">
        <f ca="1">IF(Amortization32[[#This Row],[payment
date]]="",0,'Mortgage Calculator'!PropertyTaxAmount)</f>
        <v>0</v>
      </c>
      <c r="H111" s="216">
        <f ca="1">IF(Amortization32[[#This Row],[payment
date]]="",0,Amortization32[[#This Row],[interest]]+Amortization32[[#This Row],[principal]]+Amortization32[[#This Row],[property
tax]])</f>
        <v>0</v>
      </c>
      <c r="I111" s="216">
        <f ca="1">IF(Amortization32[[#This Row],[payment
date]]="",0,Amortization32[[#This Row],[opening
balance]]-Amortization32[[#This Row],[principal]])</f>
        <v>0</v>
      </c>
      <c r="J111" s="217">
        <f ca="1">IF(Amortization32[[#This Row],[closing
balance]]&gt;0,LastRow-ROW(),0)</f>
        <v>0</v>
      </c>
    </row>
    <row r="112" spans="2:10" ht="15" customHeight="1">
      <c r="B112" s="214" t="str">
        <f>IF(SUM(ROWS($B$4:B112))&gt;'Mortgage Calculator'!DurationOfLoan,"",SUM(ROWS($B$4:B112)))</f>
        <v/>
      </c>
      <c r="C112" s="215" t="str">
        <f ca="1">IFERROR(DATE(YEAR('Mortgage Calculator'!LoanStart), MONTH('Mortgage Calculator'!LoanStart) +B112,DAY('Mortgage Calculator'!LoanStart)), "")</f>
        <v/>
      </c>
      <c r="D112" s="216" t="str">
        <f>IFERROR(-FV('Mortgage Calculator'!InterestRate/12,B112-1,-'Mortgage Calculator'!MonthlyLoanPayment,'Mortgage Calculator'!LoanAmount),"")</f>
        <v/>
      </c>
      <c r="E112" s="216">
        <v>319.81860466512734</v>
      </c>
      <c r="F112" s="216">
        <v>161.34765408781251</v>
      </c>
      <c r="G112" s="216">
        <f ca="1">IF(Amortization32[[#This Row],[payment
date]]="",0,'Mortgage Calculator'!PropertyTaxAmount)</f>
        <v>0</v>
      </c>
      <c r="H112" s="216">
        <f ca="1">IF(Amortization32[[#This Row],[payment
date]]="",0,Amortization32[[#This Row],[interest]]+Amortization32[[#This Row],[principal]]+Amortization32[[#This Row],[property
tax]])</f>
        <v>0</v>
      </c>
      <c r="I112" s="216">
        <f ca="1">IF(Amortization32[[#This Row],[payment
date]]="",0,Amortization32[[#This Row],[opening
balance]]-Amortization32[[#This Row],[principal]])</f>
        <v>0</v>
      </c>
      <c r="J112" s="217">
        <f ca="1">IF(Amortization32[[#This Row],[closing
balance]]&gt;0,LastRow-ROW(),0)</f>
        <v>0</v>
      </c>
    </row>
    <row r="113" spans="2:10" ht="15" customHeight="1">
      <c r="B113" s="214" t="str">
        <f>IF(SUM(ROWS($B$4:B113))&gt;'Mortgage Calculator'!DurationOfLoan,"",SUM(ROWS($B$4:B113)))</f>
        <v/>
      </c>
      <c r="C113" s="215" t="str">
        <f ca="1">IFERROR(DATE(YEAR('Mortgage Calculator'!LoanStart), MONTH('Mortgage Calculator'!LoanStart) +B113,DAY('Mortgage Calculator'!LoanStart)), "")</f>
        <v/>
      </c>
      <c r="D113" s="216" t="str">
        <f>IFERROR(-FV('Mortgage Calculator'!InterestRate/12,B113-1,-'Mortgage Calculator'!MonthlyLoanPayment,'Mortgage Calculator'!LoanAmount),"")</f>
        <v/>
      </c>
      <c r="E113" s="216">
        <v>318.46283618286168</v>
      </c>
      <c r="F113" s="216">
        <v>162.69221787187766</v>
      </c>
      <c r="G113" s="216">
        <f ca="1">IF(Amortization32[[#This Row],[payment
date]]="",0,'Mortgage Calculator'!PropertyTaxAmount)</f>
        <v>0</v>
      </c>
      <c r="H113" s="216">
        <f ca="1">IF(Amortization32[[#This Row],[payment
date]]="",0,Amortization32[[#This Row],[interest]]+Amortization32[[#This Row],[principal]]+Amortization32[[#This Row],[property
tax]])</f>
        <v>0</v>
      </c>
      <c r="I113" s="216">
        <f ca="1">IF(Amortization32[[#This Row],[payment
date]]="",0,Amortization32[[#This Row],[opening
balance]]-Amortization32[[#This Row],[principal]])</f>
        <v>0</v>
      </c>
      <c r="J113" s="217">
        <f ca="1">IF(Amortization32[[#This Row],[closing
balance]]&gt;0,LastRow-ROW(),0)</f>
        <v>0</v>
      </c>
    </row>
    <row r="114" spans="2:10" ht="15" customHeight="1">
      <c r="B114" s="214" t="str">
        <f>IF(SUM(ROWS($B$4:B114))&gt;'Mortgage Calculator'!DurationOfLoan,"",SUM(ROWS($B$4:B114)))</f>
        <v/>
      </c>
      <c r="C114" s="215" t="str">
        <f ca="1">IFERROR(DATE(YEAR('Mortgage Calculator'!LoanStart), MONTH('Mortgage Calculator'!LoanStart) +B114,DAY('Mortgage Calculator'!LoanStart)), "")</f>
        <v/>
      </c>
      <c r="D114" s="216" t="str">
        <f>IFERROR(-FV('Mortgage Calculator'!InterestRate/12,B114-1,-'Mortgage Calculator'!MonthlyLoanPayment,'Mortgage Calculator'!LoanAmount),"")</f>
        <v/>
      </c>
      <c r="E114" s="216">
        <v>317.09576962991048</v>
      </c>
      <c r="F114" s="216">
        <v>164.04798635414329</v>
      </c>
      <c r="G114" s="216">
        <f ca="1">IF(Amortization32[[#This Row],[payment
date]]="",0,'Mortgage Calculator'!PropertyTaxAmount)</f>
        <v>0</v>
      </c>
      <c r="H114" s="216">
        <f ca="1">IF(Amortization32[[#This Row],[payment
date]]="",0,Amortization32[[#This Row],[interest]]+Amortization32[[#This Row],[principal]]+Amortization32[[#This Row],[property
tax]])</f>
        <v>0</v>
      </c>
      <c r="I114" s="216">
        <f ca="1">IF(Amortization32[[#This Row],[payment
date]]="",0,Amortization32[[#This Row],[opening
balance]]-Amortization32[[#This Row],[principal]])</f>
        <v>0</v>
      </c>
      <c r="J114" s="217">
        <f ca="1">IF(Amortization32[[#This Row],[closing
balance]]&gt;0,LastRow-ROW(),0)</f>
        <v>0</v>
      </c>
    </row>
    <row r="115" spans="2:10" ht="15" customHeight="1">
      <c r="B115" s="214" t="str">
        <f>IF(SUM(ROWS($B$4:B115))&gt;'Mortgage Calculator'!DurationOfLoan,"",SUM(ROWS($B$4:B115)))</f>
        <v/>
      </c>
      <c r="C115" s="215" t="str">
        <f ca="1">IFERROR(DATE(YEAR('Mortgage Calculator'!LoanStart), MONTH('Mortgage Calculator'!LoanStart) +B115,DAY('Mortgage Calculator'!LoanStart)), "")</f>
        <v/>
      </c>
      <c r="D115" s="216" t="str">
        <f>IFERROR(-FV('Mortgage Calculator'!InterestRate/12,B115-1,-'Mortgage Calculator'!MonthlyLoanPayment,'Mortgage Calculator'!LoanAmount),"")</f>
        <v/>
      </c>
      <c r="E115" s="216">
        <v>315.71731085568462</v>
      </c>
      <c r="F115" s="216">
        <v>165.41505290709446</v>
      </c>
      <c r="G115" s="216">
        <f ca="1">IF(Amortization32[[#This Row],[payment
date]]="",0,'Mortgage Calculator'!PropertyTaxAmount)</f>
        <v>0</v>
      </c>
      <c r="H115" s="216">
        <f ca="1">IF(Amortization32[[#This Row],[payment
date]]="",0,Amortization32[[#This Row],[interest]]+Amortization32[[#This Row],[principal]]+Amortization32[[#This Row],[property
tax]])</f>
        <v>0</v>
      </c>
      <c r="I115" s="216">
        <f ca="1">IF(Amortization32[[#This Row],[payment
date]]="",0,Amortization32[[#This Row],[opening
balance]]-Amortization32[[#This Row],[principal]])</f>
        <v>0</v>
      </c>
      <c r="J115" s="217">
        <f ca="1">IF(Amortization32[[#This Row],[closing
balance]]&gt;0,LastRow-ROW(),0)</f>
        <v>0</v>
      </c>
    </row>
    <row r="116" spans="2:10" ht="15" customHeight="1">
      <c r="B116" s="214" t="str">
        <f>IF(SUM(ROWS($B$4:B116))&gt;'Mortgage Calculator'!DurationOfLoan,"",SUM(ROWS($B$4:B116)))</f>
        <v/>
      </c>
      <c r="C116" s="215" t="str">
        <f ca="1">IFERROR(DATE(YEAR('Mortgage Calculator'!LoanStart), MONTH('Mortgage Calculator'!LoanStart) +B116,DAY('Mortgage Calculator'!LoanStart)), "")</f>
        <v/>
      </c>
      <c r="D116" s="216" t="str">
        <f>IFERROR(-FV('Mortgage Calculator'!InterestRate/12,B116-1,-'Mortgage Calculator'!MonthlyLoanPayment,'Mortgage Calculator'!LoanAmount),"")</f>
        <v/>
      </c>
      <c r="E116" s="216">
        <v>314.32736492500698</v>
      </c>
      <c r="F116" s="216">
        <v>166.79351168132024</v>
      </c>
      <c r="G116" s="216">
        <f ca="1">IF(Amortization32[[#This Row],[payment
date]]="",0,'Mortgage Calculator'!PropertyTaxAmount)</f>
        <v>0</v>
      </c>
      <c r="H116" s="216">
        <f ca="1">IF(Amortization32[[#This Row],[payment
date]]="",0,Amortization32[[#This Row],[interest]]+Amortization32[[#This Row],[principal]]+Amortization32[[#This Row],[property
tax]])</f>
        <v>0</v>
      </c>
      <c r="I116" s="216">
        <f ca="1">IF(Amortization32[[#This Row],[payment
date]]="",0,Amortization32[[#This Row],[opening
balance]]-Amortization32[[#This Row],[principal]])</f>
        <v>0</v>
      </c>
      <c r="J116" s="217">
        <f ca="1">IF(Amortization32[[#This Row],[closing
balance]]&gt;0,LastRow-ROW(),0)</f>
        <v>0</v>
      </c>
    </row>
    <row r="117" spans="2:10" ht="15" customHeight="1">
      <c r="B117" s="214" t="str">
        <f>IF(SUM(ROWS($B$4:B117))&gt;'Mortgage Calculator'!DurationOfLoan,"",SUM(ROWS($B$4:B117)))</f>
        <v/>
      </c>
      <c r="C117" s="215" t="str">
        <f ca="1">IFERROR(DATE(YEAR('Mortgage Calculator'!LoanStart), MONTH('Mortgage Calculator'!LoanStart) +B117,DAY('Mortgage Calculator'!LoanStart)), "")</f>
        <v/>
      </c>
      <c r="D117" s="216" t="str">
        <f>IFERROR(-FV('Mortgage Calculator'!InterestRate/12,B117-1,-'Mortgage Calculator'!MonthlyLoanPayment,'Mortgage Calculator'!LoanAmount),"")</f>
        <v/>
      </c>
      <c r="E117" s="216">
        <v>312.92583611157374</v>
      </c>
      <c r="F117" s="216">
        <v>168.18345761199791</v>
      </c>
      <c r="G117" s="216">
        <f ca="1">IF(Amortization32[[#This Row],[payment
date]]="",0,'Mortgage Calculator'!PropertyTaxAmount)</f>
        <v>0</v>
      </c>
      <c r="H117" s="216">
        <f ca="1">IF(Amortization32[[#This Row],[payment
date]]="",0,Amortization32[[#This Row],[interest]]+Amortization32[[#This Row],[principal]]+Amortization32[[#This Row],[property
tax]])</f>
        <v>0</v>
      </c>
      <c r="I117" s="216">
        <f ca="1">IF(Amortization32[[#This Row],[payment
date]]="",0,Amortization32[[#This Row],[opening
balance]]-Amortization32[[#This Row],[principal]])</f>
        <v>0</v>
      </c>
      <c r="J117" s="217">
        <f ca="1">IF(Amortization32[[#This Row],[closing
balance]]&gt;0,LastRow-ROW(),0)</f>
        <v>0</v>
      </c>
    </row>
    <row r="118" spans="2:10" ht="15" customHeight="1">
      <c r="B118" s="214" t="str">
        <f>IF(SUM(ROWS($B$4:B118))&gt;'Mortgage Calculator'!DurationOfLoan,"",SUM(ROWS($B$4:B118)))</f>
        <v/>
      </c>
      <c r="C118" s="215" t="str">
        <f ca="1">IFERROR(DATE(YEAR('Mortgage Calculator'!LoanStart), MONTH('Mortgage Calculator'!LoanStart) +B118,DAY('Mortgage Calculator'!LoanStart)), "")</f>
        <v/>
      </c>
      <c r="D118" s="216" t="str">
        <f>IFERROR(-FV('Mortgage Calculator'!InterestRate/12,B118-1,-'Mortgage Calculator'!MonthlyLoanPayment,'Mortgage Calculator'!LoanAmount),"")</f>
        <v/>
      </c>
      <c r="E118" s="216">
        <v>311.51262789136189</v>
      </c>
      <c r="F118" s="216">
        <v>169.58498642543128</v>
      </c>
      <c r="G118" s="216">
        <f ca="1">IF(Amortization32[[#This Row],[payment
date]]="",0,'Mortgage Calculator'!PropertyTaxAmount)</f>
        <v>0</v>
      </c>
      <c r="H118" s="216">
        <f ca="1">IF(Amortization32[[#This Row],[payment
date]]="",0,Amortization32[[#This Row],[interest]]+Amortization32[[#This Row],[principal]]+Amortization32[[#This Row],[property
tax]])</f>
        <v>0</v>
      </c>
      <c r="I118" s="216">
        <f ca="1">IF(Amortization32[[#This Row],[payment
date]]="",0,Amortization32[[#This Row],[opening
balance]]-Amortization32[[#This Row],[principal]])</f>
        <v>0</v>
      </c>
      <c r="J118" s="217">
        <f ca="1">IF(Amortization32[[#This Row],[closing
balance]]&gt;0,LastRow-ROW(),0)</f>
        <v>0</v>
      </c>
    </row>
    <row r="119" spans="2:10" ht="15" customHeight="1">
      <c r="B119" s="214" t="str">
        <f>IF(SUM(ROWS($B$4:B119))&gt;'Mortgage Calculator'!DurationOfLoan,"",SUM(ROWS($B$4:B119)))</f>
        <v/>
      </c>
      <c r="C119" s="215" t="str">
        <f ca="1">IFERROR(DATE(YEAR('Mortgage Calculator'!LoanStart), MONTH('Mortgage Calculator'!LoanStart) +B119,DAY('Mortgage Calculator'!LoanStart)), "")</f>
        <v/>
      </c>
      <c r="D119" s="216" t="str">
        <f>IFERROR(-FV('Mortgage Calculator'!InterestRate/12,B119-1,-'Mortgage Calculator'!MonthlyLoanPayment,'Mortgage Calculator'!LoanAmount),"")</f>
        <v/>
      </c>
      <c r="E119" s="216">
        <v>310.08764293598142</v>
      </c>
      <c r="F119" s="216">
        <v>170.99819464564325</v>
      </c>
      <c r="G119" s="216">
        <f ca="1">IF(Amortization32[[#This Row],[payment
date]]="",0,'Mortgage Calculator'!PropertyTaxAmount)</f>
        <v>0</v>
      </c>
      <c r="H119" s="216">
        <f ca="1">IF(Amortization32[[#This Row],[payment
date]]="",0,Amortization32[[#This Row],[interest]]+Amortization32[[#This Row],[principal]]+Amortization32[[#This Row],[property
tax]])</f>
        <v>0</v>
      </c>
      <c r="I119" s="216">
        <f ca="1">IF(Amortization32[[#This Row],[payment
date]]="",0,Amortization32[[#This Row],[opening
balance]]-Amortization32[[#This Row],[principal]])</f>
        <v>0</v>
      </c>
      <c r="J119" s="217">
        <f ca="1">IF(Amortization32[[#This Row],[closing
balance]]&gt;0,LastRow-ROW(),0)</f>
        <v>0</v>
      </c>
    </row>
    <row r="120" spans="2:10" ht="15" customHeight="1">
      <c r="B120" s="214" t="str">
        <f>IF(SUM(ROWS($B$4:B120))&gt;'Mortgage Calculator'!DurationOfLoan,"",SUM(ROWS($B$4:B120)))</f>
        <v/>
      </c>
      <c r="C120" s="215" t="str">
        <f ca="1">IFERROR(DATE(YEAR('Mortgage Calculator'!LoanStart), MONTH('Mortgage Calculator'!LoanStart) +B120,DAY('Mortgage Calculator'!LoanStart)), "")</f>
        <v/>
      </c>
      <c r="D120" s="216" t="str">
        <f>IFERROR(-FV('Mortgage Calculator'!InterestRate/12,B120-1,-'Mortgage Calculator'!MonthlyLoanPayment,'Mortgage Calculator'!LoanAmount),"")</f>
        <v/>
      </c>
      <c r="E120" s="216">
        <v>308.65078310597295</v>
      </c>
      <c r="F120" s="216">
        <v>172.42317960102355</v>
      </c>
      <c r="G120" s="216">
        <f ca="1">IF(Amortization32[[#This Row],[payment
date]]="",0,'Mortgage Calculator'!PropertyTaxAmount)</f>
        <v>0</v>
      </c>
      <c r="H120" s="216">
        <f ca="1">IF(Amortization32[[#This Row],[payment
date]]="",0,Amortization32[[#This Row],[interest]]+Amortization32[[#This Row],[principal]]+Amortization32[[#This Row],[property
tax]])</f>
        <v>0</v>
      </c>
      <c r="I120" s="216">
        <f ca="1">IF(Amortization32[[#This Row],[payment
date]]="",0,Amortization32[[#This Row],[opening
balance]]-Amortization32[[#This Row],[principal]])</f>
        <v>0</v>
      </c>
      <c r="J120" s="217">
        <f ca="1">IF(Amortization32[[#This Row],[closing
balance]]&gt;0,LastRow-ROW(),0)</f>
        <v>0</v>
      </c>
    </row>
    <row r="121" spans="2:10" ht="15" customHeight="1">
      <c r="B121" s="214" t="str">
        <f>IF(SUM(ROWS($B$4:B121))&gt;'Mortgage Calculator'!DurationOfLoan,"",SUM(ROWS($B$4:B121)))</f>
        <v/>
      </c>
      <c r="C121" s="215" t="str">
        <f ca="1">IFERROR(DATE(YEAR('Mortgage Calculator'!LoanStart), MONTH('Mortgage Calculator'!LoanStart) +B121,DAY('Mortgage Calculator'!LoanStart)), "")</f>
        <v/>
      </c>
      <c r="D121" s="216" t="str">
        <f>IFERROR(-FV('Mortgage Calculator'!InterestRate/12,B121-1,-'Mortgage Calculator'!MonthlyLoanPayment,'Mortgage Calculator'!LoanAmount),"")</f>
        <v/>
      </c>
      <c r="E121" s="216">
        <v>307.20194944404778</v>
      </c>
      <c r="F121" s="216">
        <v>173.86003943103208</v>
      </c>
      <c r="G121" s="216">
        <f ca="1">IF(Amortization32[[#This Row],[payment
date]]="",0,'Mortgage Calculator'!PropertyTaxAmount)</f>
        <v>0</v>
      </c>
      <c r="H121" s="216">
        <f ca="1">IF(Amortization32[[#This Row],[payment
date]]="",0,Amortization32[[#This Row],[interest]]+Amortization32[[#This Row],[principal]]+Amortization32[[#This Row],[property
tax]])</f>
        <v>0</v>
      </c>
      <c r="I121" s="216">
        <f ca="1">IF(Amortization32[[#This Row],[payment
date]]="",0,Amortization32[[#This Row],[opening
balance]]-Amortization32[[#This Row],[principal]])</f>
        <v>0</v>
      </c>
      <c r="J121" s="217">
        <f ca="1">IF(Amortization32[[#This Row],[closing
balance]]&gt;0,LastRow-ROW(),0)</f>
        <v>0</v>
      </c>
    </row>
    <row r="122" spans="2:10" ht="15" customHeight="1">
      <c r="B122" s="214" t="str">
        <f>IF(SUM(ROWS($B$4:B122))&gt;'Mortgage Calculator'!DurationOfLoan,"",SUM(ROWS($B$4:B122)))</f>
        <v/>
      </c>
      <c r="C122" s="215" t="str">
        <f ca="1">IFERROR(DATE(YEAR('Mortgage Calculator'!LoanStart), MONTH('Mortgage Calculator'!LoanStart) +B122,DAY('Mortgage Calculator'!LoanStart)), "")</f>
        <v/>
      </c>
      <c r="D122" s="216" t="str">
        <f>IFERROR(-FV('Mortgage Calculator'!InterestRate/12,B122-1,-'Mortgage Calculator'!MonthlyLoanPayment,'Mortgage Calculator'!LoanAmount),"")</f>
        <v/>
      </c>
      <c r="E122" s="216">
        <v>305.74104216827317</v>
      </c>
      <c r="F122" s="216">
        <v>175.30887309295744</v>
      </c>
      <c r="G122" s="216">
        <f ca="1">IF(Amortization32[[#This Row],[payment
date]]="",0,'Mortgage Calculator'!PropertyTaxAmount)</f>
        <v>0</v>
      </c>
      <c r="H122" s="216">
        <f ca="1">IF(Amortization32[[#This Row],[payment
date]]="",0,Amortization32[[#This Row],[interest]]+Amortization32[[#This Row],[principal]]+Amortization32[[#This Row],[property
tax]])</f>
        <v>0</v>
      </c>
      <c r="I122" s="216">
        <f ca="1">IF(Amortization32[[#This Row],[payment
date]]="",0,Amortization32[[#This Row],[opening
balance]]-Amortization32[[#This Row],[principal]])</f>
        <v>0</v>
      </c>
      <c r="J122" s="217">
        <f ca="1">IF(Amortization32[[#This Row],[closing
balance]]&gt;0,LastRow-ROW(),0)</f>
        <v>0</v>
      </c>
    </row>
    <row r="123" spans="2:10" ht="15" customHeight="1">
      <c r="B123" s="214" t="str">
        <f>IF(SUM(ROWS($B$4:B123))&gt;'Mortgage Calculator'!DurationOfLoan,"",SUM(ROWS($B$4:B123)))</f>
        <v/>
      </c>
      <c r="C123" s="215" t="str">
        <f ca="1">IFERROR(DATE(YEAR('Mortgage Calculator'!LoanStart), MONTH('Mortgage Calculator'!LoanStart) +B123,DAY('Mortgage Calculator'!LoanStart)), "")</f>
        <v/>
      </c>
      <c r="D123" s="216" t="str">
        <f>IFERROR(-FV('Mortgage Calculator'!InterestRate/12,B123-1,-'Mortgage Calculator'!MonthlyLoanPayment,'Mortgage Calculator'!LoanAmount),"")</f>
        <v/>
      </c>
      <c r="E123" s="216">
        <v>304.26796066520035</v>
      </c>
      <c r="F123" s="216">
        <v>176.76978036873206</v>
      </c>
      <c r="G123" s="216">
        <f ca="1">IF(Amortization32[[#This Row],[payment
date]]="",0,'Mortgage Calculator'!PropertyTaxAmount)</f>
        <v>0</v>
      </c>
      <c r="H123" s="216">
        <f ca="1">IF(Amortization32[[#This Row],[payment
date]]="",0,Amortization32[[#This Row],[interest]]+Amortization32[[#This Row],[principal]]+Amortization32[[#This Row],[property
tax]])</f>
        <v>0</v>
      </c>
      <c r="I123" s="216">
        <f ca="1">IF(Amortization32[[#This Row],[payment
date]]="",0,Amortization32[[#This Row],[opening
balance]]-Amortization32[[#This Row],[principal]])</f>
        <v>0</v>
      </c>
      <c r="J123" s="217">
        <f ca="1">IF(Amortization32[[#This Row],[closing
balance]]&gt;0,LastRow-ROW(),0)</f>
        <v>0</v>
      </c>
    </row>
    <row r="124" spans="2:10" ht="15" customHeight="1">
      <c r="B124" s="214" t="str">
        <f>IF(SUM(ROWS($B$4:B124))&gt;'Mortgage Calculator'!DurationOfLoan,"",SUM(ROWS($B$4:B124)))</f>
        <v/>
      </c>
      <c r="C124" s="215" t="str">
        <f ca="1">IFERROR(DATE(YEAR('Mortgage Calculator'!LoanStart), MONTH('Mortgage Calculator'!LoanStart) +B124,DAY('Mortgage Calculator'!LoanStart)), "")</f>
        <v/>
      </c>
      <c r="D124" s="216" t="str">
        <f>IFERROR(-FV('Mortgage Calculator'!InterestRate/12,B124-1,-'Mortgage Calculator'!MonthlyLoanPayment,'Mortgage Calculator'!LoanAmount),"")</f>
        <v/>
      </c>
      <c r="E124" s="216">
        <v>302.78260348293537</v>
      </c>
      <c r="F124" s="216">
        <v>178.24286187180485</v>
      </c>
      <c r="G124" s="216">
        <f ca="1">IF(Amortization32[[#This Row],[payment
date]]="",0,'Mortgage Calculator'!PropertyTaxAmount)</f>
        <v>0</v>
      </c>
      <c r="H124" s="216">
        <f ca="1">IF(Amortization32[[#This Row],[payment
date]]="",0,Amortization32[[#This Row],[interest]]+Amortization32[[#This Row],[principal]]+Amortization32[[#This Row],[property
tax]])</f>
        <v>0</v>
      </c>
      <c r="I124" s="216">
        <f ca="1">IF(Amortization32[[#This Row],[payment
date]]="",0,Amortization32[[#This Row],[opening
balance]]-Amortization32[[#This Row],[principal]])</f>
        <v>0</v>
      </c>
      <c r="J124" s="217">
        <f ca="1">IF(Amortization32[[#This Row],[closing
balance]]&gt;0,LastRow-ROW(),0)</f>
        <v>0</v>
      </c>
    </row>
    <row r="125" spans="2:10" ht="15" customHeight="1">
      <c r="B125" s="214" t="str">
        <f>IF(SUM(ROWS($B$4:B125))&gt;'Mortgage Calculator'!DurationOfLoan,"",SUM(ROWS($B$4:B125)))</f>
        <v/>
      </c>
      <c r="C125" s="215" t="str">
        <f ca="1">IFERROR(DATE(YEAR('Mortgage Calculator'!LoanStart), MONTH('Mortgage Calculator'!LoanStart) +B125,DAY('Mortgage Calculator'!LoanStart)), "")</f>
        <v/>
      </c>
      <c r="D125" s="216" t="str">
        <f>IFERROR(-FV('Mortgage Calculator'!InterestRate/12,B125-1,-'Mortgage Calculator'!MonthlyLoanPayment,'Mortgage Calculator'!LoanAmount),"")</f>
        <v/>
      </c>
      <c r="E125" s="216">
        <v>301.28486832415149</v>
      </c>
      <c r="F125" s="216">
        <v>179.72821905406997</v>
      </c>
      <c r="G125" s="216">
        <f ca="1">IF(Amortization32[[#This Row],[payment
date]]="",0,'Mortgage Calculator'!PropertyTaxAmount)</f>
        <v>0</v>
      </c>
      <c r="H125" s="216">
        <f ca="1">IF(Amortization32[[#This Row],[payment
date]]="",0,Amortization32[[#This Row],[interest]]+Amortization32[[#This Row],[principal]]+Amortization32[[#This Row],[property
tax]])</f>
        <v>0</v>
      </c>
      <c r="I125" s="216">
        <f ca="1">IF(Amortization32[[#This Row],[payment
date]]="",0,Amortization32[[#This Row],[opening
balance]]-Amortization32[[#This Row],[principal]])</f>
        <v>0</v>
      </c>
      <c r="J125" s="217">
        <f ca="1">IF(Amortization32[[#This Row],[closing
balance]]&gt;0,LastRow-ROW(),0)</f>
        <v>0</v>
      </c>
    </row>
    <row r="126" spans="2:10" ht="15" customHeight="1">
      <c r="B126" s="214" t="str">
        <f>IF(SUM(ROWS($B$4:B126))&gt;'Mortgage Calculator'!DurationOfLoan,"",SUM(ROWS($B$4:B126)))</f>
        <v/>
      </c>
      <c r="C126" s="215" t="str">
        <f ca="1">IFERROR(DATE(YEAR('Mortgage Calculator'!LoanStart), MONTH('Mortgage Calculator'!LoanStart) +B126,DAY('Mortgage Calculator'!LoanStart)), "")</f>
        <v/>
      </c>
      <c r="D126" s="216" t="str">
        <f>IFERROR(-FV('Mortgage Calculator'!InterestRate/12,B126-1,-'Mortgage Calculator'!MonthlyLoanPayment,'Mortgage Calculator'!LoanAmount),"")</f>
        <v/>
      </c>
      <c r="E126" s="216">
        <v>299.77465203904444</v>
      </c>
      <c r="F126" s="216">
        <v>181.22595421285382</v>
      </c>
      <c r="G126" s="216">
        <f ca="1">IF(Amortization32[[#This Row],[payment
date]]="",0,'Mortgage Calculator'!PropertyTaxAmount)</f>
        <v>0</v>
      </c>
      <c r="H126" s="216">
        <f ca="1">IF(Amortization32[[#This Row],[payment
date]]="",0,Amortization32[[#This Row],[interest]]+Amortization32[[#This Row],[principal]]+Amortization32[[#This Row],[property
tax]])</f>
        <v>0</v>
      </c>
      <c r="I126" s="216">
        <f ca="1">IF(Amortization32[[#This Row],[payment
date]]="",0,Amortization32[[#This Row],[opening
balance]]-Amortization32[[#This Row],[principal]])</f>
        <v>0</v>
      </c>
      <c r="J126" s="217">
        <f ca="1">IF(Amortization32[[#This Row],[closing
balance]]&gt;0,LastRow-ROW(),0)</f>
        <v>0</v>
      </c>
    </row>
    <row r="127" spans="2:10" ht="15" customHeight="1">
      <c r="B127" s="214" t="str">
        <f>IF(SUM(ROWS($B$4:B127))&gt;'Mortgage Calculator'!DurationOfLoan,"",SUM(ROWS($B$4:B127)))</f>
        <v/>
      </c>
      <c r="C127" s="215" t="str">
        <f ca="1">IFERROR(DATE(YEAR('Mortgage Calculator'!LoanStart), MONTH('Mortgage Calculator'!LoanStart) +B127,DAY('Mortgage Calculator'!LoanStart)), "")</f>
        <v/>
      </c>
      <c r="D127" s="216" t="str">
        <f>IFERROR(-FV('Mortgage Calculator'!InterestRate/12,B127-1,-'Mortgage Calculator'!MonthlyLoanPayment,'Mortgage Calculator'!LoanAmount),"")</f>
        <v/>
      </c>
      <c r="E127" s="216">
        <v>298.25185061822799</v>
      </c>
      <c r="F127" s="216">
        <v>182.73617049796098</v>
      </c>
      <c r="G127" s="216">
        <f ca="1">IF(Amortization32[[#This Row],[payment
date]]="",0,'Mortgage Calculator'!PropertyTaxAmount)</f>
        <v>0</v>
      </c>
      <c r="H127" s="216">
        <f ca="1">IF(Amortization32[[#This Row],[payment
date]]="",0,Amortization32[[#This Row],[interest]]+Amortization32[[#This Row],[principal]]+Amortization32[[#This Row],[property
tax]])</f>
        <v>0</v>
      </c>
      <c r="I127" s="216">
        <f ca="1">IF(Amortization32[[#This Row],[payment
date]]="",0,Amortization32[[#This Row],[opening
balance]]-Amortization32[[#This Row],[principal]])</f>
        <v>0</v>
      </c>
      <c r="J127" s="217">
        <f ca="1">IF(Amortization32[[#This Row],[closing
balance]]&gt;0,LastRow-ROW(),0)</f>
        <v>0</v>
      </c>
    </row>
    <row r="128" spans="2:10" ht="15" customHeight="1">
      <c r="B128" s="214" t="str">
        <f>IF(SUM(ROWS($B$4:B128))&gt;'Mortgage Calculator'!DurationOfLoan,"",SUM(ROWS($B$4:B128)))</f>
        <v/>
      </c>
      <c r="C128" s="215" t="str">
        <f ca="1">IFERROR(DATE(YEAR('Mortgage Calculator'!LoanStart), MONTH('Mortgage Calculator'!LoanStart) +B128,DAY('Mortgage Calculator'!LoanStart)), "")</f>
        <v/>
      </c>
      <c r="D128" s="216" t="str">
        <f>IFERROR(-FV('Mortgage Calculator'!InterestRate/12,B128-1,-'Mortgage Calculator'!MonthlyLoanPayment,'Mortgage Calculator'!LoanAmount),"")</f>
        <v/>
      </c>
      <c r="E128" s="216">
        <v>296.7163591855716</v>
      </c>
      <c r="F128" s="216">
        <v>184.25897191877729</v>
      </c>
      <c r="G128" s="216">
        <f ca="1">IF(Amortization32[[#This Row],[payment
date]]="",0,'Mortgage Calculator'!PropertyTaxAmount)</f>
        <v>0</v>
      </c>
      <c r="H128" s="216">
        <f ca="1">IF(Amortization32[[#This Row],[payment
date]]="",0,Amortization32[[#This Row],[interest]]+Amortization32[[#This Row],[principal]]+Amortization32[[#This Row],[property
tax]])</f>
        <v>0</v>
      </c>
      <c r="I128" s="216">
        <f ca="1">IF(Amortization32[[#This Row],[payment
date]]="",0,Amortization32[[#This Row],[opening
balance]]-Amortization32[[#This Row],[principal]])</f>
        <v>0</v>
      </c>
      <c r="J128" s="217">
        <f ca="1">IF(Amortization32[[#This Row],[closing
balance]]&gt;0,LastRow-ROW(),0)</f>
        <v>0</v>
      </c>
    </row>
    <row r="129" spans="2:10" ht="15" customHeight="1">
      <c r="B129" s="214" t="str">
        <f>IF(SUM(ROWS($B$4:B129))&gt;'Mortgage Calculator'!DurationOfLoan,"",SUM(ROWS($B$4:B129)))</f>
        <v/>
      </c>
      <c r="C129" s="215" t="str">
        <f ca="1">IFERROR(DATE(YEAR('Mortgage Calculator'!LoanStart), MONTH('Mortgage Calculator'!LoanStart) +B129,DAY('Mortgage Calculator'!LoanStart)), "")</f>
        <v/>
      </c>
      <c r="D129" s="216" t="str">
        <f>IFERROR(-FV('Mortgage Calculator'!InterestRate/12,B129-1,-'Mortgage Calculator'!MonthlyLoanPayment,'Mortgage Calculator'!LoanAmount),"")</f>
        <v/>
      </c>
      <c r="E129" s="216">
        <v>295.16807199097627</v>
      </c>
      <c r="F129" s="216">
        <v>185.79446335143382</v>
      </c>
      <c r="G129" s="216">
        <f ca="1">IF(Amortization32[[#This Row],[payment
date]]="",0,'Mortgage Calculator'!PropertyTaxAmount)</f>
        <v>0</v>
      </c>
      <c r="H129" s="216">
        <f ca="1">IF(Amortization32[[#This Row],[payment
date]]="",0,Amortization32[[#This Row],[interest]]+Amortization32[[#This Row],[principal]]+Amortization32[[#This Row],[property
tax]])</f>
        <v>0</v>
      </c>
      <c r="I129" s="216">
        <f ca="1">IF(Amortization32[[#This Row],[payment
date]]="",0,Amortization32[[#This Row],[opening
balance]]-Amortization32[[#This Row],[principal]])</f>
        <v>0</v>
      </c>
      <c r="J129" s="217">
        <f ca="1">IF(Amortization32[[#This Row],[closing
balance]]&gt;0,LastRow-ROW(),0)</f>
        <v>0</v>
      </c>
    </row>
    <row r="130" spans="2:10" ht="15" customHeight="1">
      <c r="B130" s="214" t="str">
        <f>IF(SUM(ROWS($B$4:B130))&gt;'Mortgage Calculator'!DurationOfLoan,"",SUM(ROWS($B$4:B130)))</f>
        <v/>
      </c>
      <c r="C130" s="215" t="str">
        <f ca="1">IFERROR(DATE(YEAR('Mortgage Calculator'!LoanStart), MONTH('Mortgage Calculator'!LoanStart) +B130,DAY('Mortgage Calculator'!LoanStart)), "")</f>
        <v/>
      </c>
      <c r="D130" s="216" t="str">
        <f>IFERROR(-FV('Mortgage Calculator'!InterestRate/12,B130-1,-'Mortgage Calculator'!MonthlyLoanPayment,'Mortgage Calculator'!LoanAmount),"")</f>
        <v/>
      </c>
      <c r="E130" s="216">
        <v>293.60688240309281</v>
      </c>
      <c r="F130" s="216">
        <v>187.34275054602907</v>
      </c>
      <c r="G130" s="216">
        <f ca="1">IF(Amortization32[[#This Row],[payment
date]]="",0,'Mortgage Calculator'!PropertyTaxAmount)</f>
        <v>0</v>
      </c>
      <c r="H130" s="216">
        <f ca="1">IF(Amortization32[[#This Row],[payment
date]]="",0,Amortization32[[#This Row],[interest]]+Amortization32[[#This Row],[principal]]+Amortization32[[#This Row],[property
tax]])</f>
        <v>0</v>
      </c>
      <c r="I130" s="216">
        <f ca="1">IF(Amortization32[[#This Row],[payment
date]]="",0,Amortization32[[#This Row],[opening
balance]]-Amortization32[[#This Row],[principal]])</f>
        <v>0</v>
      </c>
      <c r="J130" s="217">
        <f ca="1">IF(Amortization32[[#This Row],[closing
balance]]&gt;0,LastRow-ROW(),0)</f>
        <v>0</v>
      </c>
    </row>
    <row r="131" spans="2:10" ht="15" customHeight="1">
      <c r="B131" s="214" t="str">
        <f>IF(SUM(ROWS($B$4:B131))&gt;'Mortgage Calculator'!DurationOfLoan,"",SUM(ROWS($B$4:B131)))</f>
        <v/>
      </c>
      <c r="C131" s="215" t="str">
        <f ca="1">IFERROR(DATE(YEAR('Mortgage Calculator'!LoanStart), MONTH('Mortgage Calculator'!LoanStart) +B131,DAY('Mortgage Calculator'!LoanStart)), "")</f>
        <v/>
      </c>
      <c r="D131" s="216" t="str">
        <f>IFERROR(-FV('Mortgage Calculator'!InterestRate/12,B131-1,-'Mortgage Calculator'!MonthlyLoanPayment,'Mortgage Calculator'!LoanAmount),"")</f>
        <v/>
      </c>
      <c r="E131" s="216">
        <v>292.03268290197678</v>
      </c>
      <c r="F131" s="216">
        <v>188.90394013391267</v>
      </c>
      <c r="G131" s="216">
        <f ca="1">IF(Amortization32[[#This Row],[payment
date]]="",0,'Mortgage Calculator'!PropertyTaxAmount)</f>
        <v>0</v>
      </c>
      <c r="H131" s="216">
        <f ca="1">IF(Amortization32[[#This Row],[payment
date]]="",0,Amortization32[[#This Row],[interest]]+Amortization32[[#This Row],[principal]]+Amortization32[[#This Row],[property
tax]])</f>
        <v>0</v>
      </c>
      <c r="I131" s="216">
        <f ca="1">IF(Amortization32[[#This Row],[payment
date]]="",0,Amortization32[[#This Row],[opening
balance]]-Amortization32[[#This Row],[principal]])</f>
        <v>0</v>
      </c>
      <c r="J131" s="217">
        <f ca="1">IF(Amortization32[[#This Row],[closing
balance]]&gt;0,LastRow-ROW(),0)</f>
        <v>0</v>
      </c>
    </row>
    <row r="132" spans="2:10" ht="15" customHeight="1">
      <c r="B132" s="214" t="str">
        <f>IF(SUM(ROWS($B$4:B132))&gt;'Mortgage Calculator'!DurationOfLoan,"",SUM(ROWS($B$4:B132)))</f>
        <v/>
      </c>
      <c r="C132" s="215" t="str">
        <f ca="1">IFERROR(DATE(YEAR('Mortgage Calculator'!LoanStart), MONTH('Mortgage Calculator'!LoanStart) +B132,DAY('Mortgage Calculator'!LoanStart)), "")</f>
        <v/>
      </c>
      <c r="D132" s="216" t="str">
        <f>IFERROR(-FV('Mortgage Calculator'!InterestRate/12,B132-1,-'Mortgage Calculator'!MonthlyLoanPayment,'Mortgage Calculator'!LoanAmount),"")</f>
        <v/>
      </c>
      <c r="E132" s="216">
        <v>290.44536507168499</v>
      </c>
      <c r="F132" s="216">
        <v>190.47813963502858</v>
      </c>
      <c r="G132" s="216">
        <f ca="1">IF(Amortization32[[#This Row],[payment
date]]="",0,'Mortgage Calculator'!PropertyTaxAmount)</f>
        <v>0</v>
      </c>
      <c r="H132" s="216">
        <f ca="1">IF(Amortization32[[#This Row],[payment
date]]="",0,Amortization32[[#This Row],[interest]]+Amortization32[[#This Row],[principal]]+Amortization32[[#This Row],[property
tax]])</f>
        <v>0</v>
      </c>
      <c r="I132" s="216">
        <f ca="1">IF(Amortization32[[#This Row],[payment
date]]="",0,Amortization32[[#This Row],[opening
balance]]-Amortization32[[#This Row],[principal]])</f>
        <v>0</v>
      </c>
      <c r="J132" s="217">
        <f ca="1">IF(Amortization32[[#This Row],[closing
balance]]&gt;0,LastRow-ROW(),0)</f>
        <v>0</v>
      </c>
    </row>
    <row r="133" spans="2:10" ht="15" customHeight="1">
      <c r="B133" s="214" t="str">
        <f>IF(SUM(ROWS($B$4:B133))&gt;'Mortgage Calculator'!DurationOfLoan,"",SUM(ROWS($B$4:B133)))</f>
        <v/>
      </c>
      <c r="C133" s="215" t="str">
        <f ca="1">IFERROR(DATE(YEAR('Mortgage Calculator'!LoanStart), MONTH('Mortgage Calculator'!LoanStart) +B133,DAY('Mortgage Calculator'!LoanStart)), "")</f>
        <v/>
      </c>
      <c r="D133" s="216" t="str">
        <f>IFERROR(-FV('Mortgage Calculator'!InterestRate/12,B133-1,-'Mortgage Calculator'!MonthlyLoanPayment,'Mortgage Calculator'!LoanAmount),"")</f>
        <v/>
      </c>
      <c r="E133" s="216">
        <v>288.8448195928072</v>
      </c>
      <c r="F133" s="216">
        <v>192.06545746532058</v>
      </c>
      <c r="G133" s="216">
        <f ca="1">IF(Amortization32[[#This Row],[payment
date]]="",0,'Mortgage Calculator'!PropertyTaxAmount)</f>
        <v>0</v>
      </c>
      <c r="H133" s="216">
        <f ca="1">IF(Amortization32[[#This Row],[payment
date]]="",0,Amortization32[[#This Row],[interest]]+Amortization32[[#This Row],[principal]]+Amortization32[[#This Row],[property
tax]])</f>
        <v>0</v>
      </c>
      <c r="I133" s="216">
        <f ca="1">IF(Amortization32[[#This Row],[payment
date]]="",0,Amortization32[[#This Row],[opening
balance]]-Amortization32[[#This Row],[principal]])</f>
        <v>0</v>
      </c>
      <c r="J133" s="217">
        <f ca="1">IF(Amortization32[[#This Row],[closing
balance]]&gt;0,LastRow-ROW(),0)</f>
        <v>0</v>
      </c>
    </row>
    <row r="134" spans="2:10" ht="15" customHeight="1">
      <c r="B134" s="214" t="str">
        <f>IF(SUM(ROWS($B$4:B134))&gt;'Mortgage Calculator'!DurationOfLoan,"",SUM(ROWS($B$4:B134)))</f>
        <v/>
      </c>
      <c r="C134" s="215" t="str">
        <f ca="1">IFERROR(DATE(YEAR('Mortgage Calculator'!LoanStart), MONTH('Mortgage Calculator'!LoanStart) +B134,DAY('Mortgage Calculator'!LoanStart)), "")</f>
        <v/>
      </c>
      <c r="D134" s="216" t="str">
        <f>IFERROR(-FV('Mortgage Calculator'!InterestRate/12,B134-1,-'Mortgage Calculator'!MonthlyLoanPayment,'Mortgage Calculator'!LoanAmount),"")</f>
        <v/>
      </c>
      <c r="E134" s="216">
        <v>287.23093623493878</v>
      </c>
      <c r="F134" s="216">
        <v>193.6660029441982</v>
      </c>
      <c r="G134" s="216">
        <f ca="1">IF(Amortization32[[#This Row],[payment
date]]="",0,'Mortgage Calculator'!PropertyTaxAmount)</f>
        <v>0</v>
      </c>
      <c r="H134" s="216">
        <f ca="1">IF(Amortization32[[#This Row],[payment
date]]="",0,Amortization32[[#This Row],[interest]]+Amortization32[[#This Row],[principal]]+Amortization32[[#This Row],[property
tax]])</f>
        <v>0</v>
      </c>
      <c r="I134" s="216">
        <f ca="1">IF(Amortization32[[#This Row],[payment
date]]="",0,Amortization32[[#This Row],[opening
balance]]-Amortization32[[#This Row],[principal]])</f>
        <v>0</v>
      </c>
      <c r="J134" s="217">
        <f ca="1">IF(Amortization32[[#This Row],[closing
balance]]&gt;0,LastRow-ROW(),0)</f>
        <v>0</v>
      </c>
    </row>
    <row r="135" spans="2:10" ht="15" customHeight="1">
      <c r="B135" s="214" t="str">
        <f>IF(SUM(ROWS($B$4:B135))&gt;'Mortgage Calculator'!DurationOfLoan,"",SUM(ROWS($B$4:B135)))</f>
        <v/>
      </c>
      <c r="C135" s="215" t="str">
        <f ca="1">IFERROR(DATE(YEAR('Mortgage Calculator'!LoanStart), MONTH('Mortgage Calculator'!LoanStart) +B135,DAY('Mortgage Calculator'!LoanStart)), "")</f>
        <v/>
      </c>
      <c r="D135" s="216" t="str">
        <f>IFERROR(-FV('Mortgage Calculator'!InterestRate/12,B135-1,-'Mortgage Calculator'!MonthlyLoanPayment,'Mortgage Calculator'!LoanAmount),"")</f>
        <v/>
      </c>
      <c r="E135" s="216">
        <v>285.60360384908842</v>
      </c>
      <c r="F135" s="216">
        <v>195.27988630206642</v>
      </c>
      <c r="G135" s="216">
        <f ca="1">IF(Amortization32[[#This Row],[payment
date]]="",0,'Mortgage Calculator'!PropertyTaxAmount)</f>
        <v>0</v>
      </c>
      <c r="H135" s="216">
        <f ca="1">IF(Amortization32[[#This Row],[payment
date]]="",0,Amortization32[[#This Row],[interest]]+Amortization32[[#This Row],[principal]]+Amortization32[[#This Row],[property
tax]])</f>
        <v>0</v>
      </c>
      <c r="I135" s="216">
        <f ca="1">IF(Amortization32[[#This Row],[payment
date]]="",0,Amortization32[[#This Row],[opening
balance]]-Amortization32[[#This Row],[principal]])</f>
        <v>0</v>
      </c>
      <c r="J135" s="217">
        <f ca="1">IF(Amortization32[[#This Row],[closing
balance]]&gt;0,LastRow-ROW(),0)</f>
        <v>0</v>
      </c>
    </row>
    <row r="136" spans="2:10" ht="15" customHeight="1">
      <c r="B136" s="214" t="str">
        <f>IF(SUM(ROWS($B$4:B136))&gt;'Mortgage Calculator'!DurationOfLoan,"",SUM(ROWS($B$4:B136)))</f>
        <v/>
      </c>
      <c r="C136" s="215" t="str">
        <f ca="1">IFERROR(DATE(YEAR('Mortgage Calculator'!LoanStart), MONTH('Mortgage Calculator'!LoanStart) +B136,DAY('Mortgage Calculator'!LoanStart)), "")</f>
        <v/>
      </c>
      <c r="D136" s="216" t="str">
        <f>IFERROR(-FV('Mortgage Calculator'!InterestRate/12,B136-1,-'Mortgage Calculator'!MonthlyLoanPayment,'Mortgage Calculator'!LoanAmount),"")</f>
        <v/>
      </c>
      <c r="E136" s="216">
        <v>283.96271036002253</v>
      </c>
      <c r="F136" s="216">
        <v>196.90721868791709</v>
      </c>
      <c r="G136" s="216">
        <f ca="1">IF(Amortization32[[#This Row],[payment
date]]="",0,'Mortgage Calculator'!PropertyTaxAmount)</f>
        <v>0</v>
      </c>
      <c r="H136" s="216">
        <f ca="1">IF(Amortization32[[#This Row],[payment
date]]="",0,Amortization32[[#This Row],[interest]]+Amortization32[[#This Row],[principal]]+Amortization32[[#This Row],[property
tax]])</f>
        <v>0</v>
      </c>
      <c r="I136" s="216">
        <f ca="1">IF(Amortization32[[#This Row],[payment
date]]="",0,Amortization32[[#This Row],[opening
balance]]-Amortization32[[#This Row],[principal]])</f>
        <v>0</v>
      </c>
      <c r="J136" s="217">
        <f ca="1">IF(Amortization32[[#This Row],[closing
balance]]&gt;0,LastRow-ROW(),0)</f>
        <v>0</v>
      </c>
    </row>
    <row r="137" spans="2:10" ht="15" customHeight="1">
      <c r="B137" s="214" t="str">
        <f>IF(SUM(ROWS($B$4:B137))&gt;'Mortgage Calculator'!DurationOfLoan,"",SUM(ROWS($B$4:B137)))</f>
        <v/>
      </c>
      <c r="C137" s="215" t="str">
        <f ca="1">IFERROR(DATE(YEAR('Mortgage Calculator'!LoanStart), MONTH('Mortgage Calculator'!LoanStart) +B137,DAY('Mortgage Calculator'!LoanStart)), "")</f>
        <v/>
      </c>
      <c r="D137" s="216" t="str">
        <f>IFERROR(-FV('Mortgage Calculator'!InterestRate/12,B137-1,-'Mortgage Calculator'!MonthlyLoanPayment,'Mortgage Calculator'!LoanAmount),"")</f>
        <v/>
      </c>
      <c r="E137" s="216">
        <v>282.30814275854755</v>
      </c>
      <c r="F137" s="216">
        <v>198.54811217698315</v>
      </c>
      <c r="G137" s="216">
        <f ca="1">IF(Amortization32[[#This Row],[payment
date]]="",0,'Mortgage Calculator'!PropertyTaxAmount)</f>
        <v>0</v>
      </c>
      <c r="H137" s="216">
        <f ca="1">IF(Amortization32[[#This Row],[payment
date]]="",0,Amortization32[[#This Row],[interest]]+Amortization32[[#This Row],[principal]]+Amortization32[[#This Row],[property
tax]])</f>
        <v>0</v>
      </c>
      <c r="I137" s="216">
        <f ca="1">IF(Amortization32[[#This Row],[payment
date]]="",0,Amortization32[[#This Row],[opening
balance]]-Amortization32[[#This Row],[principal]])</f>
        <v>0</v>
      </c>
      <c r="J137" s="217">
        <f ca="1">IF(Amortization32[[#This Row],[closing
balance]]&gt;0,LastRow-ROW(),0)</f>
        <v>0</v>
      </c>
    </row>
    <row r="138" spans="2:10" ht="15" customHeight="1">
      <c r="B138" s="214" t="str">
        <f>IF(SUM(ROWS($B$4:B138))&gt;'Mortgage Calculator'!DurationOfLoan,"",SUM(ROWS($B$4:B138)))</f>
        <v/>
      </c>
      <c r="C138" s="215" t="str">
        <f ca="1">IFERROR(DATE(YEAR('Mortgage Calculator'!LoanStart), MONTH('Mortgage Calculator'!LoanStart) +B138,DAY('Mortgage Calculator'!LoanStart)), "")</f>
        <v/>
      </c>
      <c r="D138" s="216" t="str">
        <f>IFERROR(-FV('Mortgage Calculator'!InterestRate/12,B138-1,-'Mortgage Calculator'!MonthlyLoanPayment,'Mortgage Calculator'!LoanAmount),"")</f>
        <v/>
      </c>
      <c r="E138" s="216">
        <v>280.63978709372714</v>
      </c>
      <c r="F138" s="216">
        <v>200.20267977845791</v>
      </c>
      <c r="G138" s="216">
        <f ca="1">IF(Amortization32[[#This Row],[payment
date]]="",0,'Mortgage Calculator'!PropertyTaxAmount)</f>
        <v>0</v>
      </c>
      <c r="H138" s="216">
        <f ca="1">IF(Amortization32[[#This Row],[payment
date]]="",0,Amortization32[[#This Row],[interest]]+Amortization32[[#This Row],[principal]]+Amortization32[[#This Row],[property
tax]])</f>
        <v>0</v>
      </c>
      <c r="I138" s="216">
        <f ca="1">IF(Amortization32[[#This Row],[payment
date]]="",0,Amortization32[[#This Row],[opening
balance]]-Amortization32[[#This Row],[principal]])</f>
        <v>0</v>
      </c>
      <c r="J138" s="217">
        <f ca="1">IF(Amortization32[[#This Row],[closing
balance]]&gt;0,LastRow-ROW(),0)</f>
        <v>0</v>
      </c>
    </row>
    <row r="139" spans="2:10" ht="15" customHeight="1">
      <c r="B139" s="214" t="str">
        <f>IF(SUM(ROWS($B$4:B139))&gt;'Mortgage Calculator'!DurationOfLoan,"",SUM(ROWS($B$4:B139)))</f>
        <v/>
      </c>
      <c r="C139" s="215" t="str">
        <f ca="1">IFERROR(DATE(YEAR('Mortgage Calculator'!LoanStart), MONTH('Mortgage Calculator'!LoanStart) +B139,DAY('Mortgage Calculator'!LoanStart)), "")</f>
        <v/>
      </c>
      <c r="D139" s="216" t="str">
        <f>IFERROR(-FV('Mortgage Calculator'!InterestRate/12,B139-1,-'Mortgage Calculator'!MonthlyLoanPayment,'Mortgage Calculator'!LoanAmount),"")</f>
        <v/>
      </c>
      <c r="E139" s="216">
        <v>278.95752846503319</v>
      </c>
      <c r="F139" s="216">
        <v>201.87103544327843</v>
      </c>
      <c r="G139" s="216">
        <f ca="1">IF(Amortization32[[#This Row],[payment
date]]="",0,'Mortgage Calculator'!PropertyTaxAmount)</f>
        <v>0</v>
      </c>
      <c r="H139" s="216">
        <f ca="1">IF(Amortization32[[#This Row],[payment
date]]="",0,Amortization32[[#This Row],[interest]]+Amortization32[[#This Row],[principal]]+Amortization32[[#This Row],[property
tax]])</f>
        <v>0</v>
      </c>
      <c r="I139" s="216">
        <f ca="1">IF(Amortization32[[#This Row],[payment
date]]="",0,Amortization32[[#This Row],[opening
balance]]-Amortization32[[#This Row],[principal]])</f>
        <v>0</v>
      </c>
      <c r="J139" s="217">
        <f ca="1">IF(Amortization32[[#This Row],[closing
balance]]&gt;0,LastRow-ROW(),0)</f>
        <v>0</v>
      </c>
    </row>
    <row r="140" spans="2:10" ht="15" customHeight="1">
      <c r="B140" s="214" t="str">
        <f>IF(SUM(ROWS($B$4:B140))&gt;'Mortgage Calculator'!DurationOfLoan,"",SUM(ROWS($B$4:B140)))</f>
        <v/>
      </c>
      <c r="C140" s="215" t="str">
        <f ca="1">IFERROR(DATE(YEAR('Mortgage Calculator'!LoanStart), MONTH('Mortgage Calculator'!LoanStart) +B140,DAY('Mortgage Calculator'!LoanStart)), "")</f>
        <v/>
      </c>
      <c r="D140" s="216" t="str">
        <f>IFERROR(-FV('Mortgage Calculator'!InterestRate/12,B140-1,-'Mortgage Calculator'!MonthlyLoanPayment,'Mortgage Calculator'!LoanAmount),"")</f>
        <v/>
      </c>
      <c r="E140" s="216">
        <v>277.26125101443358</v>
      </c>
      <c r="F140" s="216">
        <v>203.55329407197246</v>
      </c>
      <c r="G140" s="216">
        <f ca="1">IF(Amortization32[[#This Row],[payment
date]]="",0,'Mortgage Calculator'!PropertyTaxAmount)</f>
        <v>0</v>
      </c>
      <c r="H140" s="216">
        <f ca="1">IF(Amortization32[[#This Row],[payment
date]]="",0,Amortization32[[#This Row],[interest]]+Amortization32[[#This Row],[principal]]+Amortization32[[#This Row],[property
tax]])</f>
        <v>0</v>
      </c>
      <c r="I140" s="216">
        <f ca="1">IF(Amortization32[[#This Row],[payment
date]]="",0,Amortization32[[#This Row],[opening
balance]]-Amortization32[[#This Row],[principal]])</f>
        <v>0</v>
      </c>
      <c r="J140" s="217">
        <f ca="1">IF(Amortization32[[#This Row],[closing
balance]]&gt;0,LastRow-ROW(),0)</f>
        <v>0</v>
      </c>
    </row>
    <row r="141" spans="2:10" ht="15" customHeight="1">
      <c r="B141" s="214" t="str">
        <f>IF(SUM(ROWS($B$4:B141))&gt;'Mortgage Calculator'!DurationOfLoan,"",SUM(ROWS($B$4:B141)))</f>
        <v/>
      </c>
      <c r="C141" s="215" t="str">
        <f ca="1">IFERROR(DATE(YEAR('Mortgage Calculator'!LoanStart), MONTH('Mortgage Calculator'!LoanStart) +B141,DAY('Mortgage Calculator'!LoanStart)), "")</f>
        <v/>
      </c>
      <c r="D141" s="216" t="str">
        <f>IFERROR(-FV('Mortgage Calculator'!InterestRate/12,B141-1,-'Mortgage Calculator'!MonthlyLoanPayment,'Mortgage Calculator'!LoanAmount),"")</f>
        <v/>
      </c>
      <c r="E141" s="216">
        <v>275.55083791841196</v>
      </c>
      <c r="F141" s="216">
        <v>205.24957152257232</v>
      </c>
      <c r="G141" s="216">
        <f ca="1">IF(Amortization32[[#This Row],[payment
date]]="",0,'Mortgage Calculator'!PropertyTaxAmount)</f>
        <v>0</v>
      </c>
      <c r="H141" s="216">
        <f ca="1">IF(Amortization32[[#This Row],[payment
date]]="",0,Amortization32[[#This Row],[interest]]+Amortization32[[#This Row],[principal]]+Amortization32[[#This Row],[property
tax]])</f>
        <v>0</v>
      </c>
      <c r="I141" s="216">
        <f ca="1">IF(Amortization32[[#This Row],[payment
date]]="",0,Amortization32[[#This Row],[opening
balance]]-Amortization32[[#This Row],[principal]])</f>
        <v>0</v>
      </c>
      <c r="J141" s="217">
        <f ca="1">IF(Amortization32[[#This Row],[closing
balance]]&gt;0,LastRow-ROW(),0)</f>
        <v>0</v>
      </c>
    </row>
    <row r="142" spans="2:10" ht="15" customHeight="1">
      <c r="B142" s="214" t="str">
        <f>IF(SUM(ROWS($B$4:B142))&gt;'Mortgage Calculator'!DurationOfLoan,"",SUM(ROWS($B$4:B142)))</f>
        <v/>
      </c>
      <c r="C142" s="215" t="str">
        <f ca="1">IFERROR(DATE(YEAR('Mortgage Calculator'!LoanStart), MONTH('Mortgage Calculator'!LoanStart) +B142,DAY('Mortgage Calculator'!LoanStart)), "")</f>
        <v/>
      </c>
      <c r="D142" s="216" t="str">
        <f>IFERROR(-FV('Mortgage Calculator'!InterestRate/12,B142-1,-'Mortgage Calculator'!MonthlyLoanPayment,'Mortgage Calculator'!LoanAmount),"")</f>
        <v/>
      </c>
      <c r="E142" s="216">
        <v>273.82617137992384</v>
      </c>
      <c r="F142" s="216">
        <v>206.95998461859358</v>
      </c>
      <c r="G142" s="216">
        <f ca="1">IF(Amortization32[[#This Row],[payment
date]]="",0,'Mortgage Calculator'!PropertyTaxAmount)</f>
        <v>0</v>
      </c>
      <c r="H142" s="216">
        <f ca="1">IF(Amortization32[[#This Row],[payment
date]]="",0,Amortization32[[#This Row],[interest]]+Amortization32[[#This Row],[principal]]+Amortization32[[#This Row],[property
tax]])</f>
        <v>0</v>
      </c>
      <c r="I142" s="216">
        <f ca="1">IF(Amortization32[[#This Row],[payment
date]]="",0,Amortization32[[#This Row],[opening
balance]]-Amortization32[[#This Row],[principal]])</f>
        <v>0</v>
      </c>
      <c r="J142" s="217">
        <f ca="1">IF(Amortization32[[#This Row],[closing
balance]]&gt;0,LastRow-ROW(),0)</f>
        <v>0</v>
      </c>
    </row>
    <row r="143" spans="2:10" ht="15" customHeight="1">
      <c r="B143" s="214" t="str">
        <f>IF(SUM(ROWS($B$4:B143))&gt;'Mortgage Calculator'!DurationOfLoan,"",SUM(ROWS($B$4:B143)))</f>
        <v/>
      </c>
      <c r="C143" s="215" t="str">
        <f ca="1">IFERROR(DATE(YEAR('Mortgage Calculator'!LoanStart), MONTH('Mortgage Calculator'!LoanStart) +B143,DAY('Mortgage Calculator'!LoanStart)), "")</f>
        <v/>
      </c>
      <c r="D143" s="216" t="str">
        <f>IFERROR(-FV('Mortgage Calculator'!InterestRate/12,B143-1,-'Mortgage Calculator'!MonthlyLoanPayment,'Mortgage Calculator'!LoanAmount),"")</f>
        <v/>
      </c>
      <c r="E143" s="216">
        <v>272.08713262028141</v>
      </c>
      <c r="F143" s="216">
        <v>208.68465115708202</v>
      </c>
      <c r="G143" s="216">
        <f ca="1">IF(Amortization32[[#This Row],[payment
date]]="",0,'Mortgage Calculator'!PropertyTaxAmount)</f>
        <v>0</v>
      </c>
      <c r="H143" s="216">
        <f ca="1">IF(Amortization32[[#This Row],[payment
date]]="",0,Amortization32[[#This Row],[interest]]+Amortization32[[#This Row],[principal]]+Amortization32[[#This Row],[property
tax]])</f>
        <v>0</v>
      </c>
      <c r="I143" s="216">
        <f ca="1">IF(Amortization32[[#This Row],[payment
date]]="",0,Amortization32[[#This Row],[opening
balance]]-Amortization32[[#This Row],[principal]])</f>
        <v>0</v>
      </c>
      <c r="J143" s="217">
        <f ca="1">IF(Amortization32[[#This Row],[closing
balance]]&gt;0,LastRow-ROW(),0)</f>
        <v>0</v>
      </c>
    </row>
    <row r="144" spans="2:10" ht="15" customHeight="1">
      <c r="B144" s="214" t="str">
        <f>IF(SUM(ROWS($B$4:B144))&gt;'Mortgage Calculator'!DurationOfLoan,"",SUM(ROWS($B$4:B144)))</f>
        <v/>
      </c>
      <c r="C144" s="215" t="str">
        <f ca="1">IFERROR(DATE(YEAR('Mortgage Calculator'!LoanStart), MONTH('Mortgage Calculator'!LoanStart) +B144,DAY('Mortgage Calculator'!LoanStart)), "")</f>
        <v/>
      </c>
      <c r="D144" s="216" t="str">
        <f>IFERROR(-FV('Mortgage Calculator'!InterestRate/12,B144-1,-'Mortgage Calculator'!MonthlyLoanPayment,'Mortgage Calculator'!LoanAmount),"")</f>
        <v/>
      </c>
      <c r="E144" s="216">
        <v>270.33360187097571</v>
      </c>
      <c r="F144" s="216">
        <v>210.42368991672438</v>
      </c>
      <c r="G144" s="216">
        <f ca="1">IF(Amortization32[[#This Row],[payment
date]]="",0,'Mortgage Calculator'!PropertyTaxAmount)</f>
        <v>0</v>
      </c>
      <c r="H144" s="216">
        <f ca="1">IF(Amortization32[[#This Row],[payment
date]]="",0,Amortization32[[#This Row],[interest]]+Amortization32[[#This Row],[principal]]+Amortization32[[#This Row],[property
tax]])</f>
        <v>0</v>
      </c>
      <c r="I144" s="216">
        <f ca="1">IF(Amortization32[[#This Row],[payment
date]]="",0,Amortization32[[#This Row],[opening
balance]]-Amortization32[[#This Row],[principal]])</f>
        <v>0</v>
      </c>
      <c r="J144" s="217">
        <f ca="1">IF(Amortization32[[#This Row],[closing
balance]]&gt;0,LastRow-ROW(),0)</f>
        <v>0</v>
      </c>
    </row>
    <row r="145" spans="2:10" ht="15" customHeight="1">
      <c r="B145" s="214" t="str">
        <f>IF(SUM(ROWS($B$4:B145))&gt;'Mortgage Calculator'!DurationOfLoan,"",SUM(ROWS($B$4:B145)))</f>
        <v/>
      </c>
      <c r="C145" s="215" t="str">
        <f ca="1">IFERROR(DATE(YEAR('Mortgage Calculator'!LoanStart), MONTH('Mortgage Calculator'!LoanStart) +B145,DAY('Mortgage Calculator'!LoanStart)), "")</f>
        <v/>
      </c>
      <c r="D145" s="216" t="str">
        <f>IFERROR(-FV('Mortgage Calculator'!InterestRate/12,B145-1,-'Mortgage Calculator'!MonthlyLoanPayment,'Mortgage Calculator'!LoanAmount),"")</f>
        <v/>
      </c>
      <c r="E145" s="216">
        <v>268.56545836542529</v>
      </c>
      <c r="F145" s="216">
        <v>212.17722066603065</v>
      </c>
      <c r="G145" s="216">
        <f ca="1">IF(Amortization32[[#This Row],[payment
date]]="",0,'Mortgage Calculator'!PropertyTaxAmount)</f>
        <v>0</v>
      </c>
      <c r="H145" s="216">
        <f ca="1">IF(Amortization32[[#This Row],[payment
date]]="",0,Amortization32[[#This Row],[interest]]+Amortization32[[#This Row],[principal]]+Amortization32[[#This Row],[property
tax]])</f>
        <v>0</v>
      </c>
      <c r="I145" s="216">
        <f ca="1">IF(Amortization32[[#This Row],[payment
date]]="",0,Amortization32[[#This Row],[opening
balance]]-Amortization32[[#This Row],[principal]])</f>
        <v>0</v>
      </c>
      <c r="J145" s="217">
        <f ca="1">IF(Amortization32[[#This Row],[closing
balance]]&gt;0,LastRow-ROW(),0)</f>
        <v>0</v>
      </c>
    </row>
    <row r="146" spans="2:10" ht="15" customHeight="1">
      <c r="B146" s="214" t="str">
        <f>IF(SUM(ROWS($B$4:B146))&gt;'Mortgage Calculator'!DurationOfLoan,"",SUM(ROWS($B$4:B146)))</f>
        <v/>
      </c>
      <c r="C146" s="215" t="str">
        <f ca="1">IFERROR(DATE(YEAR('Mortgage Calculator'!LoanStart), MONTH('Mortgage Calculator'!LoanStart) +B146,DAY('Mortgage Calculator'!LoanStart)), "")</f>
        <v/>
      </c>
      <c r="D146" s="216" t="str">
        <f>IFERROR(-FV('Mortgage Calculator'!InterestRate/12,B146-1,-'Mortgage Calculator'!MonthlyLoanPayment,'Mortgage Calculator'!LoanAmount),"")</f>
        <v/>
      </c>
      <c r="E146" s="216">
        <v>266.78258033066209</v>
      </c>
      <c r="F146" s="216">
        <v>213.94536417158079</v>
      </c>
      <c r="G146" s="216">
        <f ca="1">IF(Amortization32[[#This Row],[payment
date]]="",0,'Mortgage Calculator'!PropertyTaxAmount)</f>
        <v>0</v>
      </c>
      <c r="H146" s="216">
        <f ca="1">IF(Amortization32[[#This Row],[payment
date]]="",0,Amortization32[[#This Row],[interest]]+Amortization32[[#This Row],[principal]]+Amortization32[[#This Row],[property
tax]])</f>
        <v>0</v>
      </c>
      <c r="I146" s="216">
        <f ca="1">IF(Amortization32[[#This Row],[payment
date]]="",0,Amortization32[[#This Row],[opening
balance]]-Amortization32[[#This Row],[principal]])</f>
        <v>0</v>
      </c>
      <c r="J146" s="217">
        <f ca="1">IF(Amortization32[[#This Row],[closing
balance]]&gt;0,LastRow-ROW(),0)</f>
        <v>0</v>
      </c>
    </row>
    <row r="147" spans="2:10" ht="15" customHeight="1">
      <c r="B147" s="214" t="str">
        <f>IF(SUM(ROWS($B$4:B147))&gt;'Mortgage Calculator'!DurationOfLoan,"",SUM(ROWS($B$4:B147)))</f>
        <v/>
      </c>
      <c r="C147" s="215" t="str">
        <f ca="1">IFERROR(DATE(YEAR('Mortgage Calculator'!LoanStart), MONTH('Mortgage Calculator'!LoanStart) +B147,DAY('Mortgage Calculator'!LoanStart)), "")</f>
        <v/>
      </c>
      <c r="D147" s="216" t="str">
        <f>IFERROR(-FV('Mortgage Calculator'!InterestRate/12,B147-1,-'Mortgage Calculator'!MonthlyLoanPayment,'Mortgage Calculator'!LoanAmount),"")</f>
        <v/>
      </c>
      <c r="E147" s="216">
        <v>264.98484497894242</v>
      </c>
      <c r="F147" s="216">
        <v>215.72824220634388</v>
      </c>
      <c r="G147" s="216">
        <f ca="1">IF(Amortization32[[#This Row],[payment
date]]="",0,'Mortgage Calculator'!PropertyTaxAmount)</f>
        <v>0</v>
      </c>
      <c r="H147" s="216">
        <f ca="1">IF(Amortization32[[#This Row],[payment
date]]="",0,Amortization32[[#This Row],[interest]]+Amortization32[[#This Row],[principal]]+Amortization32[[#This Row],[property
tax]])</f>
        <v>0</v>
      </c>
      <c r="I147" s="216">
        <f ca="1">IF(Amortization32[[#This Row],[payment
date]]="",0,Amortization32[[#This Row],[opening
balance]]-Amortization32[[#This Row],[principal]])</f>
        <v>0</v>
      </c>
      <c r="J147" s="217">
        <f ca="1">IF(Amortization32[[#This Row],[closing
balance]]&gt;0,LastRow-ROW(),0)</f>
        <v>0</v>
      </c>
    </row>
    <row r="148" spans="2:10" ht="15" customHeight="1">
      <c r="B148" s="214" t="str">
        <f>IF(SUM(ROWS($B$4:B148))&gt;'Mortgage Calculator'!DurationOfLoan,"",SUM(ROWS($B$4:B148)))</f>
        <v/>
      </c>
      <c r="C148" s="215" t="str">
        <f ca="1">IFERROR(DATE(YEAR('Mortgage Calculator'!LoanStart), MONTH('Mortgage Calculator'!LoanStart) +B148,DAY('Mortgage Calculator'!LoanStart)), "")</f>
        <v/>
      </c>
      <c r="D148" s="216" t="str">
        <f>IFERROR(-FV('Mortgage Calculator'!InterestRate/12,B148-1,-'Mortgage Calculator'!MonthlyLoanPayment,'Mortgage Calculator'!LoanAmount),"")</f>
        <v/>
      </c>
      <c r="E148" s="216">
        <v>263.17212849929223</v>
      </c>
      <c r="F148" s="216">
        <v>217.52597755806335</v>
      </c>
      <c r="G148" s="216">
        <f ca="1">IF(Amortization32[[#This Row],[payment
date]]="",0,'Mortgage Calculator'!PropertyTaxAmount)</f>
        <v>0</v>
      </c>
      <c r="H148" s="216">
        <f ca="1">IF(Amortization32[[#This Row],[payment
date]]="",0,Amortization32[[#This Row],[interest]]+Amortization32[[#This Row],[principal]]+Amortization32[[#This Row],[property
tax]])</f>
        <v>0</v>
      </c>
      <c r="I148" s="216">
        <f ca="1">IF(Amortization32[[#This Row],[payment
date]]="",0,Amortization32[[#This Row],[opening
balance]]-Amortization32[[#This Row],[principal]])</f>
        <v>0</v>
      </c>
      <c r="J148" s="217">
        <f ca="1">IF(Amortization32[[#This Row],[closing
balance]]&gt;0,LastRow-ROW(),0)</f>
        <v>0</v>
      </c>
    </row>
    <row r="149" spans="2:10" ht="15" customHeight="1">
      <c r="B149" s="214" t="str">
        <f>IF(SUM(ROWS($B$4:B149))&gt;'Mortgage Calculator'!DurationOfLoan,"",SUM(ROWS($B$4:B149)))</f>
        <v/>
      </c>
      <c r="C149" s="215" t="str">
        <f ca="1">IFERROR(DATE(YEAR('Mortgage Calculator'!LoanStart), MONTH('Mortgage Calculator'!LoanStart) +B149,DAY('Mortgage Calculator'!LoanStart)), "")</f>
        <v/>
      </c>
      <c r="D149" s="216" t="str">
        <f>IFERROR(-FV('Mortgage Calculator'!InterestRate/12,B149-1,-'Mortgage Calculator'!MonthlyLoanPayment,'Mortgage Calculator'!LoanAmount),"")</f>
        <v/>
      </c>
      <c r="E149" s="216">
        <v>261.3443060489779</v>
      </c>
      <c r="F149" s="216">
        <v>219.33869403771413</v>
      </c>
      <c r="G149" s="216">
        <f ca="1">IF(Amortization32[[#This Row],[payment
date]]="",0,'Mortgage Calculator'!PropertyTaxAmount)</f>
        <v>0</v>
      </c>
      <c r="H149" s="216">
        <f ca="1">IF(Amortization32[[#This Row],[payment
date]]="",0,Amortization32[[#This Row],[interest]]+Amortization32[[#This Row],[principal]]+Amortization32[[#This Row],[property
tax]])</f>
        <v>0</v>
      </c>
      <c r="I149" s="216">
        <f ca="1">IF(Amortization32[[#This Row],[payment
date]]="",0,Amortization32[[#This Row],[opening
balance]]-Amortization32[[#This Row],[principal]])</f>
        <v>0</v>
      </c>
      <c r="J149" s="217">
        <f ca="1">IF(Amortization32[[#This Row],[closing
balance]]&gt;0,LastRow-ROW(),0)</f>
        <v>0</v>
      </c>
    </row>
    <row r="150" spans="2:10" ht="15" customHeight="1">
      <c r="B150" s="214" t="str">
        <f>IF(SUM(ROWS($B$4:B150))&gt;'Mortgage Calculator'!DurationOfLoan,"",SUM(ROWS($B$4:B150)))</f>
        <v/>
      </c>
      <c r="C150" s="215" t="str">
        <f ca="1">IFERROR(DATE(YEAR('Mortgage Calculator'!LoanStart), MONTH('Mortgage Calculator'!LoanStart) +B150,DAY('Mortgage Calculator'!LoanStart)), "")</f>
        <v/>
      </c>
      <c r="D150" s="216" t="str">
        <f>IFERROR(-FV('Mortgage Calculator'!InterestRate/12,B150-1,-'Mortgage Calculator'!MonthlyLoanPayment,'Mortgage Calculator'!LoanAmount),"")</f>
        <v/>
      </c>
      <c r="E150" s="216">
        <v>259.50125174491086</v>
      </c>
      <c r="F150" s="216">
        <v>221.16651648802835</v>
      </c>
      <c r="G150" s="216">
        <f ca="1">IF(Amortization32[[#This Row],[payment
date]]="",0,'Mortgage Calculator'!PropertyTaxAmount)</f>
        <v>0</v>
      </c>
      <c r="H150" s="216">
        <f ca="1">IF(Amortization32[[#This Row],[payment
date]]="",0,Amortization32[[#This Row],[interest]]+Amortization32[[#This Row],[principal]]+Amortization32[[#This Row],[property
tax]])</f>
        <v>0</v>
      </c>
      <c r="I150" s="216">
        <f ca="1">IF(Amortization32[[#This Row],[payment
date]]="",0,Amortization32[[#This Row],[opening
balance]]-Amortization32[[#This Row],[principal]])</f>
        <v>0</v>
      </c>
      <c r="J150" s="217">
        <f ca="1">IF(Amortization32[[#This Row],[closing
balance]]&gt;0,LastRow-ROW(),0)</f>
        <v>0</v>
      </c>
    </row>
    <row r="151" spans="2:10" ht="15" customHeight="1">
      <c r="B151" s="214" t="str">
        <f>IF(SUM(ROWS($B$4:B151))&gt;'Mortgage Calculator'!DurationOfLoan,"",SUM(ROWS($B$4:B151)))</f>
        <v/>
      </c>
      <c r="C151" s="215" t="str">
        <f ca="1">IFERROR(DATE(YEAR('Mortgage Calculator'!LoanStart), MONTH('Mortgage Calculator'!LoanStart) +B151,DAY('Mortgage Calculator'!LoanStart)), "")</f>
        <v/>
      </c>
      <c r="D151" s="216" t="str">
        <f>IFERROR(-FV('Mortgage Calculator'!InterestRate/12,B151-1,-'Mortgage Calculator'!MonthlyLoanPayment,'Mortgage Calculator'!LoanAmount),"")</f>
        <v/>
      </c>
      <c r="E151" s="216">
        <v>257.64283865497686</v>
      </c>
      <c r="F151" s="216">
        <v>223.00957079209519</v>
      </c>
      <c r="G151" s="216">
        <f ca="1">IF(Amortization32[[#This Row],[payment
date]]="",0,'Mortgage Calculator'!PropertyTaxAmount)</f>
        <v>0</v>
      </c>
      <c r="H151" s="216">
        <f ca="1">IF(Amortization32[[#This Row],[payment
date]]="",0,Amortization32[[#This Row],[interest]]+Amortization32[[#This Row],[principal]]+Amortization32[[#This Row],[property
tax]])</f>
        <v>0</v>
      </c>
      <c r="I151" s="216">
        <f ca="1">IF(Amortization32[[#This Row],[payment
date]]="",0,Amortization32[[#This Row],[opening
balance]]-Amortization32[[#This Row],[principal]])</f>
        <v>0</v>
      </c>
      <c r="J151" s="217">
        <f ca="1">IF(Amortization32[[#This Row],[closing
balance]]&gt;0,LastRow-ROW(),0)</f>
        <v>0</v>
      </c>
    </row>
    <row r="152" spans="2:10" ht="15" customHeight="1">
      <c r="B152" s="214" t="str">
        <f>IF(SUM(ROWS($B$4:B152))&gt;'Mortgage Calculator'!DurationOfLoan,"",SUM(ROWS($B$4:B152)))</f>
        <v/>
      </c>
      <c r="C152" s="215" t="str">
        <f ca="1">IFERROR(DATE(YEAR('Mortgage Calculator'!LoanStart), MONTH('Mortgage Calculator'!LoanStart) +B152,DAY('Mortgage Calculator'!LoanStart)), "")</f>
        <v/>
      </c>
      <c r="D152" s="216" t="str">
        <f>IFERROR(-FV('Mortgage Calculator'!InterestRate/12,B152-1,-'Mortgage Calculator'!MonthlyLoanPayment,'Mortgage Calculator'!LoanAmount),"")</f>
        <v/>
      </c>
      <c r="E152" s="216">
        <v>255.76893878929332</v>
      </c>
      <c r="F152" s="216">
        <v>224.86798388202939</v>
      </c>
      <c r="G152" s="216">
        <f ca="1">IF(Amortization32[[#This Row],[payment
date]]="",0,'Mortgage Calculator'!PropertyTaxAmount)</f>
        <v>0</v>
      </c>
      <c r="H152" s="216">
        <f ca="1">IF(Amortization32[[#This Row],[payment
date]]="",0,Amortization32[[#This Row],[interest]]+Amortization32[[#This Row],[principal]]+Amortization32[[#This Row],[property
tax]])</f>
        <v>0</v>
      </c>
      <c r="I152" s="216">
        <f ca="1">IF(Amortization32[[#This Row],[payment
date]]="",0,Amortization32[[#This Row],[opening
balance]]-Amortization32[[#This Row],[principal]])</f>
        <v>0</v>
      </c>
      <c r="J152" s="217">
        <f ca="1">IF(Amortization32[[#This Row],[closing
balance]]&gt;0,LastRow-ROW(),0)</f>
        <v>0</v>
      </c>
    </row>
    <row r="153" spans="2:10" ht="15" customHeight="1">
      <c r="B153" s="214" t="str">
        <f>IF(SUM(ROWS($B$4:B153))&gt;'Mortgage Calculator'!DurationOfLoan,"",SUM(ROWS($B$4:B153)))</f>
        <v/>
      </c>
      <c r="C153" s="215" t="str">
        <f ca="1">IFERROR(DATE(YEAR('Mortgage Calculator'!LoanStart), MONTH('Mortgage Calculator'!LoanStart) +B153,DAY('Mortgage Calculator'!LoanStart)), "")</f>
        <v/>
      </c>
      <c r="D153" s="216" t="str">
        <f>IFERROR(-FV('Mortgage Calculator'!InterestRate/12,B153-1,-'Mortgage Calculator'!MonthlyLoanPayment,'Mortgage Calculator'!LoanAmount),"")</f>
        <v/>
      </c>
      <c r="E153" s="216">
        <v>253.87942309139567</v>
      </c>
      <c r="F153" s="216">
        <v>226.74188374771302</v>
      </c>
      <c r="G153" s="216">
        <f ca="1">IF(Amortization32[[#This Row],[payment
date]]="",0,'Mortgage Calculator'!PropertyTaxAmount)</f>
        <v>0</v>
      </c>
      <c r="H153" s="216">
        <f ca="1">IF(Amortization32[[#This Row],[payment
date]]="",0,Amortization32[[#This Row],[interest]]+Amortization32[[#This Row],[principal]]+Amortization32[[#This Row],[property
tax]])</f>
        <v>0</v>
      </c>
      <c r="I153" s="216">
        <f ca="1">IF(Amortization32[[#This Row],[payment
date]]="",0,Amortization32[[#This Row],[opening
balance]]-Amortization32[[#This Row],[principal]])</f>
        <v>0</v>
      </c>
      <c r="J153" s="217">
        <f ca="1">IF(Amortization32[[#This Row],[closing
balance]]&gt;0,LastRow-ROW(),0)</f>
        <v>0</v>
      </c>
    </row>
    <row r="154" spans="2:10" ht="15" customHeight="1">
      <c r="B154" s="214" t="str">
        <f>IF(SUM(ROWS($B$4:B154))&gt;'Mortgage Calculator'!DurationOfLoan,"",SUM(ROWS($B$4:B154)))</f>
        <v/>
      </c>
      <c r="C154" s="215" t="str">
        <f ca="1">IFERROR(DATE(YEAR('Mortgage Calculator'!LoanStart), MONTH('Mortgage Calculator'!LoanStart) +B154,DAY('Mortgage Calculator'!LoanStart)), "")</f>
        <v/>
      </c>
      <c r="D154" s="216" t="str">
        <f>IFERROR(-FV('Mortgage Calculator'!InterestRate/12,B154-1,-'Mortgage Calculator'!MonthlyLoanPayment,'Mortgage Calculator'!LoanAmount),"")</f>
        <v/>
      </c>
      <c r="E154" s="216">
        <v>251.97416142934912</v>
      </c>
      <c r="F154" s="216">
        <v>228.63139944561061</v>
      </c>
      <c r="G154" s="216">
        <f ca="1">IF(Amortization32[[#This Row],[payment
date]]="",0,'Mortgage Calculator'!PropertyTaxAmount)</f>
        <v>0</v>
      </c>
      <c r="H154" s="216">
        <f ca="1">IF(Amortization32[[#This Row],[payment
date]]="",0,Amortization32[[#This Row],[interest]]+Amortization32[[#This Row],[principal]]+Amortization32[[#This Row],[property
tax]])</f>
        <v>0</v>
      </c>
      <c r="I154" s="216">
        <f ca="1">IF(Amortization32[[#This Row],[payment
date]]="",0,Amortization32[[#This Row],[opening
balance]]-Amortization32[[#This Row],[principal]])</f>
        <v>0</v>
      </c>
      <c r="J154" s="217">
        <f ca="1">IF(Amortization32[[#This Row],[closing
balance]]&gt;0,LastRow-ROW(),0)</f>
        <v>0</v>
      </c>
    </row>
    <row r="155" spans="2:10" ht="15" customHeight="1">
      <c r="B155" s="214" t="str">
        <f>IF(SUM(ROWS($B$4:B155))&gt;'Mortgage Calculator'!DurationOfLoan,"",SUM(ROWS($B$4:B155)))</f>
        <v/>
      </c>
      <c r="C155" s="215" t="str">
        <f ca="1">IFERROR(DATE(YEAR('Mortgage Calculator'!LoanStart), MONTH('Mortgage Calculator'!LoanStart) +B155,DAY('Mortgage Calculator'!LoanStart)), "")</f>
        <v/>
      </c>
      <c r="D155" s="216" t="str">
        <f>IFERROR(-FV('Mortgage Calculator'!InterestRate/12,B155-1,-'Mortgage Calculator'!MonthlyLoanPayment,'Mortgage Calculator'!LoanAmount),"")</f>
        <v/>
      </c>
      <c r="E155" s="216">
        <v>250.05302258678518</v>
      </c>
      <c r="F155" s="216">
        <v>230.53666110765758</v>
      </c>
      <c r="G155" s="216">
        <f ca="1">IF(Amortization32[[#This Row],[payment
date]]="",0,'Mortgage Calculator'!PropertyTaxAmount)</f>
        <v>0</v>
      </c>
      <c r="H155" s="216">
        <f ca="1">IF(Amortization32[[#This Row],[payment
date]]="",0,Amortization32[[#This Row],[interest]]+Amortization32[[#This Row],[principal]]+Amortization32[[#This Row],[property
tax]])</f>
        <v>0</v>
      </c>
      <c r="I155" s="216">
        <f ca="1">IF(Amortization32[[#This Row],[payment
date]]="",0,Amortization32[[#This Row],[opening
balance]]-Amortization32[[#This Row],[principal]])</f>
        <v>0</v>
      </c>
      <c r="J155" s="217">
        <f ca="1">IF(Amortization32[[#This Row],[closing
balance]]&gt;0,LastRow-ROW(),0)</f>
        <v>0</v>
      </c>
    </row>
    <row r="156" spans="2:10" ht="15" customHeight="1">
      <c r="B156" s="214" t="str">
        <f>IF(SUM(ROWS($B$4:B156))&gt;'Mortgage Calculator'!DurationOfLoan,"",SUM(ROWS($B$4:B156)))</f>
        <v/>
      </c>
      <c r="C156" s="215" t="str">
        <f ca="1">IFERROR(DATE(YEAR('Mortgage Calculator'!LoanStart), MONTH('Mortgage Calculator'!LoanStart) +B156,DAY('Mortgage Calculator'!LoanStart)), "")</f>
        <v/>
      </c>
      <c r="D156" s="216" t="str">
        <f>IFERROR(-FV('Mortgage Calculator'!InterestRate/12,B156-1,-'Mortgage Calculator'!MonthlyLoanPayment,'Mortgage Calculator'!LoanAmount),"")</f>
        <v/>
      </c>
      <c r="E156" s="216">
        <v>248.11587425386679</v>
      </c>
      <c r="F156" s="216">
        <v>232.45779995022124</v>
      </c>
      <c r="G156" s="216">
        <f ca="1">IF(Amortization32[[#This Row],[payment
date]]="",0,'Mortgage Calculator'!PropertyTaxAmount)</f>
        <v>0</v>
      </c>
      <c r="H156" s="216">
        <f ca="1">IF(Amortization32[[#This Row],[payment
date]]="",0,Amortization32[[#This Row],[interest]]+Amortization32[[#This Row],[principal]]+Amortization32[[#This Row],[property
tax]])</f>
        <v>0</v>
      </c>
      <c r="I156" s="216">
        <f ca="1">IF(Amortization32[[#This Row],[payment
date]]="",0,Amortization32[[#This Row],[opening
balance]]-Amortization32[[#This Row],[principal]])</f>
        <v>0</v>
      </c>
      <c r="J156" s="217">
        <f ca="1">IF(Amortization32[[#This Row],[closing
balance]]&gt;0,LastRow-ROW(),0)</f>
        <v>0</v>
      </c>
    </row>
    <row r="157" spans="2:10" ht="15" customHeight="1">
      <c r="B157" s="214" t="str">
        <f>IF(SUM(ROWS($B$4:B157))&gt;'Mortgage Calculator'!DurationOfLoan,"",SUM(ROWS($B$4:B157)))</f>
        <v/>
      </c>
      <c r="C157" s="215" t="str">
        <f ca="1">IFERROR(DATE(YEAR('Mortgage Calculator'!LoanStart), MONTH('Mortgage Calculator'!LoanStart) +B157,DAY('Mortgage Calculator'!LoanStart)), "")</f>
        <v/>
      </c>
      <c r="D157" s="216" t="str">
        <f>IFERROR(-FV('Mortgage Calculator'!InterestRate/12,B157-1,-'Mortgage Calculator'!MonthlyLoanPayment,'Mortgage Calculator'!LoanAmount),"")</f>
        <v/>
      </c>
      <c r="E157" s="216">
        <v>246.16258301817385</v>
      </c>
      <c r="F157" s="216">
        <v>234.39494828313983</v>
      </c>
      <c r="G157" s="216">
        <f ca="1">IF(Amortization32[[#This Row],[payment
date]]="",0,'Mortgage Calculator'!PropertyTaxAmount)</f>
        <v>0</v>
      </c>
      <c r="H157" s="216">
        <f ca="1">IF(Amortization32[[#This Row],[payment
date]]="",0,Amortization32[[#This Row],[interest]]+Amortization32[[#This Row],[principal]]+Amortization32[[#This Row],[property
tax]])</f>
        <v>0</v>
      </c>
      <c r="I157" s="216">
        <f ca="1">IF(Amortization32[[#This Row],[payment
date]]="",0,Amortization32[[#This Row],[opening
balance]]-Amortization32[[#This Row],[principal]])</f>
        <v>0</v>
      </c>
      <c r="J157" s="217">
        <f ca="1">IF(Amortization32[[#This Row],[closing
balance]]&gt;0,LastRow-ROW(),0)</f>
        <v>0</v>
      </c>
    </row>
    <row r="158" spans="2:10" ht="15" customHeight="1">
      <c r="B158" s="214" t="str">
        <f>IF(SUM(ROWS($B$4:B158))&gt;'Mortgage Calculator'!DurationOfLoan,"",SUM(ROWS($B$4:B158)))</f>
        <v/>
      </c>
      <c r="C158" s="215" t="str">
        <f ca="1">IFERROR(DATE(YEAR('Mortgage Calculator'!LoanStart), MONTH('Mortgage Calculator'!LoanStart) +B158,DAY('Mortgage Calculator'!LoanStart)), "")</f>
        <v/>
      </c>
      <c r="D158" s="216" t="str">
        <f>IFERROR(-FV('Mortgage Calculator'!InterestRate/12,B158-1,-'Mortgage Calculator'!MonthlyLoanPayment,'Mortgage Calculator'!LoanAmount),"")</f>
        <v/>
      </c>
      <c r="E158" s="216">
        <v>244.19301435551679</v>
      </c>
      <c r="F158" s="216">
        <v>236.3482395188326</v>
      </c>
      <c r="G158" s="216">
        <f ca="1">IF(Amortization32[[#This Row],[payment
date]]="",0,'Mortgage Calculator'!PropertyTaxAmount)</f>
        <v>0</v>
      </c>
      <c r="H158" s="216">
        <f ca="1">IF(Amortization32[[#This Row],[payment
date]]="",0,Amortization32[[#This Row],[interest]]+Amortization32[[#This Row],[principal]]+Amortization32[[#This Row],[property
tax]])</f>
        <v>0</v>
      </c>
      <c r="I158" s="216">
        <f ca="1">IF(Amortization32[[#This Row],[payment
date]]="",0,Amortization32[[#This Row],[opening
balance]]-Amortization32[[#This Row],[principal]])</f>
        <v>0</v>
      </c>
      <c r="J158" s="217">
        <f ca="1">IF(Amortization32[[#This Row],[closing
balance]]&gt;0,LastRow-ROW(),0)</f>
        <v>0</v>
      </c>
    </row>
    <row r="159" spans="2:10" ht="15" customHeight="1">
      <c r="B159" s="214" t="str">
        <f>IF(SUM(ROWS($B$4:B159))&gt;'Mortgage Calculator'!DurationOfLoan,"",SUM(ROWS($B$4:B159)))</f>
        <v/>
      </c>
      <c r="C159" s="215" t="str">
        <f ca="1">IFERROR(DATE(YEAR('Mortgage Calculator'!LoanStart), MONTH('Mortgage Calculator'!LoanStart) +B159,DAY('Mortgage Calculator'!LoanStart)), "")</f>
        <v/>
      </c>
      <c r="D159" s="216" t="str">
        <f>IFERROR(-FV('Mortgage Calculator'!InterestRate/12,B159-1,-'Mortgage Calculator'!MonthlyLoanPayment,'Mortgage Calculator'!LoanAmount),"")</f>
        <v/>
      </c>
      <c r="E159" s="216">
        <v>242.20703262067133</v>
      </c>
      <c r="F159" s="216">
        <v>238.3178081814894</v>
      </c>
      <c r="G159" s="216">
        <f ca="1">IF(Amortization32[[#This Row],[payment
date]]="",0,'Mortgage Calculator'!PropertyTaxAmount)</f>
        <v>0</v>
      </c>
      <c r="H159" s="216">
        <f ca="1">IF(Amortization32[[#This Row],[payment
date]]="",0,Amortization32[[#This Row],[interest]]+Amortization32[[#This Row],[principal]]+Amortization32[[#This Row],[property
tax]])</f>
        <v>0</v>
      </c>
      <c r="I159" s="216">
        <f ca="1">IF(Amortization32[[#This Row],[payment
date]]="",0,Amortization32[[#This Row],[opening
balance]]-Amortization32[[#This Row],[principal]])</f>
        <v>0</v>
      </c>
      <c r="J159" s="217">
        <f ca="1">IF(Amortization32[[#This Row],[closing
balance]]&gt;0,LastRow-ROW(),0)</f>
        <v>0</v>
      </c>
    </row>
    <row r="160" spans="2:10" ht="15" customHeight="1">
      <c r="B160" s="214" t="str">
        <f>IF(SUM(ROWS($B$4:B160))&gt;'Mortgage Calculator'!DurationOfLoan,"",SUM(ROWS($B$4:B160)))</f>
        <v/>
      </c>
      <c r="C160" s="215" t="str">
        <f ca="1">IFERROR(DATE(YEAR('Mortgage Calculator'!LoanStart), MONTH('Mortgage Calculator'!LoanStart) +B160,DAY('Mortgage Calculator'!LoanStart)), "")</f>
        <v/>
      </c>
      <c r="D160" s="216" t="str">
        <f>IFERROR(-FV('Mortgage Calculator'!InterestRate/12,B160-1,-'Mortgage Calculator'!MonthlyLoanPayment,'Mortgage Calculator'!LoanAmount),"")</f>
        <v/>
      </c>
      <c r="E160" s="216">
        <v>240.20450103803523</v>
      </c>
      <c r="F160" s="216">
        <v>240.3037899163354</v>
      </c>
      <c r="G160" s="216">
        <f ca="1">IF(Amortization32[[#This Row],[payment
date]]="",0,'Mortgage Calculator'!PropertyTaxAmount)</f>
        <v>0</v>
      </c>
      <c r="H160" s="216">
        <f ca="1">IF(Amortization32[[#This Row],[payment
date]]="",0,Amortization32[[#This Row],[interest]]+Amortization32[[#This Row],[principal]]+Amortization32[[#This Row],[property
tax]])</f>
        <v>0</v>
      </c>
      <c r="I160" s="216">
        <f ca="1">IF(Amortization32[[#This Row],[payment
date]]="",0,Amortization32[[#This Row],[opening
balance]]-Amortization32[[#This Row],[principal]])</f>
        <v>0</v>
      </c>
      <c r="J160" s="217">
        <f ca="1">IF(Amortization32[[#This Row],[closing
balance]]&gt;0,LastRow-ROW(),0)</f>
        <v>0</v>
      </c>
    </row>
    <row r="161" spans="2:10" ht="15" customHeight="1">
      <c r="B161" s="214" t="str">
        <f>IF(SUM(ROWS($B$4:B161))&gt;'Mortgage Calculator'!DurationOfLoan,"",SUM(ROWS($B$4:B161)))</f>
        <v/>
      </c>
      <c r="C161" s="215" t="str">
        <f ca="1">IFERROR(DATE(YEAR('Mortgage Calculator'!LoanStart), MONTH('Mortgage Calculator'!LoanStart) +B161,DAY('Mortgage Calculator'!LoanStart)), "")</f>
        <v/>
      </c>
      <c r="D161" s="216" t="str">
        <f>IFERROR(-FV('Mortgage Calculator'!InterestRate/12,B161-1,-'Mortgage Calculator'!MonthlyLoanPayment,'Mortgage Calculator'!LoanAmount),"")</f>
        <v/>
      </c>
      <c r="E161" s="216">
        <v>238.18528169221051</v>
      </c>
      <c r="F161" s="216">
        <v>242.30632149897153</v>
      </c>
      <c r="G161" s="216">
        <f ca="1">IF(Amortization32[[#This Row],[payment
date]]="",0,'Mortgage Calculator'!PropertyTaxAmount)</f>
        <v>0</v>
      </c>
      <c r="H161" s="216">
        <f ca="1">IF(Amortization32[[#This Row],[payment
date]]="",0,Amortization32[[#This Row],[interest]]+Amortization32[[#This Row],[principal]]+Amortization32[[#This Row],[property
tax]])</f>
        <v>0</v>
      </c>
      <c r="I161" s="216">
        <f ca="1">IF(Amortization32[[#This Row],[payment
date]]="",0,Amortization32[[#This Row],[opening
balance]]-Amortization32[[#This Row],[principal]])</f>
        <v>0</v>
      </c>
      <c r="J161" s="217">
        <f ca="1">IF(Amortization32[[#This Row],[closing
balance]]&gt;0,LastRow-ROW(),0)</f>
        <v>0</v>
      </c>
    </row>
    <row r="162" spans="2:10" ht="15" customHeight="1">
      <c r="B162" s="214" t="str">
        <f>IF(SUM(ROWS($B$4:B162))&gt;'Mortgage Calculator'!DurationOfLoan,"",SUM(ROWS($B$4:B162)))</f>
        <v/>
      </c>
      <c r="C162" s="215" t="str">
        <f ca="1">IFERROR(DATE(YEAR('Mortgage Calculator'!LoanStart), MONTH('Mortgage Calculator'!LoanStart) +B162,DAY('Mortgage Calculator'!LoanStart)), "")</f>
        <v/>
      </c>
      <c r="D162" s="216" t="str">
        <f>IFERROR(-FV('Mortgage Calculator'!InterestRate/12,B162-1,-'Mortgage Calculator'!MonthlyLoanPayment,'Mortgage Calculator'!LoanAmount),"")</f>
        <v/>
      </c>
      <c r="E162" s="216">
        <v>236.1492355185037</v>
      </c>
      <c r="F162" s="216">
        <v>244.32554084479634</v>
      </c>
      <c r="G162" s="216">
        <f ca="1">IF(Amortization32[[#This Row],[payment
date]]="",0,'Mortgage Calculator'!PropertyTaxAmount)</f>
        <v>0</v>
      </c>
      <c r="H162" s="216">
        <f ca="1">IF(Amortization32[[#This Row],[payment
date]]="",0,Amortization32[[#This Row],[interest]]+Amortization32[[#This Row],[principal]]+Amortization32[[#This Row],[property
tax]])</f>
        <v>0</v>
      </c>
      <c r="I162" s="216">
        <f ca="1">IF(Amortization32[[#This Row],[payment
date]]="",0,Amortization32[[#This Row],[opening
balance]]-Amortization32[[#This Row],[principal]])</f>
        <v>0</v>
      </c>
      <c r="J162" s="217">
        <f ca="1">IF(Amortization32[[#This Row],[closing
balance]]&gt;0,LastRow-ROW(),0)</f>
        <v>0</v>
      </c>
    </row>
    <row r="163" spans="2:10" ht="15" customHeight="1">
      <c r="B163" s="214" t="str">
        <f>IF(SUM(ROWS($B$4:B163))&gt;'Mortgage Calculator'!DurationOfLoan,"",SUM(ROWS($B$4:B163)))</f>
        <v/>
      </c>
      <c r="C163" s="215" t="str">
        <f ca="1">IFERROR(DATE(YEAR('Mortgage Calculator'!LoanStart), MONTH('Mortgage Calculator'!LoanStart) +B163,DAY('Mortgage Calculator'!LoanStart)), "")</f>
        <v/>
      </c>
      <c r="D163" s="216" t="str">
        <f>IFERROR(-FV('Mortgage Calculator'!InterestRate/12,B163-1,-'Mortgage Calculator'!MonthlyLoanPayment,'Mortgage Calculator'!LoanAmount),"")</f>
        <v/>
      </c>
      <c r="E163" s="216">
        <v>234.09622229334977</v>
      </c>
      <c r="F163" s="216">
        <v>246.36158701850283</v>
      </c>
      <c r="G163" s="216">
        <f ca="1">IF(Amortization32[[#This Row],[payment
date]]="",0,'Mortgage Calculator'!PropertyTaxAmount)</f>
        <v>0</v>
      </c>
      <c r="H163" s="216">
        <f ca="1">IF(Amortization32[[#This Row],[payment
date]]="",0,Amortization32[[#This Row],[interest]]+Amortization32[[#This Row],[principal]]+Amortization32[[#This Row],[property
tax]])</f>
        <v>0</v>
      </c>
      <c r="I163" s="216">
        <f ca="1">IF(Amortization32[[#This Row],[payment
date]]="",0,Amortization32[[#This Row],[opening
balance]]-Amortization32[[#This Row],[principal]])</f>
        <v>0</v>
      </c>
      <c r="J163" s="217">
        <f ca="1">IF(Amortization32[[#This Row],[closing
balance]]&gt;0,LastRow-ROW(),0)</f>
        <v>0</v>
      </c>
    </row>
    <row r="164" spans="2:10" ht="15" customHeight="1">
      <c r="B164" s="214" t="str">
        <f>IF(SUM(ROWS($B$4:B164))&gt;'Mortgage Calculator'!DurationOfLoan,"",SUM(ROWS($B$4:B164)))</f>
        <v/>
      </c>
      <c r="C164" s="215" t="str">
        <f ca="1">IFERROR(DATE(YEAR('Mortgage Calculator'!LoanStart), MONTH('Mortgage Calculator'!LoanStart) +B164,DAY('Mortgage Calculator'!LoanStart)), "")</f>
        <v/>
      </c>
      <c r="D164" s="216" t="str">
        <f>IFERROR(-FV('Mortgage Calculator'!InterestRate/12,B164-1,-'Mortgage Calculator'!MonthlyLoanPayment,'Mortgage Calculator'!LoanAmount),"")</f>
        <v/>
      </c>
      <c r="E164" s="216">
        <v>232.02610062465271</v>
      </c>
      <c r="F164" s="216">
        <v>248.41460024365728</v>
      </c>
      <c r="G164" s="216">
        <f ca="1">IF(Amortization32[[#This Row],[payment
date]]="",0,'Mortgage Calculator'!PropertyTaxAmount)</f>
        <v>0</v>
      </c>
      <c r="H164" s="216">
        <f ca="1">IF(Amortization32[[#This Row],[payment
date]]="",0,Amortization32[[#This Row],[interest]]+Amortization32[[#This Row],[principal]]+Amortization32[[#This Row],[property
tax]])</f>
        <v>0</v>
      </c>
      <c r="I164" s="216">
        <f ca="1">IF(Amortization32[[#This Row],[payment
date]]="",0,Amortization32[[#This Row],[opening
balance]]-Amortization32[[#This Row],[principal]])</f>
        <v>0</v>
      </c>
      <c r="J164" s="217">
        <f ca="1">IF(Amortization32[[#This Row],[closing
balance]]&gt;0,LastRow-ROW(),0)</f>
        <v>0</v>
      </c>
    </row>
    <row r="165" spans="2:10" ht="15" customHeight="1">
      <c r="B165" s="214" t="str">
        <f>IF(SUM(ROWS($B$4:B165))&gt;'Mortgage Calculator'!DurationOfLoan,"",SUM(ROWS($B$4:B165)))</f>
        <v/>
      </c>
      <c r="C165" s="215" t="str">
        <f ca="1">IFERROR(DATE(YEAR('Mortgage Calculator'!LoanStart), MONTH('Mortgage Calculator'!LoanStart) +B165,DAY('Mortgage Calculator'!LoanStart)), "")</f>
        <v/>
      </c>
      <c r="D165" s="216" t="str">
        <f>IFERROR(-FV('Mortgage Calculator'!InterestRate/12,B165-1,-'Mortgage Calculator'!MonthlyLoanPayment,'Mortgage Calculator'!LoanAmount),"")</f>
        <v/>
      </c>
      <c r="E165" s="216">
        <v>229.93872794204992</v>
      </c>
      <c r="F165" s="216">
        <v>250.48472191235456</v>
      </c>
      <c r="G165" s="216">
        <f ca="1">IF(Amortization32[[#This Row],[payment
date]]="",0,'Mortgage Calculator'!PropertyTaxAmount)</f>
        <v>0</v>
      </c>
      <c r="H165" s="216">
        <f ca="1">IF(Amortization32[[#This Row],[payment
date]]="",0,Amortization32[[#This Row],[interest]]+Amortization32[[#This Row],[principal]]+Amortization32[[#This Row],[property
tax]])</f>
        <v>0</v>
      </c>
      <c r="I165" s="216">
        <f ca="1">IF(Amortization32[[#This Row],[payment
date]]="",0,Amortization32[[#This Row],[opening
balance]]-Amortization32[[#This Row],[principal]])</f>
        <v>0</v>
      </c>
      <c r="J165" s="217">
        <f ca="1">IF(Amortization32[[#This Row],[closing
balance]]&gt;0,LastRow-ROW(),0)</f>
        <v>0</v>
      </c>
    </row>
    <row r="166" spans="2:10" ht="15" customHeight="1">
      <c r="B166" s="214" t="str">
        <f>IF(SUM(ROWS($B$4:B166))&gt;'Mortgage Calculator'!DurationOfLoan,"",SUM(ROWS($B$4:B166)))</f>
        <v/>
      </c>
      <c r="C166" s="215" t="str">
        <f ca="1">IFERROR(DATE(YEAR('Mortgage Calculator'!LoanStart), MONTH('Mortgage Calculator'!LoanStart) +B166,DAY('Mortgage Calculator'!LoanStart)), "")</f>
        <v/>
      </c>
      <c r="D166" s="216" t="str">
        <f>IFERROR(-FV('Mortgage Calculator'!InterestRate/12,B166-1,-'Mortgage Calculator'!MonthlyLoanPayment,'Mortgage Calculator'!LoanAmount),"")</f>
        <v/>
      </c>
      <c r="E166" s="216">
        <v>227.83396048709182</v>
      </c>
      <c r="F166" s="216">
        <v>252.57209459495766</v>
      </c>
      <c r="G166" s="216">
        <f ca="1">IF(Amortization32[[#This Row],[payment
date]]="",0,'Mortgage Calculator'!PropertyTaxAmount)</f>
        <v>0</v>
      </c>
      <c r="H166" s="216">
        <f ca="1">IF(Amortization32[[#This Row],[payment
date]]="",0,Amortization32[[#This Row],[interest]]+Amortization32[[#This Row],[principal]]+Amortization32[[#This Row],[property
tax]])</f>
        <v>0</v>
      </c>
      <c r="I166" s="216">
        <f ca="1">IF(Amortization32[[#This Row],[payment
date]]="",0,Amortization32[[#This Row],[opening
balance]]-Amortization32[[#This Row],[principal]])</f>
        <v>0</v>
      </c>
      <c r="J166" s="217">
        <f ca="1">IF(Amortization32[[#This Row],[closing
balance]]&gt;0,LastRow-ROW(),0)</f>
        <v>0</v>
      </c>
    </row>
    <row r="167" spans="2:10" ht="15" customHeight="1">
      <c r="B167" s="214" t="str">
        <f>IF(SUM(ROWS($B$4:B167))&gt;'Mortgage Calculator'!DurationOfLoan,"",SUM(ROWS($B$4:B167)))</f>
        <v/>
      </c>
      <c r="C167" s="215" t="str">
        <f ca="1">IFERROR(DATE(YEAR('Mortgage Calculator'!LoanStart), MONTH('Mortgage Calculator'!LoanStart) +B167,DAY('Mortgage Calculator'!LoanStart)), "")</f>
        <v/>
      </c>
      <c r="D167" s="216" t="str">
        <f>IFERROR(-FV('Mortgage Calculator'!InterestRate/12,B167-1,-'Mortgage Calculator'!MonthlyLoanPayment,'Mortgage Calculator'!LoanAmount),"")</f>
        <v/>
      </c>
      <c r="E167" s="216">
        <v>225.71165330334236</v>
      </c>
      <c r="F167" s="216">
        <v>254.67686204991551</v>
      </c>
      <c r="G167" s="216">
        <f ca="1">IF(Amortization32[[#This Row],[payment
date]]="",0,'Mortgage Calculator'!PropertyTaxAmount)</f>
        <v>0</v>
      </c>
      <c r="H167" s="216">
        <f ca="1">IF(Amortization32[[#This Row],[payment
date]]="",0,Amortization32[[#This Row],[interest]]+Amortization32[[#This Row],[principal]]+Amortization32[[#This Row],[property
tax]])</f>
        <v>0</v>
      </c>
      <c r="I167" s="216">
        <f ca="1">IF(Amortization32[[#This Row],[payment
date]]="",0,Amortization32[[#This Row],[opening
balance]]-Amortization32[[#This Row],[principal]])</f>
        <v>0</v>
      </c>
      <c r="J167" s="217">
        <f ca="1">IF(Amortization32[[#This Row],[closing
balance]]&gt;0,LastRow-ROW(),0)</f>
        <v>0</v>
      </c>
    </row>
    <row r="168" spans="2:10" ht="15" customHeight="1">
      <c r="B168" s="214" t="str">
        <f>IF(SUM(ROWS($B$4:B168))&gt;'Mortgage Calculator'!DurationOfLoan,"",SUM(ROWS($B$4:B168)))</f>
        <v/>
      </c>
      <c r="C168" s="215" t="str">
        <f ca="1">IFERROR(DATE(YEAR('Mortgage Calculator'!LoanStart), MONTH('Mortgage Calculator'!LoanStart) +B168,DAY('Mortgage Calculator'!LoanStart)), "")</f>
        <v/>
      </c>
      <c r="D168" s="216" t="str">
        <f>IFERROR(-FV('Mortgage Calculator'!InterestRate/12,B168-1,-'Mortgage Calculator'!MonthlyLoanPayment,'Mortgage Calculator'!LoanAmount),"")</f>
        <v/>
      </c>
      <c r="E168" s="216">
        <v>223.57166022639552</v>
      </c>
      <c r="F168" s="216">
        <v>256.79916923366466</v>
      </c>
      <c r="G168" s="216">
        <f ca="1">IF(Amortization32[[#This Row],[payment
date]]="",0,'Mortgage Calculator'!PropertyTaxAmount)</f>
        <v>0</v>
      </c>
      <c r="H168" s="216">
        <f ca="1">IF(Amortization32[[#This Row],[payment
date]]="",0,Amortization32[[#This Row],[interest]]+Amortization32[[#This Row],[principal]]+Amortization32[[#This Row],[property
tax]])</f>
        <v>0</v>
      </c>
      <c r="I168" s="216">
        <f ca="1">IF(Amortization32[[#This Row],[payment
date]]="",0,Amortization32[[#This Row],[opening
balance]]-Amortization32[[#This Row],[principal]])</f>
        <v>0</v>
      </c>
      <c r="J168" s="217">
        <f ca="1">IF(Amortization32[[#This Row],[closing
balance]]&gt;0,LastRow-ROW(),0)</f>
        <v>0</v>
      </c>
    </row>
    <row r="169" spans="2:10" ht="15" customHeight="1">
      <c r="B169" s="214" t="str">
        <f>IF(SUM(ROWS($B$4:B169))&gt;'Mortgage Calculator'!DurationOfLoan,"",SUM(ROWS($B$4:B169)))</f>
        <v/>
      </c>
      <c r="C169" s="215" t="str">
        <f ca="1">IFERROR(DATE(YEAR('Mortgage Calculator'!LoanStart), MONTH('Mortgage Calculator'!LoanStart) +B169,DAY('Mortgage Calculator'!LoanStart)), "")</f>
        <v/>
      </c>
      <c r="D169" s="216" t="str">
        <f>IFERROR(-FV('Mortgage Calculator'!InterestRate/12,B169-1,-'Mortgage Calculator'!MonthlyLoanPayment,'Mortgage Calculator'!LoanAmount),"")</f>
        <v/>
      </c>
      <c r="E169" s="216">
        <v>221.41383387380702</v>
      </c>
      <c r="F169" s="216">
        <v>258.93916231061223</v>
      </c>
      <c r="G169" s="216">
        <f ca="1">IF(Amortization32[[#This Row],[payment
date]]="",0,'Mortgage Calculator'!PropertyTaxAmount)</f>
        <v>0</v>
      </c>
      <c r="H169" s="216">
        <f ca="1">IF(Amortization32[[#This Row],[payment
date]]="",0,Amortization32[[#This Row],[interest]]+Amortization32[[#This Row],[principal]]+Amortization32[[#This Row],[property
tax]])</f>
        <v>0</v>
      </c>
      <c r="I169" s="216">
        <f ca="1">IF(Amortization32[[#This Row],[payment
date]]="",0,Amortization32[[#This Row],[opening
balance]]-Amortization32[[#This Row],[principal]])</f>
        <v>0</v>
      </c>
      <c r="J169" s="217">
        <f ca="1">IF(Amortization32[[#This Row],[closing
balance]]&gt;0,LastRow-ROW(),0)</f>
        <v>0</v>
      </c>
    </row>
    <row r="170" spans="2:10" ht="15" customHeight="1">
      <c r="B170" s="214" t="str">
        <f>IF(SUM(ROWS($B$4:B170))&gt;'Mortgage Calculator'!DurationOfLoan,"",SUM(ROWS($B$4:B170)))</f>
        <v/>
      </c>
      <c r="C170" s="215" t="str">
        <f ca="1">IFERROR(DATE(YEAR('Mortgage Calculator'!LoanStart), MONTH('Mortgage Calculator'!LoanStart) +B170,DAY('Mortgage Calculator'!LoanStart)), "")</f>
        <v/>
      </c>
      <c r="D170" s="216" t="str">
        <f>IFERROR(-FV('Mortgage Calculator'!InterestRate/12,B170-1,-'Mortgage Calculator'!MonthlyLoanPayment,'Mortgage Calculator'!LoanAmount),"")</f>
        <v/>
      </c>
      <c r="E170" s="216">
        <v>219.23802563494706</v>
      </c>
      <c r="F170" s="216">
        <v>261.09698866320065</v>
      </c>
      <c r="G170" s="216">
        <f ca="1">IF(Amortization32[[#This Row],[payment
date]]="",0,'Mortgage Calculator'!PropertyTaxAmount)</f>
        <v>0</v>
      </c>
      <c r="H170" s="216">
        <f ca="1">IF(Amortization32[[#This Row],[payment
date]]="",0,Amortization32[[#This Row],[interest]]+Amortization32[[#This Row],[principal]]+Amortization32[[#This Row],[property
tax]])</f>
        <v>0</v>
      </c>
      <c r="I170" s="216">
        <f ca="1">IF(Amortization32[[#This Row],[payment
date]]="",0,Amortization32[[#This Row],[opening
balance]]-Amortization32[[#This Row],[principal]])</f>
        <v>0</v>
      </c>
      <c r="J170" s="217">
        <f ca="1">IF(Amortization32[[#This Row],[closing
balance]]&gt;0,LastRow-ROW(),0)</f>
        <v>0</v>
      </c>
    </row>
    <row r="171" spans="2:10" ht="15" customHeight="1">
      <c r="B171" s="214" t="str">
        <f>IF(SUM(ROWS($B$4:B171))&gt;'Mortgage Calculator'!DurationOfLoan,"",SUM(ROWS($B$4:B171)))</f>
        <v/>
      </c>
      <c r="C171" s="215" t="str">
        <f ca="1">IFERROR(DATE(YEAR('Mortgage Calculator'!LoanStart), MONTH('Mortgage Calculator'!LoanStart) +B171,DAY('Mortgage Calculator'!LoanStart)), "")</f>
        <v/>
      </c>
      <c r="D171" s="216" t="str">
        <f>IFERROR(-FV('Mortgage Calculator'!InterestRate/12,B171-1,-'Mortgage Calculator'!MonthlyLoanPayment,'Mortgage Calculator'!LoanAmount),"")</f>
        <v/>
      </c>
      <c r="E171" s="216">
        <v>217.04408566076333</v>
      </c>
      <c r="F171" s="216">
        <v>263.27279690206069</v>
      </c>
      <c r="G171" s="216">
        <f ca="1">IF(Amortization32[[#This Row],[payment
date]]="",0,'Mortgage Calculator'!PropertyTaxAmount)</f>
        <v>0</v>
      </c>
      <c r="H171" s="216">
        <f ca="1">IF(Amortization32[[#This Row],[payment
date]]="",0,Amortization32[[#This Row],[interest]]+Amortization32[[#This Row],[principal]]+Amortization32[[#This Row],[property
tax]])</f>
        <v>0</v>
      </c>
      <c r="I171" s="216">
        <f ca="1">IF(Amortization32[[#This Row],[payment
date]]="",0,Amortization32[[#This Row],[opening
balance]]-Amortization32[[#This Row],[principal]])</f>
        <v>0</v>
      </c>
      <c r="J171" s="217">
        <f ca="1">IF(Amortization32[[#This Row],[closing
balance]]&gt;0,LastRow-ROW(),0)</f>
        <v>0</v>
      </c>
    </row>
    <row r="172" spans="2:10" ht="15" customHeight="1">
      <c r="B172" s="214" t="str">
        <f>IF(SUM(ROWS($B$4:B172))&gt;'Mortgage Calculator'!DurationOfLoan,"",SUM(ROWS($B$4:B172)))</f>
        <v/>
      </c>
      <c r="C172" s="215" t="str">
        <f ca="1">IFERROR(DATE(YEAR('Mortgage Calculator'!LoanStart), MONTH('Mortgage Calculator'!LoanStart) +B172,DAY('Mortgage Calculator'!LoanStart)), "")</f>
        <v/>
      </c>
      <c r="D172" s="216" t="str">
        <f>IFERROR(-FV('Mortgage Calculator'!InterestRate/12,B172-1,-'Mortgage Calculator'!MonthlyLoanPayment,'Mortgage Calculator'!LoanAmount),"")</f>
        <v/>
      </c>
      <c r="E172" s="216">
        <v>214.83186285346116</v>
      </c>
      <c r="F172" s="216">
        <v>265.46673687624462</v>
      </c>
      <c r="G172" s="216">
        <f ca="1">IF(Amortization32[[#This Row],[payment
date]]="",0,'Mortgage Calculator'!PropertyTaxAmount)</f>
        <v>0</v>
      </c>
      <c r="H172" s="216">
        <f ca="1">IF(Amortization32[[#This Row],[payment
date]]="",0,Amortization32[[#This Row],[interest]]+Amortization32[[#This Row],[principal]]+Amortization32[[#This Row],[property
tax]])</f>
        <v>0</v>
      </c>
      <c r="I172" s="216">
        <f ca="1">IF(Amortization32[[#This Row],[payment
date]]="",0,Amortization32[[#This Row],[opening
balance]]-Amortization32[[#This Row],[principal]])</f>
        <v>0</v>
      </c>
      <c r="J172" s="217">
        <f ca="1">IF(Amortization32[[#This Row],[closing
balance]]&gt;0,LastRow-ROW(),0)</f>
        <v>0</v>
      </c>
    </row>
    <row r="173" spans="2:10" ht="15" customHeight="1">
      <c r="B173" s="214" t="str">
        <f>IF(SUM(ROWS($B$4:B173))&gt;'Mortgage Calculator'!DurationOfLoan,"",SUM(ROWS($B$4:B173)))</f>
        <v/>
      </c>
      <c r="C173" s="215" t="str">
        <f ca="1">IFERROR(DATE(YEAR('Mortgage Calculator'!LoanStart), MONTH('Mortgage Calculator'!LoanStart) +B173,DAY('Mortgage Calculator'!LoanStart)), "")</f>
        <v/>
      </c>
      <c r="D173" s="216" t="str">
        <f>IFERROR(-FV('Mortgage Calculator'!InterestRate/12,B173-1,-'Mortgage Calculator'!MonthlyLoanPayment,'Mortgage Calculator'!LoanAmount),"")</f>
        <v/>
      </c>
      <c r="E173" s="216">
        <v>212.60120485609829</v>
      </c>
      <c r="F173" s="216">
        <v>267.67895968354651</v>
      </c>
      <c r="G173" s="216">
        <f ca="1">IF(Amortization32[[#This Row],[payment
date]]="",0,'Mortgage Calculator'!PropertyTaxAmount)</f>
        <v>0</v>
      </c>
      <c r="H173" s="216">
        <f ca="1">IF(Amortization32[[#This Row],[payment
date]]="",0,Amortization32[[#This Row],[interest]]+Amortization32[[#This Row],[principal]]+Amortization32[[#This Row],[property
tax]])</f>
        <v>0</v>
      </c>
      <c r="I173" s="216">
        <f ca="1">IF(Amortization32[[#This Row],[payment
date]]="",0,Amortization32[[#This Row],[opening
balance]]-Amortization32[[#This Row],[principal]])</f>
        <v>0</v>
      </c>
      <c r="J173" s="217">
        <f ca="1">IF(Amortization32[[#This Row],[closing
balance]]&gt;0,LastRow-ROW(),0)</f>
        <v>0</v>
      </c>
    </row>
    <row r="174" spans="2:10" ht="15" customHeight="1">
      <c r="B174" s="214" t="str">
        <f>IF(SUM(ROWS($B$4:B174))&gt;'Mortgage Calculator'!DurationOfLoan,"",SUM(ROWS($B$4:B174)))</f>
        <v/>
      </c>
      <c r="C174" s="215" t="str">
        <f ca="1">IFERROR(DATE(YEAR('Mortgage Calculator'!LoanStart), MONTH('Mortgage Calculator'!LoanStart) +B174,DAY('Mortgage Calculator'!LoanStart)), "")</f>
        <v/>
      </c>
      <c r="D174" s="216" t="str">
        <f>IFERROR(-FV('Mortgage Calculator'!InterestRate/12,B174-1,-'Mortgage Calculator'!MonthlyLoanPayment,'Mortgage Calculator'!LoanAmount),"")</f>
        <v/>
      </c>
      <c r="E174" s="216">
        <v>210.3519580420907</v>
      </c>
      <c r="F174" s="216">
        <v>269.90961768090938</v>
      </c>
      <c r="G174" s="216">
        <f ca="1">IF(Amortization32[[#This Row],[payment
date]]="",0,'Mortgage Calculator'!PropertyTaxAmount)</f>
        <v>0</v>
      </c>
      <c r="H174" s="216">
        <f ca="1">IF(Amortization32[[#This Row],[payment
date]]="",0,Amortization32[[#This Row],[interest]]+Amortization32[[#This Row],[principal]]+Amortization32[[#This Row],[property
tax]])</f>
        <v>0</v>
      </c>
      <c r="I174" s="216">
        <f ca="1">IF(Amortization32[[#This Row],[payment
date]]="",0,Amortization32[[#This Row],[opening
balance]]-Amortization32[[#This Row],[principal]])</f>
        <v>0</v>
      </c>
      <c r="J174" s="217">
        <f ca="1">IF(Amortization32[[#This Row],[closing
balance]]&gt;0,LastRow-ROW(),0)</f>
        <v>0</v>
      </c>
    </row>
    <row r="175" spans="2:10" ht="15" customHeight="1">
      <c r="B175" s="214" t="str">
        <f>IF(SUM(ROWS($B$4:B175))&gt;'Mortgage Calculator'!DurationOfLoan,"",SUM(ROWS($B$4:B175)))</f>
        <v/>
      </c>
      <c r="C175" s="215" t="str">
        <f ca="1">IFERROR(DATE(YEAR('Mortgage Calculator'!LoanStart), MONTH('Mortgage Calculator'!LoanStart) +B175,DAY('Mortgage Calculator'!LoanStart)), "")</f>
        <v/>
      </c>
      <c r="D175" s="216" t="str">
        <f>IFERROR(-FV('Mortgage Calculator'!InterestRate/12,B175-1,-'Mortgage Calculator'!MonthlyLoanPayment,'Mortgage Calculator'!LoanAmount),"")</f>
        <v/>
      </c>
      <c r="E175" s="216">
        <v>208.08396750463314</v>
      </c>
      <c r="F175" s="216">
        <v>272.158864494917</v>
      </c>
      <c r="G175" s="216">
        <f ca="1">IF(Amortization32[[#This Row],[payment
date]]="",0,'Mortgage Calculator'!PropertyTaxAmount)</f>
        <v>0</v>
      </c>
      <c r="H175" s="216">
        <f ca="1">IF(Amortization32[[#This Row],[payment
date]]="",0,Amortization32[[#This Row],[interest]]+Amortization32[[#This Row],[principal]]+Amortization32[[#This Row],[property
tax]])</f>
        <v>0</v>
      </c>
      <c r="I175" s="216">
        <f ca="1">IF(Amortization32[[#This Row],[payment
date]]="",0,Amortization32[[#This Row],[opening
balance]]-Amortization32[[#This Row],[principal]])</f>
        <v>0</v>
      </c>
      <c r="J175" s="217">
        <f ca="1">IF(Amortization32[[#This Row],[closing
balance]]&gt;0,LastRow-ROW(),0)</f>
        <v>0</v>
      </c>
    </row>
    <row r="176" spans="2:10" ht="15" customHeight="1">
      <c r="B176" s="214" t="str">
        <f>IF(SUM(ROWS($B$4:B176))&gt;'Mortgage Calculator'!DurationOfLoan,"",SUM(ROWS($B$4:B176)))</f>
        <v/>
      </c>
      <c r="C176" s="215" t="str">
        <f ca="1">IFERROR(DATE(YEAR('Mortgage Calculator'!LoanStart), MONTH('Mortgage Calculator'!LoanStart) +B176,DAY('Mortgage Calculator'!LoanStart)), "")</f>
        <v/>
      </c>
      <c r="D176" s="216" t="str">
        <f>IFERROR(-FV('Mortgage Calculator'!InterestRate/12,B176-1,-'Mortgage Calculator'!MonthlyLoanPayment,'Mortgage Calculator'!LoanAmount),"")</f>
        <v/>
      </c>
      <c r="E176" s="216">
        <v>205.79707704603013</v>
      </c>
      <c r="F176" s="216">
        <v>274.42685503237482</v>
      </c>
      <c r="G176" s="216">
        <f ca="1">IF(Amortization32[[#This Row],[payment
date]]="",0,'Mortgage Calculator'!PropertyTaxAmount)</f>
        <v>0</v>
      </c>
      <c r="H176" s="216">
        <f ca="1">IF(Amortization32[[#This Row],[payment
date]]="",0,Amortization32[[#This Row],[interest]]+Amortization32[[#This Row],[principal]]+Amortization32[[#This Row],[property
tax]])</f>
        <v>0</v>
      </c>
      <c r="I176" s="216">
        <f ca="1">IF(Amortization32[[#This Row],[payment
date]]="",0,Amortization32[[#This Row],[opening
balance]]-Amortization32[[#This Row],[principal]])</f>
        <v>0</v>
      </c>
      <c r="J176" s="217">
        <f ca="1">IF(Amortization32[[#This Row],[closing
balance]]&gt;0,LastRow-ROW(),0)</f>
        <v>0</v>
      </c>
    </row>
    <row r="177" spans="2:10" ht="15" customHeight="1">
      <c r="B177" s="214" t="str">
        <f>IF(SUM(ROWS($B$4:B177))&gt;'Mortgage Calculator'!DurationOfLoan,"",SUM(ROWS($B$4:B177)))</f>
        <v/>
      </c>
      <c r="C177" s="215" t="str">
        <f ca="1">IFERROR(DATE(YEAR('Mortgage Calculator'!LoanStart), MONTH('Mortgage Calculator'!LoanStart) +B177,DAY('Mortgage Calculator'!LoanStart)), "")</f>
        <v/>
      </c>
      <c r="D177" s="216" t="str">
        <f>IFERROR(-FV('Mortgage Calculator'!InterestRate/12,B177-1,-'Mortgage Calculator'!MonthlyLoanPayment,'Mortgage Calculator'!LoanAmount),"")</f>
        <v/>
      </c>
      <c r="E177" s="216">
        <v>203.49112916693849</v>
      </c>
      <c r="F177" s="216">
        <v>276.71374549097806</v>
      </c>
      <c r="G177" s="216">
        <f ca="1">IF(Amortization32[[#This Row],[payment
date]]="",0,'Mortgage Calculator'!PropertyTaxAmount)</f>
        <v>0</v>
      </c>
      <c r="H177" s="216">
        <f ca="1">IF(Amortization32[[#This Row],[payment
date]]="",0,Amortization32[[#This Row],[interest]]+Amortization32[[#This Row],[principal]]+Amortization32[[#This Row],[property
tax]])</f>
        <v>0</v>
      </c>
      <c r="I177" s="216">
        <f ca="1">IF(Amortization32[[#This Row],[payment
date]]="",0,Amortization32[[#This Row],[opening
balance]]-Amortization32[[#This Row],[principal]])</f>
        <v>0</v>
      </c>
      <c r="J177" s="217">
        <f ca="1">IF(Amortization32[[#This Row],[closing
balance]]&gt;0,LastRow-ROW(),0)</f>
        <v>0</v>
      </c>
    </row>
    <row r="178" spans="2:10" ht="15" customHeight="1">
      <c r="B178" s="214" t="str">
        <f>IF(SUM(ROWS($B$4:B178))&gt;'Mortgage Calculator'!DurationOfLoan,"",SUM(ROWS($B$4:B178)))</f>
        <v/>
      </c>
      <c r="C178" s="215" t="str">
        <f ca="1">IFERROR(DATE(YEAR('Mortgage Calculator'!LoanStart), MONTH('Mortgage Calculator'!LoanStart) +B178,DAY('Mortgage Calculator'!LoanStart)), "")</f>
        <v/>
      </c>
      <c r="D178" s="216" t="str">
        <f>IFERROR(-FV('Mortgage Calculator'!InterestRate/12,B178-1,-'Mortgage Calculator'!MonthlyLoanPayment,'Mortgage Calculator'!LoanAmount),"")</f>
        <v/>
      </c>
      <c r="E178" s="216">
        <v>201.16596505552153</v>
      </c>
      <c r="F178" s="216">
        <v>279.01969337006926</v>
      </c>
      <c r="G178" s="216">
        <f ca="1">IF(Amortization32[[#This Row],[payment
date]]="",0,'Mortgage Calculator'!PropertyTaxAmount)</f>
        <v>0</v>
      </c>
      <c r="H178" s="216">
        <f ca="1">IF(Amortization32[[#This Row],[payment
date]]="",0,Amortization32[[#This Row],[interest]]+Amortization32[[#This Row],[principal]]+Amortization32[[#This Row],[property
tax]])</f>
        <v>0</v>
      </c>
      <c r="I178" s="216">
        <f ca="1">IF(Amortization32[[#This Row],[payment
date]]="",0,Amortization32[[#This Row],[opening
balance]]-Amortization32[[#This Row],[principal]])</f>
        <v>0</v>
      </c>
      <c r="J178" s="217">
        <f ca="1">IF(Amortization32[[#This Row],[closing
balance]]&gt;0,LastRow-ROW(),0)</f>
        <v>0</v>
      </c>
    </row>
    <row r="179" spans="2:10" ht="15" customHeight="1">
      <c r="B179" s="214" t="str">
        <f>IF(SUM(ROWS($B$4:B179))&gt;'Mortgage Calculator'!DurationOfLoan,"",SUM(ROWS($B$4:B179)))</f>
        <v/>
      </c>
      <c r="C179" s="215" t="str">
        <f ca="1">IFERROR(DATE(YEAR('Mortgage Calculator'!LoanStart), MONTH('Mortgage Calculator'!LoanStart) +B179,DAY('Mortgage Calculator'!LoanStart)), "")</f>
        <v/>
      </c>
      <c r="D179" s="216" t="str">
        <f>IFERROR(-FV('Mortgage Calculator'!InterestRate/12,B179-1,-'Mortgage Calculator'!MonthlyLoanPayment,'Mortgage Calculator'!LoanAmount),"")</f>
        <v/>
      </c>
      <c r="E179" s="216">
        <v>198.82142457650917</v>
      </c>
      <c r="F179" s="216">
        <v>281.34485748148688</v>
      </c>
      <c r="G179" s="216">
        <f ca="1">IF(Amortization32[[#This Row],[payment
date]]="",0,'Mortgage Calculator'!PropertyTaxAmount)</f>
        <v>0</v>
      </c>
      <c r="H179" s="216">
        <f ca="1">IF(Amortization32[[#This Row],[payment
date]]="",0,Amortization32[[#This Row],[interest]]+Amortization32[[#This Row],[principal]]+Amortization32[[#This Row],[property
tax]])</f>
        <v>0</v>
      </c>
      <c r="I179" s="216">
        <f ca="1">IF(Amortization32[[#This Row],[payment
date]]="",0,Amortization32[[#This Row],[opening
balance]]-Amortization32[[#This Row],[principal]])</f>
        <v>0</v>
      </c>
      <c r="J179" s="217">
        <f ca="1">IF(Amortization32[[#This Row],[closing
balance]]&gt;0,LastRow-ROW(),0)</f>
        <v>0</v>
      </c>
    </row>
    <row r="180" spans="2:10" ht="15" customHeight="1">
      <c r="B180" s="214" t="str">
        <f>IF(SUM(ROWS($B$4:B180))&gt;'Mortgage Calculator'!DurationOfLoan,"",SUM(ROWS($B$4:B180)))</f>
        <v/>
      </c>
      <c r="C180" s="215" t="str">
        <f ca="1">IFERROR(DATE(YEAR('Mortgage Calculator'!LoanStart), MONTH('Mortgage Calculator'!LoanStart) +B180,DAY('Mortgage Calculator'!LoanStart)), "")</f>
        <v/>
      </c>
      <c r="D180" s="216" t="str">
        <f>IFERROR(-FV('Mortgage Calculator'!InterestRate/12,B180-1,-'Mortgage Calculator'!MonthlyLoanPayment,'Mortgage Calculator'!LoanAmount),"")</f>
        <v/>
      </c>
      <c r="E180" s="216">
        <v>196.4573462601717</v>
      </c>
      <c r="F180" s="216">
        <v>283.68939796049932</v>
      </c>
      <c r="G180" s="216">
        <f ca="1">IF(Amortization32[[#This Row],[payment
date]]="",0,'Mortgage Calculator'!PropertyTaxAmount)</f>
        <v>0</v>
      </c>
      <c r="H180" s="216">
        <f ca="1">IF(Amortization32[[#This Row],[payment
date]]="",0,Amortization32[[#This Row],[interest]]+Amortization32[[#This Row],[principal]]+Amortization32[[#This Row],[property
tax]])</f>
        <v>0</v>
      </c>
      <c r="I180" s="216">
        <f ca="1">IF(Amortization32[[#This Row],[payment
date]]="",0,Amortization32[[#This Row],[opening
balance]]-Amortization32[[#This Row],[principal]])</f>
        <v>0</v>
      </c>
      <c r="J180" s="217">
        <f ca="1">IF(Amortization32[[#This Row],[closing
balance]]&gt;0,LastRow-ROW(),0)</f>
        <v>0</v>
      </c>
    </row>
    <row r="181" spans="2:10" ht="15" customHeight="1">
      <c r="B181" s="214" t="str">
        <f>IF(SUM(ROWS($B$4:B181))&gt;'Mortgage Calculator'!DurationOfLoan,"",SUM(ROWS($B$4:B181)))</f>
        <v/>
      </c>
      <c r="C181" s="215" t="str">
        <f ca="1">IFERROR(DATE(YEAR('Mortgage Calculator'!LoanStart), MONTH('Mortgage Calculator'!LoanStart) +B181,DAY('Mortgage Calculator'!LoanStart)), "")</f>
        <v/>
      </c>
      <c r="D181" s="216" t="str">
        <f>IFERROR(-FV('Mortgage Calculator'!InterestRate/12,B181-1,-'Mortgage Calculator'!MonthlyLoanPayment,'Mortgage Calculator'!LoanAmount),"")</f>
        <v/>
      </c>
      <c r="E181" s="216">
        <v>194.07356729119783</v>
      </c>
      <c r="F181" s="216">
        <v>286.05347627683688</v>
      </c>
      <c r="G181" s="216">
        <f ca="1">IF(Amortization32[[#This Row],[payment
date]]="",0,'Mortgage Calculator'!PropertyTaxAmount)</f>
        <v>0</v>
      </c>
      <c r="H181" s="216">
        <f ca="1">IF(Amortization32[[#This Row],[payment
date]]="",0,Amortization32[[#This Row],[interest]]+Amortization32[[#This Row],[principal]]+Amortization32[[#This Row],[property
tax]])</f>
        <v>0</v>
      </c>
      <c r="I181" s="216">
        <f ca="1">IF(Amortization32[[#This Row],[payment
date]]="",0,Amortization32[[#This Row],[opening
balance]]-Amortization32[[#This Row],[principal]])</f>
        <v>0</v>
      </c>
      <c r="J181" s="217">
        <f ca="1">IF(Amortization32[[#This Row],[closing
balance]]&gt;0,LastRow-ROW(),0)</f>
        <v>0</v>
      </c>
    </row>
    <row r="182" spans="2:10" ht="15" customHeight="1">
      <c r="B182" s="214" t="str">
        <f>IF(SUM(ROWS($B$4:B182))&gt;'Mortgage Calculator'!DurationOfLoan,"",SUM(ROWS($B$4:B182)))</f>
        <v/>
      </c>
      <c r="C182" s="215" t="str">
        <f ca="1">IFERROR(DATE(YEAR('Mortgage Calculator'!LoanStart), MONTH('Mortgage Calculator'!LoanStart) +B182,DAY('Mortgage Calculator'!LoanStart)), "")</f>
        <v/>
      </c>
      <c r="D182" s="216" t="str">
        <f>IFERROR(-FV('Mortgage Calculator'!InterestRate/12,B182-1,-'Mortgage Calculator'!MonthlyLoanPayment,'Mortgage Calculator'!LoanAmount),"")</f>
        <v/>
      </c>
      <c r="E182" s="216">
        <v>191.66992349748276</v>
      </c>
      <c r="F182" s="216">
        <v>288.43725524581015</v>
      </c>
      <c r="G182" s="216">
        <f ca="1">IF(Amortization32[[#This Row],[payment
date]]="",0,'Mortgage Calculator'!PropertyTaxAmount)</f>
        <v>0</v>
      </c>
      <c r="H182" s="216">
        <f ca="1">IF(Amortization32[[#This Row],[payment
date]]="",0,Amortization32[[#This Row],[interest]]+Amortization32[[#This Row],[principal]]+Amortization32[[#This Row],[property
tax]])</f>
        <v>0</v>
      </c>
      <c r="I182" s="216">
        <f ca="1">IF(Amortization32[[#This Row],[payment
date]]="",0,Amortization32[[#This Row],[opening
balance]]-Amortization32[[#This Row],[principal]])</f>
        <v>0</v>
      </c>
      <c r="J182" s="217">
        <f ca="1">IF(Amortization32[[#This Row],[closing
balance]]&gt;0,LastRow-ROW(),0)</f>
        <v>0</v>
      </c>
    </row>
    <row r="183" spans="2:10" ht="15" customHeight="1">
      <c r="B183" s="214" t="str">
        <f>IF(SUM(ROWS($B$4:B183))&gt;'Mortgage Calculator'!DurationOfLoan,"",SUM(ROWS($B$4:B183)))</f>
        <v/>
      </c>
      <c r="C183" s="215" t="str">
        <f ca="1">IFERROR(DATE(YEAR('Mortgage Calculator'!LoanStart), MONTH('Mortgage Calculator'!LoanStart) +B183,DAY('Mortgage Calculator'!LoanStart)), "")</f>
        <v/>
      </c>
      <c r="D183" s="216" t="str">
        <f>IFERROR(-FV('Mortgage Calculator'!InterestRate/12,B183-1,-'Mortgage Calculator'!MonthlyLoanPayment,'Mortgage Calculator'!LoanAmount),"")</f>
        <v/>
      </c>
      <c r="E183" s="216">
        <v>189.24624933882029</v>
      </c>
      <c r="F183" s="216">
        <v>290.84089903952531</v>
      </c>
      <c r="G183" s="216">
        <f ca="1">IF(Amortization32[[#This Row],[payment
date]]="",0,'Mortgage Calculator'!PropertyTaxAmount)</f>
        <v>0</v>
      </c>
      <c r="H183" s="216">
        <f ca="1">IF(Amortization32[[#This Row],[payment
date]]="",0,Amortization32[[#This Row],[interest]]+Amortization32[[#This Row],[principal]]+Amortization32[[#This Row],[property
tax]])</f>
        <v>0</v>
      </c>
      <c r="I183" s="216">
        <f ca="1">IF(Amortization32[[#This Row],[payment
date]]="",0,Amortization32[[#This Row],[opening
balance]]-Amortization32[[#This Row],[principal]])</f>
        <v>0</v>
      </c>
      <c r="J183" s="217">
        <f ca="1">IF(Amortization32[[#This Row],[closing
balance]]&gt;0,LastRow-ROW(),0)</f>
        <v>0</v>
      </c>
    </row>
    <row r="184" spans="2:10" ht="15" customHeight="1">
      <c r="B184" s="214" t="str">
        <f>IF(SUM(ROWS($B$4:B184))&gt;'Mortgage Calculator'!DurationOfLoan,"",SUM(ROWS($B$4:B184)))</f>
        <v/>
      </c>
      <c r="C184" s="215" t="str">
        <f ca="1">IFERROR(DATE(YEAR('Mortgage Calculator'!LoanStart), MONTH('Mortgage Calculator'!LoanStart) +B184,DAY('Mortgage Calculator'!LoanStart)), "")</f>
        <v/>
      </c>
      <c r="D184" s="216" t="str">
        <f>IFERROR(-FV('Mortgage Calculator'!InterestRate/12,B184-1,-'Mortgage Calculator'!MonthlyLoanPayment,'Mortgage Calculator'!LoanAmount),"")</f>
        <v/>
      </c>
      <c r="E184" s="216">
        <v>186.80237789550227</v>
      </c>
      <c r="F184" s="216">
        <v>293.26457319818843</v>
      </c>
      <c r="G184" s="216">
        <f ca="1">IF(Amortization32[[#This Row],[payment
date]]="",0,'Mortgage Calculator'!PropertyTaxAmount)</f>
        <v>0</v>
      </c>
      <c r="H184" s="216">
        <f ca="1">IF(Amortization32[[#This Row],[payment
date]]="",0,Amortization32[[#This Row],[interest]]+Amortization32[[#This Row],[principal]]+Amortization32[[#This Row],[property
tax]])</f>
        <v>0</v>
      </c>
      <c r="I184" s="216">
        <f ca="1">IF(Amortization32[[#This Row],[payment
date]]="",0,Amortization32[[#This Row],[opening
balance]]-Amortization32[[#This Row],[principal]])</f>
        <v>0</v>
      </c>
      <c r="J184" s="217">
        <f ca="1">IF(Amortization32[[#This Row],[closing
balance]]&gt;0,LastRow-ROW(),0)</f>
        <v>0</v>
      </c>
    </row>
    <row r="185" spans="2:10" ht="15" customHeight="1">
      <c r="B185" s="214" t="str">
        <f>IF(SUM(ROWS($B$4:B185))&gt;'Mortgage Calculator'!DurationOfLoan,"",SUM(ROWS($B$4:B185)))</f>
        <v/>
      </c>
      <c r="C185" s="215" t="str">
        <f ca="1">IFERROR(DATE(YEAR('Mortgage Calculator'!LoanStart), MONTH('Mortgage Calculator'!LoanStart) +B185,DAY('Mortgage Calculator'!LoanStart)), "")</f>
        <v/>
      </c>
      <c r="D185" s="216" t="str">
        <f>IFERROR(-FV('Mortgage Calculator'!InterestRate/12,B185-1,-'Mortgage Calculator'!MonthlyLoanPayment,'Mortgage Calculator'!LoanAmount),"")</f>
        <v/>
      </c>
      <c r="E185" s="216">
        <v>184.33814085682292</v>
      </c>
      <c r="F185" s="216">
        <v>295.70844464150696</v>
      </c>
      <c r="G185" s="216">
        <f ca="1">IF(Amortization32[[#This Row],[payment
date]]="",0,'Mortgage Calculator'!PropertyTaxAmount)</f>
        <v>0</v>
      </c>
      <c r="H185" s="216">
        <f ca="1">IF(Amortization32[[#This Row],[payment
date]]="",0,Amortization32[[#This Row],[interest]]+Amortization32[[#This Row],[principal]]+Amortization32[[#This Row],[property
tax]])</f>
        <v>0</v>
      </c>
      <c r="I185" s="216">
        <f ca="1">IF(Amortization32[[#This Row],[payment
date]]="",0,Amortization32[[#This Row],[opening
balance]]-Amortization32[[#This Row],[principal]])</f>
        <v>0</v>
      </c>
      <c r="J185" s="217">
        <f ca="1">IF(Amortization32[[#This Row],[closing
balance]]&gt;0,LastRow-ROW(),0)</f>
        <v>0</v>
      </c>
    </row>
    <row r="186" spans="2:10" ht="15" customHeight="1">
      <c r="B186" s="214" t="str">
        <f>IF(SUM(ROWS($B$4:B186))&gt;'Mortgage Calculator'!DurationOfLoan,"",SUM(ROWS($B$4:B186)))</f>
        <v/>
      </c>
      <c r="C186" s="215" t="str">
        <f ca="1">IFERROR(DATE(YEAR('Mortgage Calculator'!LoanStart), MONTH('Mortgage Calculator'!LoanStart) +B186,DAY('Mortgage Calculator'!LoanStart)), "")</f>
        <v/>
      </c>
      <c r="D186" s="216" t="str">
        <f>IFERROR(-FV('Mortgage Calculator'!InterestRate/12,B186-1,-'Mortgage Calculator'!MonthlyLoanPayment,'Mortgage Calculator'!LoanAmount),"")</f>
        <v/>
      </c>
      <c r="E186" s="216">
        <v>181.85336850948806</v>
      </c>
      <c r="F186" s="216">
        <v>298.17268168018592</v>
      </c>
      <c r="G186" s="216">
        <f ca="1">IF(Amortization32[[#This Row],[payment
date]]="",0,'Mortgage Calculator'!PropertyTaxAmount)</f>
        <v>0</v>
      </c>
      <c r="H186" s="216">
        <f ca="1">IF(Amortization32[[#This Row],[payment
date]]="",0,Amortization32[[#This Row],[interest]]+Amortization32[[#This Row],[principal]]+Amortization32[[#This Row],[property
tax]])</f>
        <v>0</v>
      </c>
      <c r="I186" s="216">
        <f ca="1">IF(Amortization32[[#This Row],[payment
date]]="",0,Amortization32[[#This Row],[opening
balance]]-Amortization32[[#This Row],[principal]])</f>
        <v>0</v>
      </c>
      <c r="J186" s="217">
        <f ca="1">IF(Amortization32[[#This Row],[closing
balance]]&gt;0,LastRow-ROW(),0)</f>
        <v>0</v>
      </c>
    </row>
    <row r="187" spans="2:10" ht="15" customHeight="1">
      <c r="B187" s="214" t="str">
        <f>IF(SUM(ROWS($B$4:B187))&gt;'Mortgage Calculator'!DurationOfLoan,"",SUM(ROWS($B$4:B187)))</f>
        <v/>
      </c>
      <c r="C187" s="215" t="str">
        <f ca="1">IFERROR(DATE(YEAR('Mortgage Calculator'!LoanStart), MONTH('Mortgage Calculator'!LoanStart) +B187,DAY('Mortgage Calculator'!LoanStart)), "")</f>
        <v/>
      </c>
      <c r="D187" s="216" t="str">
        <f>IFERROR(-FV('Mortgage Calculator'!InterestRate/12,B187-1,-'Mortgage Calculator'!MonthlyLoanPayment,'Mortgage Calculator'!LoanAmount),"")</f>
        <v/>
      </c>
      <c r="E187" s="216">
        <v>179.34788972592554</v>
      </c>
      <c r="F187" s="216">
        <v>300.65745402752088</v>
      </c>
      <c r="G187" s="216">
        <f ca="1">IF(Amortization32[[#This Row],[payment
date]]="",0,'Mortgage Calculator'!PropertyTaxAmount)</f>
        <v>0</v>
      </c>
      <c r="H187" s="216">
        <f ca="1">IF(Amortization32[[#This Row],[payment
date]]="",0,Amortization32[[#This Row],[interest]]+Amortization32[[#This Row],[principal]]+Amortization32[[#This Row],[property
tax]])</f>
        <v>0</v>
      </c>
      <c r="I187" s="216">
        <f ca="1">IF(Amortization32[[#This Row],[payment
date]]="",0,Amortization32[[#This Row],[opening
balance]]-Amortization32[[#This Row],[principal]])</f>
        <v>0</v>
      </c>
      <c r="J187" s="217">
        <f ca="1">IF(Amortization32[[#This Row],[closing
balance]]&gt;0,LastRow-ROW(),0)</f>
        <v>0</v>
      </c>
    </row>
    <row r="188" spans="2:10" ht="15" customHeight="1">
      <c r="B188" s="214" t="str">
        <f>IF(SUM(ROWS($B$4:B188))&gt;'Mortgage Calculator'!DurationOfLoan,"",SUM(ROWS($B$4:B188)))</f>
        <v/>
      </c>
      <c r="C188" s="215" t="str">
        <f ca="1">IFERROR(DATE(YEAR('Mortgage Calculator'!LoanStart), MONTH('Mortgage Calculator'!LoanStart) +B188,DAY('Mortgage Calculator'!LoanStart)), "")</f>
        <v/>
      </c>
      <c r="D188" s="216" t="str">
        <f>IFERROR(-FV('Mortgage Calculator'!InterestRate/12,B188-1,-'Mortgage Calculator'!MonthlyLoanPayment,'Mortgage Calculator'!LoanAmount),"")</f>
        <v/>
      </c>
      <c r="E188" s="216">
        <v>176.82153195249992</v>
      </c>
      <c r="F188" s="216">
        <v>303.16293281108386</v>
      </c>
      <c r="G188" s="216">
        <f ca="1">IF(Amortization32[[#This Row],[payment
date]]="",0,'Mortgage Calculator'!PropertyTaxAmount)</f>
        <v>0</v>
      </c>
      <c r="H188" s="216">
        <f ca="1">IF(Amortization32[[#This Row],[payment
date]]="",0,Amortization32[[#This Row],[interest]]+Amortization32[[#This Row],[principal]]+Amortization32[[#This Row],[property
tax]])</f>
        <v>0</v>
      </c>
      <c r="I188" s="216">
        <f ca="1">IF(Amortization32[[#This Row],[payment
date]]="",0,Amortization32[[#This Row],[opening
balance]]-Amortization32[[#This Row],[principal]])</f>
        <v>0</v>
      </c>
      <c r="J188" s="217">
        <f ca="1">IF(Amortization32[[#This Row],[closing
balance]]&gt;0,LastRow-ROW(),0)</f>
        <v>0</v>
      </c>
    </row>
    <row r="189" spans="2:10" ht="15" customHeight="1">
      <c r="B189" s="214" t="str">
        <f>IF(SUM(ROWS($B$4:B189))&gt;'Mortgage Calculator'!DurationOfLoan,"",SUM(ROWS($B$4:B189)))</f>
        <v/>
      </c>
      <c r="C189" s="215" t="str">
        <f ca="1">IFERROR(DATE(YEAR('Mortgage Calculator'!LoanStart), MONTH('Mortgage Calculator'!LoanStart) +B189,DAY('Mortgage Calculator'!LoanStart)), "")</f>
        <v/>
      </c>
      <c r="D189" s="216" t="str">
        <f>IFERROR(-FV('Mortgage Calculator'!InterestRate/12,B189-1,-'Mortgage Calculator'!MonthlyLoanPayment,'Mortgage Calculator'!LoanAmount),"")</f>
        <v/>
      </c>
      <c r="E189" s="216">
        <v>174.27412119762886</v>
      </c>
      <c r="F189" s="216">
        <v>305.68929058450971</v>
      </c>
      <c r="G189" s="216">
        <f ca="1">IF(Amortization32[[#This Row],[payment
date]]="",0,'Mortgage Calculator'!PropertyTaxAmount)</f>
        <v>0</v>
      </c>
      <c r="H189" s="216">
        <f ca="1">IF(Amortization32[[#This Row],[payment
date]]="",0,Amortization32[[#This Row],[interest]]+Amortization32[[#This Row],[principal]]+Amortization32[[#This Row],[property
tax]])</f>
        <v>0</v>
      </c>
      <c r="I189" s="216">
        <f ca="1">IF(Amortization32[[#This Row],[payment
date]]="",0,Amortization32[[#This Row],[opening
balance]]-Amortization32[[#This Row],[principal]])</f>
        <v>0</v>
      </c>
      <c r="J189" s="217">
        <f ca="1">IF(Amortization32[[#This Row],[closing
balance]]&gt;0,LastRow-ROW(),0)</f>
        <v>0</v>
      </c>
    </row>
    <row r="190" spans="2:10" ht="15" customHeight="1">
      <c r="B190" s="214" t="str">
        <f>IF(SUM(ROWS($B$4:B190))&gt;'Mortgage Calculator'!DurationOfLoan,"",SUM(ROWS($B$4:B190)))</f>
        <v/>
      </c>
      <c r="C190" s="215" t="str">
        <f ca="1">IFERROR(DATE(YEAR('Mortgage Calculator'!LoanStart), MONTH('Mortgage Calculator'!LoanStart) +B190,DAY('Mortgage Calculator'!LoanStart)), "")</f>
        <v/>
      </c>
      <c r="D190" s="216" t="str">
        <f>IFERROR(-FV('Mortgage Calculator'!InterestRate/12,B190-1,-'Mortgage Calculator'!MonthlyLoanPayment,'Mortgage Calculator'!LoanAmount),"")</f>
        <v/>
      </c>
      <c r="E190" s="216">
        <v>171.70548201980102</v>
      </c>
      <c r="F190" s="216">
        <v>308.23670133938037</v>
      </c>
      <c r="G190" s="216">
        <f ca="1">IF(Amortization32[[#This Row],[payment
date]]="",0,'Mortgage Calculator'!PropertyTaxAmount)</f>
        <v>0</v>
      </c>
      <c r="H190" s="216">
        <f ca="1">IF(Amortization32[[#This Row],[payment
date]]="",0,Amortization32[[#This Row],[interest]]+Amortization32[[#This Row],[principal]]+Amortization32[[#This Row],[property
tax]])</f>
        <v>0</v>
      </c>
      <c r="I190" s="216">
        <f ca="1">IF(Amortization32[[#This Row],[payment
date]]="",0,Amortization32[[#This Row],[opening
balance]]-Amortization32[[#This Row],[principal]])</f>
        <v>0</v>
      </c>
      <c r="J190" s="217">
        <f ca="1">IF(Amortization32[[#This Row],[closing
balance]]&gt;0,LastRow-ROW(),0)</f>
        <v>0</v>
      </c>
    </row>
    <row r="191" spans="2:10" ht="15" customHeight="1">
      <c r="B191" s="214" t="str">
        <f>IF(SUM(ROWS($B$4:B191))&gt;'Mortgage Calculator'!DurationOfLoan,"",SUM(ROWS($B$4:B191)))</f>
        <v/>
      </c>
      <c r="C191" s="215" t="str">
        <f ca="1">IFERROR(DATE(YEAR('Mortgage Calculator'!LoanStart), MONTH('Mortgage Calculator'!LoanStart) +B191,DAY('Mortgage Calculator'!LoanStart)), "")</f>
        <v/>
      </c>
      <c r="D191" s="216" t="str">
        <f>IFERROR(-FV('Mortgage Calculator'!InterestRate/12,B191-1,-'Mortgage Calculator'!MonthlyLoanPayment,'Mortgage Calculator'!LoanAmount),"")</f>
        <v/>
      </c>
      <c r="E191" s="216">
        <v>169.11543751549081</v>
      </c>
      <c r="F191" s="216">
        <v>310.80534051720906</v>
      </c>
      <c r="G191" s="216">
        <f ca="1">IF(Amortization32[[#This Row],[payment
date]]="",0,'Mortgage Calculator'!PropertyTaxAmount)</f>
        <v>0</v>
      </c>
      <c r="H191" s="216">
        <f ca="1">IF(Amortization32[[#This Row],[payment
date]]="",0,Amortization32[[#This Row],[interest]]+Amortization32[[#This Row],[principal]]+Amortization32[[#This Row],[property
tax]])</f>
        <v>0</v>
      </c>
      <c r="I191" s="216">
        <f ca="1">IF(Amortization32[[#This Row],[payment
date]]="",0,Amortization32[[#This Row],[opening
balance]]-Amortization32[[#This Row],[principal]])</f>
        <v>0</v>
      </c>
      <c r="J191" s="217">
        <f ca="1">IF(Amortization32[[#This Row],[closing
balance]]&gt;0,LastRow-ROW(),0)</f>
        <v>0</v>
      </c>
    </row>
    <row r="192" spans="2:10" ht="15" customHeight="1">
      <c r="B192" s="214" t="str">
        <f>IF(SUM(ROWS($B$4:B192))&gt;'Mortgage Calculator'!DurationOfLoan,"",SUM(ROWS($B$4:B192)))</f>
        <v/>
      </c>
      <c r="C192" s="215" t="str">
        <f ca="1">IFERROR(DATE(YEAR('Mortgage Calculator'!LoanStart), MONTH('Mortgage Calculator'!LoanStart) +B192,DAY('Mortgage Calculator'!LoanStart)), "")</f>
        <v/>
      </c>
      <c r="D192" s="216" t="str">
        <f>IFERROR(-FV('Mortgage Calculator'!InterestRate/12,B192-1,-'Mortgage Calculator'!MonthlyLoanPayment,'Mortgage Calculator'!LoanAmount),"")</f>
        <v/>
      </c>
      <c r="E192" s="216">
        <v>166.50380930697841</v>
      </c>
      <c r="F192" s="216">
        <v>313.3953850215189</v>
      </c>
      <c r="G192" s="216">
        <f ca="1">IF(Amortization32[[#This Row],[payment
date]]="",0,'Mortgage Calculator'!PropertyTaxAmount)</f>
        <v>0</v>
      </c>
      <c r="H192" s="216">
        <f ca="1">IF(Amortization32[[#This Row],[payment
date]]="",0,Amortization32[[#This Row],[interest]]+Amortization32[[#This Row],[principal]]+Amortization32[[#This Row],[property
tax]])</f>
        <v>0</v>
      </c>
      <c r="I192" s="216">
        <f ca="1">IF(Amortization32[[#This Row],[payment
date]]="",0,Amortization32[[#This Row],[opening
balance]]-Amortization32[[#This Row],[principal]])</f>
        <v>0</v>
      </c>
      <c r="J192" s="217">
        <f ca="1">IF(Amortization32[[#This Row],[closing
balance]]&gt;0,LastRow-ROW(),0)</f>
        <v>0</v>
      </c>
    </row>
    <row r="193" spans="2:10" ht="15" customHeight="1">
      <c r="B193" s="214" t="str">
        <f>IF(SUM(ROWS($B$4:B193))&gt;'Mortgage Calculator'!DurationOfLoan,"",SUM(ROWS($B$4:B193)))</f>
        <v/>
      </c>
      <c r="C193" s="215" t="str">
        <f ca="1">IFERROR(DATE(YEAR('Mortgage Calculator'!LoanStart), MONTH('Mortgage Calculator'!LoanStart) +B193,DAY('Mortgage Calculator'!LoanStart)), "")</f>
        <v/>
      </c>
      <c r="D193" s="216" t="str">
        <f>IFERROR(-FV('Mortgage Calculator'!InterestRate/12,B193-1,-'Mortgage Calculator'!MonthlyLoanPayment,'Mortgage Calculator'!LoanAmount),"")</f>
        <v/>
      </c>
      <c r="E193" s="216">
        <v>163.87041753006147</v>
      </c>
      <c r="F193" s="216">
        <v>316.00701323003199</v>
      </c>
      <c r="G193" s="216">
        <f ca="1">IF(Amortization32[[#This Row],[payment
date]]="",0,'Mortgage Calculator'!PropertyTaxAmount)</f>
        <v>0</v>
      </c>
      <c r="H193" s="216">
        <f ca="1">IF(Amortization32[[#This Row],[payment
date]]="",0,Amortization32[[#This Row],[interest]]+Amortization32[[#This Row],[principal]]+Amortization32[[#This Row],[property
tax]])</f>
        <v>0</v>
      </c>
      <c r="I193" s="216">
        <f ca="1">IF(Amortization32[[#This Row],[payment
date]]="",0,Amortization32[[#This Row],[opening
balance]]-Amortization32[[#This Row],[principal]])</f>
        <v>0</v>
      </c>
      <c r="J193" s="217">
        <f ca="1">IF(Amortization32[[#This Row],[closing
balance]]&gt;0,LastRow-ROW(),0)</f>
        <v>0</v>
      </c>
    </row>
    <row r="194" spans="2:10" ht="15" customHeight="1">
      <c r="B194" s="214" t="str">
        <f>IF(SUM(ROWS($B$4:B194))&gt;'Mortgage Calculator'!DurationOfLoan,"",SUM(ROWS($B$4:B194)))</f>
        <v/>
      </c>
      <c r="C194" s="215" t="str">
        <f ca="1">IFERROR(DATE(YEAR('Mortgage Calculator'!LoanStart), MONTH('Mortgage Calculator'!LoanStart) +B194,DAY('Mortgage Calculator'!LoanStart)), "")</f>
        <v/>
      </c>
      <c r="D194" s="216" t="str">
        <f>IFERROR(-FV('Mortgage Calculator'!InterestRate/12,B194-1,-'Mortgage Calculator'!MonthlyLoanPayment,'Mortgage Calculator'!LoanAmount),"")</f>
        <v/>
      </c>
      <c r="E194" s="216">
        <v>161.21508082167031</v>
      </c>
      <c r="F194" s="216">
        <v>318.64040500694898</v>
      </c>
      <c r="G194" s="216">
        <f ca="1">IF(Amortization32[[#This Row],[payment
date]]="",0,'Mortgage Calculator'!PropertyTaxAmount)</f>
        <v>0</v>
      </c>
      <c r="H194" s="216">
        <f ca="1">IF(Amortization32[[#This Row],[payment
date]]="",0,Amortization32[[#This Row],[interest]]+Amortization32[[#This Row],[principal]]+Amortization32[[#This Row],[property
tax]])</f>
        <v>0</v>
      </c>
      <c r="I194" s="216">
        <f ca="1">IF(Amortization32[[#This Row],[payment
date]]="",0,Amortization32[[#This Row],[opening
balance]]-Amortization32[[#This Row],[principal]])</f>
        <v>0</v>
      </c>
      <c r="J194" s="217">
        <f ca="1">IF(Amortization32[[#This Row],[closing
balance]]&gt;0,LastRow-ROW(),0)</f>
        <v>0</v>
      </c>
    </row>
    <row r="195" spans="2:10" ht="15" customHeight="1">
      <c r="B195" s="214" t="str">
        <f>IF(SUM(ROWS($B$4:B195))&gt;'Mortgage Calculator'!DurationOfLoan,"",SUM(ROWS($B$4:B195)))</f>
        <v/>
      </c>
      <c r="C195" s="215" t="str">
        <f ca="1">IFERROR(DATE(YEAR('Mortgage Calculator'!LoanStart), MONTH('Mortgage Calculator'!LoanStart) +B195,DAY('Mortgage Calculator'!LoanStart)), "")</f>
        <v/>
      </c>
      <c r="D195" s="216" t="str">
        <f>IFERROR(-FV('Mortgage Calculator'!InterestRate/12,B195-1,-'Mortgage Calculator'!MonthlyLoanPayment,'Mortgage Calculator'!LoanAmount),"")</f>
        <v/>
      </c>
      <c r="E195" s="216">
        <v>158.53761630737597</v>
      </c>
      <c r="F195" s="216">
        <v>321.29574171534045</v>
      </c>
      <c r="G195" s="216">
        <f ca="1">IF(Amortization32[[#This Row],[payment
date]]="",0,'Mortgage Calculator'!PropertyTaxAmount)</f>
        <v>0</v>
      </c>
      <c r="H195" s="216">
        <f ca="1">IF(Amortization32[[#This Row],[payment
date]]="",0,Amortization32[[#This Row],[interest]]+Amortization32[[#This Row],[principal]]+Amortization32[[#This Row],[property
tax]])</f>
        <v>0</v>
      </c>
      <c r="I195" s="216">
        <f ca="1">IF(Amortization32[[#This Row],[payment
date]]="",0,Amortization32[[#This Row],[opening
balance]]-Amortization32[[#This Row],[principal]])</f>
        <v>0</v>
      </c>
      <c r="J195" s="217">
        <f ca="1">IF(Amortization32[[#This Row],[closing
balance]]&gt;0,LastRow-ROW(),0)</f>
        <v>0</v>
      </c>
    </row>
    <row r="196" spans="2:10" ht="15" customHeight="1">
      <c r="B196" s="214" t="str">
        <f>IF(SUM(ROWS($B$4:B196))&gt;'Mortgage Calculator'!DurationOfLoan,"",SUM(ROWS($B$4:B196)))</f>
        <v/>
      </c>
      <c r="C196" s="215" t="str">
        <f ca="1">IFERROR(DATE(YEAR('Mortgage Calculator'!LoanStart), MONTH('Mortgage Calculator'!LoanStart) +B196,DAY('Mortgage Calculator'!LoanStart)), "")</f>
        <v/>
      </c>
      <c r="D196" s="216" t="str">
        <f>IFERROR(-FV('Mortgage Calculator'!InterestRate/12,B196-1,-'Mortgage Calculator'!MonthlyLoanPayment,'Mortgage Calculator'!LoanAmount),"")</f>
        <v/>
      </c>
      <c r="E196" s="216">
        <v>155.8378395887955</v>
      </c>
      <c r="F196" s="216">
        <v>323.9732062296352</v>
      </c>
      <c r="G196" s="216">
        <f ca="1">IF(Amortization32[[#This Row],[payment
date]]="",0,'Mortgage Calculator'!PropertyTaxAmount)</f>
        <v>0</v>
      </c>
      <c r="H196" s="216">
        <f ca="1">IF(Amortization32[[#This Row],[payment
date]]="",0,Amortization32[[#This Row],[interest]]+Amortization32[[#This Row],[principal]]+Amortization32[[#This Row],[property
tax]])</f>
        <v>0</v>
      </c>
      <c r="I196" s="216">
        <f ca="1">IF(Amortization32[[#This Row],[payment
date]]="",0,Amortization32[[#This Row],[opening
balance]]-Amortization32[[#This Row],[principal]])</f>
        <v>0</v>
      </c>
      <c r="J196" s="217">
        <f ca="1">IF(Amortization32[[#This Row],[closing
balance]]&gt;0,LastRow-ROW(),0)</f>
        <v>0</v>
      </c>
    </row>
    <row r="197" spans="2:10" ht="15" customHeight="1">
      <c r="B197" s="214" t="str">
        <f>IF(SUM(ROWS($B$4:B197))&gt;'Mortgage Calculator'!DurationOfLoan,"",SUM(ROWS($B$4:B197)))</f>
        <v/>
      </c>
      <c r="C197" s="215" t="str">
        <f ca="1">IFERROR(DATE(YEAR('Mortgage Calculator'!LoanStart), MONTH('Mortgage Calculator'!LoanStart) +B197,DAY('Mortgage Calculator'!LoanStart)), "")</f>
        <v/>
      </c>
      <c r="D197" s="216" t="str">
        <f>IFERROR(-FV('Mortgage Calculator'!InterestRate/12,B197-1,-'Mortgage Calculator'!MonthlyLoanPayment,'Mortgage Calculator'!LoanAmount),"")</f>
        <v/>
      </c>
      <c r="E197" s="216">
        <v>153.11556473089391</v>
      </c>
      <c r="F197" s="216">
        <v>326.67298294821512</v>
      </c>
      <c r="G197" s="216">
        <f ca="1">IF(Amortization32[[#This Row],[payment
date]]="",0,'Mortgage Calculator'!PropertyTaxAmount)</f>
        <v>0</v>
      </c>
      <c r="H197" s="216">
        <f ca="1">IF(Amortization32[[#This Row],[payment
date]]="",0,Amortization32[[#This Row],[interest]]+Amortization32[[#This Row],[principal]]+Amortization32[[#This Row],[property
tax]])</f>
        <v>0</v>
      </c>
      <c r="I197" s="216">
        <f ca="1">IF(Amortization32[[#This Row],[payment
date]]="",0,Amortization32[[#This Row],[opening
balance]]-Amortization32[[#This Row],[principal]])</f>
        <v>0</v>
      </c>
      <c r="J197" s="217">
        <f ca="1">IF(Amortization32[[#This Row],[closing
balance]]&gt;0,LastRow-ROW(),0)</f>
        <v>0</v>
      </c>
    </row>
    <row r="198" spans="2:10" ht="15" customHeight="1">
      <c r="B198" s="214" t="str">
        <f>IF(SUM(ROWS($B$4:B198))&gt;'Mortgage Calculator'!DurationOfLoan,"",SUM(ROWS($B$4:B198)))</f>
        <v/>
      </c>
      <c r="C198" s="215" t="str">
        <f ca="1">IFERROR(DATE(YEAR('Mortgage Calculator'!LoanStart), MONTH('Mortgage Calculator'!LoanStart) +B198,DAY('Mortgage Calculator'!LoanStart)), "")</f>
        <v/>
      </c>
      <c r="D198" s="216" t="str">
        <f>IFERROR(-FV('Mortgage Calculator'!InterestRate/12,B198-1,-'Mortgage Calculator'!MonthlyLoanPayment,'Mortgage Calculator'!LoanAmount),"")</f>
        <v/>
      </c>
      <c r="E198" s="216">
        <v>150.3706042491763</v>
      </c>
      <c r="F198" s="216">
        <v>329.39525780611734</v>
      </c>
      <c r="G198" s="216">
        <f ca="1">IF(Amortization32[[#This Row],[payment
date]]="",0,'Mortgage Calculator'!PropertyTaxAmount)</f>
        <v>0</v>
      </c>
      <c r="H198" s="216">
        <f ca="1">IF(Amortization32[[#This Row],[payment
date]]="",0,Amortization32[[#This Row],[interest]]+Amortization32[[#This Row],[principal]]+Amortization32[[#This Row],[property
tax]])</f>
        <v>0</v>
      </c>
      <c r="I198" s="216">
        <f ca="1">IF(Amortization32[[#This Row],[payment
date]]="",0,Amortization32[[#This Row],[opening
balance]]-Amortization32[[#This Row],[principal]])</f>
        <v>0</v>
      </c>
      <c r="J198" s="217">
        <f ca="1">IF(Amortization32[[#This Row],[closing
balance]]&gt;0,LastRow-ROW(),0)</f>
        <v>0</v>
      </c>
    </row>
    <row r="199" spans="2:10" ht="15" customHeight="1">
      <c r="B199" s="214" t="str">
        <f>IF(SUM(ROWS($B$4:B199))&gt;'Mortgage Calculator'!DurationOfLoan,"",SUM(ROWS($B$4:B199)))</f>
        <v/>
      </c>
      <c r="C199" s="215" t="str">
        <f ca="1">IFERROR(DATE(YEAR('Mortgage Calculator'!LoanStart), MONTH('Mortgage Calculator'!LoanStart) +B199,DAY('Mortgage Calculator'!LoanStart)), "")</f>
        <v/>
      </c>
      <c r="D199" s="216" t="str">
        <f>IFERROR(-FV('Mortgage Calculator'!InterestRate/12,B199-1,-'Mortgage Calculator'!MonthlyLoanPayment,'Mortgage Calculator'!LoanAmount),"")</f>
        <v/>
      </c>
      <c r="E199" s="216">
        <v>147.60276909677802</v>
      </c>
      <c r="F199" s="216">
        <v>332.14021828783518</v>
      </c>
      <c r="G199" s="216">
        <f ca="1">IF(Amortization32[[#This Row],[payment
date]]="",0,'Mortgage Calculator'!PropertyTaxAmount)</f>
        <v>0</v>
      </c>
      <c r="H199" s="216">
        <f ca="1">IF(Amortization32[[#This Row],[payment
date]]="",0,Amortization32[[#This Row],[interest]]+Amortization32[[#This Row],[principal]]+Amortization32[[#This Row],[property
tax]])</f>
        <v>0</v>
      </c>
      <c r="I199" s="216">
        <f ca="1">IF(Amortization32[[#This Row],[payment
date]]="",0,Amortization32[[#This Row],[opening
balance]]-Amortization32[[#This Row],[principal]])</f>
        <v>0</v>
      </c>
      <c r="J199" s="217">
        <f ca="1">IF(Amortization32[[#This Row],[closing
balance]]&gt;0,LastRow-ROW(),0)</f>
        <v>0</v>
      </c>
    </row>
    <row r="200" spans="2:10" ht="15" customHeight="1">
      <c r="B200" s="214" t="str">
        <f>IF(SUM(ROWS($B$4:B200))&gt;'Mortgage Calculator'!DurationOfLoan,"",SUM(ROWS($B$4:B200)))</f>
        <v/>
      </c>
      <c r="C200" s="215" t="str">
        <f ca="1">IFERROR(DATE(YEAR('Mortgage Calculator'!LoanStart), MONTH('Mortgage Calculator'!LoanStart) +B200,DAY('Mortgage Calculator'!LoanStart)), "")</f>
        <v/>
      </c>
      <c r="D200" s="216" t="str">
        <f>IFERROR(-FV('Mortgage Calculator'!InterestRate/12,B200-1,-'Mortgage Calculator'!MonthlyLoanPayment,'Mortgage Calculator'!LoanAmount),"")</f>
        <v/>
      </c>
      <c r="E200" s="216">
        <v>144.81186865144286</v>
      </c>
      <c r="F200" s="216">
        <v>334.90805344023454</v>
      </c>
      <c r="G200" s="216">
        <f ca="1">IF(Amortization32[[#This Row],[payment
date]]="",0,'Mortgage Calculator'!PropertyTaxAmount)</f>
        <v>0</v>
      </c>
      <c r="H200" s="216">
        <f ca="1">IF(Amortization32[[#This Row],[payment
date]]="",0,Amortization32[[#This Row],[interest]]+Amortization32[[#This Row],[principal]]+Amortization32[[#This Row],[property
tax]])</f>
        <v>0</v>
      </c>
      <c r="I200" s="216">
        <f ca="1">IF(Amortization32[[#This Row],[payment
date]]="",0,Amortization32[[#This Row],[opening
balance]]-Amortization32[[#This Row],[principal]])</f>
        <v>0</v>
      </c>
      <c r="J200" s="217">
        <f ca="1">IF(Amortization32[[#This Row],[closing
balance]]&gt;0,LastRow-ROW(),0)</f>
        <v>0</v>
      </c>
    </row>
    <row r="201" spans="2:10" ht="15" customHeight="1">
      <c r="B201" s="214" t="str">
        <f>IF(SUM(ROWS($B$4:B201))&gt;'Mortgage Calculator'!DurationOfLoan,"",SUM(ROWS($B$4:B201)))</f>
        <v/>
      </c>
      <c r="C201" s="215" t="str">
        <f ca="1">IFERROR(DATE(YEAR('Mortgage Calculator'!LoanStart), MONTH('Mortgage Calculator'!LoanStart) +B201,DAY('Mortgage Calculator'!LoanStart)), "")</f>
        <v/>
      </c>
      <c r="D201" s="216" t="str">
        <f>IFERROR(-FV('Mortgage Calculator'!InterestRate/12,B201-1,-'Mortgage Calculator'!MonthlyLoanPayment,'Mortgage Calculator'!LoanAmount),"")</f>
        <v/>
      </c>
      <c r="E201" s="216">
        <v>141.99771070239635</v>
      </c>
      <c r="F201" s="216">
        <v>337.69895388557006</v>
      </c>
      <c r="G201" s="216">
        <f ca="1">IF(Amortization32[[#This Row],[payment
date]]="",0,'Mortgage Calculator'!PropertyTaxAmount)</f>
        <v>0</v>
      </c>
      <c r="H201" s="216">
        <f ca="1">IF(Amortization32[[#This Row],[payment
date]]="",0,Amortization32[[#This Row],[interest]]+Amortization32[[#This Row],[principal]]+Amortization32[[#This Row],[property
tax]])</f>
        <v>0</v>
      </c>
      <c r="I201" s="216">
        <f ca="1">IF(Amortization32[[#This Row],[payment
date]]="",0,Amortization32[[#This Row],[opening
balance]]-Amortization32[[#This Row],[principal]])</f>
        <v>0</v>
      </c>
      <c r="J201" s="217">
        <f ca="1">IF(Amortization32[[#This Row],[closing
balance]]&gt;0,LastRow-ROW(),0)</f>
        <v>0</v>
      </c>
    </row>
    <row r="202" spans="2:10" ht="15" customHeight="1">
      <c r="B202" s="214" t="str">
        <f>IF(SUM(ROWS($B$4:B202))&gt;'Mortgage Calculator'!DurationOfLoan,"",SUM(ROWS($B$4:B202)))</f>
        <v/>
      </c>
      <c r="C202" s="215" t="str">
        <f ca="1">IFERROR(DATE(YEAR('Mortgage Calculator'!LoanStart), MONTH('Mortgage Calculator'!LoanStart) +B202,DAY('Mortgage Calculator'!LoanStart)), "")</f>
        <v/>
      </c>
      <c r="D202" s="216" t="str">
        <f>IFERROR(-FV('Mortgage Calculator'!InterestRate/12,B202-1,-'Mortgage Calculator'!MonthlyLoanPayment,'Mortgage Calculator'!LoanAmount),"")</f>
        <v/>
      </c>
      <c r="E202" s="216">
        <v>139.1601014371081</v>
      </c>
      <c r="F202" s="216">
        <v>340.51311183461621</v>
      </c>
      <c r="G202" s="216">
        <f ca="1">IF(Amortization32[[#This Row],[payment
date]]="",0,'Mortgage Calculator'!PropertyTaxAmount)</f>
        <v>0</v>
      </c>
      <c r="H202" s="216">
        <f ca="1">IF(Amortization32[[#This Row],[payment
date]]="",0,Amortization32[[#This Row],[interest]]+Amortization32[[#This Row],[principal]]+Amortization32[[#This Row],[property
tax]])</f>
        <v>0</v>
      </c>
      <c r="I202" s="216">
        <f ca="1">IF(Amortization32[[#This Row],[payment
date]]="",0,Amortization32[[#This Row],[opening
balance]]-Amortization32[[#This Row],[principal]])</f>
        <v>0</v>
      </c>
      <c r="J202" s="217">
        <f ca="1">IF(Amortization32[[#This Row],[closing
balance]]&gt;0,LastRow-ROW(),0)</f>
        <v>0</v>
      </c>
    </row>
    <row r="203" spans="2:10" ht="15" customHeight="1">
      <c r="B203" s="214" t="str">
        <f>IF(SUM(ROWS($B$4:B203))&gt;'Mortgage Calculator'!DurationOfLoan,"",SUM(ROWS($B$4:B203)))</f>
        <v/>
      </c>
      <c r="C203" s="215" t="str">
        <f ca="1">IFERROR(DATE(YEAR('Mortgage Calculator'!LoanStart), MONTH('Mortgage Calculator'!LoanStart) +B203,DAY('Mortgage Calculator'!LoanStart)), "")</f>
        <v/>
      </c>
      <c r="D203" s="216" t="str">
        <f>IFERROR(-FV('Mortgage Calculator'!InterestRate/12,B203-1,-'Mortgage Calculator'!MonthlyLoanPayment,'Mortgage Calculator'!LoanAmount),"")</f>
        <v/>
      </c>
      <c r="E203" s="216">
        <v>136.29884542794244</v>
      </c>
      <c r="F203" s="216">
        <v>343.35072109990523</v>
      </c>
      <c r="G203" s="216">
        <f ca="1">IF(Amortization32[[#This Row],[payment
date]]="",0,'Mortgage Calculator'!PropertyTaxAmount)</f>
        <v>0</v>
      </c>
      <c r="H203" s="216">
        <f ca="1">IF(Amortization32[[#This Row],[payment
date]]="",0,Amortization32[[#This Row],[interest]]+Amortization32[[#This Row],[principal]]+Amortization32[[#This Row],[property
tax]])</f>
        <v>0</v>
      </c>
      <c r="I203" s="216">
        <f ca="1">IF(Amortization32[[#This Row],[payment
date]]="",0,Amortization32[[#This Row],[opening
balance]]-Amortization32[[#This Row],[principal]])</f>
        <v>0</v>
      </c>
      <c r="J203" s="217">
        <f ca="1">IF(Amortization32[[#This Row],[closing
balance]]&gt;0,LastRow-ROW(),0)</f>
        <v>0</v>
      </c>
    </row>
    <row r="204" spans="2:10" ht="15" customHeight="1">
      <c r="B204" s="214" t="str">
        <f>IF(SUM(ROWS($B$4:B204))&gt;'Mortgage Calculator'!DurationOfLoan,"",SUM(ROWS($B$4:B204)))</f>
        <v/>
      </c>
      <c r="C204" s="215" t="str">
        <f ca="1">IFERROR(DATE(YEAR('Mortgage Calculator'!LoanStart), MONTH('Mortgage Calculator'!LoanStart) +B204,DAY('Mortgage Calculator'!LoanStart)), "")</f>
        <v/>
      </c>
      <c r="D204" s="216" t="str">
        <f>IFERROR(-FV('Mortgage Calculator'!InterestRate/12,B204-1,-'Mortgage Calculator'!MonthlyLoanPayment,'Mortgage Calculator'!LoanAmount),"")</f>
        <v/>
      </c>
      <c r="E204" s="216">
        <v>133.41374561870009</v>
      </c>
      <c r="F204" s="216">
        <v>346.21197710907165</v>
      </c>
      <c r="G204" s="216">
        <f ca="1">IF(Amortization32[[#This Row],[payment
date]]="",0,'Mortgage Calculator'!PropertyTaxAmount)</f>
        <v>0</v>
      </c>
      <c r="H204" s="216">
        <f ca="1">IF(Amortization32[[#This Row],[payment
date]]="",0,Amortization32[[#This Row],[interest]]+Amortization32[[#This Row],[principal]]+Amortization32[[#This Row],[property
tax]])</f>
        <v>0</v>
      </c>
      <c r="I204" s="216">
        <f ca="1">IF(Amortization32[[#This Row],[payment
date]]="",0,Amortization32[[#This Row],[opening
balance]]-Amortization32[[#This Row],[principal]])</f>
        <v>0</v>
      </c>
      <c r="J204" s="217">
        <f ca="1">IF(Amortization32[[#This Row],[closing
balance]]&gt;0,LastRow-ROW(),0)</f>
        <v>0</v>
      </c>
    </row>
    <row r="205" spans="2:10" ht="15" customHeight="1">
      <c r="B205" s="214" t="str">
        <f>IF(SUM(ROWS($B$4:B205))&gt;'Mortgage Calculator'!DurationOfLoan,"",SUM(ROWS($B$4:B205)))</f>
        <v/>
      </c>
      <c r="C205" s="215" t="str">
        <f ca="1">IFERROR(DATE(YEAR('Mortgage Calculator'!LoanStart), MONTH('Mortgage Calculator'!LoanStart) +B205,DAY('Mortgage Calculator'!LoanStart)), "")</f>
        <v/>
      </c>
      <c r="D205" s="216" t="str">
        <f>IFERROR(-FV('Mortgage Calculator'!InterestRate/12,B205-1,-'Mortgage Calculator'!MonthlyLoanPayment,'Mortgage Calculator'!LoanAmount),"")</f>
        <v/>
      </c>
      <c r="E205" s="216">
        <v>130.50460331104767</v>
      </c>
      <c r="F205" s="216">
        <v>349.0970769183138</v>
      </c>
      <c r="G205" s="216">
        <f ca="1">IF(Amortization32[[#This Row],[payment
date]]="",0,'Mortgage Calculator'!PropertyTaxAmount)</f>
        <v>0</v>
      </c>
      <c r="H205" s="216">
        <f ca="1">IF(Amortization32[[#This Row],[payment
date]]="",0,Amortization32[[#This Row],[interest]]+Amortization32[[#This Row],[principal]]+Amortization32[[#This Row],[property
tax]])</f>
        <v>0</v>
      </c>
      <c r="I205" s="216">
        <f ca="1">IF(Amortization32[[#This Row],[payment
date]]="",0,Amortization32[[#This Row],[opening
balance]]-Amortization32[[#This Row],[principal]])</f>
        <v>0</v>
      </c>
      <c r="J205" s="217">
        <f ca="1">IF(Amortization32[[#This Row],[closing
balance]]&gt;0,LastRow-ROW(),0)</f>
        <v>0</v>
      </c>
    </row>
    <row r="206" spans="2:10" ht="15" customHeight="1">
      <c r="B206" s="214" t="str">
        <f>IF(SUM(ROWS($B$4:B206))&gt;'Mortgage Calculator'!DurationOfLoan,"",SUM(ROWS($B$4:B206)))</f>
        <v/>
      </c>
      <c r="C206" s="215" t="str">
        <f ca="1">IFERROR(DATE(YEAR('Mortgage Calculator'!LoanStart), MONTH('Mortgage Calculator'!LoanStart) +B206,DAY('Mortgage Calculator'!LoanStart)), "")</f>
        <v/>
      </c>
      <c r="D206" s="216" t="str">
        <f>IFERROR(-FV('Mortgage Calculator'!InterestRate/12,B206-1,-'Mortgage Calculator'!MonthlyLoanPayment,'Mortgage Calculator'!LoanAmount),"")</f>
        <v/>
      </c>
      <c r="E206" s="216">
        <v>127.57121815083107</v>
      </c>
      <c r="F206" s="216">
        <v>352.00621922596696</v>
      </c>
      <c r="G206" s="216">
        <f ca="1">IF(Amortization32[[#This Row],[payment
date]]="",0,'Mortgage Calculator'!PropertyTaxAmount)</f>
        <v>0</v>
      </c>
      <c r="H206" s="216">
        <f ca="1">IF(Amortization32[[#This Row],[payment
date]]="",0,Amortization32[[#This Row],[interest]]+Amortization32[[#This Row],[principal]]+Amortization32[[#This Row],[property
tax]])</f>
        <v>0</v>
      </c>
      <c r="I206" s="216">
        <f ca="1">IF(Amortization32[[#This Row],[payment
date]]="",0,Amortization32[[#This Row],[opening
balance]]-Amortization32[[#This Row],[principal]])</f>
        <v>0</v>
      </c>
      <c r="J206" s="217">
        <f ca="1">IF(Amortization32[[#This Row],[closing
balance]]&gt;0,LastRow-ROW(),0)</f>
        <v>0</v>
      </c>
    </row>
    <row r="207" spans="2:10" ht="15" customHeight="1">
      <c r="B207" s="214" t="str">
        <f>IF(SUM(ROWS($B$4:B207))&gt;'Mortgage Calculator'!DurationOfLoan,"",SUM(ROWS($B$4:B207)))</f>
        <v/>
      </c>
      <c r="C207" s="215" t="str">
        <f ca="1">IFERROR(DATE(YEAR('Mortgage Calculator'!LoanStart), MONTH('Mortgage Calculator'!LoanStart) +B207,DAY('Mortgage Calculator'!LoanStart)), "")</f>
        <v/>
      </c>
      <c r="D207" s="216" t="str">
        <f>IFERROR(-FV('Mortgage Calculator'!InterestRate/12,B207-1,-'Mortgage Calculator'!MonthlyLoanPayment,'Mortgage Calculator'!LoanAmount),"")</f>
        <v/>
      </c>
      <c r="E207" s="216">
        <v>124.61338811427946</v>
      </c>
      <c r="F207" s="216">
        <v>354.93960438618268</v>
      </c>
      <c r="G207" s="216">
        <f ca="1">IF(Amortization32[[#This Row],[payment
date]]="",0,'Mortgage Calculator'!PropertyTaxAmount)</f>
        <v>0</v>
      </c>
      <c r="H207" s="216">
        <f ca="1">IF(Amortization32[[#This Row],[payment
date]]="",0,Amortization32[[#This Row],[interest]]+Amortization32[[#This Row],[principal]]+Amortization32[[#This Row],[property
tax]])</f>
        <v>0</v>
      </c>
      <c r="I207" s="216">
        <f ca="1">IF(Amortization32[[#This Row],[payment
date]]="",0,Amortization32[[#This Row],[opening
balance]]-Amortization32[[#This Row],[principal]])</f>
        <v>0</v>
      </c>
      <c r="J207" s="217">
        <f ca="1">IF(Amortization32[[#This Row],[closing
balance]]&gt;0,LastRow-ROW(),0)</f>
        <v>0</v>
      </c>
    </row>
    <row r="208" spans="2:10" ht="15" customHeight="1">
      <c r="B208" s="214" t="str">
        <f>IF(SUM(ROWS($B$4:B208))&gt;'Mortgage Calculator'!DurationOfLoan,"",SUM(ROWS($B$4:B208)))</f>
        <v/>
      </c>
      <c r="C208" s="215" t="str">
        <f ca="1">IFERROR(DATE(YEAR('Mortgage Calculator'!LoanStart), MONTH('Mortgage Calculator'!LoanStart) +B208,DAY('Mortgage Calculator'!LoanStart)), "")</f>
        <v/>
      </c>
      <c r="D208" s="216" t="str">
        <f>IFERROR(-FV('Mortgage Calculator'!InterestRate/12,B208-1,-'Mortgage Calculator'!MonthlyLoanPayment,'Mortgage Calculator'!LoanAmount),"")</f>
        <v/>
      </c>
      <c r="E208" s="216">
        <v>121.63090949409015</v>
      </c>
      <c r="F208" s="216">
        <v>357.89743442273397</v>
      </c>
      <c r="G208" s="216">
        <f ca="1">IF(Amortization32[[#This Row],[payment
date]]="",0,'Mortgage Calculator'!PropertyTaxAmount)</f>
        <v>0</v>
      </c>
      <c r="H208" s="216">
        <f ca="1">IF(Amortization32[[#This Row],[payment
date]]="",0,Amortization32[[#This Row],[interest]]+Amortization32[[#This Row],[principal]]+Amortization32[[#This Row],[property
tax]])</f>
        <v>0</v>
      </c>
      <c r="I208" s="216">
        <f ca="1">IF(Amortization32[[#This Row],[payment
date]]="",0,Amortization32[[#This Row],[opening
balance]]-Amortization32[[#This Row],[principal]])</f>
        <v>0</v>
      </c>
      <c r="J208" s="217">
        <f ca="1">IF(Amortization32[[#This Row],[closing
balance]]&gt;0,LastRow-ROW(),0)</f>
        <v>0</v>
      </c>
    </row>
    <row r="209" spans="2:10" ht="15" customHeight="1">
      <c r="B209" s="214" t="str">
        <f>IF(SUM(ROWS($B$4:B209))&gt;'Mortgage Calculator'!DurationOfLoan,"",SUM(ROWS($B$4:B209)))</f>
        <v/>
      </c>
      <c r="C209" s="215" t="str">
        <f ca="1">IFERROR(DATE(YEAR('Mortgage Calculator'!LoanStart), MONTH('Mortgage Calculator'!LoanStart) +B209,DAY('Mortgage Calculator'!LoanStart)), "")</f>
        <v/>
      </c>
      <c r="D209" s="216" t="str">
        <f>IFERROR(-FV('Mortgage Calculator'!InterestRate/12,B209-1,-'Mortgage Calculator'!MonthlyLoanPayment,'Mortgage Calculator'!LoanAmount),"")</f>
        <v/>
      </c>
      <c r="E209" s="216">
        <v>118.62357688539971</v>
      </c>
      <c r="F209" s="216">
        <v>360.87991304292382</v>
      </c>
      <c r="G209" s="216">
        <f ca="1">IF(Amortization32[[#This Row],[payment
date]]="",0,'Mortgage Calculator'!PropertyTaxAmount)</f>
        <v>0</v>
      </c>
      <c r="H209" s="216">
        <f ca="1">IF(Amortization32[[#This Row],[payment
date]]="",0,Amortization32[[#This Row],[interest]]+Amortization32[[#This Row],[principal]]+Amortization32[[#This Row],[property
tax]])</f>
        <v>0</v>
      </c>
      <c r="I209" s="216">
        <f ca="1">IF(Amortization32[[#This Row],[payment
date]]="",0,Amortization32[[#This Row],[opening
balance]]-Amortization32[[#This Row],[principal]])</f>
        <v>0</v>
      </c>
      <c r="J209" s="217">
        <f ca="1">IF(Amortization32[[#This Row],[closing
balance]]&gt;0,LastRow-ROW(),0)</f>
        <v>0</v>
      </c>
    </row>
    <row r="210" spans="2:10" ht="15" customHeight="1">
      <c r="B210" s="214" t="str">
        <f>IF(SUM(ROWS($B$4:B210))&gt;'Mortgage Calculator'!DurationOfLoan,"",SUM(ROWS($B$4:B210)))</f>
        <v/>
      </c>
      <c r="C210" s="215" t="str">
        <f ca="1">IFERROR(DATE(YEAR('Mortgage Calculator'!LoanStart), MONTH('Mortgage Calculator'!LoanStart) +B210,DAY('Mortgage Calculator'!LoanStart)), "")</f>
        <v/>
      </c>
      <c r="D210" s="216" t="str">
        <f>IFERROR(-FV('Mortgage Calculator'!InterestRate/12,B210-1,-'Mortgage Calculator'!MonthlyLoanPayment,'Mortgage Calculator'!LoanAmount),"")</f>
        <v/>
      </c>
      <c r="E210" s="216">
        <v>115.59118317163617</v>
      </c>
      <c r="F210" s="216">
        <v>363.88724565161675</v>
      </c>
      <c r="G210" s="216">
        <f ca="1">IF(Amortization32[[#This Row],[payment
date]]="",0,'Mortgage Calculator'!PropertyTaxAmount)</f>
        <v>0</v>
      </c>
      <c r="H210" s="216">
        <f ca="1">IF(Amortization32[[#This Row],[payment
date]]="",0,Amortization32[[#This Row],[interest]]+Amortization32[[#This Row],[principal]]+Amortization32[[#This Row],[property
tax]])</f>
        <v>0</v>
      </c>
      <c r="I210" s="216">
        <f ca="1">IF(Amortization32[[#This Row],[payment
date]]="",0,Amortization32[[#This Row],[opening
balance]]-Amortization32[[#This Row],[principal]])</f>
        <v>0</v>
      </c>
      <c r="J210" s="217">
        <f ca="1">IF(Amortization32[[#This Row],[closing
balance]]&gt;0,LastRow-ROW(),0)</f>
        <v>0</v>
      </c>
    </row>
    <row r="211" spans="2:10" ht="15" customHeight="1">
      <c r="B211" s="214" t="str">
        <f>IF(SUM(ROWS($B$4:B211))&gt;'Mortgage Calculator'!DurationOfLoan,"",SUM(ROWS($B$4:B211)))</f>
        <v/>
      </c>
      <c r="C211" s="215" t="str">
        <f ca="1">IFERROR(DATE(YEAR('Mortgage Calculator'!LoanStart), MONTH('Mortgage Calculator'!LoanStart) +B211,DAY('Mortgage Calculator'!LoanStart)), "")</f>
        <v/>
      </c>
      <c r="D211" s="216" t="str">
        <f>IFERROR(-FV('Mortgage Calculator'!InterestRate/12,B211-1,-'Mortgage Calculator'!MonthlyLoanPayment,'Mortgage Calculator'!LoanAmount),"")</f>
        <v/>
      </c>
      <c r="E211" s="216">
        <v>112.53351951025833</v>
      </c>
      <c r="F211" s="216">
        <v>366.91963936538002</v>
      </c>
      <c r="G211" s="216">
        <f ca="1">IF(Amortization32[[#This Row],[payment
date]]="",0,'Mortgage Calculator'!PropertyTaxAmount)</f>
        <v>0</v>
      </c>
      <c r="H211" s="216">
        <f ca="1">IF(Amortization32[[#This Row],[payment
date]]="",0,Amortization32[[#This Row],[interest]]+Amortization32[[#This Row],[principal]]+Amortization32[[#This Row],[property
tax]])</f>
        <v>0</v>
      </c>
      <c r="I211" s="216">
        <f ca="1">IF(Amortization32[[#This Row],[payment
date]]="",0,Amortization32[[#This Row],[opening
balance]]-Amortization32[[#This Row],[principal]])</f>
        <v>0</v>
      </c>
      <c r="J211" s="217">
        <f ca="1">IF(Amortization32[[#This Row],[closing
balance]]&gt;0,LastRow-ROW(),0)</f>
        <v>0</v>
      </c>
    </row>
    <row r="212" spans="2:10" ht="15" customHeight="1">
      <c r="B212" s="214" t="str">
        <f>IF(SUM(ROWS($B$4:B212))&gt;'Mortgage Calculator'!DurationOfLoan,"",SUM(ROWS($B$4:B212)))</f>
        <v/>
      </c>
      <c r="C212" s="215" t="str">
        <f ca="1">IFERROR(DATE(YEAR('Mortgage Calculator'!LoanStart), MONTH('Mortgage Calculator'!LoanStart) +B212,DAY('Mortgage Calculator'!LoanStart)), "")</f>
        <v/>
      </c>
      <c r="D212" s="216" t="str">
        <f>IFERROR(-FV('Mortgage Calculator'!InterestRate/12,B212-1,-'Mortgage Calculator'!MonthlyLoanPayment,'Mortgage Calculator'!LoanAmount),"")</f>
        <v/>
      </c>
      <c r="E212" s="216">
        <v>109.4503753183686</v>
      </c>
      <c r="F212" s="216">
        <v>369.97730302675922</v>
      </c>
      <c r="G212" s="216">
        <f ca="1">IF(Amortization32[[#This Row],[payment
date]]="",0,'Mortgage Calculator'!PropertyTaxAmount)</f>
        <v>0</v>
      </c>
      <c r="H212" s="216">
        <f ca="1">IF(Amortization32[[#This Row],[payment
date]]="",0,Amortization32[[#This Row],[interest]]+Amortization32[[#This Row],[principal]]+Amortization32[[#This Row],[property
tax]])</f>
        <v>0</v>
      </c>
      <c r="I212" s="216">
        <f ca="1">IF(Amortization32[[#This Row],[payment
date]]="",0,Amortization32[[#This Row],[opening
balance]]-Amortization32[[#This Row],[principal]])</f>
        <v>0</v>
      </c>
      <c r="J212" s="217">
        <f ca="1">IF(Amortization32[[#This Row],[closing
balance]]&gt;0,LastRow-ROW(),0)</f>
        <v>0</v>
      </c>
    </row>
    <row r="213" spans="2:10" ht="15" customHeight="1">
      <c r="B213" s="214" t="str">
        <f>IF(SUM(ROWS($B$4:B213))&gt;'Mortgage Calculator'!DurationOfLoan,"",SUM(ROWS($B$4:B213)))</f>
        <v/>
      </c>
      <c r="C213" s="215" t="str">
        <f ca="1">IFERROR(DATE(YEAR('Mortgage Calculator'!LoanStart), MONTH('Mortgage Calculator'!LoanStart) +B213,DAY('Mortgage Calculator'!LoanStart)), "")</f>
        <v/>
      </c>
      <c r="D213" s="216" t="str">
        <f>IFERROR(-FV('Mortgage Calculator'!InterestRate/12,B213-1,-'Mortgage Calculator'!MonthlyLoanPayment,'Mortgage Calculator'!LoanAmount),"")</f>
        <v/>
      </c>
      <c r="E213" s="216">
        <v>106.34153825821316</v>
      </c>
      <c r="F213" s="216">
        <v>373.06044721864856</v>
      </c>
      <c r="G213" s="216">
        <f ca="1">IF(Amortization32[[#This Row],[payment
date]]="",0,'Mortgage Calculator'!PropertyTaxAmount)</f>
        <v>0</v>
      </c>
      <c r="H213" s="216">
        <f ca="1">IF(Amortization32[[#This Row],[payment
date]]="",0,Amortization32[[#This Row],[interest]]+Amortization32[[#This Row],[principal]]+Amortization32[[#This Row],[property
tax]])</f>
        <v>0</v>
      </c>
      <c r="I213" s="216">
        <f ca="1">IF(Amortization32[[#This Row],[payment
date]]="",0,Amortization32[[#This Row],[opening
balance]]-Amortization32[[#This Row],[principal]])</f>
        <v>0</v>
      </c>
      <c r="J213" s="217">
        <f ca="1">IF(Amortization32[[#This Row],[closing
balance]]&gt;0,LastRow-ROW(),0)</f>
        <v>0</v>
      </c>
    </row>
    <row r="214" spans="2:10" ht="15" customHeight="1">
      <c r="B214" s="214" t="str">
        <f>IF(SUM(ROWS($B$4:B214))&gt;'Mortgage Calculator'!DurationOfLoan,"",SUM(ROWS($B$4:B214)))</f>
        <v/>
      </c>
      <c r="C214" s="215" t="str">
        <f ca="1">IFERROR(DATE(YEAR('Mortgage Calculator'!LoanStart), MONTH('Mortgage Calculator'!LoanStart) +B214,DAY('Mortgage Calculator'!LoanStart)), "")</f>
        <v/>
      </c>
      <c r="D214" s="216" t="str">
        <f>IFERROR(-FV('Mortgage Calculator'!InterestRate/12,B214-1,-'Mortgage Calculator'!MonthlyLoanPayment,'Mortgage Calculator'!LoanAmount),"")</f>
        <v/>
      </c>
      <c r="E214" s="216">
        <v>103.20679422255634</v>
      </c>
      <c r="F214" s="216">
        <v>376.16928427880401</v>
      </c>
      <c r="G214" s="216">
        <f ca="1">IF(Amortization32[[#This Row],[payment
date]]="",0,'Mortgage Calculator'!PropertyTaxAmount)</f>
        <v>0</v>
      </c>
      <c r="H214" s="216">
        <f ca="1">IF(Amortization32[[#This Row],[payment
date]]="",0,Amortization32[[#This Row],[interest]]+Amortization32[[#This Row],[principal]]+Amortization32[[#This Row],[property
tax]])</f>
        <v>0</v>
      </c>
      <c r="I214" s="216">
        <f ca="1">IF(Amortization32[[#This Row],[payment
date]]="",0,Amortization32[[#This Row],[opening
balance]]-Amortization32[[#This Row],[principal]])</f>
        <v>0</v>
      </c>
      <c r="J214" s="217">
        <f ca="1">IF(Amortization32[[#This Row],[closing
balance]]&gt;0,LastRow-ROW(),0)</f>
        <v>0</v>
      </c>
    </row>
    <row r="215" spans="2:10" ht="15" customHeight="1">
      <c r="B215" s="214" t="str">
        <f>IF(SUM(ROWS($B$4:B215))&gt;'Mortgage Calculator'!DurationOfLoan,"",SUM(ROWS($B$4:B215)))</f>
        <v/>
      </c>
      <c r="C215" s="215" t="str">
        <f ca="1">IFERROR(DATE(YEAR('Mortgage Calculator'!LoanStart), MONTH('Mortgage Calculator'!LoanStart) +B215,DAY('Mortgage Calculator'!LoanStart)), "")</f>
        <v/>
      </c>
      <c r="D215" s="216" t="str">
        <f>IFERROR(-FV('Mortgage Calculator'!InterestRate/12,B215-1,-'Mortgage Calculator'!MonthlyLoanPayment,'Mortgage Calculator'!LoanAmount),"")</f>
        <v/>
      </c>
      <c r="E215" s="216">
        <v>100.04592731993665</v>
      </c>
      <c r="F215" s="216">
        <v>379.3040283144602</v>
      </c>
      <c r="G215" s="216">
        <f ca="1">IF(Amortization32[[#This Row],[payment
date]]="",0,'Mortgage Calculator'!PropertyTaxAmount)</f>
        <v>0</v>
      </c>
      <c r="H215" s="216">
        <f ca="1">IF(Amortization32[[#This Row],[payment
date]]="",0,Amortization32[[#This Row],[interest]]+Amortization32[[#This Row],[principal]]+Amortization32[[#This Row],[property
tax]])</f>
        <v>0</v>
      </c>
      <c r="I215" s="216">
        <f ca="1">IF(Amortization32[[#This Row],[payment
date]]="",0,Amortization32[[#This Row],[opening
balance]]-Amortization32[[#This Row],[principal]])</f>
        <v>0</v>
      </c>
      <c r="J215" s="217">
        <f ca="1">IF(Amortization32[[#This Row],[closing
balance]]&gt;0,LastRow-ROW(),0)</f>
        <v>0</v>
      </c>
    </row>
    <row r="216" spans="2:10" ht="15" customHeight="1">
      <c r="B216" s="214" t="str">
        <f>IF(SUM(ROWS($B$4:B216))&gt;'Mortgage Calculator'!DurationOfLoan,"",SUM(ROWS($B$4:B216)))</f>
        <v/>
      </c>
      <c r="C216" s="215" t="str">
        <f ca="1">IFERROR(DATE(YEAR('Mortgage Calculator'!LoanStart), MONTH('Mortgage Calculator'!LoanStart) +B216,DAY('Mortgage Calculator'!LoanStart)), "")</f>
        <v/>
      </c>
      <c r="D216" s="216" t="str">
        <f>IFERROR(-FV('Mortgage Calculator'!InterestRate/12,B216-1,-'Mortgage Calculator'!MonthlyLoanPayment,'Mortgage Calculator'!LoanAmount),"")</f>
        <v/>
      </c>
      <c r="E216" s="216">
        <v>96.858719859794164</v>
      </c>
      <c r="F216" s="216">
        <v>382.46489521708378</v>
      </c>
      <c r="G216" s="216">
        <f ca="1">IF(Amortization32[[#This Row],[payment
date]]="",0,'Mortgage Calculator'!PropertyTaxAmount)</f>
        <v>0</v>
      </c>
      <c r="H216" s="216">
        <f ca="1">IF(Amortization32[[#This Row],[payment
date]]="",0,Amortization32[[#This Row],[interest]]+Amortization32[[#This Row],[principal]]+Amortization32[[#This Row],[property
tax]])</f>
        <v>0</v>
      </c>
      <c r="I216" s="216">
        <f ca="1">IF(Amortization32[[#This Row],[payment
date]]="",0,Amortization32[[#This Row],[opening
balance]]-Amortization32[[#This Row],[principal]])</f>
        <v>0</v>
      </c>
      <c r="J216" s="217">
        <f ca="1">IF(Amortization32[[#This Row],[closing
balance]]&gt;0,LastRow-ROW(),0)</f>
        <v>0</v>
      </c>
    </row>
    <row r="217" spans="2:10" ht="15" customHeight="1">
      <c r="B217" s="214" t="str">
        <f>IF(SUM(ROWS($B$4:B217))&gt;'Mortgage Calculator'!DurationOfLoan,"",SUM(ROWS($B$4:B217)))</f>
        <v/>
      </c>
      <c r="C217" s="215" t="str">
        <f ca="1">IFERROR(DATE(YEAR('Mortgage Calculator'!LoanStart), MONTH('Mortgage Calculator'!LoanStart) +B217,DAY('Mortgage Calculator'!LoanStart)), "")</f>
        <v/>
      </c>
      <c r="D217" s="216" t="str">
        <f>IFERROR(-FV('Mortgage Calculator'!InterestRate/12,B217-1,-'Mortgage Calculator'!MonthlyLoanPayment,'Mortgage Calculator'!LoanAmount),"")</f>
        <v/>
      </c>
      <c r="E217" s="216">
        <v>93.644952337484085</v>
      </c>
      <c r="F217" s="216">
        <v>385.65210267722563</v>
      </c>
      <c r="G217" s="216">
        <f ca="1">IF(Amortization32[[#This Row],[payment
date]]="",0,'Mortgage Calculator'!PropertyTaxAmount)</f>
        <v>0</v>
      </c>
      <c r="H217" s="216">
        <f ca="1">IF(Amortization32[[#This Row],[payment
date]]="",0,Amortization32[[#This Row],[interest]]+Amortization32[[#This Row],[principal]]+Amortization32[[#This Row],[property
tax]])</f>
        <v>0</v>
      </c>
      <c r="I217" s="216">
        <f ca="1">IF(Amortization32[[#This Row],[payment
date]]="",0,Amortization32[[#This Row],[opening
balance]]-Amortization32[[#This Row],[principal]])</f>
        <v>0</v>
      </c>
      <c r="J217" s="217">
        <f ca="1">IF(Amortization32[[#This Row],[closing
balance]]&gt;0,LastRow-ROW(),0)</f>
        <v>0</v>
      </c>
    </row>
    <row r="218" spans="2:10" ht="15" customHeight="1">
      <c r="B218" s="214" t="str">
        <f>IF(SUM(ROWS($B$4:B218))&gt;'Mortgage Calculator'!DurationOfLoan,"",SUM(ROWS($B$4:B218)))</f>
        <v/>
      </c>
      <c r="C218" s="215" t="str">
        <f ca="1">IFERROR(DATE(YEAR('Mortgage Calculator'!LoanStart), MONTH('Mortgage Calculator'!LoanStart) +B218,DAY('Mortgage Calculator'!LoanStart)), "")</f>
        <v/>
      </c>
      <c r="D218" s="216" t="str">
        <f>IFERROR(-FV('Mortgage Calculator'!InterestRate/12,B218-1,-'Mortgage Calculator'!MonthlyLoanPayment,'Mortgage Calculator'!LoanAmount),"")</f>
        <v/>
      </c>
      <c r="E218" s="216">
        <v>90.404403419154789</v>
      </c>
      <c r="F218" s="216">
        <v>388.8658701995364</v>
      </c>
      <c r="G218" s="216">
        <f ca="1">IF(Amortization32[[#This Row],[payment
date]]="",0,'Mortgage Calculator'!PropertyTaxAmount)</f>
        <v>0</v>
      </c>
      <c r="H218" s="216">
        <f ca="1">IF(Amortization32[[#This Row],[payment
date]]="",0,Amortization32[[#This Row],[interest]]+Amortization32[[#This Row],[principal]]+Amortization32[[#This Row],[property
tax]])</f>
        <v>0</v>
      </c>
      <c r="I218" s="216">
        <f ca="1">IF(Amortization32[[#This Row],[payment
date]]="",0,Amortization32[[#This Row],[opening
balance]]-Amortization32[[#This Row],[principal]])</f>
        <v>0</v>
      </c>
      <c r="J218" s="217">
        <f ca="1">IF(Amortization32[[#This Row],[closing
balance]]&gt;0,LastRow-ROW(),0)</f>
        <v>0</v>
      </c>
    </row>
    <row r="219" spans="2:10" ht="15" customHeight="1">
      <c r="B219" s="214" t="str">
        <f>IF(SUM(ROWS($B$4:B219))&gt;'Mortgage Calculator'!DurationOfLoan,"",SUM(ROWS($B$4:B219)))</f>
        <v/>
      </c>
      <c r="C219" s="215" t="str">
        <f ca="1">IFERROR(DATE(YEAR('Mortgage Calculator'!LoanStart), MONTH('Mortgage Calculator'!LoanStart) +B219,DAY('Mortgage Calculator'!LoanStart)), "")</f>
        <v/>
      </c>
      <c r="D219" s="216" t="str">
        <f>IFERROR(-FV('Mortgage Calculator'!InterestRate/12,B219-1,-'Mortgage Calculator'!MonthlyLoanPayment,'Mortgage Calculator'!LoanAmount),"")</f>
        <v/>
      </c>
      <c r="E219" s="216">
        <v>87.136849926506201</v>
      </c>
      <c r="F219" s="216">
        <v>392.10641911786661</v>
      </c>
      <c r="G219" s="216">
        <f ca="1">IF(Amortization32[[#This Row],[payment
date]]="",0,'Mortgage Calculator'!PropertyTaxAmount)</f>
        <v>0</v>
      </c>
      <c r="H219" s="216">
        <f ca="1">IF(Amortization32[[#This Row],[payment
date]]="",0,Amortization32[[#This Row],[interest]]+Amortization32[[#This Row],[principal]]+Amortization32[[#This Row],[property
tax]])</f>
        <v>0</v>
      </c>
      <c r="I219" s="216">
        <f ca="1">IF(Amortization32[[#This Row],[payment
date]]="",0,Amortization32[[#This Row],[opening
balance]]-Amortization32[[#This Row],[principal]])</f>
        <v>0</v>
      </c>
      <c r="J219" s="217">
        <f ca="1">IF(Amortization32[[#This Row],[closing
balance]]&gt;0,LastRow-ROW(),0)</f>
        <v>0</v>
      </c>
    </row>
    <row r="220" spans="2:10" ht="15" customHeight="1">
      <c r="B220" s="214" t="str">
        <f>IF(SUM(ROWS($B$4:B220))&gt;'Mortgage Calculator'!DurationOfLoan,"",SUM(ROWS($B$4:B220)))</f>
        <v/>
      </c>
      <c r="C220" s="215" t="str">
        <f ca="1">IFERROR(DATE(YEAR('Mortgage Calculator'!LoanStart), MONTH('Mortgage Calculator'!LoanStart) +B220,DAY('Mortgage Calculator'!LoanStart)), "")</f>
        <v/>
      </c>
      <c r="D220" s="216" t="str">
        <f>IFERROR(-FV('Mortgage Calculator'!InterestRate/12,B220-1,-'Mortgage Calculator'!MonthlyLoanPayment,'Mortgage Calculator'!LoanAmount),"")</f>
        <v/>
      </c>
      <c r="E220" s="216">
        <v>83.842066821418598</v>
      </c>
      <c r="F220" s="216">
        <v>395.37397261051694</v>
      </c>
      <c r="G220" s="216">
        <f ca="1">IF(Amortization32[[#This Row],[payment
date]]="",0,'Mortgage Calculator'!PropertyTaxAmount)</f>
        <v>0</v>
      </c>
      <c r="H220" s="216">
        <f ca="1">IF(Amortization32[[#This Row],[payment
date]]="",0,Amortization32[[#This Row],[interest]]+Amortization32[[#This Row],[principal]]+Amortization32[[#This Row],[property
tax]])</f>
        <v>0</v>
      </c>
      <c r="I220" s="216">
        <f ca="1">IF(Amortization32[[#This Row],[payment
date]]="",0,Amortization32[[#This Row],[opening
balance]]-Amortization32[[#This Row],[principal]])</f>
        <v>0</v>
      </c>
      <c r="J220" s="217">
        <f ca="1">IF(Amortization32[[#This Row],[closing
balance]]&gt;0,LastRow-ROW(),0)</f>
        <v>0</v>
      </c>
    </row>
    <row r="221" spans="2:10" ht="15" customHeight="1">
      <c r="B221" s="214" t="str">
        <f>IF(SUM(ROWS($B$4:B221))&gt;'Mortgage Calculator'!DurationOfLoan,"",SUM(ROWS($B$4:B221)))</f>
        <v/>
      </c>
      <c r="C221" s="215" t="str">
        <f ca="1">IFERROR(DATE(YEAR('Mortgage Calculator'!LoanStart), MONTH('Mortgage Calculator'!LoanStart) +B221,DAY('Mortgage Calculator'!LoanStart)), "")</f>
        <v/>
      </c>
      <c r="D221" s="216" t="str">
        <f>IFERROR(-FV('Mortgage Calculator'!InterestRate/12,B221-1,-'Mortgage Calculator'!MonthlyLoanPayment,'Mortgage Calculator'!LoanAmount),"")</f>
        <v/>
      </c>
      <c r="E221" s="216">
        <v>80.519827190455786</v>
      </c>
      <c r="F221" s="216">
        <v>398.66875571560473</v>
      </c>
      <c r="G221" s="216">
        <f ca="1">IF(Amortization32[[#This Row],[payment
date]]="",0,'Mortgage Calculator'!PropertyTaxAmount)</f>
        <v>0</v>
      </c>
      <c r="H221" s="216">
        <f ca="1">IF(Amortization32[[#This Row],[payment
date]]="",0,Amortization32[[#This Row],[interest]]+Amortization32[[#This Row],[principal]]+Amortization32[[#This Row],[property
tax]])</f>
        <v>0</v>
      </c>
      <c r="I221" s="216">
        <f ca="1">IF(Amortization32[[#This Row],[payment
date]]="",0,Amortization32[[#This Row],[opening
balance]]-Amortization32[[#This Row],[principal]])</f>
        <v>0</v>
      </c>
      <c r="J221" s="217">
        <f ca="1">IF(Amortization32[[#This Row],[closing
balance]]&gt;0,LastRow-ROW(),0)</f>
        <v>0</v>
      </c>
    </row>
    <row r="222" spans="2:10" ht="15" customHeight="1">
      <c r="B222" s="214" t="str">
        <f>IF(SUM(ROWS($B$4:B222))&gt;'Mortgage Calculator'!DurationOfLoan,"",SUM(ROWS($B$4:B222)))</f>
        <v/>
      </c>
      <c r="C222" s="215" t="str">
        <f ca="1">IFERROR(DATE(YEAR('Mortgage Calculator'!LoanStart), MONTH('Mortgage Calculator'!LoanStart) +B222,DAY('Mortgage Calculator'!LoanStart)), "")</f>
        <v/>
      </c>
      <c r="D222" s="216" t="str">
        <f>IFERROR(-FV('Mortgage Calculator'!InterestRate/12,B222-1,-'Mortgage Calculator'!MonthlyLoanPayment,'Mortgage Calculator'!LoanAmount),"")</f>
        <v/>
      </c>
      <c r="E222" s="216">
        <v>77.169902229233898</v>
      </c>
      <c r="F222" s="216">
        <v>401.99099534657091</v>
      </c>
      <c r="G222" s="216">
        <f ca="1">IF(Amortization32[[#This Row],[payment
date]]="",0,'Mortgage Calculator'!PropertyTaxAmount)</f>
        <v>0</v>
      </c>
      <c r="H222" s="216">
        <f ca="1">IF(Amortization32[[#This Row],[payment
date]]="",0,Amortization32[[#This Row],[interest]]+Amortization32[[#This Row],[principal]]+Amortization32[[#This Row],[property
tax]])</f>
        <v>0</v>
      </c>
      <c r="I222" s="216">
        <f ca="1">IF(Amortization32[[#This Row],[payment
date]]="",0,Amortization32[[#This Row],[opening
balance]]-Amortization32[[#This Row],[principal]])</f>
        <v>0</v>
      </c>
      <c r="J222" s="217">
        <f ca="1">IF(Amortization32[[#This Row],[closing
balance]]&gt;0,LastRow-ROW(),0)</f>
        <v>0</v>
      </c>
    </row>
    <row r="223" spans="2:10" ht="15" customHeight="1">
      <c r="B223" s="214" t="str">
        <f>IF(SUM(ROWS($B$4:B223))&gt;'Mortgage Calculator'!DurationOfLoan,"",SUM(ROWS($B$4:B223)))</f>
        <v/>
      </c>
      <c r="C223" s="215" t="str">
        <f ca="1">IFERROR(DATE(YEAR('Mortgage Calculator'!LoanStart), MONTH('Mortgage Calculator'!LoanStart) +B223,DAY('Mortgage Calculator'!LoanStart)), "")</f>
        <v/>
      </c>
      <c r="D223" s="216" t="str">
        <f>IFERROR(-FV('Mortgage Calculator'!InterestRate/12,B223-1,-'Mortgage Calculator'!MonthlyLoanPayment,'Mortgage Calculator'!LoanAmount),"")</f>
        <v/>
      </c>
      <c r="E223" s="216">
        <v>73.79206122666946</v>
      </c>
      <c r="F223" s="216">
        <v>405.34092030778987</v>
      </c>
      <c r="G223" s="216">
        <f ca="1">IF(Amortization32[[#This Row],[payment
date]]="",0,'Mortgage Calculator'!PropertyTaxAmount)</f>
        <v>0</v>
      </c>
      <c r="H223" s="216">
        <f ca="1">IF(Amortization32[[#This Row],[payment
date]]="",0,Amortization32[[#This Row],[interest]]+Amortization32[[#This Row],[principal]]+Amortization32[[#This Row],[property
tax]])</f>
        <v>0</v>
      </c>
      <c r="I223" s="216">
        <f ca="1">IF(Amortization32[[#This Row],[payment
date]]="",0,Amortization32[[#This Row],[opening
balance]]-Amortization32[[#This Row],[principal]])</f>
        <v>0</v>
      </c>
      <c r="J223" s="217">
        <f ca="1">IF(Amortization32[[#This Row],[closing
balance]]&gt;0,LastRow-ROW(),0)</f>
        <v>0</v>
      </c>
    </row>
    <row r="224" spans="2:10" ht="15" customHeight="1">
      <c r="B224" s="214" t="str">
        <f>IF(SUM(ROWS($B$4:B224))&gt;'Mortgage Calculator'!DurationOfLoan,"",SUM(ROWS($B$4:B224)))</f>
        <v/>
      </c>
      <c r="C224" s="215" t="str">
        <f ca="1">IFERROR(DATE(YEAR('Mortgage Calculator'!LoanStart), MONTH('Mortgage Calculator'!LoanStart) +B224,DAY('Mortgage Calculator'!LoanStart)), "")</f>
        <v/>
      </c>
      <c r="D224" s="216" t="str">
        <f>IFERROR(-FV('Mortgage Calculator'!InterestRate/12,B224-1,-'Mortgage Calculator'!MonthlyLoanPayment,'Mortgage Calculator'!LoanAmount),"")</f>
        <v/>
      </c>
      <c r="E224" s="216">
        <v>70.386071549083383</v>
      </c>
      <c r="F224" s="216">
        <v>408.71876131035737</v>
      </c>
      <c r="G224" s="216">
        <f ca="1">IF(Amortization32[[#This Row],[payment
date]]="",0,'Mortgage Calculator'!PropertyTaxAmount)</f>
        <v>0</v>
      </c>
      <c r="H224" s="216">
        <f ca="1">IF(Amortization32[[#This Row],[payment
date]]="",0,Amortization32[[#This Row],[interest]]+Amortization32[[#This Row],[principal]]+Amortization32[[#This Row],[property
tax]])</f>
        <v>0</v>
      </c>
      <c r="I224" s="216">
        <f ca="1">IF(Amortization32[[#This Row],[payment
date]]="",0,Amortization32[[#This Row],[opening
balance]]-Amortization32[[#This Row],[principal]])</f>
        <v>0</v>
      </c>
      <c r="J224" s="217">
        <f ca="1">IF(Amortization32[[#This Row],[closing
balance]]&gt;0,LastRow-ROW(),0)</f>
        <v>0</v>
      </c>
    </row>
    <row r="225" spans="2:10" ht="15" customHeight="1">
      <c r="B225" s="214" t="str">
        <f>IF(SUM(ROWS($B$4:B225))&gt;'Mortgage Calculator'!DurationOfLoan,"",SUM(ROWS($B$4:B225)))</f>
        <v/>
      </c>
      <c r="C225" s="215" t="str">
        <f ca="1">IFERROR(DATE(YEAR('Mortgage Calculator'!LoanStart), MONTH('Mortgage Calculator'!LoanStart) +B225,DAY('Mortgage Calculator'!LoanStart)), "")</f>
        <v/>
      </c>
      <c r="D225" s="216" t="str">
        <f>IFERROR(-FV('Mortgage Calculator'!InterestRate/12,B225-1,-'Mortgage Calculator'!MonthlyLoanPayment,'Mortgage Calculator'!LoanAmount),"")</f>
        <v/>
      </c>
      <c r="E225" s="216">
        <v>66.951698624184075</v>
      </c>
      <c r="F225" s="216">
        <v>412.12475098794511</v>
      </c>
      <c r="G225" s="216">
        <f ca="1">IF(Amortization32[[#This Row],[payment
date]]="",0,'Mortgage Calculator'!PropertyTaxAmount)</f>
        <v>0</v>
      </c>
      <c r="H225" s="216">
        <f ca="1">IF(Amortization32[[#This Row],[payment
date]]="",0,Amortization32[[#This Row],[interest]]+Amortization32[[#This Row],[principal]]+Amortization32[[#This Row],[property
tax]])</f>
        <v>0</v>
      </c>
      <c r="I225" s="216">
        <f ca="1">IF(Amortization32[[#This Row],[payment
date]]="",0,Amortization32[[#This Row],[opening
balance]]-Amortization32[[#This Row],[principal]])</f>
        <v>0</v>
      </c>
      <c r="J225" s="217">
        <f ca="1">IF(Amortization32[[#This Row],[closing
balance]]&gt;0,LastRow-ROW(),0)</f>
        <v>0</v>
      </c>
    </row>
    <row r="226" spans="2:10" ht="15" customHeight="1">
      <c r="B226" s="214" t="str">
        <f>IF(SUM(ROWS($B$4:B226))&gt;'Mortgage Calculator'!DurationOfLoan,"",SUM(ROWS($B$4:B226)))</f>
        <v/>
      </c>
      <c r="C226" s="215" t="str">
        <f ca="1">IFERROR(DATE(YEAR('Mortgage Calculator'!LoanStart), MONTH('Mortgage Calculator'!LoanStart) +B226,DAY('Mortgage Calculator'!LoanStart)), "")</f>
        <v/>
      </c>
      <c r="D226" s="216" t="str">
        <f>IFERROR(-FV('Mortgage Calculator'!InterestRate/12,B226-1,-'Mortgage Calculator'!MonthlyLoanPayment,'Mortgage Calculator'!LoanAmount),"")</f>
        <v/>
      </c>
      <c r="E226" s="216">
        <v>63.488705924910029</v>
      </c>
      <c r="F226" s="216">
        <v>415.55912391284608</v>
      </c>
      <c r="G226" s="216">
        <f ca="1">IF(Amortization32[[#This Row],[payment
date]]="",0,'Mortgage Calculator'!PropertyTaxAmount)</f>
        <v>0</v>
      </c>
      <c r="H226" s="216">
        <f ca="1">IF(Amortization32[[#This Row],[payment
date]]="",0,Amortization32[[#This Row],[interest]]+Amortization32[[#This Row],[principal]]+Amortization32[[#This Row],[property
tax]])</f>
        <v>0</v>
      </c>
      <c r="I226" s="216">
        <f ca="1">IF(Amortization32[[#This Row],[payment
date]]="",0,Amortization32[[#This Row],[opening
balance]]-Amortization32[[#This Row],[principal]])</f>
        <v>0</v>
      </c>
      <c r="J226" s="217">
        <f ca="1">IF(Amortization32[[#This Row],[closing
balance]]&gt;0,LastRow-ROW(),0)</f>
        <v>0</v>
      </c>
    </row>
    <row r="227" spans="2:10" ht="15" customHeight="1">
      <c r="B227" s="214" t="str">
        <f>IF(SUM(ROWS($B$4:B227))&gt;'Mortgage Calculator'!DurationOfLoan,"",SUM(ROWS($B$4:B227)))</f>
        <v/>
      </c>
      <c r="C227" s="215" t="str">
        <f ca="1">IFERROR(DATE(YEAR('Mortgage Calculator'!LoanStart), MONTH('Mortgage Calculator'!LoanStart) +B227,DAY('Mortgage Calculator'!LoanStart)), "")</f>
        <v/>
      </c>
      <c r="D227" s="216" t="str">
        <f>IFERROR(-FV('Mortgage Calculator'!InterestRate/12,B227-1,-'Mortgage Calculator'!MonthlyLoanPayment,'Mortgage Calculator'!LoanAmount),"")</f>
        <v/>
      </c>
      <c r="E227" s="216">
        <v>59.996854953142851</v>
      </c>
      <c r="F227" s="216">
        <v>419.02211661211766</v>
      </c>
      <c r="G227" s="216">
        <f ca="1">IF(Amortization32[[#This Row],[payment
date]]="",0,'Mortgage Calculator'!PropertyTaxAmount)</f>
        <v>0</v>
      </c>
      <c r="H227" s="216">
        <f ca="1">IF(Amortization32[[#This Row],[payment
date]]="",0,Amortization32[[#This Row],[interest]]+Amortization32[[#This Row],[principal]]+Amortization32[[#This Row],[property
tax]])</f>
        <v>0</v>
      </c>
      <c r="I227" s="216">
        <f ca="1">IF(Amortization32[[#This Row],[payment
date]]="",0,Amortization32[[#This Row],[opening
balance]]-Amortization32[[#This Row],[principal]])</f>
        <v>0</v>
      </c>
      <c r="J227" s="217">
        <f ca="1">IF(Amortization32[[#This Row],[closing
balance]]&gt;0,LastRow-ROW(),0)</f>
        <v>0</v>
      </c>
    </row>
    <row r="228" spans="2:10" ht="15" customHeight="1">
      <c r="B228" s="214" t="str">
        <f>IF(SUM(ROWS($B$4:B228))&gt;'Mortgage Calculator'!DurationOfLoan,"",SUM(ROWS($B$4:B228)))</f>
        <v/>
      </c>
      <c r="C228" s="215" t="str">
        <f ca="1">IFERROR(DATE(YEAR('Mortgage Calculator'!LoanStart), MONTH('Mortgage Calculator'!LoanStart) +B228,DAY('Mortgage Calculator'!LoanStart)), "")</f>
        <v/>
      </c>
      <c r="D228" s="216" t="str">
        <f>IFERROR(-FV('Mortgage Calculator'!InterestRate/12,B228-1,-'Mortgage Calculator'!MonthlyLoanPayment,'Mortgage Calculator'!LoanAmount),"")</f>
        <v/>
      </c>
      <c r="E228" s="216">
        <v>56.475905223277607</v>
      </c>
      <c r="F228" s="216">
        <v>422.51396758388859</v>
      </c>
      <c r="G228" s="216">
        <f ca="1">IF(Amortization32[[#This Row],[payment
date]]="",0,'Mortgage Calculator'!PropertyTaxAmount)</f>
        <v>0</v>
      </c>
      <c r="H228" s="216">
        <f ca="1">IF(Amortization32[[#This Row],[payment
date]]="",0,Amortization32[[#This Row],[interest]]+Amortization32[[#This Row],[principal]]+Amortization32[[#This Row],[property
tax]])</f>
        <v>0</v>
      </c>
      <c r="I228" s="216">
        <f ca="1">IF(Amortization32[[#This Row],[payment
date]]="",0,Amortization32[[#This Row],[opening
balance]]-Amortization32[[#This Row],[principal]])</f>
        <v>0</v>
      </c>
      <c r="J228" s="217">
        <f ca="1">IF(Amortization32[[#This Row],[closing
balance]]&gt;0,LastRow-ROW(),0)</f>
        <v>0</v>
      </c>
    </row>
    <row r="229" spans="2:10" ht="15" customHeight="1">
      <c r="B229" s="214" t="str">
        <f>IF(SUM(ROWS($B$4:B229))&gt;'Mortgage Calculator'!DurationOfLoan,"",SUM(ROWS($B$4:B229)))</f>
        <v/>
      </c>
      <c r="C229" s="215" t="str">
        <f ca="1">IFERROR(DATE(YEAR('Mortgage Calculator'!LoanStart), MONTH('Mortgage Calculator'!LoanStart) +B229,DAY('Mortgage Calculator'!LoanStart)), "")</f>
        <v/>
      </c>
      <c r="D229" s="216" t="str">
        <f>IFERROR(-FV('Mortgage Calculator'!InterestRate/12,B229-1,-'Mortgage Calculator'!MonthlyLoanPayment,'Mortgage Calculator'!LoanAmount),"")</f>
        <v/>
      </c>
      <c r="E229" s="216">
        <v>52.925614245663262</v>
      </c>
      <c r="F229" s="216">
        <v>426.03491731375811</v>
      </c>
      <c r="G229" s="216">
        <f ca="1">IF(Amortization32[[#This Row],[payment
date]]="",0,'Mortgage Calculator'!PropertyTaxAmount)</f>
        <v>0</v>
      </c>
      <c r="H229" s="216">
        <f ca="1">IF(Amortization32[[#This Row],[payment
date]]="",0,Amortization32[[#This Row],[interest]]+Amortization32[[#This Row],[principal]]+Amortization32[[#This Row],[property
tax]])</f>
        <v>0</v>
      </c>
      <c r="I229" s="216">
        <f ca="1">IF(Amortization32[[#This Row],[payment
date]]="",0,Amortization32[[#This Row],[opening
balance]]-Amortization32[[#This Row],[principal]])</f>
        <v>0</v>
      </c>
      <c r="J229" s="217">
        <f ca="1">IF(Amortization32[[#This Row],[closing
balance]]&gt;0,LastRow-ROW(),0)</f>
        <v>0</v>
      </c>
    </row>
    <row r="230" spans="2:10" ht="15" customHeight="1">
      <c r="B230" s="214" t="str">
        <f>IF(SUM(ROWS($B$4:B230))&gt;'Mortgage Calculator'!DurationOfLoan,"",SUM(ROWS($B$4:B230)))</f>
        <v/>
      </c>
      <c r="C230" s="215" t="str">
        <f ca="1">IFERROR(DATE(YEAR('Mortgage Calculator'!LoanStart), MONTH('Mortgage Calculator'!LoanStart) +B230,DAY('Mortgage Calculator'!LoanStart)), "")</f>
        <v/>
      </c>
      <c r="D230" s="216" t="str">
        <f>IFERROR(-FV('Mortgage Calculator'!InterestRate/12,B230-1,-'Mortgage Calculator'!MonthlyLoanPayment,'Mortgage Calculator'!LoanAmount),"")</f>
        <v/>
      </c>
      <c r="E230" s="216">
        <v>49.345737509901909</v>
      </c>
      <c r="F230" s="216">
        <v>429.58520829137524</v>
      </c>
      <c r="G230" s="216">
        <f ca="1">IF(Amortization32[[#This Row],[payment
date]]="",0,'Mortgage Calculator'!PropertyTaxAmount)</f>
        <v>0</v>
      </c>
      <c r="H230" s="216">
        <f ca="1">IF(Amortization32[[#This Row],[payment
date]]="",0,Amortization32[[#This Row],[interest]]+Amortization32[[#This Row],[principal]]+Amortization32[[#This Row],[property
tax]])</f>
        <v>0</v>
      </c>
      <c r="I230" s="216">
        <f ca="1">IF(Amortization32[[#This Row],[payment
date]]="",0,Amortization32[[#This Row],[opening
balance]]-Amortization32[[#This Row],[principal]])</f>
        <v>0</v>
      </c>
      <c r="J230" s="217">
        <f ca="1">IF(Amortization32[[#This Row],[closing
balance]]&gt;0,LastRow-ROW(),0)</f>
        <v>0</v>
      </c>
    </row>
    <row r="231" spans="2:10" ht="15" customHeight="1">
      <c r="B231" s="214" t="str">
        <f>IF(SUM(ROWS($B$4:B231))&gt;'Mortgage Calculator'!DurationOfLoan,"",SUM(ROWS($B$4:B231)))</f>
        <v/>
      </c>
      <c r="C231" s="215" t="str">
        <f ca="1">IFERROR(DATE(YEAR('Mortgage Calculator'!LoanStart), MONTH('Mortgage Calculator'!LoanStart) +B231,DAY('Mortgage Calculator'!LoanStart)), "")</f>
        <v/>
      </c>
      <c r="D231" s="216" t="str">
        <f>IFERROR(-FV('Mortgage Calculator'!InterestRate/12,B231-1,-'Mortgage Calculator'!MonthlyLoanPayment,'Mortgage Calculator'!LoanAmount),"")</f>
        <v/>
      </c>
      <c r="E231" s="216">
        <v>45.736028468009799</v>
      </c>
      <c r="F231" s="216">
        <v>433.16508502713759</v>
      </c>
      <c r="G231" s="216">
        <f ca="1">IF(Amortization32[[#This Row],[payment
date]]="",0,'Mortgage Calculator'!PropertyTaxAmount)</f>
        <v>0</v>
      </c>
      <c r="H231" s="216">
        <f ca="1">IF(Amortization32[[#This Row],[payment
date]]="",0,Amortization32[[#This Row],[interest]]+Amortization32[[#This Row],[principal]]+Amortization32[[#This Row],[property
tax]])</f>
        <v>0</v>
      </c>
      <c r="I231" s="216">
        <f ca="1">IF(Amortization32[[#This Row],[payment
date]]="",0,Amortization32[[#This Row],[opening
balance]]-Amortization32[[#This Row],[principal]])</f>
        <v>0</v>
      </c>
      <c r="J231" s="217">
        <f ca="1">IF(Amortization32[[#This Row],[closing
balance]]&gt;0,LastRow-ROW(),0)</f>
        <v>0</v>
      </c>
    </row>
    <row r="232" spans="2:10" ht="15" customHeight="1">
      <c r="B232" s="214" t="str">
        <f>IF(SUM(ROWS($B$4:B232))&gt;'Mortgage Calculator'!DurationOfLoan,"",SUM(ROWS($B$4:B232)))</f>
        <v/>
      </c>
      <c r="C232" s="215" t="str">
        <f ca="1">IFERROR(DATE(YEAR('Mortgage Calculator'!LoanStart), MONTH('Mortgage Calculator'!LoanStart) +B232,DAY('Mortgage Calculator'!LoanStart)), "")</f>
        <v/>
      </c>
      <c r="D232" s="216" t="str">
        <f>IFERROR(-FV('Mortgage Calculator'!InterestRate/12,B232-1,-'Mortgage Calculator'!MonthlyLoanPayment,'Mortgage Calculator'!LoanAmount),"")</f>
        <v/>
      </c>
      <c r="E232" s="216">
        <v>42.096238517434294</v>
      </c>
      <c r="F232" s="216">
        <v>436.77479406903717</v>
      </c>
      <c r="G232" s="216">
        <f ca="1">IF(Amortization32[[#This Row],[payment
date]]="",0,'Mortgage Calculator'!PropertyTaxAmount)</f>
        <v>0</v>
      </c>
      <c r="H232" s="216">
        <f ca="1">IF(Amortization32[[#This Row],[payment
date]]="",0,Amortization32[[#This Row],[interest]]+Amortization32[[#This Row],[principal]]+Amortization32[[#This Row],[property
tax]])</f>
        <v>0</v>
      </c>
      <c r="I232" s="216">
        <f ca="1">IF(Amortization32[[#This Row],[payment
date]]="",0,Amortization32[[#This Row],[opening
balance]]-Amortization32[[#This Row],[principal]])</f>
        <v>0</v>
      </c>
      <c r="J232" s="217">
        <f ca="1">IF(Amortization32[[#This Row],[closing
balance]]&gt;0,LastRow-ROW(),0)</f>
        <v>0</v>
      </c>
    </row>
    <row r="233" spans="2:10" ht="15" customHeight="1">
      <c r="B233" s="214" t="str">
        <f>IF(SUM(ROWS($B$4:B233))&gt;'Mortgage Calculator'!DurationOfLoan,"",SUM(ROWS($B$4:B233)))</f>
        <v/>
      </c>
      <c r="C233" s="215" t="str">
        <f ca="1">IFERROR(DATE(YEAR('Mortgage Calculator'!LoanStart), MONTH('Mortgage Calculator'!LoanStart) +B233,DAY('Mortgage Calculator'!LoanStart)), "")</f>
        <v/>
      </c>
      <c r="D233" s="216" t="str">
        <f>IFERROR(-FV('Mortgage Calculator'!InterestRate/12,B233-1,-'Mortgage Calculator'!MonthlyLoanPayment,'Mortgage Calculator'!LoanAmount),"")</f>
        <v/>
      </c>
      <c r="E233" s="216">
        <v>38.426116983938357</v>
      </c>
      <c r="F233" s="216">
        <v>440.41458401961052</v>
      </c>
      <c r="G233" s="216">
        <f ca="1">IF(Amortization32[[#This Row],[payment
date]]="",0,'Mortgage Calculator'!PropertyTaxAmount)</f>
        <v>0</v>
      </c>
      <c r="H233" s="216">
        <f ca="1">IF(Amortization32[[#This Row],[payment
date]]="",0,Amortization32[[#This Row],[interest]]+Amortization32[[#This Row],[principal]]+Amortization32[[#This Row],[property
tax]])</f>
        <v>0</v>
      </c>
      <c r="I233" s="216">
        <f ca="1">IF(Amortization32[[#This Row],[payment
date]]="",0,Amortization32[[#This Row],[opening
balance]]-Amortization32[[#This Row],[principal]])</f>
        <v>0</v>
      </c>
      <c r="J233" s="217">
        <f ca="1">IF(Amortization32[[#This Row],[closing
balance]]&gt;0,LastRow-ROW(),0)</f>
        <v>0</v>
      </c>
    </row>
    <row r="234" spans="2:10" ht="15" customHeight="1">
      <c r="B234" s="214" t="str">
        <f>IF(SUM(ROWS($B$4:B234))&gt;'Mortgage Calculator'!DurationOfLoan,"",SUM(ROWS($B$4:B234)))</f>
        <v/>
      </c>
      <c r="C234" s="215" t="str">
        <f ca="1">IFERROR(DATE(YEAR('Mortgage Calculator'!LoanStart), MONTH('Mortgage Calculator'!LoanStart) +B234,DAY('Mortgage Calculator'!LoanStart)), "")</f>
        <v/>
      </c>
      <c r="D234" s="216" t="str">
        <f>IFERROR(-FV('Mortgage Calculator'!InterestRate/12,B234-1,-'Mortgage Calculator'!MonthlyLoanPayment,'Mortgage Calculator'!LoanAmount),"")</f>
        <v/>
      </c>
      <c r="E234" s="216">
        <v>34.725411104329396</v>
      </c>
      <c r="F234" s="216">
        <v>444.08470555311658</v>
      </c>
      <c r="G234" s="216">
        <f ca="1">IF(Amortization32[[#This Row],[payment
date]]="",0,'Mortgage Calculator'!PropertyTaxAmount)</f>
        <v>0</v>
      </c>
      <c r="H234" s="216">
        <f ca="1">IF(Amortization32[[#This Row],[payment
date]]="",0,Amortization32[[#This Row],[interest]]+Amortization32[[#This Row],[principal]]+Amortization32[[#This Row],[property
tax]])</f>
        <v>0</v>
      </c>
      <c r="I234" s="216">
        <f ca="1">IF(Amortization32[[#This Row],[payment
date]]="",0,Amortization32[[#This Row],[opening
balance]]-Amortization32[[#This Row],[principal]])</f>
        <v>0</v>
      </c>
      <c r="J234" s="217">
        <f ca="1">IF(Amortization32[[#This Row],[closing
balance]]&gt;0,LastRow-ROW(),0)</f>
        <v>0</v>
      </c>
    </row>
    <row r="235" spans="2:10" ht="15" customHeight="1">
      <c r="B235" s="214" t="str">
        <f>IF(SUM(ROWS($B$4:B235))&gt;'Mortgage Calculator'!DurationOfLoan,"",SUM(ROWS($B$4:B235)))</f>
        <v/>
      </c>
      <c r="C235" s="215" t="str">
        <f ca="1">IFERROR(DATE(YEAR('Mortgage Calculator'!LoanStart), MONTH('Mortgage Calculator'!LoanStart) +B235,DAY('Mortgage Calculator'!LoanStart)), "")</f>
        <v/>
      </c>
      <c r="D235" s="216" t="str">
        <f>IFERROR(-FV('Mortgage Calculator'!InterestRate/12,B235-1,-'Mortgage Calculator'!MonthlyLoanPayment,'Mortgage Calculator'!LoanAmount),"")</f>
        <v/>
      </c>
      <c r="E235" s="216">
        <v>30.99386600905709</v>
      </c>
      <c r="F235" s="216">
        <v>447.78541143273031</v>
      </c>
      <c r="G235" s="216">
        <f ca="1">IF(Amortization32[[#This Row],[payment
date]]="",0,'Mortgage Calculator'!PropertyTaxAmount)</f>
        <v>0</v>
      </c>
      <c r="H235" s="216">
        <f ca="1">IF(Amortization32[[#This Row],[payment
date]]="",0,Amortization32[[#This Row],[interest]]+Amortization32[[#This Row],[principal]]+Amortization32[[#This Row],[property
tax]])</f>
        <v>0</v>
      </c>
      <c r="I235" s="216">
        <f ca="1">IF(Amortization32[[#This Row],[payment
date]]="",0,Amortization32[[#This Row],[opening
balance]]-Amortization32[[#This Row],[principal]])</f>
        <v>0</v>
      </c>
      <c r="J235" s="217">
        <f ca="1">IF(Amortization32[[#This Row],[closing
balance]]&gt;0,LastRow-ROW(),0)</f>
        <v>0</v>
      </c>
    </row>
    <row r="236" spans="2:10" ht="15" customHeight="1">
      <c r="B236" s="214" t="str">
        <f>IF(SUM(ROWS($B$4:B236))&gt;'Mortgage Calculator'!DurationOfLoan,"",SUM(ROWS($B$4:B236)))</f>
        <v/>
      </c>
      <c r="C236" s="215" t="str">
        <f ca="1">IFERROR(DATE(YEAR('Mortgage Calculator'!LoanStart), MONTH('Mortgage Calculator'!LoanStart) +B236,DAY('Mortgage Calculator'!LoanStart)), "")</f>
        <v/>
      </c>
      <c r="D236" s="216" t="str">
        <f>IFERROR(-FV('Mortgage Calculator'!InterestRate/12,B236-1,-'Mortgage Calculator'!MonthlyLoanPayment,'Mortgage Calculator'!LoanAmount),"")</f>
        <v/>
      </c>
      <c r="E236" s="216">
        <v>27.231224704657507</v>
      </c>
      <c r="F236" s="216">
        <v>451.51695652800964</v>
      </c>
      <c r="G236" s="216">
        <f ca="1">IF(Amortization32[[#This Row],[payment
date]]="",0,'Mortgage Calculator'!PropertyTaxAmount)</f>
        <v>0</v>
      </c>
      <c r="H236" s="216">
        <f ca="1">IF(Amortization32[[#This Row],[payment
date]]="",0,Amortization32[[#This Row],[interest]]+Amortization32[[#This Row],[principal]]+Amortization32[[#This Row],[property
tax]])</f>
        <v>0</v>
      </c>
      <c r="I236" s="216">
        <f ca="1">IF(Amortization32[[#This Row],[payment
date]]="",0,Amortization32[[#This Row],[opening
balance]]-Amortization32[[#This Row],[principal]])</f>
        <v>0</v>
      </c>
      <c r="J236" s="217">
        <f ca="1">IF(Amortization32[[#This Row],[closing
balance]]&gt;0,LastRow-ROW(),0)</f>
        <v>0</v>
      </c>
    </row>
    <row r="237" spans="2:10" ht="15" customHeight="1">
      <c r="B237" s="214" t="str">
        <f>IF(SUM(ROWS($B$4:B237))&gt;'Mortgage Calculator'!DurationOfLoan,"",SUM(ROWS($B$4:B237)))</f>
        <v/>
      </c>
      <c r="C237" s="215" t="str">
        <f ca="1">IFERROR(DATE(YEAR('Mortgage Calculator'!LoanStart), MONTH('Mortgage Calculator'!LoanStart) +B237,DAY('Mortgage Calculator'!LoanStart)), "")</f>
        <v/>
      </c>
      <c r="D237" s="216" t="str">
        <f>IFERROR(-FV('Mortgage Calculator'!InterestRate/12,B237-1,-'Mortgage Calculator'!MonthlyLoanPayment,'Mortgage Calculator'!LoanAmount),"")</f>
        <v/>
      </c>
      <c r="E237" s="216">
        <v>23.437228056054543</v>
      </c>
      <c r="F237" s="216">
        <v>455.27959783241801</v>
      </c>
      <c r="G237" s="216">
        <f ca="1">IF(Amortization32[[#This Row],[payment
date]]="",0,'Mortgage Calculator'!PropertyTaxAmount)</f>
        <v>0</v>
      </c>
      <c r="H237" s="216">
        <f ca="1">IF(Amortization32[[#This Row],[payment
date]]="",0,Amortization32[[#This Row],[interest]]+Amortization32[[#This Row],[principal]]+Amortization32[[#This Row],[property
tax]])</f>
        <v>0</v>
      </c>
      <c r="I237" s="216">
        <f ca="1">IF(Amortization32[[#This Row],[payment
date]]="",0,Amortization32[[#This Row],[opening
balance]]-Amortization32[[#This Row],[principal]])</f>
        <v>0</v>
      </c>
      <c r="J237" s="217">
        <f ca="1">IF(Amortization32[[#This Row],[closing
balance]]&gt;0,LastRow-ROW(),0)</f>
        <v>0</v>
      </c>
    </row>
    <row r="238" spans="2:10" ht="15" customHeight="1">
      <c r="B238" s="214" t="str">
        <f>IF(SUM(ROWS($B$4:B238))&gt;'Mortgage Calculator'!DurationOfLoan,"",SUM(ROWS($B$4:B238)))</f>
        <v/>
      </c>
      <c r="C238" s="215" t="str">
        <f ca="1">IFERROR(DATE(YEAR('Mortgage Calculator'!LoanStart), MONTH('Mortgage Calculator'!LoanStart) +B238,DAY('Mortgage Calculator'!LoanStart)), "")</f>
        <v/>
      </c>
      <c r="D238" s="216" t="str">
        <f>IFERROR(-FV('Mortgage Calculator'!InterestRate/12,B238-1,-'Mortgage Calculator'!MonthlyLoanPayment,'Mortgage Calculator'!LoanAmount),"")</f>
        <v/>
      </c>
      <c r="E238" s="216">
        <v>19.61161476871348</v>
      </c>
      <c r="F238" s="216">
        <v>459.07359448103165</v>
      </c>
      <c r="G238" s="216">
        <f ca="1">IF(Amortization32[[#This Row],[payment
date]]="",0,'Mortgage Calculator'!PropertyTaxAmount)</f>
        <v>0</v>
      </c>
      <c r="H238" s="216">
        <f ca="1">IF(Amortization32[[#This Row],[payment
date]]="",0,Amortization32[[#This Row],[interest]]+Amortization32[[#This Row],[principal]]+Amortization32[[#This Row],[property
tax]])</f>
        <v>0</v>
      </c>
      <c r="I238" s="216">
        <f ca="1">IF(Amortization32[[#This Row],[payment
date]]="",0,Amortization32[[#This Row],[opening
balance]]-Amortization32[[#This Row],[principal]])</f>
        <v>0</v>
      </c>
      <c r="J238" s="217">
        <f ca="1">IF(Amortization32[[#This Row],[closing
balance]]&gt;0,LastRow-ROW(),0)</f>
        <v>0</v>
      </c>
    </row>
    <row r="239" spans="2:10" ht="15" customHeight="1">
      <c r="B239" s="214" t="str">
        <f>IF(SUM(ROWS($B$4:B239))&gt;'Mortgage Calculator'!DurationOfLoan,"",SUM(ROWS($B$4:B239)))</f>
        <v/>
      </c>
      <c r="C239" s="215" t="str">
        <f ca="1">IFERROR(DATE(YEAR('Mortgage Calculator'!LoanStart), MONTH('Mortgage Calculator'!LoanStart) +B239,DAY('Mortgage Calculator'!LoanStart)), "")</f>
        <v/>
      </c>
      <c r="D239" s="216" t="str">
        <f>IFERROR(-FV('Mortgage Calculator'!InterestRate/12,B239-1,-'Mortgage Calculator'!MonthlyLoanPayment,'Mortgage Calculator'!LoanAmount),"")</f>
        <v/>
      </c>
      <c r="E239" s="216">
        <v>15.754121370644134</v>
      </c>
      <c r="F239" s="216">
        <v>462.89920776839404</v>
      </c>
      <c r="G239" s="216">
        <f ca="1">IF(Amortization32[[#This Row],[payment
date]]="",0,'Mortgage Calculator'!PropertyTaxAmount)</f>
        <v>0</v>
      </c>
      <c r="H239" s="216">
        <f ca="1">IF(Amortization32[[#This Row],[payment
date]]="",0,Amortization32[[#This Row],[interest]]+Amortization32[[#This Row],[principal]]+Amortization32[[#This Row],[property
tax]])</f>
        <v>0</v>
      </c>
      <c r="I239" s="216">
        <f ca="1">IF(Amortization32[[#This Row],[payment
date]]="",0,Amortization32[[#This Row],[opening
balance]]-Amortization32[[#This Row],[principal]])</f>
        <v>0</v>
      </c>
      <c r="J239" s="217">
        <f ca="1">IF(Amortization32[[#This Row],[closing
balance]]&gt;0,LastRow-ROW(),0)</f>
        <v>0</v>
      </c>
    </row>
    <row r="240" spans="2:10" ht="15" customHeight="1">
      <c r="B240" s="214" t="str">
        <f>IF(SUM(ROWS($B$4:B240))&gt;'Mortgage Calculator'!DurationOfLoan,"",SUM(ROWS($B$4:B240)))</f>
        <v/>
      </c>
      <c r="C240" s="215" t="str">
        <f ca="1">IFERROR(DATE(YEAR('Mortgage Calculator'!LoanStart), MONTH('Mortgage Calculator'!LoanStart) +B240,DAY('Mortgage Calculator'!LoanStart)), "")</f>
        <v/>
      </c>
      <c r="D240" s="216" t="str">
        <f>IFERROR(-FV('Mortgage Calculator'!InterestRate/12,B240-1,-'Mortgage Calculator'!MonthlyLoanPayment,'Mortgage Calculator'!LoanAmount),"")</f>
        <v/>
      </c>
      <c r="E240" s="216">
        <v>11.864482194258017</v>
      </c>
      <c r="F240" s="216">
        <v>466.75670116648189</v>
      </c>
      <c r="G240" s="216">
        <f ca="1">IF(Amortization32[[#This Row],[payment
date]]="",0,'Mortgage Calculator'!PropertyTaxAmount)</f>
        <v>0</v>
      </c>
      <c r="H240" s="216">
        <f ca="1">IF(Amortization32[[#This Row],[payment
date]]="",0,Amortization32[[#This Row],[interest]]+Amortization32[[#This Row],[principal]]+Amortization32[[#This Row],[property
tax]])</f>
        <v>0</v>
      </c>
      <c r="I240" s="216">
        <f ca="1">IF(Amortization32[[#This Row],[payment
date]]="",0,Amortization32[[#This Row],[opening
balance]]-Amortization32[[#This Row],[principal]])</f>
        <v>0</v>
      </c>
      <c r="J240" s="217">
        <f ca="1">IF(Amortization32[[#This Row],[closing
balance]]&gt;0,LastRow-ROW(),0)</f>
        <v>0</v>
      </c>
    </row>
    <row r="241" spans="2:10" ht="15" customHeight="1">
      <c r="B241" s="214" t="str">
        <f>IF(SUM(ROWS($B$4:B241))&gt;'Mortgage Calculator'!DurationOfLoan,"",SUM(ROWS($B$4:B241)))</f>
        <v/>
      </c>
      <c r="C241" s="215" t="str">
        <f ca="1">IFERROR(DATE(YEAR('Mortgage Calculator'!LoanStart), MONTH('Mortgage Calculator'!LoanStart) +B241,DAY('Mortgage Calculator'!LoanStart)), "")</f>
        <v/>
      </c>
      <c r="D241" s="216" t="str">
        <f>IFERROR(-FV('Mortgage Calculator'!InterestRate/12,B241-1,-'Mortgage Calculator'!MonthlyLoanPayment,'Mortgage Calculator'!LoanAmount),"")</f>
        <v/>
      </c>
      <c r="E241" s="216">
        <v>7.9424293580683294</v>
      </c>
      <c r="F241" s="216">
        <v>470.64634034291805</v>
      </c>
      <c r="G241" s="216">
        <f ca="1">IF(Amortization32[[#This Row],[payment
date]]="",0,'Mortgage Calculator'!PropertyTaxAmount)</f>
        <v>0</v>
      </c>
      <c r="H241" s="216">
        <f ca="1">IF(Amortization32[[#This Row],[payment
date]]="",0,Amortization32[[#This Row],[interest]]+Amortization32[[#This Row],[principal]]+Amortization32[[#This Row],[property
tax]])</f>
        <v>0</v>
      </c>
      <c r="I241" s="216">
        <f ca="1">IF(Amortization32[[#This Row],[payment
date]]="",0,Amortization32[[#This Row],[opening
balance]]-Amortization32[[#This Row],[principal]])</f>
        <v>0</v>
      </c>
      <c r="J241" s="217">
        <f ca="1">IF(Amortization32[[#This Row],[closing
balance]]&gt;0,LastRow-ROW(),0)</f>
        <v>0</v>
      </c>
    </row>
    <row r="242" spans="2:10" ht="15" customHeight="1">
      <c r="B242" s="214" t="str">
        <f>IF(SUM(ROWS($B$4:B242))&gt;'Mortgage Calculator'!DurationOfLoan,"",SUM(ROWS($B$4:B242)))</f>
        <v/>
      </c>
      <c r="C242" s="215" t="str">
        <f ca="1">IFERROR(DATE(YEAR('Mortgage Calculator'!LoanStart), MONTH('Mortgage Calculator'!LoanStart) +B242,DAY('Mortgage Calculator'!LoanStart)), "")</f>
        <v/>
      </c>
      <c r="D242" s="216" t="str">
        <f>IFERROR(-FV('Mortgage Calculator'!InterestRate/12,B242-1,-'Mortgage Calculator'!MonthlyLoanPayment,'Mortgage Calculator'!LoanAmount),"")</f>
        <v/>
      </c>
      <c r="E242" s="216">
        <v>3.9876927482439593</v>
      </c>
      <c r="F242" s="216">
        <v>474.56839317918656</v>
      </c>
      <c r="G242" s="216">
        <f ca="1">IF(Amortization32[[#This Row],[payment
date]]="",0,'Mortgage Calculator'!PropertyTaxAmount)</f>
        <v>0</v>
      </c>
      <c r="H242" s="216">
        <f ca="1">IF(Amortization32[[#This Row],[payment
date]]="",0,Amortization32[[#This Row],[interest]]+Amortization32[[#This Row],[principal]]+Amortization32[[#This Row],[property
tax]])</f>
        <v>0</v>
      </c>
      <c r="I242" s="216">
        <f ca="1">IF(Amortization32[[#This Row],[payment
date]]="",0,Amortization32[[#This Row],[opening
balance]]-Amortization32[[#This Row],[principal]])</f>
        <v>0</v>
      </c>
      <c r="J242" s="217">
        <f ca="1">IF(Amortization32[[#This Row],[closing
balance]]&gt;0,LastRow-ROW(),0)</f>
        <v>0</v>
      </c>
    </row>
    <row r="243" spans="2:10" ht="15" customHeight="1">
      <c r="B243" s="214" t="str">
        <f>IF(SUM(ROWS($B$4:B243))&gt;'Mortgage Calculator'!DurationOfLoan,"",SUM(ROWS($B$4:B243)))</f>
        <v/>
      </c>
      <c r="C243" s="215" t="str">
        <f ca="1">IFERROR(DATE(YEAR('Mortgage Calculator'!LoanStart), MONTH('Mortgage Calculator'!LoanStart) +B243,DAY('Mortgage Calculator'!LoanStart)), "")</f>
        <v/>
      </c>
      <c r="D243" s="216" t="str">
        <f>IFERROR(-FV('Mortgage Calculator'!InterestRate/12,B243-1,-'Mortgage Calculator'!MonthlyLoanPayment,'Mortgage Calculator'!LoanAmount),"")</f>
        <v/>
      </c>
      <c r="E243" s="216">
        <v>0</v>
      </c>
      <c r="F243" s="216">
        <v>478.52312978927512</v>
      </c>
      <c r="G243" s="216">
        <f ca="1">IF(Amortization32[[#This Row],[payment
date]]="",0,'Mortgage Calculator'!PropertyTaxAmount)</f>
        <v>0</v>
      </c>
      <c r="H243" s="216">
        <f ca="1">IF(Amortization32[[#This Row],[payment
date]]="",0,Amortization32[[#This Row],[interest]]+Amortization32[[#This Row],[principal]]+Amortization32[[#This Row],[property
tax]])</f>
        <v>0</v>
      </c>
      <c r="I243" s="216">
        <f ca="1">IF(Amortization32[[#This Row],[payment
date]]="",0,Amortization32[[#This Row],[opening
balance]]-Amortization32[[#This Row],[principal]])</f>
        <v>0</v>
      </c>
      <c r="J243" s="217">
        <f ca="1">IF(Amortization32[[#This Row],[closing
balance]]&gt;0,LastRow-ROW(),0)</f>
        <v>0</v>
      </c>
    </row>
    <row r="244" spans="2:10" ht="15" customHeight="1">
      <c r="B244" s="214" t="str">
        <f>IF(SUM(ROWS($B$4:B244))&gt;'Mortgage Calculator'!DurationOfLoan,"",SUM(ROWS($B$4:B244)))</f>
        <v/>
      </c>
      <c r="C244" s="215" t="str">
        <f ca="1">IFERROR(DATE(YEAR('Mortgage Calculator'!LoanStart), MONTH('Mortgage Calculator'!LoanStart) +B244,DAY('Mortgage Calculator'!LoanStart)), "")</f>
        <v/>
      </c>
      <c r="D244" s="216" t="str">
        <f>IFERROR(-FV('Mortgage Calculator'!InterestRate/12,B244-1,-'Mortgage Calculator'!MonthlyLoanPayment,'Mortgage Calculator'!LoanAmount),"")</f>
        <v/>
      </c>
      <c r="E244" s="216">
        <v>0</v>
      </c>
      <c r="F244" s="216" t="s">
        <v>689</v>
      </c>
      <c r="G244" s="216">
        <f ca="1">IF(Amortization32[[#This Row],[payment
date]]="",0,'Mortgage Calculator'!PropertyTaxAmount)</f>
        <v>0</v>
      </c>
      <c r="H244" s="216">
        <f ca="1">IF(Amortization32[[#This Row],[payment
date]]="",0,Amortization32[[#This Row],[interest]]+Amortization32[[#This Row],[principal]]+Amortization32[[#This Row],[property
tax]])</f>
        <v>0</v>
      </c>
      <c r="I244" s="216">
        <f ca="1">IF(Amortization32[[#This Row],[payment
date]]="",0,Amortization32[[#This Row],[opening
balance]]-Amortization32[[#This Row],[principal]])</f>
        <v>0</v>
      </c>
      <c r="J244" s="217">
        <f ca="1">IF(Amortization32[[#This Row],[closing
balance]]&gt;0,LastRow-ROW(),0)</f>
        <v>0</v>
      </c>
    </row>
    <row r="245" spans="2:10" ht="15" customHeight="1">
      <c r="B245" s="214" t="str">
        <f>IF(SUM(ROWS($B$4:B245))&gt;'Mortgage Calculator'!DurationOfLoan,"",SUM(ROWS($B$4:B245)))</f>
        <v/>
      </c>
      <c r="C245" s="215" t="str">
        <f ca="1">IFERROR(DATE(YEAR('Mortgage Calculator'!LoanStart), MONTH('Mortgage Calculator'!LoanStart) +B245,DAY('Mortgage Calculator'!LoanStart)), "")</f>
        <v/>
      </c>
      <c r="D245" s="216" t="str">
        <f>IFERROR(-FV('Mortgage Calculator'!InterestRate/12,B245-1,-'Mortgage Calculator'!MonthlyLoanPayment,'Mortgage Calculator'!LoanAmount),"")</f>
        <v/>
      </c>
      <c r="E245" s="216">
        <v>0</v>
      </c>
      <c r="F245" s="216" t="s">
        <v>689</v>
      </c>
      <c r="G245" s="216">
        <f ca="1">IF(Amortization32[[#This Row],[payment
date]]="",0,'Mortgage Calculator'!PropertyTaxAmount)</f>
        <v>0</v>
      </c>
      <c r="H245" s="216">
        <f ca="1">IF(Amortization32[[#This Row],[payment
date]]="",0,Amortization32[[#This Row],[interest]]+Amortization32[[#This Row],[principal]]+Amortization32[[#This Row],[property
tax]])</f>
        <v>0</v>
      </c>
      <c r="I245" s="216">
        <f ca="1">IF(Amortization32[[#This Row],[payment
date]]="",0,Amortization32[[#This Row],[opening
balance]]-Amortization32[[#This Row],[principal]])</f>
        <v>0</v>
      </c>
      <c r="J245" s="217">
        <f ca="1">IF(Amortization32[[#This Row],[closing
balance]]&gt;0,LastRow-ROW(),0)</f>
        <v>0</v>
      </c>
    </row>
    <row r="246" spans="2:10" ht="15" customHeight="1">
      <c r="B246" s="214" t="str">
        <f>IF(SUM(ROWS($B$4:B246))&gt;'Mortgage Calculator'!DurationOfLoan,"",SUM(ROWS($B$4:B246)))</f>
        <v/>
      </c>
      <c r="C246" s="215" t="str">
        <f ca="1">IFERROR(DATE(YEAR('Mortgage Calculator'!LoanStart), MONTH('Mortgage Calculator'!LoanStart) +B246,DAY('Mortgage Calculator'!LoanStart)), "")</f>
        <v/>
      </c>
      <c r="D246" s="216" t="str">
        <f>IFERROR(-FV('Mortgage Calculator'!InterestRate/12,B246-1,-'Mortgage Calculator'!MonthlyLoanPayment,'Mortgage Calculator'!LoanAmount),"")</f>
        <v/>
      </c>
      <c r="E246" s="216">
        <v>0</v>
      </c>
      <c r="F246" s="216" t="s">
        <v>689</v>
      </c>
      <c r="G246" s="216">
        <f ca="1">IF(Amortization32[[#This Row],[payment
date]]="",0,'Mortgage Calculator'!PropertyTaxAmount)</f>
        <v>0</v>
      </c>
      <c r="H246" s="216">
        <f ca="1">IF(Amortization32[[#This Row],[payment
date]]="",0,Amortization32[[#This Row],[interest]]+Amortization32[[#This Row],[principal]]+Amortization32[[#This Row],[property
tax]])</f>
        <v>0</v>
      </c>
      <c r="I246" s="216">
        <f ca="1">IF(Amortization32[[#This Row],[payment
date]]="",0,Amortization32[[#This Row],[opening
balance]]-Amortization32[[#This Row],[principal]])</f>
        <v>0</v>
      </c>
      <c r="J246" s="217">
        <f ca="1">IF(Amortization32[[#This Row],[closing
balance]]&gt;0,LastRow-ROW(),0)</f>
        <v>0</v>
      </c>
    </row>
    <row r="247" spans="2:10" ht="15" customHeight="1">
      <c r="B247" s="214" t="str">
        <f>IF(SUM(ROWS($B$4:B247))&gt;'Mortgage Calculator'!DurationOfLoan,"",SUM(ROWS($B$4:B247)))</f>
        <v/>
      </c>
      <c r="C247" s="215" t="str">
        <f ca="1">IFERROR(DATE(YEAR('Mortgage Calculator'!LoanStart), MONTH('Mortgage Calculator'!LoanStart) +B247,DAY('Mortgage Calculator'!LoanStart)), "")</f>
        <v/>
      </c>
      <c r="D247" s="216" t="str">
        <f>IFERROR(-FV('Mortgage Calculator'!InterestRate/12,B247-1,-'Mortgage Calculator'!MonthlyLoanPayment,'Mortgage Calculator'!LoanAmount),"")</f>
        <v/>
      </c>
      <c r="E247" s="216">
        <v>0</v>
      </c>
      <c r="F247" s="216" t="s">
        <v>689</v>
      </c>
      <c r="G247" s="216">
        <f ca="1">IF(Amortization32[[#This Row],[payment
date]]="",0,'Mortgage Calculator'!PropertyTaxAmount)</f>
        <v>0</v>
      </c>
      <c r="H247" s="216">
        <f ca="1">IF(Amortization32[[#This Row],[payment
date]]="",0,Amortization32[[#This Row],[interest]]+Amortization32[[#This Row],[principal]]+Amortization32[[#This Row],[property
tax]])</f>
        <v>0</v>
      </c>
      <c r="I247" s="216">
        <f ca="1">IF(Amortization32[[#This Row],[payment
date]]="",0,Amortization32[[#This Row],[opening
balance]]-Amortization32[[#This Row],[principal]])</f>
        <v>0</v>
      </c>
      <c r="J247" s="217">
        <f ca="1">IF(Amortization32[[#This Row],[closing
balance]]&gt;0,LastRow-ROW(),0)</f>
        <v>0</v>
      </c>
    </row>
    <row r="248" spans="2:10" ht="15" customHeight="1">
      <c r="B248" s="214" t="str">
        <f>IF(SUM(ROWS($B$4:B248))&gt;'Mortgage Calculator'!DurationOfLoan,"",SUM(ROWS($B$4:B248)))</f>
        <v/>
      </c>
      <c r="C248" s="215" t="str">
        <f ca="1">IFERROR(DATE(YEAR('Mortgage Calculator'!LoanStart), MONTH('Mortgage Calculator'!LoanStart) +B248,DAY('Mortgage Calculator'!LoanStart)), "")</f>
        <v/>
      </c>
      <c r="D248" s="216" t="str">
        <f>IFERROR(-FV('Mortgage Calculator'!InterestRate/12,B248-1,-'Mortgage Calculator'!MonthlyLoanPayment,'Mortgage Calculator'!LoanAmount),"")</f>
        <v/>
      </c>
      <c r="E248" s="216">
        <v>0</v>
      </c>
      <c r="F248" s="216" t="s">
        <v>689</v>
      </c>
      <c r="G248" s="216">
        <f ca="1">IF(Amortization32[[#This Row],[payment
date]]="",0,'Mortgage Calculator'!PropertyTaxAmount)</f>
        <v>0</v>
      </c>
      <c r="H248" s="216">
        <f ca="1">IF(Amortization32[[#This Row],[payment
date]]="",0,Amortization32[[#This Row],[interest]]+Amortization32[[#This Row],[principal]]+Amortization32[[#This Row],[property
tax]])</f>
        <v>0</v>
      </c>
      <c r="I248" s="216">
        <f ca="1">IF(Amortization32[[#This Row],[payment
date]]="",0,Amortization32[[#This Row],[opening
balance]]-Amortization32[[#This Row],[principal]])</f>
        <v>0</v>
      </c>
      <c r="J248" s="217">
        <f ca="1">IF(Amortization32[[#This Row],[closing
balance]]&gt;0,LastRow-ROW(),0)</f>
        <v>0</v>
      </c>
    </row>
    <row r="249" spans="2:10" ht="15" customHeight="1">
      <c r="B249" s="214" t="str">
        <f>IF(SUM(ROWS($B$4:B249))&gt;'Mortgage Calculator'!DurationOfLoan,"",SUM(ROWS($B$4:B249)))</f>
        <v/>
      </c>
      <c r="C249" s="215" t="str">
        <f ca="1">IFERROR(DATE(YEAR('Mortgage Calculator'!LoanStart), MONTH('Mortgage Calculator'!LoanStart) +B249,DAY('Mortgage Calculator'!LoanStart)), "")</f>
        <v/>
      </c>
      <c r="D249" s="216" t="str">
        <f>IFERROR(-FV('Mortgage Calculator'!InterestRate/12,B249-1,-'Mortgage Calculator'!MonthlyLoanPayment,'Mortgage Calculator'!LoanAmount),"")</f>
        <v/>
      </c>
      <c r="E249" s="216">
        <v>0</v>
      </c>
      <c r="F249" s="216" t="s">
        <v>689</v>
      </c>
      <c r="G249" s="216">
        <f ca="1">IF(Amortization32[[#This Row],[payment
date]]="",0,'Mortgage Calculator'!PropertyTaxAmount)</f>
        <v>0</v>
      </c>
      <c r="H249" s="216">
        <f ca="1">IF(Amortization32[[#This Row],[payment
date]]="",0,Amortization32[[#This Row],[interest]]+Amortization32[[#This Row],[principal]]+Amortization32[[#This Row],[property
tax]])</f>
        <v>0</v>
      </c>
      <c r="I249" s="216">
        <f ca="1">IF(Amortization32[[#This Row],[payment
date]]="",0,Amortization32[[#This Row],[opening
balance]]-Amortization32[[#This Row],[principal]])</f>
        <v>0</v>
      </c>
      <c r="J249" s="217">
        <f ca="1">IF(Amortization32[[#This Row],[closing
balance]]&gt;0,LastRow-ROW(),0)</f>
        <v>0</v>
      </c>
    </row>
    <row r="250" spans="2:10" ht="15" customHeight="1">
      <c r="B250" s="214" t="str">
        <f>IF(SUM(ROWS($B$4:B250))&gt;'Mortgage Calculator'!DurationOfLoan,"",SUM(ROWS($B$4:B250)))</f>
        <v/>
      </c>
      <c r="C250" s="215" t="str">
        <f ca="1">IFERROR(DATE(YEAR('Mortgage Calculator'!LoanStart), MONTH('Mortgage Calculator'!LoanStart) +B250,DAY('Mortgage Calculator'!LoanStart)), "")</f>
        <v/>
      </c>
      <c r="D250" s="216" t="str">
        <f>IFERROR(-FV('Mortgage Calculator'!InterestRate/12,B250-1,-'Mortgage Calculator'!MonthlyLoanPayment,'Mortgage Calculator'!LoanAmount),"")</f>
        <v/>
      </c>
      <c r="E250" s="216">
        <v>0</v>
      </c>
      <c r="F250" s="216" t="s">
        <v>689</v>
      </c>
      <c r="G250" s="216">
        <f ca="1">IF(Amortization32[[#This Row],[payment
date]]="",0,'Mortgage Calculator'!PropertyTaxAmount)</f>
        <v>0</v>
      </c>
      <c r="H250" s="216">
        <f ca="1">IF(Amortization32[[#This Row],[payment
date]]="",0,Amortization32[[#This Row],[interest]]+Amortization32[[#This Row],[principal]]+Amortization32[[#This Row],[property
tax]])</f>
        <v>0</v>
      </c>
      <c r="I250" s="216">
        <f ca="1">IF(Amortization32[[#This Row],[payment
date]]="",0,Amortization32[[#This Row],[opening
balance]]-Amortization32[[#This Row],[principal]])</f>
        <v>0</v>
      </c>
      <c r="J250" s="217">
        <f ca="1">IF(Amortization32[[#This Row],[closing
balance]]&gt;0,LastRow-ROW(),0)</f>
        <v>0</v>
      </c>
    </row>
    <row r="251" spans="2:10" ht="15" customHeight="1">
      <c r="B251" s="214" t="str">
        <f>IF(SUM(ROWS($B$4:B251))&gt;'Mortgage Calculator'!DurationOfLoan,"",SUM(ROWS($B$4:B251)))</f>
        <v/>
      </c>
      <c r="C251" s="215" t="str">
        <f ca="1">IFERROR(DATE(YEAR('Mortgage Calculator'!LoanStart), MONTH('Mortgage Calculator'!LoanStart) +B251,DAY('Mortgage Calculator'!LoanStart)), "")</f>
        <v/>
      </c>
      <c r="D251" s="216" t="str">
        <f>IFERROR(-FV('Mortgage Calculator'!InterestRate/12,B251-1,-'Mortgage Calculator'!MonthlyLoanPayment,'Mortgage Calculator'!LoanAmount),"")</f>
        <v/>
      </c>
      <c r="E251" s="216">
        <v>0</v>
      </c>
      <c r="F251" s="216" t="s">
        <v>689</v>
      </c>
      <c r="G251" s="216">
        <f ca="1">IF(Amortization32[[#This Row],[payment
date]]="",0,'Mortgage Calculator'!PropertyTaxAmount)</f>
        <v>0</v>
      </c>
      <c r="H251" s="216">
        <f ca="1">IF(Amortization32[[#This Row],[payment
date]]="",0,Amortization32[[#This Row],[interest]]+Amortization32[[#This Row],[principal]]+Amortization32[[#This Row],[property
tax]])</f>
        <v>0</v>
      </c>
      <c r="I251" s="216">
        <f ca="1">IF(Amortization32[[#This Row],[payment
date]]="",0,Amortization32[[#This Row],[opening
balance]]-Amortization32[[#This Row],[principal]])</f>
        <v>0</v>
      </c>
      <c r="J251" s="217">
        <f ca="1">IF(Amortization32[[#This Row],[closing
balance]]&gt;0,LastRow-ROW(),0)</f>
        <v>0</v>
      </c>
    </row>
    <row r="252" spans="2:10" ht="15" customHeight="1">
      <c r="B252" s="214" t="str">
        <f>IF(SUM(ROWS($B$4:B252))&gt;'Mortgage Calculator'!DurationOfLoan,"",SUM(ROWS($B$4:B252)))</f>
        <v/>
      </c>
      <c r="C252" s="215" t="str">
        <f ca="1">IFERROR(DATE(YEAR('Mortgage Calculator'!LoanStart), MONTH('Mortgage Calculator'!LoanStart) +B252,DAY('Mortgage Calculator'!LoanStart)), "")</f>
        <v/>
      </c>
      <c r="D252" s="216" t="str">
        <f>IFERROR(-FV('Mortgage Calculator'!InterestRate/12,B252-1,-'Mortgage Calculator'!MonthlyLoanPayment,'Mortgage Calculator'!LoanAmount),"")</f>
        <v/>
      </c>
      <c r="E252" s="216">
        <v>0</v>
      </c>
      <c r="F252" s="216" t="s">
        <v>689</v>
      </c>
      <c r="G252" s="216">
        <f ca="1">IF(Amortization32[[#This Row],[payment
date]]="",0,'Mortgage Calculator'!PropertyTaxAmount)</f>
        <v>0</v>
      </c>
      <c r="H252" s="216">
        <f ca="1">IF(Amortization32[[#This Row],[payment
date]]="",0,Amortization32[[#This Row],[interest]]+Amortization32[[#This Row],[principal]]+Amortization32[[#This Row],[property
tax]])</f>
        <v>0</v>
      </c>
      <c r="I252" s="216">
        <f ca="1">IF(Amortization32[[#This Row],[payment
date]]="",0,Amortization32[[#This Row],[opening
balance]]-Amortization32[[#This Row],[principal]])</f>
        <v>0</v>
      </c>
      <c r="J252" s="217">
        <f ca="1">IF(Amortization32[[#This Row],[closing
balance]]&gt;0,LastRow-ROW(),0)</f>
        <v>0</v>
      </c>
    </row>
    <row r="253" spans="2:10" ht="15" customHeight="1">
      <c r="B253" s="214" t="str">
        <f>IF(SUM(ROWS($B$4:B253))&gt;'Mortgage Calculator'!DurationOfLoan,"",SUM(ROWS($B$4:B253)))</f>
        <v/>
      </c>
      <c r="C253" s="215" t="str">
        <f ca="1">IFERROR(DATE(YEAR('Mortgage Calculator'!LoanStart), MONTH('Mortgage Calculator'!LoanStart) +B253,DAY('Mortgage Calculator'!LoanStart)), "")</f>
        <v/>
      </c>
      <c r="D253" s="216" t="str">
        <f>IFERROR(-FV('Mortgage Calculator'!InterestRate/12,B253-1,-'Mortgage Calculator'!MonthlyLoanPayment,'Mortgage Calculator'!LoanAmount),"")</f>
        <v/>
      </c>
      <c r="E253" s="216">
        <v>0</v>
      </c>
      <c r="F253" s="216" t="s">
        <v>689</v>
      </c>
      <c r="G253" s="216">
        <f ca="1">IF(Amortization32[[#This Row],[payment
date]]="",0,'Mortgage Calculator'!PropertyTaxAmount)</f>
        <v>0</v>
      </c>
      <c r="H253" s="216">
        <f ca="1">IF(Amortization32[[#This Row],[payment
date]]="",0,Amortization32[[#This Row],[interest]]+Amortization32[[#This Row],[principal]]+Amortization32[[#This Row],[property
tax]])</f>
        <v>0</v>
      </c>
      <c r="I253" s="216">
        <f ca="1">IF(Amortization32[[#This Row],[payment
date]]="",0,Amortization32[[#This Row],[opening
balance]]-Amortization32[[#This Row],[principal]])</f>
        <v>0</v>
      </c>
      <c r="J253" s="217">
        <f ca="1">IF(Amortization32[[#This Row],[closing
balance]]&gt;0,LastRow-ROW(),0)</f>
        <v>0</v>
      </c>
    </row>
    <row r="254" spans="2:10" ht="15" customHeight="1">
      <c r="B254" s="214" t="str">
        <f>IF(SUM(ROWS($B$4:B254))&gt;'Mortgage Calculator'!DurationOfLoan,"",SUM(ROWS($B$4:B254)))</f>
        <v/>
      </c>
      <c r="C254" s="215" t="str">
        <f ca="1">IFERROR(DATE(YEAR('Mortgage Calculator'!LoanStart), MONTH('Mortgage Calculator'!LoanStart) +B254,DAY('Mortgage Calculator'!LoanStart)), "")</f>
        <v/>
      </c>
      <c r="D254" s="216" t="str">
        <f>IFERROR(-FV('Mortgage Calculator'!InterestRate/12,B254-1,-'Mortgage Calculator'!MonthlyLoanPayment,'Mortgage Calculator'!LoanAmount),"")</f>
        <v/>
      </c>
      <c r="E254" s="216">
        <v>0</v>
      </c>
      <c r="F254" s="216" t="s">
        <v>689</v>
      </c>
      <c r="G254" s="216">
        <f ca="1">IF(Amortization32[[#This Row],[payment
date]]="",0,'Mortgage Calculator'!PropertyTaxAmount)</f>
        <v>0</v>
      </c>
      <c r="H254" s="216">
        <f ca="1">IF(Amortization32[[#This Row],[payment
date]]="",0,Amortization32[[#This Row],[interest]]+Amortization32[[#This Row],[principal]]+Amortization32[[#This Row],[property
tax]])</f>
        <v>0</v>
      </c>
      <c r="I254" s="216">
        <f ca="1">IF(Amortization32[[#This Row],[payment
date]]="",0,Amortization32[[#This Row],[opening
balance]]-Amortization32[[#This Row],[principal]])</f>
        <v>0</v>
      </c>
      <c r="J254" s="217">
        <f ca="1">IF(Amortization32[[#This Row],[closing
balance]]&gt;0,LastRow-ROW(),0)</f>
        <v>0</v>
      </c>
    </row>
    <row r="255" spans="2:10" ht="15" customHeight="1">
      <c r="B255" s="214" t="str">
        <f>IF(SUM(ROWS($B$4:B255))&gt;'Mortgage Calculator'!DurationOfLoan,"",SUM(ROWS($B$4:B255)))</f>
        <v/>
      </c>
      <c r="C255" s="215" t="str">
        <f ca="1">IFERROR(DATE(YEAR('Mortgage Calculator'!LoanStart), MONTH('Mortgage Calculator'!LoanStart) +B255,DAY('Mortgage Calculator'!LoanStart)), "")</f>
        <v/>
      </c>
      <c r="D255" s="216" t="str">
        <f>IFERROR(-FV('Mortgage Calculator'!InterestRate/12,B255-1,-'Mortgage Calculator'!MonthlyLoanPayment,'Mortgage Calculator'!LoanAmount),"")</f>
        <v/>
      </c>
      <c r="E255" s="216">
        <v>0</v>
      </c>
      <c r="F255" s="216" t="s">
        <v>689</v>
      </c>
      <c r="G255" s="216">
        <f ca="1">IF(Amortization32[[#This Row],[payment
date]]="",0,'Mortgage Calculator'!PropertyTaxAmount)</f>
        <v>0</v>
      </c>
      <c r="H255" s="216">
        <f ca="1">IF(Amortization32[[#This Row],[payment
date]]="",0,Amortization32[[#This Row],[interest]]+Amortization32[[#This Row],[principal]]+Amortization32[[#This Row],[property
tax]])</f>
        <v>0</v>
      </c>
      <c r="I255" s="216">
        <f ca="1">IF(Amortization32[[#This Row],[payment
date]]="",0,Amortization32[[#This Row],[opening
balance]]-Amortization32[[#This Row],[principal]])</f>
        <v>0</v>
      </c>
      <c r="J255" s="217">
        <f ca="1">IF(Amortization32[[#This Row],[closing
balance]]&gt;0,LastRow-ROW(),0)</f>
        <v>0</v>
      </c>
    </row>
    <row r="256" spans="2:10" ht="15" customHeight="1">
      <c r="B256" s="214" t="str">
        <f>IF(SUM(ROWS($B$4:B256))&gt;'Mortgage Calculator'!DurationOfLoan,"",SUM(ROWS($B$4:B256)))</f>
        <v/>
      </c>
      <c r="C256" s="215" t="str">
        <f ca="1">IFERROR(DATE(YEAR('Mortgage Calculator'!LoanStart), MONTH('Mortgage Calculator'!LoanStart) +B256,DAY('Mortgage Calculator'!LoanStart)), "")</f>
        <v/>
      </c>
      <c r="D256" s="216" t="str">
        <f>IFERROR(-FV('Mortgage Calculator'!InterestRate/12,B256-1,-'Mortgage Calculator'!MonthlyLoanPayment,'Mortgage Calculator'!LoanAmount),"")</f>
        <v/>
      </c>
      <c r="E256" s="216">
        <v>0</v>
      </c>
      <c r="F256" s="216" t="s">
        <v>689</v>
      </c>
      <c r="G256" s="216">
        <f ca="1">IF(Amortization32[[#This Row],[payment
date]]="",0,'Mortgage Calculator'!PropertyTaxAmount)</f>
        <v>0</v>
      </c>
      <c r="H256" s="216">
        <f ca="1">IF(Amortization32[[#This Row],[payment
date]]="",0,Amortization32[[#This Row],[interest]]+Amortization32[[#This Row],[principal]]+Amortization32[[#This Row],[property
tax]])</f>
        <v>0</v>
      </c>
      <c r="I256" s="216">
        <f ca="1">IF(Amortization32[[#This Row],[payment
date]]="",0,Amortization32[[#This Row],[opening
balance]]-Amortization32[[#This Row],[principal]])</f>
        <v>0</v>
      </c>
      <c r="J256" s="217">
        <f ca="1">IF(Amortization32[[#This Row],[closing
balance]]&gt;0,LastRow-ROW(),0)</f>
        <v>0</v>
      </c>
    </row>
    <row r="257" spans="2:10" ht="15" customHeight="1">
      <c r="B257" s="214" t="str">
        <f>IF(SUM(ROWS($B$4:B257))&gt;'Mortgage Calculator'!DurationOfLoan,"",SUM(ROWS($B$4:B257)))</f>
        <v/>
      </c>
      <c r="C257" s="215" t="str">
        <f ca="1">IFERROR(DATE(YEAR('Mortgage Calculator'!LoanStart), MONTH('Mortgage Calculator'!LoanStart) +B257,DAY('Mortgage Calculator'!LoanStart)), "")</f>
        <v/>
      </c>
      <c r="D257" s="216" t="str">
        <f>IFERROR(-FV('Mortgage Calculator'!InterestRate/12,B257-1,-'Mortgage Calculator'!MonthlyLoanPayment,'Mortgage Calculator'!LoanAmount),"")</f>
        <v/>
      </c>
      <c r="E257" s="216">
        <v>0</v>
      </c>
      <c r="F257" s="216" t="s">
        <v>689</v>
      </c>
      <c r="G257" s="216">
        <f ca="1">IF(Amortization32[[#This Row],[payment
date]]="",0,'Mortgage Calculator'!PropertyTaxAmount)</f>
        <v>0</v>
      </c>
      <c r="H257" s="216">
        <f ca="1">IF(Amortization32[[#This Row],[payment
date]]="",0,Amortization32[[#This Row],[interest]]+Amortization32[[#This Row],[principal]]+Amortization32[[#This Row],[property
tax]])</f>
        <v>0</v>
      </c>
      <c r="I257" s="216">
        <f ca="1">IF(Amortization32[[#This Row],[payment
date]]="",0,Amortization32[[#This Row],[opening
balance]]-Amortization32[[#This Row],[principal]])</f>
        <v>0</v>
      </c>
      <c r="J257" s="217">
        <f ca="1">IF(Amortization32[[#This Row],[closing
balance]]&gt;0,LastRow-ROW(),0)</f>
        <v>0</v>
      </c>
    </row>
    <row r="258" spans="2:10" ht="15" customHeight="1">
      <c r="B258" s="214" t="str">
        <f>IF(SUM(ROWS($B$4:B258))&gt;'Mortgage Calculator'!DurationOfLoan,"",SUM(ROWS($B$4:B258)))</f>
        <v/>
      </c>
      <c r="C258" s="215" t="str">
        <f ca="1">IFERROR(DATE(YEAR('Mortgage Calculator'!LoanStart), MONTH('Mortgage Calculator'!LoanStart) +B258,DAY('Mortgage Calculator'!LoanStart)), "")</f>
        <v/>
      </c>
      <c r="D258" s="216" t="str">
        <f>IFERROR(-FV('Mortgage Calculator'!InterestRate/12,B258-1,-'Mortgage Calculator'!MonthlyLoanPayment,'Mortgage Calculator'!LoanAmount),"")</f>
        <v/>
      </c>
      <c r="E258" s="216">
        <v>0</v>
      </c>
      <c r="F258" s="216" t="s">
        <v>689</v>
      </c>
      <c r="G258" s="216">
        <f ca="1">IF(Amortization32[[#This Row],[payment
date]]="",0,'Mortgage Calculator'!PropertyTaxAmount)</f>
        <v>0</v>
      </c>
      <c r="H258" s="216">
        <f ca="1">IF(Amortization32[[#This Row],[payment
date]]="",0,Amortization32[[#This Row],[interest]]+Amortization32[[#This Row],[principal]]+Amortization32[[#This Row],[property
tax]])</f>
        <v>0</v>
      </c>
      <c r="I258" s="216">
        <f ca="1">IF(Amortization32[[#This Row],[payment
date]]="",0,Amortization32[[#This Row],[opening
balance]]-Amortization32[[#This Row],[principal]])</f>
        <v>0</v>
      </c>
      <c r="J258" s="217">
        <f ca="1">IF(Amortization32[[#This Row],[closing
balance]]&gt;0,LastRow-ROW(),0)</f>
        <v>0</v>
      </c>
    </row>
    <row r="259" spans="2:10" ht="15" customHeight="1">
      <c r="B259" s="214" t="str">
        <f>IF(SUM(ROWS($B$4:B259))&gt;'Mortgage Calculator'!DurationOfLoan,"",SUM(ROWS($B$4:B259)))</f>
        <v/>
      </c>
      <c r="C259" s="215" t="str">
        <f ca="1">IFERROR(DATE(YEAR('Mortgage Calculator'!LoanStart), MONTH('Mortgage Calculator'!LoanStart) +B259,DAY('Mortgage Calculator'!LoanStart)), "")</f>
        <v/>
      </c>
      <c r="D259" s="216" t="str">
        <f>IFERROR(-FV('Mortgage Calculator'!InterestRate/12,B259-1,-'Mortgage Calculator'!MonthlyLoanPayment,'Mortgage Calculator'!LoanAmount),"")</f>
        <v/>
      </c>
      <c r="E259" s="216">
        <v>0</v>
      </c>
      <c r="F259" s="216" t="s">
        <v>689</v>
      </c>
      <c r="G259" s="216">
        <f ca="1">IF(Amortization32[[#This Row],[payment
date]]="",0,'Mortgage Calculator'!PropertyTaxAmount)</f>
        <v>0</v>
      </c>
      <c r="H259" s="216">
        <f ca="1">IF(Amortization32[[#This Row],[payment
date]]="",0,Amortization32[[#This Row],[interest]]+Amortization32[[#This Row],[principal]]+Amortization32[[#This Row],[property
tax]])</f>
        <v>0</v>
      </c>
      <c r="I259" s="216">
        <f ca="1">IF(Amortization32[[#This Row],[payment
date]]="",0,Amortization32[[#This Row],[opening
balance]]-Amortization32[[#This Row],[principal]])</f>
        <v>0</v>
      </c>
      <c r="J259" s="217">
        <f ca="1">IF(Amortization32[[#This Row],[closing
balance]]&gt;0,LastRow-ROW(),0)</f>
        <v>0</v>
      </c>
    </row>
    <row r="260" spans="2:10" ht="15" customHeight="1">
      <c r="B260" s="214" t="str">
        <f>IF(SUM(ROWS($B$4:B260))&gt;'Mortgage Calculator'!DurationOfLoan,"",SUM(ROWS($B$4:B260)))</f>
        <v/>
      </c>
      <c r="C260" s="215" t="str">
        <f ca="1">IFERROR(DATE(YEAR('Mortgage Calculator'!LoanStart), MONTH('Mortgage Calculator'!LoanStart) +B260,DAY('Mortgage Calculator'!LoanStart)), "")</f>
        <v/>
      </c>
      <c r="D260" s="216" t="str">
        <f>IFERROR(-FV('Mortgage Calculator'!InterestRate/12,B260-1,-'Mortgage Calculator'!MonthlyLoanPayment,'Mortgage Calculator'!LoanAmount),"")</f>
        <v/>
      </c>
      <c r="E260" s="216">
        <v>0</v>
      </c>
      <c r="F260" s="216" t="s">
        <v>689</v>
      </c>
      <c r="G260" s="216">
        <f ca="1">IF(Amortization32[[#This Row],[payment
date]]="",0,'Mortgage Calculator'!PropertyTaxAmount)</f>
        <v>0</v>
      </c>
      <c r="H260" s="216">
        <f ca="1">IF(Amortization32[[#This Row],[payment
date]]="",0,Amortization32[[#This Row],[interest]]+Amortization32[[#This Row],[principal]]+Amortization32[[#This Row],[property
tax]])</f>
        <v>0</v>
      </c>
      <c r="I260" s="216">
        <f ca="1">IF(Amortization32[[#This Row],[payment
date]]="",0,Amortization32[[#This Row],[opening
balance]]-Amortization32[[#This Row],[principal]])</f>
        <v>0</v>
      </c>
      <c r="J260" s="217">
        <f ca="1">IF(Amortization32[[#This Row],[closing
balance]]&gt;0,LastRow-ROW(),0)</f>
        <v>0</v>
      </c>
    </row>
    <row r="261" spans="2:10" ht="15" customHeight="1">
      <c r="B261" s="214" t="str">
        <f>IF(SUM(ROWS($B$4:B261))&gt;'Mortgage Calculator'!DurationOfLoan,"",SUM(ROWS($B$4:B261)))</f>
        <v/>
      </c>
      <c r="C261" s="215" t="str">
        <f ca="1">IFERROR(DATE(YEAR('Mortgage Calculator'!LoanStart), MONTH('Mortgage Calculator'!LoanStart) +B261,DAY('Mortgage Calculator'!LoanStart)), "")</f>
        <v/>
      </c>
      <c r="D261" s="216" t="str">
        <f>IFERROR(-FV('Mortgage Calculator'!InterestRate/12,B261-1,-'Mortgage Calculator'!MonthlyLoanPayment,'Mortgage Calculator'!LoanAmount),"")</f>
        <v/>
      </c>
      <c r="E261" s="216">
        <v>0</v>
      </c>
      <c r="F261" s="216" t="s">
        <v>689</v>
      </c>
      <c r="G261" s="216">
        <f ca="1">IF(Amortization32[[#This Row],[payment
date]]="",0,'Mortgage Calculator'!PropertyTaxAmount)</f>
        <v>0</v>
      </c>
      <c r="H261" s="216">
        <f ca="1">IF(Amortization32[[#This Row],[payment
date]]="",0,Amortization32[[#This Row],[interest]]+Amortization32[[#This Row],[principal]]+Amortization32[[#This Row],[property
tax]])</f>
        <v>0</v>
      </c>
      <c r="I261" s="216">
        <f ca="1">IF(Amortization32[[#This Row],[payment
date]]="",0,Amortization32[[#This Row],[opening
balance]]-Amortization32[[#This Row],[principal]])</f>
        <v>0</v>
      </c>
      <c r="J261" s="217">
        <f ca="1">IF(Amortization32[[#This Row],[closing
balance]]&gt;0,LastRow-ROW(),0)</f>
        <v>0</v>
      </c>
    </row>
    <row r="262" spans="2:10" ht="15" customHeight="1">
      <c r="B262" s="214" t="str">
        <f>IF(SUM(ROWS($B$4:B262))&gt;'Mortgage Calculator'!DurationOfLoan,"",SUM(ROWS($B$4:B262)))</f>
        <v/>
      </c>
      <c r="C262" s="215" t="str">
        <f ca="1">IFERROR(DATE(YEAR('Mortgage Calculator'!LoanStart), MONTH('Mortgage Calculator'!LoanStart) +B262,DAY('Mortgage Calculator'!LoanStart)), "")</f>
        <v/>
      </c>
      <c r="D262" s="216" t="str">
        <f>IFERROR(-FV('Mortgage Calculator'!InterestRate/12,B262-1,-'Mortgage Calculator'!MonthlyLoanPayment,'Mortgage Calculator'!LoanAmount),"")</f>
        <v/>
      </c>
      <c r="E262" s="216">
        <v>0</v>
      </c>
      <c r="F262" s="216" t="s">
        <v>689</v>
      </c>
      <c r="G262" s="216">
        <f ca="1">IF(Amortization32[[#This Row],[payment
date]]="",0,'Mortgage Calculator'!PropertyTaxAmount)</f>
        <v>0</v>
      </c>
      <c r="H262" s="216">
        <f ca="1">IF(Amortization32[[#This Row],[payment
date]]="",0,Amortization32[[#This Row],[interest]]+Amortization32[[#This Row],[principal]]+Amortization32[[#This Row],[property
tax]])</f>
        <v>0</v>
      </c>
      <c r="I262" s="216">
        <f ca="1">IF(Amortization32[[#This Row],[payment
date]]="",0,Amortization32[[#This Row],[opening
balance]]-Amortization32[[#This Row],[principal]])</f>
        <v>0</v>
      </c>
      <c r="J262" s="217">
        <f ca="1">IF(Amortization32[[#This Row],[closing
balance]]&gt;0,LastRow-ROW(),0)</f>
        <v>0</v>
      </c>
    </row>
    <row r="263" spans="2:10" ht="15" customHeight="1">
      <c r="B263" s="214" t="str">
        <f>IF(SUM(ROWS($B$4:B263))&gt;'Mortgage Calculator'!DurationOfLoan,"",SUM(ROWS($B$4:B263)))</f>
        <v/>
      </c>
      <c r="C263" s="215" t="str">
        <f ca="1">IFERROR(DATE(YEAR('Mortgage Calculator'!LoanStart), MONTH('Mortgage Calculator'!LoanStart) +B263,DAY('Mortgage Calculator'!LoanStart)), "")</f>
        <v/>
      </c>
      <c r="D263" s="216" t="str">
        <f>IFERROR(-FV('Mortgage Calculator'!InterestRate/12,B263-1,-'Mortgage Calculator'!MonthlyLoanPayment,'Mortgage Calculator'!LoanAmount),"")</f>
        <v/>
      </c>
      <c r="E263" s="216">
        <v>0</v>
      </c>
      <c r="F263" s="216" t="s">
        <v>689</v>
      </c>
      <c r="G263" s="216">
        <f ca="1">IF(Amortization32[[#This Row],[payment
date]]="",0,'Mortgage Calculator'!PropertyTaxAmount)</f>
        <v>0</v>
      </c>
      <c r="H263" s="216">
        <f ca="1">IF(Amortization32[[#This Row],[payment
date]]="",0,Amortization32[[#This Row],[interest]]+Amortization32[[#This Row],[principal]]+Amortization32[[#This Row],[property
tax]])</f>
        <v>0</v>
      </c>
      <c r="I263" s="216">
        <f ca="1">IF(Amortization32[[#This Row],[payment
date]]="",0,Amortization32[[#This Row],[opening
balance]]-Amortization32[[#This Row],[principal]])</f>
        <v>0</v>
      </c>
      <c r="J263" s="217">
        <f ca="1">IF(Amortization32[[#This Row],[closing
balance]]&gt;0,LastRow-ROW(),0)</f>
        <v>0</v>
      </c>
    </row>
    <row r="264" spans="2:10" ht="15" customHeight="1">
      <c r="B264" s="214" t="str">
        <f>IF(SUM(ROWS($B$4:B264))&gt;'Mortgage Calculator'!DurationOfLoan,"",SUM(ROWS($B$4:B264)))</f>
        <v/>
      </c>
      <c r="C264" s="215" t="str">
        <f ca="1">IFERROR(DATE(YEAR('Mortgage Calculator'!LoanStart), MONTH('Mortgage Calculator'!LoanStart) +B264,DAY('Mortgage Calculator'!LoanStart)), "")</f>
        <v/>
      </c>
      <c r="D264" s="216" t="str">
        <f>IFERROR(-FV('Mortgage Calculator'!InterestRate/12,B264-1,-'Mortgage Calculator'!MonthlyLoanPayment,'Mortgage Calculator'!LoanAmount),"")</f>
        <v/>
      </c>
      <c r="E264" s="216">
        <v>0</v>
      </c>
      <c r="F264" s="216" t="s">
        <v>689</v>
      </c>
      <c r="G264" s="216">
        <f ca="1">IF(Amortization32[[#This Row],[payment
date]]="",0,'Mortgage Calculator'!PropertyTaxAmount)</f>
        <v>0</v>
      </c>
      <c r="H264" s="216">
        <f ca="1">IF(Amortization32[[#This Row],[payment
date]]="",0,Amortization32[[#This Row],[interest]]+Amortization32[[#This Row],[principal]]+Amortization32[[#This Row],[property
tax]])</f>
        <v>0</v>
      </c>
      <c r="I264" s="216">
        <f ca="1">IF(Amortization32[[#This Row],[payment
date]]="",0,Amortization32[[#This Row],[opening
balance]]-Amortization32[[#This Row],[principal]])</f>
        <v>0</v>
      </c>
      <c r="J264" s="217">
        <f ca="1">IF(Amortization32[[#This Row],[closing
balance]]&gt;0,LastRow-ROW(),0)</f>
        <v>0</v>
      </c>
    </row>
    <row r="265" spans="2:10" ht="15" customHeight="1">
      <c r="B265" s="214" t="str">
        <f>IF(SUM(ROWS($B$4:B265))&gt;'Mortgage Calculator'!DurationOfLoan,"",SUM(ROWS($B$4:B265)))</f>
        <v/>
      </c>
      <c r="C265" s="215" t="str">
        <f ca="1">IFERROR(DATE(YEAR('Mortgage Calculator'!LoanStart), MONTH('Mortgage Calculator'!LoanStart) +B265,DAY('Mortgage Calculator'!LoanStart)), "")</f>
        <v/>
      </c>
      <c r="D265" s="216" t="str">
        <f>IFERROR(-FV('Mortgage Calculator'!InterestRate/12,B265-1,-'Mortgage Calculator'!MonthlyLoanPayment,'Mortgage Calculator'!LoanAmount),"")</f>
        <v/>
      </c>
      <c r="E265" s="216">
        <v>0</v>
      </c>
      <c r="F265" s="216" t="s">
        <v>689</v>
      </c>
      <c r="G265" s="216">
        <f ca="1">IF(Amortization32[[#This Row],[payment
date]]="",0,'Mortgage Calculator'!PropertyTaxAmount)</f>
        <v>0</v>
      </c>
      <c r="H265" s="216">
        <f ca="1">IF(Amortization32[[#This Row],[payment
date]]="",0,Amortization32[[#This Row],[interest]]+Amortization32[[#This Row],[principal]]+Amortization32[[#This Row],[property
tax]])</f>
        <v>0</v>
      </c>
      <c r="I265" s="216">
        <f ca="1">IF(Amortization32[[#This Row],[payment
date]]="",0,Amortization32[[#This Row],[opening
balance]]-Amortization32[[#This Row],[principal]])</f>
        <v>0</v>
      </c>
      <c r="J265" s="217">
        <f ca="1">IF(Amortization32[[#This Row],[closing
balance]]&gt;0,LastRow-ROW(),0)</f>
        <v>0</v>
      </c>
    </row>
    <row r="266" spans="2:10" ht="15" customHeight="1">
      <c r="B266" s="214" t="str">
        <f>IF(SUM(ROWS($B$4:B266))&gt;'Mortgage Calculator'!DurationOfLoan,"",SUM(ROWS($B$4:B266)))</f>
        <v/>
      </c>
      <c r="C266" s="215" t="str">
        <f ca="1">IFERROR(DATE(YEAR('Mortgage Calculator'!LoanStart), MONTH('Mortgage Calculator'!LoanStart) +B266,DAY('Mortgage Calculator'!LoanStart)), "")</f>
        <v/>
      </c>
      <c r="D266" s="216" t="str">
        <f>IFERROR(-FV('Mortgage Calculator'!InterestRate/12,B266-1,-'Mortgage Calculator'!MonthlyLoanPayment,'Mortgage Calculator'!LoanAmount),"")</f>
        <v/>
      </c>
      <c r="E266" s="216">
        <v>0</v>
      </c>
      <c r="F266" s="216" t="s">
        <v>689</v>
      </c>
      <c r="G266" s="216">
        <f ca="1">IF(Amortization32[[#This Row],[payment
date]]="",0,'Mortgage Calculator'!PropertyTaxAmount)</f>
        <v>0</v>
      </c>
      <c r="H266" s="216">
        <f ca="1">IF(Amortization32[[#This Row],[payment
date]]="",0,Amortization32[[#This Row],[interest]]+Amortization32[[#This Row],[principal]]+Amortization32[[#This Row],[property
tax]])</f>
        <v>0</v>
      </c>
      <c r="I266" s="216">
        <f ca="1">IF(Amortization32[[#This Row],[payment
date]]="",0,Amortization32[[#This Row],[opening
balance]]-Amortization32[[#This Row],[principal]])</f>
        <v>0</v>
      </c>
      <c r="J266" s="217">
        <f ca="1">IF(Amortization32[[#This Row],[closing
balance]]&gt;0,LastRow-ROW(),0)</f>
        <v>0</v>
      </c>
    </row>
    <row r="267" spans="2:10" ht="15" customHeight="1">
      <c r="B267" s="214" t="str">
        <f>IF(SUM(ROWS($B$4:B267))&gt;'Mortgage Calculator'!DurationOfLoan,"",SUM(ROWS($B$4:B267)))</f>
        <v/>
      </c>
      <c r="C267" s="215" t="str">
        <f ca="1">IFERROR(DATE(YEAR('Mortgage Calculator'!LoanStart), MONTH('Mortgage Calculator'!LoanStart) +B267,DAY('Mortgage Calculator'!LoanStart)), "")</f>
        <v/>
      </c>
      <c r="D267" s="216" t="str">
        <f>IFERROR(-FV('Mortgage Calculator'!InterestRate/12,B267-1,-'Mortgage Calculator'!MonthlyLoanPayment,'Mortgage Calculator'!LoanAmount),"")</f>
        <v/>
      </c>
      <c r="E267" s="216">
        <v>0</v>
      </c>
      <c r="F267" s="216" t="s">
        <v>689</v>
      </c>
      <c r="G267" s="216">
        <f ca="1">IF(Amortization32[[#This Row],[payment
date]]="",0,'Mortgage Calculator'!PropertyTaxAmount)</f>
        <v>0</v>
      </c>
      <c r="H267" s="216">
        <f ca="1">IF(Amortization32[[#This Row],[payment
date]]="",0,Amortization32[[#This Row],[interest]]+Amortization32[[#This Row],[principal]]+Amortization32[[#This Row],[property
tax]])</f>
        <v>0</v>
      </c>
      <c r="I267" s="216">
        <f ca="1">IF(Amortization32[[#This Row],[payment
date]]="",0,Amortization32[[#This Row],[opening
balance]]-Amortization32[[#This Row],[principal]])</f>
        <v>0</v>
      </c>
      <c r="J267" s="217">
        <f ca="1">IF(Amortization32[[#This Row],[closing
balance]]&gt;0,LastRow-ROW(),0)</f>
        <v>0</v>
      </c>
    </row>
    <row r="268" spans="2:10" ht="15" customHeight="1">
      <c r="B268" s="214" t="str">
        <f>IF(SUM(ROWS($B$4:B268))&gt;'Mortgage Calculator'!DurationOfLoan,"",SUM(ROWS($B$4:B268)))</f>
        <v/>
      </c>
      <c r="C268" s="215" t="str">
        <f ca="1">IFERROR(DATE(YEAR('Mortgage Calculator'!LoanStart), MONTH('Mortgage Calculator'!LoanStart) +B268,DAY('Mortgage Calculator'!LoanStart)), "")</f>
        <v/>
      </c>
      <c r="D268" s="216" t="str">
        <f>IFERROR(-FV('Mortgage Calculator'!InterestRate/12,B268-1,-'Mortgage Calculator'!MonthlyLoanPayment,'Mortgage Calculator'!LoanAmount),"")</f>
        <v/>
      </c>
      <c r="E268" s="216">
        <v>0</v>
      </c>
      <c r="F268" s="216" t="s">
        <v>689</v>
      </c>
      <c r="G268" s="216">
        <f ca="1">IF(Amortization32[[#This Row],[payment
date]]="",0,'Mortgage Calculator'!PropertyTaxAmount)</f>
        <v>0</v>
      </c>
      <c r="H268" s="216">
        <f ca="1">IF(Amortization32[[#This Row],[payment
date]]="",0,Amortization32[[#This Row],[interest]]+Amortization32[[#This Row],[principal]]+Amortization32[[#This Row],[property
tax]])</f>
        <v>0</v>
      </c>
      <c r="I268" s="216">
        <f ca="1">IF(Amortization32[[#This Row],[payment
date]]="",0,Amortization32[[#This Row],[opening
balance]]-Amortization32[[#This Row],[principal]])</f>
        <v>0</v>
      </c>
      <c r="J268" s="217">
        <f ca="1">IF(Amortization32[[#This Row],[closing
balance]]&gt;0,LastRow-ROW(),0)</f>
        <v>0</v>
      </c>
    </row>
    <row r="269" spans="2:10" ht="15" customHeight="1">
      <c r="B269" s="214" t="str">
        <f>IF(SUM(ROWS($B$4:B269))&gt;'Mortgage Calculator'!DurationOfLoan,"",SUM(ROWS($B$4:B269)))</f>
        <v/>
      </c>
      <c r="C269" s="215" t="str">
        <f ca="1">IFERROR(DATE(YEAR('Mortgage Calculator'!LoanStart), MONTH('Mortgage Calculator'!LoanStart) +B269,DAY('Mortgage Calculator'!LoanStart)), "")</f>
        <v/>
      </c>
      <c r="D269" s="216" t="str">
        <f>IFERROR(-FV('Mortgage Calculator'!InterestRate/12,B269-1,-'Mortgage Calculator'!MonthlyLoanPayment,'Mortgage Calculator'!LoanAmount),"")</f>
        <v/>
      </c>
      <c r="E269" s="216">
        <v>0</v>
      </c>
      <c r="F269" s="216" t="s">
        <v>689</v>
      </c>
      <c r="G269" s="216">
        <f ca="1">IF(Amortization32[[#This Row],[payment
date]]="",0,'Mortgage Calculator'!PropertyTaxAmount)</f>
        <v>0</v>
      </c>
      <c r="H269" s="216">
        <f ca="1">IF(Amortization32[[#This Row],[payment
date]]="",0,Amortization32[[#This Row],[interest]]+Amortization32[[#This Row],[principal]]+Amortization32[[#This Row],[property
tax]])</f>
        <v>0</v>
      </c>
      <c r="I269" s="216">
        <f ca="1">IF(Amortization32[[#This Row],[payment
date]]="",0,Amortization32[[#This Row],[opening
balance]]-Amortization32[[#This Row],[principal]])</f>
        <v>0</v>
      </c>
      <c r="J269" s="217">
        <f ca="1">IF(Amortization32[[#This Row],[closing
balance]]&gt;0,LastRow-ROW(),0)</f>
        <v>0</v>
      </c>
    </row>
    <row r="270" spans="2:10" ht="15" customHeight="1">
      <c r="B270" s="214" t="str">
        <f>IF(SUM(ROWS($B$4:B270))&gt;'Mortgage Calculator'!DurationOfLoan,"",SUM(ROWS($B$4:B270)))</f>
        <v/>
      </c>
      <c r="C270" s="215" t="str">
        <f ca="1">IFERROR(DATE(YEAR('Mortgage Calculator'!LoanStart), MONTH('Mortgage Calculator'!LoanStart) +B270,DAY('Mortgage Calculator'!LoanStart)), "")</f>
        <v/>
      </c>
      <c r="D270" s="216" t="str">
        <f>IFERROR(-FV('Mortgage Calculator'!InterestRate/12,B270-1,-'Mortgage Calculator'!MonthlyLoanPayment,'Mortgage Calculator'!LoanAmount),"")</f>
        <v/>
      </c>
      <c r="E270" s="216">
        <v>0</v>
      </c>
      <c r="F270" s="216" t="s">
        <v>689</v>
      </c>
      <c r="G270" s="216">
        <f ca="1">IF(Amortization32[[#This Row],[payment
date]]="",0,'Mortgage Calculator'!PropertyTaxAmount)</f>
        <v>0</v>
      </c>
      <c r="H270" s="216">
        <f ca="1">IF(Amortization32[[#This Row],[payment
date]]="",0,Amortization32[[#This Row],[interest]]+Amortization32[[#This Row],[principal]]+Amortization32[[#This Row],[property
tax]])</f>
        <v>0</v>
      </c>
      <c r="I270" s="216">
        <f ca="1">IF(Amortization32[[#This Row],[payment
date]]="",0,Amortization32[[#This Row],[opening
balance]]-Amortization32[[#This Row],[principal]])</f>
        <v>0</v>
      </c>
      <c r="J270" s="217">
        <f ca="1">IF(Amortization32[[#This Row],[closing
balance]]&gt;0,LastRow-ROW(),0)</f>
        <v>0</v>
      </c>
    </row>
    <row r="271" spans="2:10" ht="15" customHeight="1">
      <c r="B271" s="214" t="str">
        <f>IF(SUM(ROWS($B$4:B271))&gt;'Mortgage Calculator'!DurationOfLoan,"",SUM(ROWS($B$4:B271)))</f>
        <v/>
      </c>
      <c r="C271" s="215" t="str">
        <f ca="1">IFERROR(DATE(YEAR('Mortgage Calculator'!LoanStart), MONTH('Mortgage Calculator'!LoanStart) +B271,DAY('Mortgage Calculator'!LoanStart)), "")</f>
        <v/>
      </c>
      <c r="D271" s="216" t="str">
        <f>IFERROR(-FV('Mortgage Calculator'!InterestRate/12,B271-1,-'Mortgage Calculator'!MonthlyLoanPayment,'Mortgage Calculator'!LoanAmount),"")</f>
        <v/>
      </c>
      <c r="E271" s="216">
        <v>0</v>
      </c>
      <c r="F271" s="216" t="s">
        <v>689</v>
      </c>
      <c r="G271" s="216">
        <f ca="1">IF(Amortization32[[#This Row],[payment
date]]="",0,'Mortgage Calculator'!PropertyTaxAmount)</f>
        <v>0</v>
      </c>
      <c r="H271" s="216">
        <f ca="1">IF(Amortization32[[#This Row],[payment
date]]="",0,Amortization32[[#This Row],[interest]]+Amortization32[[#This Row],[principal]]+Amortization32[[#This Row],[property
tax]])</f>
        <v>0</v>
      </c>
      <c r="I271" s="216">
        <f ca="1">IF(Amortization32[[#This Row],[payment
date]]="",0,Amortization32[[#This Row],[opening
balance]]-Amortization32[[#This Row],[principal]])</f>
        <v>0</v>
      </c>
      <c r="J271" s="217">
        <f ca="1">IF(Amortization32[[#This Row],[closing
balance]]&gt;0,LastRow-ROW(),0)</f>
        <v>0</v>
      </c>
    </row>
    <row r="272" spans="2:10" ht="15" customHeight="1">
      <c r="B272" s="214" t="str">
        <f>IF(SUM(ROWS($B$4:B272))&gt;'Mortgage Calculator'!DurationOfLoan,"",SUM(ROWS($B$4:B272)))</f>
        <v/>
      </c>
      <c r="C272" s="215" t="str">
        <f ca="1">IFERROR(DATE(YEAR('Mortgage Calculator'!LoanStart), MONTH('Mortgage Calculator'!LoanStart) +B272,DAY('Mortgage Calculator'!LoanStart)), "")</f>
        <v/>
      </c>
      <c r="D272" s="216" t="str">
        <f>IFERROR(-FV('Mortgage Calculator'!InterestRate/12,B272-1,-'Mortgage Calculator'!MonthlyLoanPayment,'Mortgage Calculator'!LoanAmount),"")</f>
        <v/>
      </c>
      <c r="E272" s="216">
        <v>0</v>
      </c>
      <c r="F272" s="216" t="s">
        <v>689</v>
      </c>
      <c r="G272" s="216">
        <f ca="1">IF(Amortization32[[#This Row],[payment
date]]="",0,'Mortgage Calculator'!PropertyTaxAmount)</f>
        <v>0</v>
      </c>
      <c r="H272" s="216">
        <f ca="1">IF(Amortization32[[#This Row],[payment
date]]="",0,Amortization32[[#This Row],[interest]]+Amortization32[[#This Row],[principal]]+Amortization32[[#This Row],[property
tax]])</f>
        <v>0</v>
      </c>
      <c r="I272" s="216">
        <f ca="1">IF(Amortization32[[#This Row],[payment
date]]="",0,Amortization32[[#This Row],[opening
balance]]-Amortization32[[#This Row],[principal]])</f>
        <v>0</v>
      </c>
      <c r="J272" s="217">
        <f ca="1">IF(Amortization32[[#This Row],[closing
balance]]&gt;0,LastRow-ROW(),0)</f>
        <v>0</v>
      </c>
    </row>
    <row r="273" spans="2:10" ht="15" customHeight="1">
      <c r="B273" s="214" t="str">
        <f>IF(SUM(ROWS($B$4:B273))&gt;'Mortgage Calculator'!DurationOfLoan,"",SUM(ROWS($B$4:B273)))</f>
        <v/>
      </c>
      <c r="C273" s="215" t="str">
        <f ca="1">IFERROR(DATE(YEAR('Mortgage Calculator'!LoanStart), MONTH('Mortgage Calculator'!LoanStart) +B273,DAY('Mortgage Calculator'!LoanStart)), "")</f>
        <v/>
      </c>
      <c r="D273" s="216" t="str">
        <f>IFERROR(-FV('Mortgage Calculator'!InterestRate/12,B273-1,-'Mortgage Calculator'!MonthlyLoanPayment,'Mortgage Calculator'!LoanAmount),"")</f>
        <v/>
      </c>
      <c r="E273" s="216">
        <v>0</v>
      </c>
      <c r="F273" s="216" t="s">
        <v>689</v>
      </c>
      <c r="G273" s="216">
        <f ca="1">IF(Amortization32[[#This Row],[payment
date]]="",0,'Mortgage Calculator'!PropertyTaxAmount)</f>
        <v>0</v>
      </c>
      <c r="H273" s="216">
        <f ca="1">IF(Amortization32[[#This Row],[payment
date]]="",0,Amortization32[[#This Row],[interest]]+Amortization32[[#This Row],[principal]]+Amortization32[[#This Row],[property
tax]])</f>
        <v>0</v>
      </c>
      <c r="I273" s="216">
        <f ca="1">IF(Amortization32[[#This Row],[payment
date]]="",0,Amortization32[[#This Row],[opening
balance]]-Amortization32[[#This Row],[principal]])</f>
        <v>0</v>
      </c>
      <c r="J273" s="217">
        <f ca="1">IF(Amortization32[[#This Row],[closing
balance]]&gt;0,LastRow-ROW(),0)</f>
        <v>0</v>
      </c>
    </row>
    <row r="274" spans="2:10" ht="15" customHeight="1">
      <c r="B274" s="214" t="str">
        <f>IF(SUM(ROWS($B$4:B274))&gt;'Mortgage Calculator'!DurationOfLoan,"",SUM(ROWS($B$4:B274)))</f>
        <v/>
      </c>
      <c r="C274" s="215" t="str">
        <f ca="1">IFERROR(DATE(YEAR('Mortgage Calculator'!LoanStart), MONTH('Mortgage Calculator'!LoanStart) +B274,DAY('Mortgage Calculator'!LoanStart)), "")</f>
        <v/>
      </c>
      <c r="D274" s="216" t="str">
        <f>IFERROR(-FV('Mortgage Calculator'!InterestRate/12,B274-1,-'Mortgage Calculator'!MonthlyLoanPayment,'Mortgage Calculator'!LoanAmount),"")</f>
        <v/>
      </c>
      <c r="E274" s="216">
        <v>0</v>
      </c>
      <c r="F274" s="216" t="s">
        <v>689</v>
      </c>
      <c r="G274" s="216">
        <f ca="1">IF(Amortization32[[#This Row],[payment
date]]="",0,'Mortgage Calculator'!PropertyTaxAmount)</f>
        <v>0</v>
      </c>
      <c r="H274" s="216">
        <f ca="1">IF(Amortization32[[#This Row],[payment
date]]="",0,Amortization32[[#This Row],[interest]]+Amortization32[[#This Row],[principal]]+Amortization32[[#This Row],[property
tax]])</f>
        <v>0</v>
      </c>
      <c r="I274" s="216">
        <f ca="1">IF(Amortization32[[#This Row],[payment
date]]="",0,Amortization32[[#This Row],[opening
balance]]-Amortization32[[#This Row],[principal]])</f>
        <v>0</v>
      </c>
      <c r="J274" s="217">
        <f ca="1">IF(Amortization32[[#This Row],[closing
balance]]&gt;0,LastRow-ROW(),0)</f>
        <v>0</v>
      </c>
    </row>
    <row r="275" spans="2:10" ht="15" customHeight="1">
      <c r="B275" s="214" t="str">
        <f>IF(SUM(ROWS($B$4:B275))&gt;'Mortgage Calculator'!DurationOfLoan,"",SUM(ROWS($B$4:B275)))</f>
        <v/>
      </c>
      <c r="C275" s="215" t="str">
        <f ca="1">IFERROR(DATE(YEAR('Mortgage Calculator'!LoanStart), MONTH('Mortgage Calculator'!LoanStart) +B275,DAY('Mortgage Calculator'!LoanStart)), "")</f>
        <v/>
      </c>
      <c r="D275" s="216" t="str">
        <f>IFERROR(-FV('Mortgage Calculator'!InterestRate/12,B275-1,-'Mortgage Calculator'!MonthlyLoanPayment,'Mortgage Calculator'!LoanAmount),"")</f>
        <v/>
      </c>
      <c r="E275" s="216">
        <v>0</v>
      </c>
      <c r="F275" s="216" t="s">
        <v>689</v>
      </c>
      <c r="G275" s="216">
        <f ca="1">IF(Amortization32[[#This Row],[payment
date]]="",0,'Mortgage Calculator'!PropertyTaxAmount)</f>
        <v>0</v>
      </c>
      <c r="H275" s="216">
        <f ca="1">IF(Amortization32[[#This Row],[payment
date]]="",0,Amortization32[[#This Row],[interest]]+Amortization32[[#This Row],[principal]]+Amortization32[[#This Row],[property
tax]])</f>
        <v>0</v>
      </c>
      <c r="I275" s="216">
        <f ca="1">IF(Amortization32[[#This Row],[payment
date]]="",0,Amortization32[[#This Row],[opening
balance]]-Amortization32[[#This Row],[principal]])</f>
        <v>0</v>
      </c>
      <c r="J275" s="217">
        <f ca="1">IF(Amortization32[[#This Row],[closing
balance]]&gt;0,LastRow-ROW(),0)</f>
        <v>0</v>
      </c>
    </row>
    <row r="276" spans="2:10" ht="15" customHeight="1">
      <c r="B276" s="214" t="str">
        <f>IF(SUM(ROWS($B$4:B276))&gt;'Mortgage Calculator'!DurationOfLoan,"",SUM(ROWS($B$4:B276)))</f>
        <v/>
      </c>
      <c r="C276" s="215" t="str">
        <f ca="1">IFERROR(DATE(YEAR('Mortgage Calculator'!LoanStart), MONTH('Mortgage Calculator'!LoanStart) +B276,DAY('Mortgage Calculator'!LoanStart)), "")</f>
        <v/>
      </c>
      <c r="D276" s="216" t="str">
        <f>IFERROR(-FV('Mortgage Calculator'!InterestRate/12,B276-1,-'Mortgage Calculator'!MonthlyLoanPayment,'Mortgage Calculator'!LoanAmount),"")</f>
        <v/>
      </c>
      <c r="E276" s="216">
        <v>0</v>
      </c>
      <c r="F276" s="216" t="s">
        <v>689</v>
      </c>
      <c r="G276" s="216">
        <f ca="1">IF(Amortization32[[#This Row],[payment
date]]="",0,'Mortgage Calculator'!PropertyTaxAmount)</f>
        <v>0</v>
      </c>
      <c r="H276" s="216">
        <f ca="1">IF(Amortization32[[#This Row],[payment
date]]="",0,Amortization32[[#This Row],[interest]]+Amortization32[[#This Row],[principal]]+Amortization32[[#This Row],[property
tax]])</f>
        <v>0</v>
      </c>
      <c r="I276" s="216">
        <f ca="1">IF(Amortization32[[#This Row],[payment
date]]="",0,Amortization32[[#This Row],[opening
balance]]-Amortization32[[#This Row],[principal]])</f>
        <v>0</v>
      </c>
      <c r="J276" s="217">
        <f ca="1">IF(Amortization32[[#This Row],[closing
balance]]&gt;0,LastRow-ROW(),0)</f>
        <v>0</v>
      </c>
    </row>
    <row r="277" spans="2:10" ht="15" customHeight="1">
      <c r="B277" s="214" t="str">
        <f>IF(SUM(ROWS($B$4:B277))&gt;'Mortgage Calculator'!DurationOfLoan,"",SUM(ROWS($B$4:B277)))</f>
        <v/>
      </c>
      <c r="C277" s="215" t="str">
        <f ca="1">IFERROR(DATE(YEAR('Mortgage Calculator'!LoanStart), MONTH('Mortgage Calculator'!LoanStart) +B277,DAY('Mortgage Calculator'!LoanStart)), "")</f>
        <v/>
      </c>
      <c r="D277" s="216" t="str">
        <f>IFERROR(-FV('Mortgage Calculator'!InterestRate/12,B277-1,-'Mortgage Calculator'!MonthlyLoanPayment,'Mortgage Calculator'!LoanAmount),"")</f>
        <v/>
      </c>
      <c r="E277" s="216">
        <v>0</v>
      </c>
      <c r="F277" s="216" t="s">
        <v>689</v>
      </c>
      <c r="G277" s="216">
        <f ca="1">IF(Amortization32[[#This Row],[payment
date]]="",0,'Mortgage Calculator'!PropertyTaxAmount)</f>
        <v>0</v>
      </c>
      <c r="H277" s="216">
        <f ca="1">IF(Amortization32[[#This Row],[payment
date]]="",0,Amortization32[[#This Row],[interest]]+Amortization32[[#This Row],[principal]]+Amortization32[[#This Row],[property
tax]])</f>
        <v>0</v>
      </c>
      <c r="I277" s="216">
        <f ca="1">IF(Amortization32[[#This Row],[payment
date]]="",0,Amortization32[[#This Row],[opening
balance]]-Amortization32[[#This Row],[principal]])</f>
        <v>0</v>
      </c>
      <c r="J277" s="217">
        <f ca="1">IF(Amortization32[[#This Row],[closing
balance]]&gt;0,LastRow-ROW(),0)</f>
        <v>0</v>
      </c>
    </row>
    <row r="278" spans="2:10" ht="15" customHeight="1">
      <c r="B278" s="214" t="str">
        <f>IF(SUM(ROWS($B$4:B278))&gt;'Mortgage Calculator'!DurationOfLoan,"",SUM(ROWS($B$4:B278)))</f>
        <v/>
      </c>
      <c r="C278" s="215" t="str">
        <f ca="1">IFERROR(DATE(YEAR('Mortgage Calculator'!LoanStart), MONTH('Mortgage Calculator'!LoanStart) +B278,DAY('Mortgage Calculator'!LoanStart)), "")</f>
        <v/>
      </c>
      <c r="D278" s="216" t="str">
        <f>IFERROR(-FV('Mortgage Calculator'!InterestRate/12,B278-1,-'Mortgage Calculator'!MonthlyLoanPayment,'Mortgage Calculator'!LoanAmount),"")</f>
        <v/>
      </c>
      <c r="E278" s="216">
        <v>0</v>
      </c>
      <c r="F278" s="216" t="s">
        <v>689</v>
      </c>
      <c r="G278" s="216">
        <f ca="1">IF(Amortization32[[#This Row],[payment
date]]="",0,'Mortgage Calculator'!PropertyTaxAmount)</f>
        <v>0</v>
      </c>
      <c r="H278" s="216">
        <f ca="1">IF(Amortization32[[#This Row],[payment
date]]="",0,Amortization32[[#This Row],[interest]]+Amortization32[[#This Row],[principal]]+Amortization32[[#This Row],[property
tax]])</f>
        <v>0</v>
      </c>
      <c r="I278" s="216">
        <f ca="1">IF(Amortization32[[#This Row],[payment
date]]="",0,Amortization32[[#This Row],[opening
balance]]-Amortization32[[#This Row],[principal]])</f>
        <v>0</v>
      </c>
      <c r="J278" s="217">
        <f ca="1">IF(Amortization32[[#This Row],[closing
balance]]&gt;0,LastRow-ROW(),0)</f>
        <v>0</v>
      </c>
    </row>
    <row r="279" spans="2:10" ht="15" customHeight="1">
      <c r="B279" s="214" t="str">
        <f>IF(SUM(ROWS($B$4:B279))&gt;'Mortgage Calculator'!DurationOfLoan,"",SUM(ROWS($B$4:B279)))</f>
        <v/>
      </c>
      <c r="C279" s="215" t="str">
        <f ca="1">IFERROR(DATE(YEAR('Mortgage Calculator'!LoanStart), MONTH('Mortgage Calculator'!LoanStart) +B279,DAY('Mortgage Calculator'!LoanStart)), "")</f>
        <v/>
      </c>
      <c r="D279" s="216" t="str">
        <f>IFERROR(-FV('Mortgage Calculator'!InterestRate/12,B279-1,-'Mortgage Calculator'!MonthlyLoanPayment,'Mortgage Calculator'!LoanAmount),"")</f>
        <v/>
      </c>
      <c r="E279" s="216">
        <v>0</v>
      </c>
      <c r="F279" s="216" t="s">
        <v>689</v>
      </c>
      <c r="G279" s="216">
        <f ca="1">IF(Amortization32[[#This Row],[payment
date]]="",0,'Mortgage Calculator'!PropertyTaxAmount)</f>
        <v>0</v>
      </c>
      <c r="H279" s="216">
        <f ca="1">IF(Amortization32[[#This Row],[payment
date]]="",0,Amortization32[[#This Row],[interest]]+Amortization32[[#This Row],[principal]]+Amortization32[[#This Row],[property
tax]])</f>
        <v>0</v>
      </c>
      <c r="I279" s="216">
        <f ca="1">IF(Amortization32[[#This Row],[payment
date]]="",0,Amortization32[[#This Row],[opening
balance]]-Amortization32[[#This Row],[principal]])</f>
        <v>0</v>
      </c>
      <c r="J279" s="217">
        <f ca="1">IF(Amortization32[[#This Row],[closing
balance]]&gt;0,LastRow-ROW(),0)</f>
        <v>0</v>
      </c>
    </row>
    <row r="280" spans="2:10" ht="15" customHeight="1">
      <c r="B280" s="214" t="str">
        <f>IF(SUM(ROWS($B$4:B280))&gt;'Mortgage Calculator'!DurationOfLoan,"",SUM(ROWS($B$4:B280)))</f>
        <v/>
      </c>
      <c r="C280" s="215" t="str">
        <f ca="1">IFERROR(DATE(YEAR('Mortgage Calculator'!LoanStart), MONTH('Mortgage Calculator'!LoanStart) +B280,DAY('Mortgage Calculator'!LoanStart)), "")</f>
        <v/>
      </c>
      <c r="D280" s="216" t="str">
        <f>IFERROR(-FV('Mortgage Calculator'!InterestRate/12,B280-1,-'Mortgage Calculator'!MonthlyLoanPayment,'Mortgage Calculator'!LoanAmount),"")</f>
        <v/>
      </c>
      <c r="E280" s="216">
        <v>0</v>
      </c>
      <c r="F280" s="216" t="s">
        <v>689</v>
      </c>
      <c r="G280" s="216">
        <f ca="1">IF(Amortization32[[#This Row],[payment
date]]="",0,'Mortgage Calculator'!PropertyTaxAmount)</f>
        <v>0</v>
      </c>
      <c r="H280" s="216">
        <f ca="1">IF(Amortization32[[#This Row],[payment
date]]="",0,Amortization32[[#This Row],[interest]]+Amortization32[[#This Row],[principal]]+Amortization32[[#This Row],[property
tax]])</f>
        <v>0</v>
      </c>
      <c r="I280" s="216">
        <f ca="1">IF(Amortization32[[#This Row],[payment
date]]="",0,Amortization32[[#This Row],[opening
balance]]-Amortization32[[#This Row],[principal]])</f>
        <v>0</v>
      </c>
      <c r="J280" s="217">
        <f ca="1">IF(Amortization32[[#This Row],[closing
balance]]&gt;0,LastRow-ROW(),0)</f>
        <v>0</v>
      </c>
    </row>
    <row r="281" spans="2:10" ht="15" customHeight="1">
      <c r="B281" s="214" t="str">
        <f>IF(SUM(ROWS($B$4:B281))&gt;'Mortgage Calculator'!DurationOfLoan,"",SUM(ROWS($B$4:B281)))</f>
        <v/>
      </c>
      <c r="C281" s="215" t="str">
        <f ca="1">IFERROR(DATE(YEAR('Mortgage Calculator'!LoanStart), MONTH('Mortgage Calculator'!LoanStart) +B281,DAY('Mortgage Calculator'!LoanStart)), "")</f>
        <v/>
      </c>
      <c r="D281" s="216" t="str">
        <f>IFERROR(-FV('Mortgage Calculator'!InterestRate/12,B281-1,-'Mortgage Calculator'!MonthlyLoanPayment,'Mortgage Calculator'!LoanAmount),"")</f>
        <v/>
      </c>
      <c r="E281" s="216">
        <v>0</v>
      </c>
      <c r="F281" s="216" t="s">
        <v>689</v>
      </c>
      <c r="G281" s="216">
        <f ca="1">IF(Amortization32[[#This Row],[payment
date]]="",0,'Mortgage Calculator'!PropertyTaxAmount)</f>
        <v>0</v>
      </c>
      <c r="H281" s="216">
        <f ca="1">IF(Amortization32[[#This Row],[payment
date]]="",0,Amortization32[[#This Row],[interest]]+Amortization32[[#This Row],[principal]]+Amortization32[[#This Row],[property
tax]])</f>
        <v>0</v>
      </c>
      <c r="I281" s="216">
        <f ca="1">IF(Amortization32[[#This Row],[payment
date]]="",0,Amortization32[[#This Row],[opening
balance]]-Amortization32[[#This Row],[principal]])</f>
        <v>0</v>
      </c>
      <c r="J281" s="217">
        <f ca="1">IF(Amortization32[[#This Row],[closing
balance]]&gt;0,LastRow-ROW(),0)</f>
        <v>0</v>
      </c>
    </row>
    <row r="282" spans="2:10" ht="15" customHeight="1">
      <c r="B282" s="214" t="str">
        <f>IF(SUM(ROWS($B$4:B282))&gt;'Mortgage Calculator'!DurationOfLoan,"",SUM(ROWS($B$4:B282)))</f>
        <v/>
      </c>
      <c r="C282" s="215" t="str">
        <f ca="1">IFERROR(DATE(YEAR('Mortgage Calculator'!LoanStart), MONTH('Mortgage Calculator'!LoanStart) +B282,DAY('Mortgage Calculator'!LoanStart)), "")</f>
        <v/>
      </c>
      <c r="D282" s="216" t="str">
        <f>IFERROR(-FV('Mortgage Calculator'!InterestRate/12,B282-1,-'Mortgage Calculator'!MonthlyLoanPayment,'Mortgage Calculator'!LoanAmount),"")</f>
        <v/>
      </c>
      <c r="E282" s="216">
        <v>0</v>
      </c>
      <c r="F282" s="216" t="s">
        <v>689</v>
      </c>
      <c r="G282" s="216">
        <f ca="1">IF(Amortization32[[#This Row],[payment
date]]="",0,'Mortgage Calculator'!PropertyTaxAmount)</f>
        <v>0</v>
      </c>
      <c r="H282" s="216">
        <f ca="1">IF(Amortization32[[#This Row],[payment
date]]="",0,Amortization32[[#This Row],[interest]]+Amortization32[[#This Row],[principal]]+Amortization32[[#This Row],[property
tax]])</f>
        <v>0</v>
      </c>
      <c r="I282" s="216">
        <f ca="1">IF(Amortization32[[#This Row],[payment
date]]="",0,Amortization32[[#This Row],[opening
balance]]-Amortization32[[#This Row],[principal]])</f>
        <v>0</v>
      </c>
      <c r="J282" s="217">
        <f ca="1">IF(Amortization32[[#This Row],[closing
balance]]&gt;0,LastRow-ROW(),0)</f>
        <v>0</v>
      </c>
    </row>
    <row r="283" spans="2:10" ht="15" customHeight="1">
      <c r="B283" s="214" t="str">
        <f>IF(SUM(ROWS($B$4:B283))&gt;'Mortgage Calculator'!DurationOfLoan,"",SUM(ROWS($B$4:B283)))</f>
        <v/>
      </c>
      <c r="C283" s="215" t="str">
        <f ca="1">IFERROR(DATE(YEAR('Mortgage Calculator'!LoanStart), MONTH('Mortgage Calculator'!LoanStart) +B283,DAY('Mortgage Calculator'!LoanStart)), "")</f>
        <v/>
      </c>
      <c r="D283" s="216" t="str">
        <f>IFERROR(-FV('Mortgage Calculator'!InterestRate/12,B283-1,-'Mortgage Calculator'!MonthlyLoanPayment,'Mortgage Calculator'!LoanAmount),"")</f>
        <v/>
      </c>
      <c r="E283" s="216">
        <v>0</v>
      </c>
      <c r="F283" s="216" t="s">
        <v>689</v>
      </c>
      <c r="G283" s="216">
        <f ca="1">IF(Amortization32[[#This Row],[payment
date]]="",0,'Mortgage Calculator'!PropertyTaxAmount)</f>
        <v>0</v>
      </c>
      <c r="H283" s="216">
        <f ca="1">IF(Amortization32[[#This Row],[payment
date]]="",0,Amortization32[[#This Row],[interest]]+Amortization32[[#This Row],[principal]]+Amortization32[[#This Row],[property
tax]])</f>
        <v>0</v>
      </c>
      <c r="I283" s="216">
        <f ca="1">IF(Amortization32[[#This Row],[payment
date]]="",0,Amortization32[[#This Row],[opening
balance]]-Amortization32[[#This Row],[principal]])</f>
        <v>0</v>
      </c>
      <c r="J283" s="217">
        <f ca="1">IF(Amortization32[[#This Row],[closing
balance]]&gt;0,LastRow-ROW(),0)</f>
        <v>0</v>
      </c>
    </row>
    <row r="284" spans="2:10" ht="15" customHeight="1">
      <c r="B284" s="214" t="str">
        <f>IF(SUM(ROWS($B$4:B284))&gt;'Mortgage Calculator'!DurationOfLoan,"",SUM(ROWS($B$4:B284)))</f>
        <v/>
      </c>
      <c r="C284" s="215" t="str">
        <f ca="1">IFERROR(DATE(YEAR('Mortgage Calculator'!LoanStart), MONTH('Mortgage Calculator'!LoanStart) +B284,DAY('Mortgage Calculator'!LoanStart)), "")</f>
        <v/>
      </c>
      <c r="D284" s="216" t="str">
        <f>IFERROR(-FV('Mortgage Calculator'!InterestRate/12,B284-1,-'Mortgage Calculator'!MonthlyLoanPayment,'Mortgage Calculator'!LoanAmount),"")</f>
        <v/>
      </c>
      <c r="E284" s="216">
        <v>0</v>
      </c>
      <c r="F284" s="216" t="s">
        <v>689</v>
      </c>
      <c r="G284" s="216">
        <f ca="1">IF(Amortization32[[#This Row],[payment
date]]="",0,'Mortgage Calculator'!PropertyTaxAmount)</f>
        <v>0</v>
      </c>
      <c r="H284" s="216">
        <f ca="1">IF(Amortization32[[#This Row],[payment
date]]="",0,Amortization32[[#This Row],[interest]]+Amortization32[[#This Row],[principal]]+Amortization32[[#This Row],[property
tax]])</f>
        <v>0</v>
      </c>
      <c r="I284" s="216">
        <f ca="1">IF(Amortization32[[#This Row],[payment
date]]="",0,Amortization32[[#This Row],[opening
balance]]-Amortization32[[#This Row],[principal]])</f>
        <v>0</v>
      </c>
      <c r="J284" s="217">
        <f ca="1">IF(Amortization32[[#This Row],[closing
balance]]&gt;0,LastRow-ROW(),0)</f>
        <v>0</v>
      </c>
    </row>
    <row r="285" spans="2:10" ht="15" customHeight="1">
      <c r="B285" s="214" t="str">
        <f>IF(SUM(ROWS($B$4:B285))&gt;'Mortgage Calculator'!DurationOfLoan,"",SUM(ROWS($B$4:B285)))</f>
        <v/>
      </c>
      <c r="C285" s="215" t="str">
        <f ca="1">IFERROR(DATE(YEAR('Mortgage Calculator'!LoanStart), MONTH('Mortgage Calculator'!LoanStart) +B285,DAY('Mortgage Calculator'!LoanStart)), "")</f>
        <v/>
      </c>
      <c r="D285" s="216" t="str">
        <f>IFERROR(-FV('Mortgage Calculator'!InterestRate/12,B285-1,-'Mortgage Calculator'!MonthlyLoanPayment,'Mortgage Calculator'!LoanAmount),"")</f>
        <v/>
      </c>
      <c r="E285" s="216">
        <v>0</v>
      </c>
      <c r="F285" s="216" t="s">
        <v>689</v>
      </c>
      <c r="G285" s="216">
        <f ca="1">IF(Amortization32[[#This Row],[payment
date]]="",0,'Mortgage Calculator'!PropertyTaxAmount)</f>
        <v>0</v>
      </c>
      <c r="H285" s="216">
        <f ca="1">IF(Amortization32[[#This Row],[payment
date]]="",0,Amortization32[[#This Row],[interest]]+Amortization32[[#This Row],[principal]]+Amortization32[[#This Row],[property
tax]])</f>
        <v>0</v>
      </c>
      <c r="I285" s="216">
        <f ca="1">IF(Amortization32[[#This Row],[payment
date]]="",0,Amortization32[[#This Row],[opening
balance]]-Amortization32[[#This Row],[principal]])</f>
        <v>0</v>
      </c>
      <c r="J285" s="217">
        <f ca="1">IF(Amortization32[[#This Row],[closing
balance]]&gt;0,LastRow-ROW(),0)</f>
        <v>0</v>
      </c>
    </row>
    <row r="286" spans="2:10" ht="15" customHeight="1">
      <c r="B286" s="214" t="str">
        <f>IF(SUM(ROWS($B$4:B286))&gt;'Mortgage Calculator'!DurationOfLoan,"",SUM(ROWS($B$4:B286)))</f>
        <v/>
      </c>
      <c r="C286" s="215" t="str">
        <f ca="1">IFERROR(DATE(YEAR('Mortgage Calculator'!LoanStart), MONTH('Mortgage Calculator'!LoanStart) +B286,DAY('Mortgage Calculator'!LoanStart)), "")</f>
        <v/>
      </c>
      <c r="D286" s="216" t="str">
        <f>IFERROR(-FV('Mortgage Calculator'!InterestRate/12,B286-1,-'Mortgage Calculator'!MonthlyLoanPayment,'Mortgage Calculator'!LoanAmount),"")</f>
        <v/>
      </c>
      <c r="E286" s="216">
        <v>0</v>
      </c>
      <c r="F286" s="216" t="s">
        <v>689</v>
      </c>
      <c r="G286" s="216">
        <f ca="1">IF(Amortization32[[#This Row],[payment
date]]="",0,'Mortgage Calculator'!PropertyTaxAmount)</f>
        <v>0</v>
      </c>
      <c r="H286" s="216">
        <f ca="1">IF(Amortization32[[#This Row],[payment
date]]="",0,Amortization32[[#This Row],[interest]]+Amortization32[[#This Row],[principal]]+Amortization32[[#This Row],[property
tax]])</f>
        <v>0</v>
      </c>
      <c r="I286" s="216">
        <f ca="1">IF(Amortization32[[#This Row],[payment
date]]="",0,Amortization32[[#This Row],[opening
balance]]-Amortization32[[#This Row],[principal]])</f>
        <v>0</v>
      </c>
      <c r="J286" s="217">
        <f ca="1">IF(Amortization32[[#This Row],[closing
balance]]&gt;0,LastRow-ROW(),0)</f>
        <v>0</v>
      </c>
    </row>
    <row r="287" spans="2:10" ht="15" customHeight="1">
      <c r="B287" s="214" t="str">
        <f>IF(SUM(ROWS($B$4:B287))&gt;'Mortgage Calculator'!DurationOfLoan,"",SUM(ROWS($B$4:B287)))</f>
        <v/>
      </c>
      <c r="C287" s="215" t="str">
        <f ca="1">IFERROR(DATE(YEAR('Mortgage Calculator'!LoanStart), MONTH('Mortgage Calculator'!LoanStart) +B287,DAY('Mortgage Calculator'!LoanStart)), "")</f>
        <v/>
      </c>
      <c r="D287" s="216" t="str">
        <f>IFERROR(-FV('Mortgage Calculator'!InterestRate/12,B287-1,-'Mortgage Calculator'!MonthlyLoanPayment,'Mortgage Calculator'!LoanAmount),"")</f>
        <v/>
      </c>
      <c r="E287" s="216">
        <v>0</v>
      </c>
      <c r="F287" s="216" t="s">
        <v>689</v>
      </c>
      <c r="G287" s="216">
        <f ca="1">IF(Amortization32[[#This Row],[payment
date]]="",0,'Mortgage Calculator'!PropertyTaxAmount)</f>
        <v>0</v>
      </c>
      <c r="H287" s="216">
        <f ca="1">IF(Amortization32[[#This Row],[payment
date]]="",0,Amortization32[[#This Row],[interest]]+Amortization32[[#This Row],[principal]]+Amortization32[[#This Row],[property
tax]])</f>
        <v>0</v>
      </c>
      <c r="I287" s="216">
        <f ca="1">IF(Amortization32[[#This Row],[payment
date]]="",0,Amortization32[[#This Row],[opening
balance]]-Amortization32[[#This Row],[principal]])</f>
        <v>0</v>
      </c>
      <c r="J287" s="217">
        <f ca="1">IF(Amortization32[[#This Row],[closing
balance]]&gt;0,LastRow-ROW(),0)</f>
        <v>0</v>
      </c>
    </row>
    <row r="288" spans="2:10" ht="15" customHeight="1">
      <c r="B288" s="214" t="str">
        <f>IF(SUM(ROWS($B$4:B288))&gt;'Mortgage Calculator'!DurationOfLoan,"",SUM(ROWS($B$4:B288)))</f>
        <v/>
      </c>
      <c r="C288" s="215" t="str">
        <f ca="1">IFERROR(DATE(YEAR('Mortgage Calculator'!LoanStart), MONTH('Mortgage Calculator'!LoanStart) +B288,DAY('Mortgage Calculator'!LoanStart)), "")</f>
        <v/>
      </c>
      <c r="D288" s="216" t="str">
        <f>IFERROR(-FV('Mortgage Calculator'!InterestRate/12,B288-1,-'Mortgage Calculator'!MonthlyLoanPayment,'Mortgage Calculator'!LoanAmount),"")</f>
        <v/>
      </c>
      <c r="E288" s="216">
        <v>0</v>
      </c>
      <c r="F288" s="216" t="s">
        <v>689</v>
      </c>
      <c r="G288" s="216">
        <f ca="1">IF(Amortization32[[#This Row],[payment
date]]="",0,'Mortgage Calculator'!PropertyTaxAmount)</f>
        <v>0</v>
      </c>
      <c r="H288" s="216">
        <f ca="1">IF(Amortization32[[#This Row],[payment
date]]="",0,Amortization32[[#This Row],[interest]]+Amortization32[[#This Row],[principal]]+Amortization32[[#This Row],[property
tax]])</f>
        <v>0</v>
      </c>
      <c r="I288" s="216">
        <f ca="1">IF(Amortization32[[#This Row],[payment
date]]="",0,Amortization32[[#This Row],[opening
balance]]-Amortization32[[#This Row],[principal]])</f>
        <v>0</v>
      </c>
      <c r="J288" s="217">
        <f ca="1">IF(Amortization32[[#This Row],[closing
balance]]&gt;0,LastRow-ROW(),0)</f>
        <v>0</v>
      </c>
    </row>
    <row r="289" spans="2:10" ht="15" customHeight="1">
      <c r="B289" s="214" t="str">
        <f>IF(SUM(ROWS($B$4:B289))&gt;'Mortgage Calculator'!DurationOfLoan,"",SUM(ROWS($B$4:B289)))</f>
        <v/>
      </c>
      <c r="C289" s="215" t="str">
        <f ca="1">IFERROR(DATE(YEAR('Mortgage Calculator'!LoanStart), MONTH('Mortgage Calculator'!LoanStart) +B289,DAY('Mortgage Calculator'!LoanStart)), "")</f>
        <v/>
      </c>
      <c r="D289" s="216" t="str">
        <f>IFERROR(-FV('Mortgage Calculator'!InterestRate/12,B289-1,-'Mortgage Calculator'!MonthlyLoanPayment,'Mortgage Calculator'!LoanAmount),"")</f>
        <v/>
      </c>
      <c r="E289" s="216">
        <v>0</v>
      </c>
      <c r="F289" s="216" t="s">
        <v>689</v>
      </c>
      <c r="G289" s="216">
        <f ca="1">IF(Amortization32[[#This Row],[payment
date]]="",0,'Mortgage Calculator'!PropertyTaxAmount)</f>
        <v>0</v>
      </c>
      <c r="H289" s="216">
        <f ca="1">IF(Amortization32[[#This Row],[payment
date]]="",0,Amortization32[[#This Row],[interest]]+Amortization32[[#This Row],[principal]]+Amortization32[[#This Row],[property
tax]])</f>
        <v>0</v>
      </c>
      <c r="I289" s="216">
        <f ca="1">IF(Amortization32[[#This Row],[payment
date]]="",0,Amortization32[[#This Row],[opening
balance]]-Amortization32[[#This Row],[principal]])</f>
        <v>0</v>
      </c>
      <c r="J289" s="217">
        <f ca="1">IF(Amortization32[[#This Row],[closing
balance]]&gt;0,LastRow-ROW(),0)</f>
        <v>0</v>
      </c>
    </row>
    <row r="290" spans="2:10" ht="15" customHeight="1">
      <c r="B290" s="214" t="str">
        <f>IF(SUM(ROWS($B$4:B290))&gt;'Mortgage Calculator'!DurationOfLoan,"",SUM(ROWS($B$4:B290)))</f>
        <v/>
      </c>
      <c r="C290" s="215" t="str">
        <f ca="1">IFERROR(DATE(YEAR('Mortgage Calculator'!LoanStart), MONTH('Mortgage Calculator'!LoanStart) +B290,DAY('Mortgage Calculator'!LoanStart)), "")</f>
        <v/>
      </c>
      <c r="D290" s="216" t="str">
        <f>IFERROR(-FV('Mortgage Calculator'!InterestRate/12,B290-1,-'Mortgage Calculator'!MonthlyLoanPayment,'Mortgage Calculator'!LoanAmount),"")</f>
        <v/>
      </c>
      <c r="E290" s="216">
        <v>0</v>
      </c>
      <c r="F290" s="216" t="s">
        <v>689</v>
      </c>
      <c r="G290" s="216">
        <f ca="1">IF(Amortization32[[#This Row],[payment
date]]="",0,'Mortgage Calculator'!PropertyTaxAmount)</f>
        <v>0</v>
      </c>
      <c r="H290" s="216">
        <f ca="1">IF(Amortization32[[#This Row],[payment
date]]="",0,Amortization32[[#This Row],[interest]]+Amortization32[[#This Row],[principal]]+Amortization32[[#This Row],[property
tax]])</f>
        <v>0</v>
      </c>
      <c r="I290" s="216">
        <f ca="1">IF(Amortization32[[#This Row],[payment
date]]="",0,Amortization32[[#This Row],[opening
balance]]-Amortization32[[#This Row],[principal]])</f>
        <v>0</v>
      </c>
      <c r="J290" s="217">
        <f ca="1">IF(Amortization32[[#This Row],[closing
balance]]&gt;0,LastRow-ROW(),0)</f>
        <v>0</v>
      </c>
    </row>
    <row r="291" spans="2:10" ht="15" customHeight="1">
      <c r="B291" s="214" t="str">
        <f>IF(SUM(ROWS($B$4:B291))&gt;'Mortgage Calculator'!DurationOfLoan,"",SUM(ROWS($B$4:B291)))</f>
        <v/>
      </c>
      <c r="C291" s="215" t="str">
        <f ca="1">IFERROR(DATE(YEAR('Mortgage Calculator'!LoanStart), MONTH('Mortgage Calculator'!LoanStart) +B291,DAY('Mortgage Calculator'!LoanStart)), "")</f>
        <v/>
      </c>
      <c r="D291" s="216" t="str">
        <f>IFERROR(-FV('Mortgage Calculator'!InterestRate/12,B291-1,-'Mortgage Calculator'!MonthlyLoanPayment,'Mortgage Calculator'!LoanAmount),"")</f>
        <v/>
      </c>
      <c r="E291" s="216">
        <v>0</v>
      </c>
      <c r="F291" s="216" t="s">
        <v>689</v>
      </c>
      <c r="G291" s="216">
        <f ca="1">IF(Amortization32[[#This Row],[payment
date]]="",0,'Mortgage Calculator'!PropertyTaxAmount)</f>
        <v>0</v>
      </c>
      <c r="H291" s="216">
        <f ca="1">IF(Amortization32[[#This Row],[payment
date]]="",0,Amortization32[[#This Row],[interest]]+Amortization32[[#This Row],[principal]]+Amortization32[[#This Row],[property
tax]])</f>
        <v>0</v>
      </c>
      <c r="I291" s="216">
        <f ca="1">IF(Amortization32[[#This Row],[payment
date]]="",0,Amortization32[[#This Row],[opening
balance]]-Amortization32[[#This Row],[principal]])</f>
        <v>0</v>
      </c>
      <c r="J291" s="217">
        <f ca="1">IF(Amortization32[[#This Row],[closing
balance]]&gt;0,LastRow-ROW(),0)</f>
        <v>0</v>
      </c>
    </row>
    <row r="292" spans="2:10" ht="15" customHeight="1">
      <c r="B292" s="214" t="str">
        <f>IF(SUM(ROWS($B$4:B292))&gt;'Mortgage Calculator'!DurationOfLoan,"",SUM(ROWS($B$4:B292)))</f>
        <v/>
      </c>
      <c r="C292" s="215" t="str">
        <f ca="1">IFERROR(DATE(YEAR('Mortgage Calculator'!LoanStart), MONTH('Mortgage Calculator'!LoanStart) +B292,DAY('Mortgage Calculator'!LoanStart)), "")</f>
        <v/>
      </c>
      <c r="D292" s="216" t="str">
        <f>IFERROR(-FV('Mortgage Calculator'!InterestRate/12,B292-1,-'Mortgage Calculator'!MonthlyLoanPayment,'Mortgage Calculator'!LoanAmount),"")</f>
        <v/>
      </c>
      <c r="E292" s="216">
        <v>0</v>
      </c>
      <c r="F292" s="216" t="s">
        <v>689</v>
      </c>
      <c r="G292" s="216">
        <f ca="1">IF(Amortization32[[#This Row],[payment
date]]="",0,'Mortgage Calculator'!PropertyTaxAmount)</f>
        <v>0</v>
      </c>
      <c r="H292" s="216">
        <f ca="1">IF(Amortization32[[#This Row],[payment
date]]="",0,Amortization32[[#This Row],[interest]]+Amortization32[[#This Row],[principal]]+Amortization32[[#This Row],[property
tax]])</f>
        <v>0</v>
      </c>
      <c r="I292" s="216">
        <f ca="1">IF(Amortization32[[#This Row],[payment
date]]="",0,Amortization32[[#This Row],[opening
balance]]-Amortization32[[#This Row],[principal]])</f>
        <v>0</v>
      </c>
      <c r="J292" s="217">
        <f ca="1">IF(Amortization32[[#This Row],[closing
balance]]&gt;0,LastRow-ROW(),0)</f>
        <v>0</v>
      </c>
    </row>
    <row r="293" spans="2:10" ht="15" customHeight="1">
      <c r="B293" s="214" t="str">
        <f>IF(SUM(ROWS($B$4:B293))&gt;'Mortgage Calculator'!DurationOfLoan,"",SUM(ROWS($B$4:B293)))</f>
        <v/>
      </c>
      <c r="C293" s="215" t="str">
        <f ca="1">IFERROR(DATE(YEAR('Mortgage Calculator'!LoanStart), MONTH('Mortgage Calculator'!LoanStart) +B293,DAY('Mortgage Calculator'!LoanStart)), "")</f>
        <v/>
      </c>
      <c r="D293" s="216" t="str">
        <f>IFERROR(-FV('Mortgage Calculator'!InterestRate/12,B293-1,-'Mortgage Calculator'!MonthlyLoanPayment,'Mortgage Calculator'!LoanAmount),"")</f>
        <v/>
      </c>
      <c r="E293" s="216">
        <v>0</v>
      </c>
      <c r="F293" s="216" t="s">
        <v>689</v>
      </c>
      <c r="G293" s="216">
        <f ca="1">IF(Amortization32[[#This Row],[payment
date]]="",0,'Mortgage Calculator'!PropertyTaxAmount)</f>
        <v>0</v>
      </c>
      <c r="H293" s="216">
        <f ca="1">IF(Amortization32[[#This Row],[payment
date]]="",0,Amortization32[[#This Row],[interest]]+Amortization32[[#This Row],[principal]]+Amortization32[[#This Row],[property
tax]])</f>
        <v>0</v>
      </c>
      <c r="I293" s="216">
        <f ca="1">IF(Amortization32[[#This Row],[payment
date]]="",0,Amortization32[[#This Row],[opening
balance]]-Amortization32[[#This Row],[principal]])</f>
        <v>0</v>
      </c>
      <c r="J293" s="217">
        <f ca="1">IF(Amortization32[[#This Row],[closing
balance]]&gt;0,LastRow-ROW(),0)</f>
        <v>0</v>
      </c>
    </row>
    <row r="294" spans="2:10" ht="15" customHeight="1">
      <c r="B294" s="214" t="str">
        <f>IF(SUM(ROWS($B$4:B294))&gt;'Mortgage Calculator'!DurationOfLoan,"",SUM(ROWS($B$4:B294)))</f>
        <v/>
      </c>
      <c r="C294" s="215" t="str">
        <f ca="1">IFERROR(DATE(YEAR('Mortgage Calculator'!LoanStart), MONTH('Mortgage Calculator'!LoanStart) +B294,DAY('Mortgage Calculator'!LoanStart)), "")</f>
        <v/>
      </c>
      <c r="D294" s="216" t="str">
        <f>IFERROR(-FV('Mortgage Calculator'!InterestRate/12,B294-1,-'Mortgage Calculator'!MonthlyLoanPayment,'Mortgage Calculator'!LoanAmount),"")</f>
        <v/>
      </c>
      <c r="E294" s="216">
        <v>0</v>
      </c>
      <c r="F294" s="216" t="s">
        <v>689</v>
      </c>
      <c r="G294" s="216">
        <f ca="1">IF(Amortization32[[#This Row],[payment
date]]="",0,'Mortgage Calculator'!PropertyTaxAmount)</f>
        <v>0</v>
      </c>
      <c r="H294" s="216">
        <f ca="1">IF(Amortization32[[#This Row],[payment
date]]="",0,Amortization32[[#This Row],[interest]]+Amortization32[[#This Row],[principal]]+Amortization32[[#This Row],[property
tax]])</f>
        <v>0</v>
      </c>
      <c r="I294" s="216">
        <f ca="1">IF(Amortization32[[#This Row],[payment
date]]="",0,Amortization32[[#This Row],[opening
balance]]-Amortization32[[#This Row],[principal]])</f>
        <v>0</v>
      </c>
      <c r="J294" s="217">
        <f ca="1">IF(Amortization32[[#This Row],[closing
balance]]&gt;0,LastRow-ROW(),0)</f>
        <v>0</v>
      </c>
    </row>
    <row r="295" spans="2:10" ht="15" customHeight="1">
      <c r="B295" s="214" t="str">
        <f>IF(SUM(ROWS($B$4:B295))&gt;'Mortgage Calculator'!DurationOfLoan,"",SUM(ROWS($B$4:B295)))</f>
        <v/>
      </c>
      <c r="C295" s="215" t="str">
        <f ca="1">IFERROR(DATE(YEAR('Mortgage Calculator'!LoanStart), MONTH('Mortgage Calculator'!LoanStart) +B295,DAY('Mortgage Calculator'!LoanStart)), "")</f>
        <v/>
      </c>
      <c r="D295" s="216" t="str">
        <f>IFERROR(-FV('Mortgage Calculator'!InterestRate/12,B295-1,-'Mortgage Calculator'!MonthlyLoanPayment,'Mortgage Calculator'!LoanAmount),"")</f>
        <v/>
      </c>
      <c r="E295" s="216">
        <v>0</v>
      </c>
      <c r="F295" s="216" t="s">
        <v>689</v>
      </c>
      <c r="G295" s="216">
        <f ca="1">IF(Amortization32[[#This Row],[payment
date]]="",0,'Mortgage Calculator'!PropertyTaxAmount)</f>
        <v>0</v>
      </c>
      <c r="H295" s="216">
        <f ca="1">IF(Amortization32[[#This Row],[payment
date]]="",0,Amortization32[[#This Row],[interest]]+Amortization32[[#This Row],[principal]]+Amortization32[[#This Row],[property
tax]])</f>
        <v>0</v>
      </c>
      <c r="I295" s="216">
        <f ca="1">IF(Amortization32[[#This Row],[payment
date]]="",0,Amortization32[[#This Row],[opening
balance]]-Amortization32[[#This Row],[principal]])</f>
        <v>0</v>
      </c>
      <c r="J295" s="217">
        <f ca="1">IF(Amortization32[[#This Row],[closing
balance]]&gt;0,LastRow-ROW(),0)</f>
        <v>0</v>
      </c>
    </row>
    <row r="296" spans="2:10" ht="15" customHeight="1">
      <c r="B296" s="214" t="str">
        <f>IF(SUM(ROWS($B$4:B296))&gt;'Mortgage Calculator'!DurationOfLoan,"",SUM(ROWS($B$4:B296)))</f>
        <v/>
      </c>
      <c r="C296" s="215" t="str">
        <f ca="1">IFERROR(DATE(YEAR('Mortgage Calculator'!LoanStart), MONTH('Mortgage Calculator'!LoanStart) +B296,DAY('Mortgage Calculator'!LoanStart)), "")</f>
        <v/>
      </c>
      <c r="D296" s="216" t="str">
        <f>IFERROR(-FV('Mortgage Calculator'!InterestRate/12,B296-1,-'Mortgage Calculator'!MonthlyLoanPayment,'Mortgage Calculator'!LoanAmount),"")</f>
        <v/>
      </c>
      <c r="E296" s="216">
        <v>0</v>
      </c>
      <c r="F296" s="216" t="s">
        <v>689</v>
      </c>
      <c r="G296" s="216">
        <f ca="1">IF(Amortization32[[#This Row],[payment
date]]="",0,'Mortgage Calculator'!PropertyTaxAmount)</f>
        <v>0</v>
      </c>
      <c r="H296" s="216">
        <f ca="1">IF(Amortization32[[#This Row],[payment
date]]="",0,Amortization32[[#This Row],[interest]]+Amortization32[[#This Row],[principal]]+Amortization32[[#This Row],[property
tax]])</f>
        <v>0</v>
      </c>
      <c r="I296" s="216">
        <f ca="1">IF(Amortization32[[#This Row],[payment
date]]="",0,Amortization32[[#This Row],[opening
balance]]-Amortization32[[#This Row],[principal]])</f>
        <v>0</v>
      </c>
      <c r="J296" s="217">
        <f ca="1">IF(Amortization32[[#This Row],[closing
balance]]&gt;0,LastRow-ROW(),0)</f>
        <v>0</v>
      </c>
    </row>
    <row r="297" spans="2:10" ht="15" customHeight="1">
      <c r="B297" s="214" t="str">
        <f>IF(SUM(ROWS($B$4:B297))&gt;'Mortgage Calculator'!DurationOfLoan,"",SUM(ROWS($B$4:B297)))</f>
        <v/>
      </c>
      <c r="C297" s="215" t="str">
        <f ca="1">IFERROR(DATE(YEAR('Mortgage Calculator'!LoanStart), MONTH('Mortgage Calculator'!LoanStart) +B297,DAY('Mortgage Calculator'!LoanStart)), "")</f>
        <v/>
      </c>
      <c r="D297" s="216" t="str">
        <f>IFERROR(-FV('Mortgage Calculator'!InterestRate/12,B297-1,-'Mortgage Calculator'!MonthlyLoanPayment,'Mortgage Calculator'!LoanAmount),"")</f>
        <v/>
      </c>
      <c r="E297" s="216">
        <v>0</v>
      </c>
      <c r="F297" s="216" t="s">
        <v>689</v>
      </c>
      <c r="G297" s="216">
        <f ca="1">IF(Amortization32[[#This Row],[payment
date]]="",0,'Mortgage Calculator'!PropertyTaxAmount)</f>
        <v>0</v>
      </c>
      <c r="H297" s="216">
        <f ca="1">IF(Amortization32[[#This Row],[payment
date]]="",0,Amortization32[[#This Row],[interest]]+Amortization32[[#This Row],[principal]]+Amortization32[[#This Row],[property
tax]])</f>
        <v>0</v>
      </c>
      <c r="I297" s="216">
        <f ca="1">IF(Amortization32[[#This Row],[payment
date]]="",0,Amortization32[[#This Row],[opening
balance]]-Amortization32[[#This Row],[principal]])</f>
        <v>0</v>
      </c>
      <c r="J297" s="217">
        <f ca="1">IF(Amortization32[[#This Row],[closing
balance]]&gt;0,LastRow-ROW(),0)</f>
        <v>0</v>
      </c>
    </row>
    <row r="298" spans="2:10" ht="15" customHeight="1">
      <c r="B298" s="214" t="str">
        <f>IF(SUM(ROWS($B$4:B298))&gt;'Mortgage Calculator'!DurationOfLoan,"",SUM(ROWS($B$4:B298)))</f>
        <v/>
      </c>
      <c r="C298" s="215" t="str">
        <f ca="1">IFERROR(DATE(YEAR('Mortgage Calculator'!LoanStart), MONTH('Mortgage Calculator'!LoanStart) +B298,DAY('Mortgage Calculator'!LoanStart)), "")</f>
        <v/>
      </c>
      <c r="D298" s="216" t="str">
        <f>IFERROR(-FV('Mortgage Calculator'!InterestRate/12,B298-1,-'Mortgage Calculator'!MonthlyLoanPayment,'Mortgage Calculator'!LoanAmount),"")</f>
        <v/>
      </c>
      <c r="E298" s="216">
        <v>0</v>
      </c>
      <c r="F298" s="216" t="s">
        <v>689</v>
      </c>
      <c r="G298" s="216">
        <f ca="1">IF(Amortization32[[#This Row],[payment
date]]="",0,'Mortgage Calculator'!PropertyTaxAmount)</f>
        <v>0</v>
      </c>
      <c r="H298" s="216">
        <f ca="1">IF(Amortization32[[#This Row],[payment
date]]="",0,Amortization32[[#This Row],[interest]]+Amortization32[[#This Row],[principal]]+Amortization32[[#This Row],[property
tax]])</f>
        <v>0</v>
      </c>
      <c r="I298" s="216">
        <f ca="1">IF(Amortization32[[#This Row],[payment
date]]="",0,Amortization32[[#This Row],[opening
balance]]-Amortization32[[#This Row],[principal]])</f>
        <v>0</v>
      </c>
      <c r="J298" s="217">
        <f ca="1">IF(Amortization32[[#This Row],[closing
balance]]&gt;0,LastRow-ROW(),0)</f>
        <v>0</v>
      </c>
    </row>
    <row r="299" spans="2:10" ht="15" customHeight="1">
      <c r="B299" s="214" t="str">
        <f>IF(SUM(ROWS($B$4:B299))&gt;'Mortgage Calculator'!DurationOfLoan,"",SUM(ROWS($B$4:B299)))</f>
        <v/>
      </c>
      <c r="C299" s="215" t="str">
        <f ca="1">IFERROR(DATE(YEAR('Mortgage Calculator'!LoanStart), MONTH('Mortgage Calculator'!LoanStart) +B299,DAY('Mortgage Calculator'!LoanStart)), "")</f>
        <v/>
      </c>
      <c r="D299" s="216" t="str">
        <f>IFERROR(-FV('Mortgage Calculator'!InterestRate/12,B299-1,-'Mortgage Calculator'!MonthlyLoanPayment,'Mortgage Calculator'!LoanAmount),"")</f>
        <v/>
      </c>
      <c r="E299" s="216">
        <v>0</v>
      </c>
      <c r="F299" s="216" t="s">
        <v>689</v>
      </c>
      <c r="G299" s="216">
        <f ca="1">IF(Amortization32[[#This Row],[payment
date]]="",0,'Mortgage Calculator'!PropertyTaxAmount)</f>
        <v>0</v>
      </c>
      <c r="H299" s="216">
        <f ca="1">IF(Amortization32[[#This Row],[payment
date]]="",0,Amortization32[[#This Row],[interest]]+Amortization32[[#This Row],[principal]]+Amortization32[[#This Row],[property
tax]])</f>
        <v>0</v>
      </c>
      <c r="I299" s="216">
        <f ca="1">IF(Amortization32[[#This Row],[payment
date]]="",0,Amortization32[[#This Row],[opening
balance]]-Amortization32[[#This Row],[principal]])</f>
        <v>0</v>
      </c>
      <c r="J299" s="217">
        <f ca="1">IF(Amortization32[[#This Row],[closing
balance]]&gt;0,LastRow-ROW(),0)</f>
        <v>0</v>
      </c>
    </row>
    <row r="300" spans="2:10" ht="15" customHeight="1">
      <c r="B300" s="214" t="str">
        <f>IF(SUM(ROWS($B$4:B300))&gt;'Mortgage Calculator'!DurationOfLoan,"",SUM(ROWS($B$4:B300)))</f>
        <v/>
      </c>
      <c r="C300" s="215" t="str">
        <f ca="1">IFERROR(DATE(YEAR('Mortgage Calculator'!LoanStart), MONTH('Mortgage Calculator'!LoanStart) +B300,DAY('Mortgage Calculator'!LoanStart)), "")</f>
        <v/>
      </c>
      <c r="D300" s="216" t="str">
        <f>IFERROR(-FV('Mortgage Calculator'!InterestRate/12,B300-1,-'Mortgage Calculator'!MonthlyLoanPayment,'Mortgage Calculator'!LoanAmount),"")</f>
        <v/>
      </c>
      <c r="E300" s="216">
        <v>0</v>
      </c>
      <c r="F300" s="216" t="s">
        <v>689</v>
      </c>
      <c r="G300" s="216">
        <f ca="1">IF(Amortization32[[#This Row],[payment
date]]="",0,'Mortgage Calculator'!PropertyTaxAmount)</f>
        <v>0</v>
      </c>
      <c r="H300" s="216">
        <f ca="1">IF(Amortization32[[#This Row],[payment
date]]="",0,Amortization32[[#This Row],[interest]]+Amortization32[[#This Row],[principal]]+Amortization32[[#This Row],[property
tax]])</f>
        <v>0</v>
      </c>
      <c r="I300" s="216">
        <f ca="1">IF(Amortization32[[#This Row],[payment
date]]="",0,Amortization32[[#This Row],[opening
balance]]-Amortization32[[#This Row],[principal]])</f>
        <v>0</v>
      </c>
      <c r="J300" s="217">
        <f ca="1">IF(Amortization32[[#This Row],[closing
balance]]&gt;0,LastRow-ROW(),0)</f>
        <v>0</v>
      </c>
    </row>
    <row r="301" spans="2:10" ht="15" customHeight="1">
      <c r="B301" s="214" t="str">
        <f>IF(SUM(ROWS($B$4:B301))&gt;'Mortgage Calculator'!DurationOfLoan,"",SUM(ROWS($B$4:B301)))</f>
        <v/>
      </c>
      <c r="C301" s="215" t="str">
        <f ca="1">IFERROR(DATE(YEAR('Mortgage Calculator'!LoanStart), MONTH('Mortgage Calculator'!LoanStart) +B301,DAY('Mortgage Calculator'!LoanStart)), "")</f>
        <v/>
      </c>
      <c r="D301" s="216" t="str">
        <f>IFERROR(-FV('Mortgage Calculator'!InterestRate/12,B301-1,-'Mortgage Calculator'!MonthlyLoanPayment,'Mortgage Calculator'!LoanAmount),"")</f>
        <v/>
      </c>
      <c r="E301" s="216">
        <v>0</v>
      </c>
      <c r="F301" s="216" t="s">
        <v>689</v>
      </c>
      <c r="G301" s="216">
        <f ca="1">IF(Amortization32[[#This Row],[payment
date]]="",0,'Mortgage Calculator'!PropertyTaxAmount)</f>
        <v>0</v>
      </c>
      <c r="H301" s="216">
        <f ca="1">IF(Amortization32[[#This Row],[payment
date]]="",0,Amortization32[[#This Row],[interest]]+Amortization32[[#This Row],[principal]]+Amortization32[[#This Row],[property
tax]])</f>
        <v>0</v>
      </c>
      <c r="I301" s="216">
        <f ca="1">IF(Amortization32[[#This Row],[payment
date]]="",0,Amortization32[[#This Row],[opening
balance]]-Amortization32[[#This Row],[principal]])</f>
        <v>0</v>
      </c>
      <c r="J301" s="217">
        <f ca="1">IF(Amortization32[[#This Row],[closing
balance]]&gt;0,LastRow-ROW(),0)</f>
        <v>0</v>
      </c>
    </row>
    <row r="302" spans="2:10" ht="15" customHeight="1">
      <c r="B302" s="214" t="str">
        <f>IF(SUM(ROWS($B$4:B302))&gt;'Mortgage Calculator'!DurationOfLoan,"",SUM(ROWS($B$4:B302)))</f>
        <v/>
      </c>
      <c r="C302" s="215" t="str">
        <f ca="1">IFERROR(DATE(YEAR('Mortgage Calculator'!LoanStart), MONTH('Mortgage Calculator'!LoanStart) +B302,DAY('Mortgage Calculator'!LoanStart)), "")</f>
        <v/>
      </c>
      <c r="D302" s="216" t="str">
        <f>IFERROR(-FV('Mortgage Calculator'!InterestRate/12,B302-1,-'Mortgage Calculator'!MonthlyLoanPayment,'Mortgage Calculator'!LoanAmount),"")</f>
        <v/>
      </c>
      <c r="E302" s="216">
        <v>0</v>
      </c>
      <c r="F302" s="216" t="s">
        <v>689</v>
      </c>
      <c r="G302" s="216">
        <f ca="1">IF(Amortization32[[#This Row],[payment
date]]="",0,'Mortgage Calculator'!PropertyTaxAmount)</f>
        <v>0</v>
      </c>
      <c r="H302" s="216">
        <f ca="1">IF(Amortization32[[#This Row],[payment
date]]="",0,Amortization32[[#This Row],[interest]]+Amortization32[[#This Row],[principal]]+Amortization32[[#This Row],[property
tax]])</f>
        <v>0</v>
      </c>
      <c r="I302" s="216">
        <f ca="1">IF(Amortization32[[#This Row],[payment
date]]="",0,Amortization32[[#This Row],[opening
balance]]-Amortization32[[#This Row],[principal]])</f>
        <v>0</v>
      </c>
      <c r="J302" s="217">
        <f ca="1">IF(Amortization32[[#This Row],[closing
balance]]&gt;0,LastRow-ROW(),0)</f>
        <v>0</v>
      </c>
    </row>
    <row r="303" spans="2:10" ht="15" customHeight="1">
      <c r="B303" s="214" t="str">
        <f>IF(SUM(ROWS($B$4:B303))&gt;'Mortgage Calculator'!DurationOfLoan,"",SUM(ROWS($B$4:B303)))</f>
        <v/>
      </c>
      <c r="C303" s="215" t="str">
        <f ca="1">IFERROR(DATE(YEAR('Mortgage Calculator'!LoanStart), MONTH('Mortgage Calculator'!LoanStart) +B303,DAY('Mortgage Calculator'!LoanStart)), "")</f>
        <v/>
      </c>
      <c r="D303" s="216" t="str">
        <f>IFERROR(-FV('Mortgage Calculator'!InterestRate/12,B303-1,-'Mortgage Calculator'!MonthlyLoanPayment,'Mortgage Calculator'!LoanAmount),"")</f>
        <v/>
      </c>
      <c r="E303" s="216">
        <v>0</v>
      </c>
      <c r="F303" s="216" t="s">
        <v>689</v>
      </c>
      <c r="G303" s="216">
        <f ca="1">IF(Amortization32[[#This Row],[payment
date]]="",0,'Mortgage Calculator'!PropertyTaxAmount)</f>
        <v>0</v>
      </c>
      <c r="H303" s="216">
        <f ca="1">IF(Amortization32[[#This Row],[payment
date]]="",0,Amortization32[[#This Row],[interest]]+Amortization32[[#This Row],[principal]]+Amortization32[[#This Row],[property
tax]])</f>
        <v>0</v>
      </c>
      <c r="I303" s="216">
        <f ca="1">IF(Amortization32[[#This Row],[payment
date]]="",0,Amortization32[[#This Row],[opening
balance]]-Amortization32[[#This Row],[principal]])</f>
        <v>0</v>
      </c>
      <c r="J303" s="217">
        <f ca="1">IF(Amortization32[[#This Row],[closing
balance]]&gt;0,LastRow-ROW(),0)</f>
        <v>0</v>
      </c>
    </row>
    <row r="304" spans="2:10" ht="15" customHeight="1">
      <c r="B304" s="214" t="str">
        <f>IF(SUM(ROWS($B$4:B304))&gt;'Mortgage Calculator'!DurationOfLoan,"",SUM(ROWS($B$4:B304)))</f>
        <v/>
      </c>
      <c r="C304" s="215" t="str">
        <f ca="1">IFERROR(DATE(YEAR('Mortgage Calculator'!LoanStart), MONTH('Mortgage Calculator'!LoanStart) +B304,DAY('Mortgage Calculator'!LoanStart)), "")</f>
        <v/>
      </c>
      <c r="D304" s="216" t="str">
        <f>IFERROR(-FV('Mortgage Calculator'!InterestRate/12,B304-1,-'Mortgage Calculator'!MonthlyLoanPayment,'Mortgage Calculator'!LoanAmount),"")</f>
        <v/>
      </c>
      <c r="E304" s="216">
        <v>0</v>
      </c>
      <c r="F304" s="216" t="s">
        <v>689</v>
      </c>
      <c r="G304" s="216">
        <f ca="1">IF(Amortization32[[#This Row],[payment
date]]="",0,'Mortgage Calculator'!PropertyTaxAmount)</f>
        <v>0</v>
      </c>
      <c r="H304" s="216">
        <f ca="1">IF(Amortization32[[#This Row],[payment
date]]="",0,Amortization32[[#This Row],[interest]]+Amortization32[[#This Row],[principal]]+Amortization32[[#This Row],[property
tax]])</f>
        <v>0</v>
      </c>
      <c r="I304" s="216">
        <f ca="1">IF(Amortization32[[#This Row],[payment
date]]="",0,Amortization32[[#This Row],[opening
balance]]-Amortization32[[#This Row],[principal]])</f>
        <v>0</v>
      </c>
      <c r="J304" s="217">
        <f ca="1">IF(Amortization32[[#This Row],[closing
balance]]&gt;0,LastRow-ROW(),0)</f>
        <v>0</v>
      </c>
    </row>
    <row r="305" spans="2:10" ht="15" customHeight="1">
      <c r="B305" s="214" t="str">
        <f>IF(SUM(ROWS($B$4:B305))&gt;'Mortgage Calculator'!DurationOfLoan,"",SUM(ROWS($B$4:B305)))</f>
        <v/>
      </c>
      <c r="C305" s="215" t="str">
        <f ca="1">IFERROR(DATE(YEAR('Mortgage Calculator'!LoanStart), MONTH('Mortgage Calculator'!LoanStart) +B305,DAY('Mortgage Calculator'!LoanStart)), "")</f>
        <v/>
      </c>
      <c r="D305" s="216" t="str">
        <f>IFERROR(-FV('Mortgage Calculator'!InterestRate/12,B305-1,-'Mortgage Calculator'!MonthlyLoanPayment,'Mortgage Calculator'!LoanAmount),"")</f>
        <v/>
      </c>
      <c r="E305" s="216">
        <v>0</v>
      </c>
      <c r="F305" s="216" t="s">
        <v>689</v>
      </c>
      <c r="G305" s="216">
        <f ca="1">IF(Amortization32[[#This Row],[payment
date]]="",0,'Mortgage Calculator'!PropertyTaxAmount)</f>
        <v>0</v>
      </c>
      <c r="H305" s="216">
        <f ca="1">IF(Amortization32[[#This Row],[payment
date]]="",0,Amortization32[[#This Row],[interest]]+Amortization32[[#This Row],[principal]]+Amortization32[[#This Row],[property
tax]])</f>
        <v>0</v>
      </c>
      <c r="I305" s="216">
        <f ca="1">IF(Amortization32[[#This Row],[payment
date]]="",0,Amortization32[[#This Row],[opening
balance]]-Amortization32[[#This Row],[principal]])</f>
        <v>0</v>
      </c>
      <c r="J305" s="217">
        <f ca="1">IF(Amortization32[[#This Row],[closing
balance]]&gt;0,LastRow-ROW(),0)</f>
        <v>0</v>
      </c>
    </row>
    <row r="306" spans="2:10" ht="15" customHeight="1">
      <c r="B306" s="214" t="str">
        <f>IF(SUM(ROWS($B$4:B306))&gt;'Mortgage Calculator'!DurationOfLoan,"",SUM(ROWS($B$4:B306)))</f>
        <v/>
      </c>
      <c r="C306" s="215" t="str">
        <f ca="1">IFERROR(DATE(YEAR('Mortgage Calculator'!LoanStart), MONTH('Mortgage Calculator'!LoanStart) +B306,DAY('Mortgage Calculator'!LoanStart)), "")</f>
        <v/>
      </c>
      <c r="D306" s="216" t="str">
        <f>IFERROR(-FV('Mortgage Calculator'!InterestRate/12,B306-1,-'Mortgage Calculator'!MonthlyLoanPayment,'Mortgage Calculator'!LoanAmount),"")</f>
        <v/>
      </c>
      <c r="E306" s="216">
        <v>0</v>
      </c>
      <c r="F306" s="216" t="s">
        <v>689</v>
      </c>
      <c r="G306" s="216">
        <f ca="1">IF(Amortization32[[#This Row],[payment
date]]="",0,'Mortgage Calculator'!PropertyTaxAmount)</f>
        <v>0</v>
      </c>
      <c r="H306" s="216">
        <f ca="1">IF(Amortization32[[#This Row],[payment
date]]="",0,Amortization32[[#This Row],[interest]]+Amortization32[[#This Row],[principal]]+Amortization32[[#This Row],[property
tax]])</f>
        <v>0</v>
      </c>
      <c r="I306" s="216">
        <f ca="1">IF(Amortization32[[#This Row],[payment
date]]="",0,Amortization32[[#This Row],[opening
balance]]-Amortization32[[#This Row],[principal]])</f>
        <v>0</v>
      </c>
      <c r="J306" s="217">
        <f ca="1">IF(Amortization32[[#This Row],[closing
balance]]&gt;0,LastRow-ROW(),0)</f>
        <v>0</v>
      </c>
    </row>
    <row r="307" spans="2:10" ht="15" customHeight="1">
      <c r="B307" s="214" t="str">
        <f>IF(SUM(ROWS($B$4:B307))&gt;'Mortgage Calculator'!DurationOfLoan,"",SUM(ROWS($B$4:B307)))</f>
        <v/>
      </c>
      <c r="C307" s="215" t="str">
        <f ca="1">IFERROR(DATE(YEAR('Mortgage Calculator'!LoanStart), MONTH('Mortgage Calculator'!LoanStart) +B307,DAY('Mortgage Calculator'!LoanStart)), "")</f>
        <v/>
      </c>
      <c r="D307" s="216" t="str">
        <f>IFERROR(-FV('Mortgage Calculator'!InterestRate/12,B307-1,-'Mortgage Calculator'!MonthlyLoanPayment,'Mortgage Calculator'!LoanAmount),"")</f>
        <v/>
      </c>
      <c r="E307" s="216">
        <v>0</v>
      </c>
      <c r="F307" s="216" t="s">
        <v>689</v>
      </c>
      <c r="G307" s="216">
        <f ca="1">IF(Amortization32[[#This Row],[payment
date]]="",0,'Mortgage Calculator'!PropertyTaxAmount)</f>
        <v>0</v>
      </c>
      <c r="H307" s="216">
        <f ca="1">IF(Amortization32[[#This Row],[payment
date]]="",0,Amortization32[[#This Row],[interest]]+Amortization32[[#This Row],[principal]]+Amortization32[[#This Row],[property
tax]])</f>
        <v>0</v>
      </c>
      <c r="I307" s="216">
        <f ca="1">IF(Amortization32[[#This Row],[payment
date]]="",0,Amortization32[[#This Row],[opening
balance]]-Amortization32[[#This Row],[principal]])</f>
        <v>0</v>
      </c>
      <c r="J307" s="217">
        <f ca="1">IF(Amortization32[[#This Row],[closing
balance]]&gt;0,LastRow-ROW(),0)</f>
        <v>0</v>
      </c>
    </row>
    <row r="308" spans="2:10" ht="15" customHeight="1">
      <c r="B308" s="214" t="str">
        <f>IF(SUM(ROWS($B$4:B308))&gt;'Mortgage Calculator'!DurationOfLoan,"",SUM(ROWS($B$4:B308)))</f>
        <v/>
      </c>
      <c r="C308" s="215" t="str">
        <f ca="1">IFERROR(DATE(YEAR('Mortgage Calculator'!LoanStart), MONTH('Mortgage Calculator'!LoanStart) +B308,DAY('Mortgage Calculator'!LoanStart)), "")</f>
        <v/>
      </c>
      <c r="D308" s="216" t="str">
        <f>IFERROR(-FV('Mortgage Calculator'!InterestRate/12,B308-1,-'Mortgage Calculator'!MonthlyLoanPayment,'Mortgage Calculator'!LoanAmount),"")</f>
        <v/>
      </c>
      <c r="E308" s="216">
        <v>0</v>
      </c>
      <c r="F308" s="216" t="s">
        <v>689</v>
      </c>
      <c r="G308" s="216">
        <f ca="1">IF(Amortization32[[#This Row],[payment
date]]="",0,'Mortgage Calculator'!PropertyTaxAmount)</f>
        <v>0</v>
      </c>
      <c r="H308" s="216">
        <f ca="1">IF(Amortization32[[#This Row],[payment
date]]="",0,Amortization32[[#This Row],[interest]]+Amortization32[[#This Row],[principal]]+Amortization32[[#This Row],[property
tax]])</f>
        <v>0</v>
      </c>
      <c r="I308" s="216">
        <f ca="1">IF(Amortization32[[#This Row],[payment
date]]="",0,Amortization32[[#This Row],[opening
balance]]-Amortization32[[#This Row],[principal]])</f>
        <v>0</v>
      </c>
      <c r="J308" s="217">
        <f ca="1">IF(Amortization32[[#This Row],[closing
balance]]&gt;0,LastRow-ROW(),0)</f>
        <v>0</v>
      </c>
    </row>
    <row r="309" spans="2:10" ht="15" customHeight="1">
      <c r="B309" s="214" t="str">
        <f>IF(SUM(ROWS($B$4:B309))&gt;'Mortgage Calculator'!DurationOfLoan,"",SUM(ROWS($B$4:B309)))</f>
        <v/>
      </c>
      <c r="C309" s="215" t="str">
        <f ca="1">IFERROR(DATE(YEAR('Mortgage Calculator'!LoanStart), MONTH('Mortgage Calculator'!LoanStart) +B309,DAY('Mortgage Calculator'!LoanStart)), "")</f>
        <v/>
      </c>
      <c r="D309" s="216" t="str">
        <f>IFERROR(-FV('Mortgage Calculator'!InterestRate/12,B309-1,-'Mortgage Calculator'!MonthlyLoanPayment,'Mortgage Calculator'!LoanAmount),"")</f>
        <v/>
      </c>
      <c r="E309" s="216">
        <v>0</v>
      </c>
      <c r="F309" s="216" t="s">
        <v>689</v>
      </c>
      <c r="G309" s="216">
        <f ca="1">IF(Amortization32[[#This Row],[payment
date]]="",0,'Mortgage Calculator'!PropertyTaxAmount)</f>
        <v>0</v>
      </c>
      <c r="H309" s="216">
        <f ca="1">IF(Amortization32[[#This Row],[payment
date]]="",0,Amortization32[[#This Row],[interest]]+Amortization32[[#This Row],[principal]]+Amortization32[[#This Row],[property
tax]])</f>
        <v>0</v>
      </c>
      <c r="I309" s="216">
        <f ca="1">IF(Amortization32[[#This Row],[payment
date]]="",0,Amortization32[[#This Row],[opening
balance]]-Amortization32[[#This Row],[principal]])</f>
        <v>0</v>
      </c>
      <c r="J309" s="217">
        <f ca="1">IF(Amortization32[[#This Row],[closing
balance]]&gt;0,LastRow-ROW(),0)</f>
        <v>0</v>
      </c>
    </row>
    <row r="310" spans="2:10" ht="15" customHeight="1">
      <c r="B310" s="214" t="str">
        <f>IF(SUM(ROWS($B$4:B310))&gt;'Mortgage Calculator'!DurationOfLoan,"",SUM(ROWS($B$4:B310)))</f>
        <v/>
      </c>
      <c r="C310" s="215" t="str">
        <f ca="1">IFERROR(DATE(YEAR('Mortgage Calculator'!LoanStart), MONTH('Mortgage Calculator'!LoanStart) +B310,DAY('Mortgage Calculator'!LoanStart)), "")</f>
        <v/>
      </c>
      <c r="D310" s="216" t="str">
        <f>IFERROR(-FV('Mortgage Calculator'!InterestRate/12,B310-1,-'Mortgage Calculator'!MonthlyLoanPayment,'Mortgage Calculator'!LoanAmount),"")</f>
        <v/>
      </c>
      <c r="E310" s="216">
        <v>0</v>
      </c>
      <c r="F310" s="216" t="s">
        <v>689</v>
      </c>
      <c r="G310" s="216">
        <f ca="1">IF(Amortization32[[#This Row],[payment
date]]="",0,'Mortgage Calculator'!PropertyTaxAmount)</f>
        <v>0</v>
      </c>
      <c r="H310" s="216">
        <f ca="1">IF(Amortization32[[#This Row],[payment
date]]="",0,Amortization32[[#This Row],[interest]]+Amortization32[[#This Row],[principal]]+Amortization32[[#This Row],[property
tax]])</f>
        <v>0</v>
      </c>
      <c r="I310" s="216">
        <f ca="1">IF(Amortization32[[#This Row],[payment
date]]="",0,Amortization32[[#This Row],[opening
balance]]-Amortization32[[#This Row],[principal]])</f>
        <v>0</v>
      </c>
      <c r="J310" s="217">
        <f ca="1">IF(Amortization32[[#This Row],[closing
balance]]&gt;0,LastRow-ROW(),0)</f>
        <v>0</v>
      </c>
    </row>
    <row r="311" spans="2:10" ht="15" customHeight="1">
      <c r="B311" s="214" t="str">
        <f>IF(SUM(ROWS($B$4:B311))&gt;'Mortgage Calculator'!DurationOfLoan,"",SUM(ROWS($B$4:B311)))</f>
        <v/>
      </c>
      <c r="C311" s="215" t="str">
        <f ca="1">IFERROR(DATE(YEAR('Mortgage Calculator'!LoanStart), MONTH('Mortgage Calculator'!LoanStart) +B311,DAY('Mortgage Calculator'!LoanStart)), "")</f>
        <v/>
      </c>
      <c r="D311" s="216" t="str">
        <f>IFERROR(-FV('Mortgage Calculator'!InterestRate/12,B311-1,-'Mortgage Calculator'!MonthlyLoanPayment,'Mortgage Calculator'!LoanAmount),"")</f>
        <v/>
      </c>
      <c r="E311" s="216">
        <v>0</v>
      </c>
      <c r="F311" s="216" t="s">
        <v>689</v>
      </c>
      <c r="G311" s="216">
        <f ca="1">IF(Amortization32[[#This Row],[payment
date]]="",0,'Mortgage Calculator'!PropertyTaxAmount)</f>
        <v>0</v>
      </c>
      <c r="H311" s="216">
        <f ca="1">IF(Amortization32[[#This Row],[payment
date]]="",0,Amortization32[[#This Row],[interest]]+Amortization32[[#This Row],[principal]]+Amortization32[[#This Row],[property
tax]])</f>
        <v>0</v>
      </c>
      <c r="I311" s="216">
        <f ca="1">IF(Amortization32[[#This Row],[payment
date]]="",0,Amortization32[[#This Row],[opening
balance]]-Amortization32[[#This Row],[principal]])</f>
        <v>0</v>
      </c>
      <c r="J311" s="217">
        <f ca="1">IF(Amortization32[[#This Row],[closing
balance]]&gt;0,LastRow-ROW(),0)</f>
        <v>0</v>
      </c>
    </row>
    <row r="312" spans="2:10" ht="15" customHeight="1">
      <c r="B312" s="214" t="str">
        <f>IF(SUM(ROWS($B$4:B312))&gt;'Mortgage Calculator'!DurationOfLoan,"",SUM(ROWS($B$4:B312)))</f>
        <v/>
      </c>
      <c r="C312" s="215" t="str">
        <f ca="1">IFERROR(DATE(YEAR('Mortgage Calculator'!LoanStart), MONTH('Mortgage Calculator'!LoanStart) +B312,DAY('Mortgage Calculator'!LoanStart)), "")</f>
        <v/>
      </c>
      <c r="D312" s="216" t="str">
        <f>IFERROR(-FV('Mortgage Calculator'!InterestRate/12,B312-1,-'Mortgage Calculator'!MonthlyLoanPayment,'Mortgage Calculator'!LoanAmount),"")</f>
        <v/>
      </c>
      <c r="E312" s="216">
        <v>0</v>
      </c>
      <c r="F312" s="216" t="s">
        <v>689</v>
      </c>
      <c r="G312" s="216">
        <f ca="1">IF(Amortization32[[#This Row],[payment
date]]="",0,'Mortgage Calculator'!PropertyTaxAmount)</f>
        <v>0</v>
      </c>
      <c r="H312" s="216">
        <f ca="1">IF(Amortization32[[#This Row],[payment
date]]="",0,Amortization32[[#This Row],[interest]]+Amortization32[[#This Row],[principal]]+Amortization32[[#This Row],[property
tax]])</f>
        <v>0</v>
      </c>
      <c r="I312" s="216">
        <f ca="1">IF(Amortization32[[#This Row],[payment
date]]="",0,Amortization32[[#This Row],[opening
balance]]-Amortization32[[#This Row],[principal]])</f>
        <v>0</v>
      </c>
      <c r="J312" s="217">
        <f ca="1">IF(Amortization32[[#This Row],[closing
balance]]&gt;0,LastRow-ROW(),0)</f>
        <v>0</v>
      </c>
    </row>
    <row r="313" spans="2:10" ht="15" customHeight="1">
      <c r="B313" s="214" t="str">
        <f>IF(SUM(ROWS($B$4:B313))&gt;'Mortgage Calculator'!DurationOfLoan,"",SUM(ROWS($B$4:B313)))</f>
        <v/>
      </c>
      <c r="C313" s="215" t="str">
        <f ca="1">IFERROR(DATE(YEAR('Mortgage Calculator'!LoanStart), MONTH('Mortgage Calculator'!LoanStart) +B313,DAY('Mortgage Calculator'!LoanStart)), "")</f>
        <v/>
      </c>
      <c r="D313" s="216" t="str">
        <f>IFERROR(-FV('Mortgage Calculator'!InterestRate/12,B313-1,-'Mortgage Calculator'!MonthlyLoanPayment,'Mortgage Calculator'!LoanAmount),"")</f>
        <v/>
      </c>
      <c r="E313" s="216">
        <v>0</v>
      </c>
      <c r="F313" s="216" t="s">
        <v>689</v>
      </c>
      <c r="G313" s="216">
        <f ca="1">IF(Amortization32[[#This Row],[payment
date]]="",0,'Mortgage Calculator'!PropertyTaxAmount)</f>
        <v>0</v>
      </c>
      <c r="H313" s="216">
        <f ca="1">IF(Amortization32[[#This Row],[payment
date]]="",0,Amortization32[[#This Row],[interest]]+Amortization32[[#This Row],[principal]]+Amortization32[[#This Row],[property
tax]])</f>
        <v>0</v>
      </c>
      <c r="I313" s="216">
        <f ca="1">IF(Amortization32[[#This Row],[payment
date]]="",0,Amortization32[[#This Row],[opening
balance]]-Amortization32[[#This Row],[principal]])</f>
        <v>0</v>
      </c>
      <c r="J313" s="217">
        <f ca="1">IF(Amortization32[[#This Row],[closing
balance]]&gt;0,LastRow-ROW(),0)</f>
        <v>0</v>
      </c>
    </row>
    <row r="314" spans="2:10" ht="15" customHeight="1">
      <c r="B314" s="214" t="str">
        <f>IF(SUM(ROWS($B$4:B314))&gt;'Mortgage Calculator'!DurationOfLoan,"",SUM(ROWS($B$4:B314)))</f>
        <v/>
      </c>
      <c r="C314" s="215" t="str">
        <f ca="1">IFERROR(DATE(YEAR('Mortgage Calculator'!LoanStart), MONTH('Mortgage Calculator'!LoanStart) +B314,DAY('Mortgage Calculator'!LoanStart)), "")</f>
        <v/>
      </c>
      <c r="D314" s="216" t="str">
        <f>IFERROR(-FV('Mortgage Calculator'!InterestRate/12,B314-1,-'Mortgage Calculator'!MonthlyLoanPayment,'Mortgage Calculator'!LoanAmount),"")</f>
        <v/>
      </c>
      <c r="E314" s="216">
        <v>0</v>
      </c>
      <c r="F314" s="216" t="s">
        <v>689</v>
      </c>
      <c r="G314" s="216">
        <f ca="1">IF(Amortization32[[#This Row],[payment
date]]="",0,'Mortgage Calculator'!PropertyTaxAmount)</f>
        <v>0</v>
      </c>
      <c r="H314" s="216">
        <f ca="1">IF(Amortization32[[#This Row],[payment
date]]="",0,Amortization32[[#This Row],[interest]]+Amortization32[[#This Row],[principal]]+Amortization32[[#This Row],[property
tax]])</f>
        <v>0</v>
      </c>
      <c r="I314" s="216">
        <f ca="1">IF(Amortization32[[#This Row],[payment
date]]="",0,Amortization32[[#This Row],[opening
balance]]-Amortization32[[#This Row],[principal]])</f>
        <v>0</v>
      </c>
      <c r="J314" s="217">
        <f ca="1">IF(Amortization32[[#This Row],[closing
balance]]&gt;0,LastRow-ROW(),0)</f>
        <v>0</v>
      </c>
    </row>
    <row r="315" spans="2:10" ht="15" customHeight="1">
      <c r="B315" s="214" t="str">
        <f>IF(SUM(ROWS($B$4:B315))&gt;'Mortgage Calculator'!DurationOfLoan,"",SUM(ROWS($B$4:B315)))</f>
        <v/>
      </c>
      <c r="C315" s="215" t="str">
        <f ca="1">IFERROR(DATE(YEAR('Mortgage Calculator'!LoanStart), MONTH('Mortgage Calculator'!LoanStart) +B315,DAY('Mortgage Calculator'!LoanStart)), "")</f>
        <v/>
      </c>
      <c r="D315" s="216" t="str">
        <f>IFERROR(-FV('Mortgage Calculator'!InterestRate/12,B315-1,-'Mortgage Calculator'!MonthlyLoanPayment,'Mortgage Calculator'!LoanAmount),"")</f>
        <v/>
      </c>
      <c r="E315" s="216">
        <v>0</v>
      </c>
      <c r="F315" s="216" t="s">
        <v>689</v>
      </c>
      <c r="G315" s="216">
        <f ca="1">IF(Amortization32[[#This Row],[payment
date]]="",0,'Mortgage Calculator'!PropertyTaxAmount)</f>
        <v>0</v>
      </c>
      <c r="H315" s="216">
        <f ca="1">IF(Amortization32[[#This Row],[payment
date]]="",0,Amortization32[[#This Row],[interest]]+Amortization32[[#This Row],[principal]]+Amortization32[[#This Row],[property
tax]])</f>
        <v>0</v>
      </c>
      <c r="I315" s="216">
        <f ca="1">IF(Amortization32[[#This Row],[payment
date]]="",0,Amortization32[[#This Row],[opening
balance]]-Amortization32[[#This Row],[principal]])</f>
        <v>0</v>
      </c>
      <c r="J315" s="217">
        <f ca="1">IF(Amortization32[[#This Row],[closing
balance]]&gt;0,LastRow-ROW(),0)</f>
        <v>0</v>
      </c>
    </row>
    <row r="316" spans="2:10" ht="15" customHeight="1">
      <c r="B316" s="214" t="str">
        <f>IF(SUM(ROWS($B$4:B316))&gt;'Mortgage Calculator'!DurationOfLoan,"",SUM(ROWS($B$4:B316)))</f>
        <v/>
      </c>
      <c r="C316" s="215" t="str">
        <f ca="1">IFERROR(DATE(YEAR('Mortgage Calculator'!LoanStart), MONTH('Mortgage Calculator'!LoanStart) +B316,DAY('Mortgage Calculator'!LoanStart)), "")</f>
        <v/>
      </c>
      <c r="D316" s="216" t="str">
        <f>IFERROR(-FV('Mortgage Calculator'!InterestRate/12,B316-1,-'Mortgage Calculator'!MonthlyLoanPayment,'Mortgage Calculator'!LoanAmount),"")</f>
        <v/>
      </c>
      <c r="E316" s="216">
        <v>0</v>
      </c>
      <c r="F316" s="216" t="s">
        <v>689</v>
      </c>
      <c r="G316" s="216">
        <f ca="1">IF(Amortization32[[#This Row],[payment
date]]="",0,'Mortgage Calculator'!PropertyTaxAmount)</f>
        <v>0</v>
      </c>
      <c r="H316" s="216">
        <f ca="1">IF(Amortization32[[#This Row],[payment
date]]="",0,Amortization32[[#This Row],[interest]]+Amortization32[[#This Row],[principal]]+Amortization32[[#This Row],[property
tax]])</f>
        <v>0</v>
      </c>
      <c r="I316" s="216">
        <f ca="1">IF(Amortization32[[#This Row],[payment
date]]="",0,Amortization32[[#This Row],[opening
balance]]-Amortization32[[#This Row],[principal]])</f>
        <v>0</v>
      </c>
      <c r="J316" s="217">
        <f ca="1">IF(Amortization32[[#This Row],[closing
balance]]&gt;0,LastRow-ROW(),0)</f>
        <v>0</v>
      </c>
    </row>
    <row r="317" spans="2:10" ht="15" customHeight="1">
      <c r="B317" s="214" t="str">
        <f>IF(SUM(ROWS($B$4:B317))&gt;'Mortgage Calculator'!DurationOfLoan,"",SUM(ROWS($B$4:B317)))</f>
        <v/>
      </c>
      <c r="C317" s="215" t="str">
        <f ca="1">IFERROR(DATE(YEAR('Mortgage Calculator'!LoanStart), MONTH('Mortgage Calculator'!LoanStart) +B317,DAY('Mortgage Calculator'!LoanStart)), "")</f>
        <v/>
      </c>
      <c r="D317" s="216" t="str">
        <f>IFERROR(-FV('Mortgage Calculator'!InterestRate/12,B317-1,-'Mortgage Calculator'!MonthlyLoanPayment,'Mortgage Calculator'!LoanAmount),"")</f>
        <v/>
      </c>
      <c r="E317" s="216">
        <v>0</v>
      </c>
      <c r="F317" s="216" t="s">
        <v>689</v>
      </c>
      <c r="G317" s="216">
        <f ca="1">IF(Amortization32[[#This Row],[payment
date]]="",0,'Mortgage Calculator'!PropertyTaxAmount)</f>
        <v>0</v>
      </c>
      <c r="H317" s="216">
        <f ca="1">IF(Amortization32[[#This Row],[payment
date]]="",0,Amortization32[[#This Row],[interest]]+Amortization32[[#This Row],[principal]]+Amortization32[[#This Row],[property
tax]])</f>
        <v>0</v>
      </c>
      <c r="I317" s="216">
        <f ca="1">IF(Amortization32[[#This Row],[payment
date]]="",0,Amortization32[[#This Row],[opening
balance]]-Amortization32[[#This Row],[principal]])</f>
        <v>0</v>
      </c>
      <c r="J317" s="217">
        <f ca="1">IF(Amortization32[[#This Row],[closing
balance]]&gt;0,LastRow-ROW(),0)</f>
        <v>0</v>
      </c>
    </row>
    <row r="318" spans="2:10" ht="15" customHeight="1">
      <c r="B318" s="214" t="str">
        <f>IF(SUM(ROWS($B$4:B318))&gt;'Mortgage Calculator'!DurationOfLoan,"",SUM(ROWS($B$4:B318)))</f>
        <v/>
      </c>
      <c r="C318" s="215" t="str">
        <f ca="1">IFERROR(DATE(YEAR('Mortgage Calculator'!LoanStart), MONTH('Mortgage Calculator'!LoanStart) +B318,DAY('Mortgage Calculator'!LoanStart)), "")</f>
        <v/>
      </c>
      <c r="D318" s="216" t="str">
        <f>IFERROR(-FV('Mortgage Calculator'!InterestRate/12,B318-1,-'Mortgage Calculator'!MonthlyLoanPayment,'Mortgage Calculator'!LoanAmount),"")</f>
        <v/>
      </c>
      <c r="E318" s="216">
        <v>0</v>
      </c>
      <c r="F318" s="216" t="s">
        <v>689</v>
      </c>
      <c r="G318" s="216">
        <f ca="1">IF(Amortization32[[#This Row],[payment
date]]="",0,'Mortgage Calculator'!PropertyTaxAmount)</f>
        <v>0</v>
      </c>
      <c r="H318" s="216">
        <f ca="1">IF(Amortization32[[#This Row],[payment
date]]="",0,Amortization32[[#This Row],[interest]]+Amortization32[[#This Row],[principal]]+Amortization32[[#This Row],[property
tax]])</f>
        <v>0</v>
      </c>
      <c r="I318" s="216">
        <f ca="1">IF(Amortization32[[#This Row],[payment
date]]="",0,Amortization32[[#This Row],[opening
balance]]-Amortization32[[#This Row],[principal]])</f>
        <v>0</v>
      </c>
      <c r="J318" s="217">
        <f ca="1">IF(Amortization32[[#This Row],[closing
balance]]&gt;0,LastRow-ROW(),0)</f>
        <v>0</v>
      </c>
    </row>
    <row r="319" spans="2:10" ht="15" customHeight="1">
      <c r="B319" s="214" t="str">
        <f>IF(SUM(ROWS($B$4:B319))&gt;'Mortgage Calculator'!DurationOfLoan,"",SUM(ROWS($B$4:B319)))</f>
        <v/>
      </c>
      <c r="C319" s="215" t="str">
        <f ca="1">IFERROR(DATE(YEAR('Mortgage Calculator'!LoanStart), MONTH('Mortgage Calculator'!LoanStart) +B319,DAY('Mortgage Calculator'!LoanStart)), "")</f>
        <v/>
      </c>
      <c r="D319" s="216" t="str">
        <f>IFERROR(-FV('Mortgage Calculator'!InterestRate/12,B319-1,-'Mortgage Calculator'!MonthlyLoanPayment,'Mortgage Calculator'!LoanAmount),"")</f>
        <v/>
      </c>
      <c r="E319" s="216">
        <v>0</v>
      </c>
      <c r="F319" s="216" t="s">
        <v>689</v>
      </c>
      <c r="G319" s="216">
        <f ca="1">IF(Amortization32[[#This Row],[payment
date]]="",0,'Mortgage Calculator'!PropertyTaxAmount)</f>
        <v>0</v>
      </c>
      <c r="H319" s="216">
        <f ca="1">IF(Amortization32[[#This Row],[payment
date]]="",0,Amortization32[[#This Row],[interest]]+Amortization32[[#This Row],[principal]]+Amortization32[[#This Row],[property
tax]])</f>
        <v>0</v>
      </c>
      <c r="I319" s="216">
        <f ca="1">IF(Amortization32[[#This Row],[payment
date]]="",0,Amortization32[[#This Row],[opening
balance]]-Amortization32[[#This Row],[principal]])</f>
        <v>0</v>
      </c>
      <c r="J319" s="217">
        <f ca="1">IF(Amortization32[[#This Row],[closing
balance]]&gt;0,LastRow-ROW(),0)</f>
        <v>0</v>
      </c>
    </row>
    <row r="320" spans="2:10" ht="15" customHeight="1">
      <c r="B320" s="214" t="str">
        <f>IF(SUM(ROWS($B$4:B320))&gt;'Mortgage Calculator'!DurationOfLoan,"",SUM(ROWS($B$4:B320)))</f>
        <v/>
      </c>
      <c r="C320" s="215" t="str">
        <f ca="1">IFERROR(DATE(YEAR('Mortgage Calculator'!LoanStart), MONTH('Mortgage Calculator'!LoanStart) +B320,DAY('Mortgage Calculator'!LoanStart)), "")</f>
        <v/>
      </c>
      <c r="D320" s="216" t="str">
        <f>IFERROR(-FV('Mortgage Calculator'!InterestRate/12,B320-1,-'Mortgage Calculator'!MonthlyLoanPayment,'Mortgage Calculator'!LoanAmount),"")</f>
        <v/>
      </c>
      <c r="E320" s="216">
        <v>0</v>
      </c>
      <c r="F320" s="216" t="s">
        <v>689</v>
      </c>
      <c r="G320" s="216">
        <f ca="1">IF(Amortization32[[#This Row],[payment
date]]="",0,'Mortgage Calculator'!PropertyTaxAmount)</f>
        <v>0</v>
      </c>
      <c r="H320" s="216">
        <f ca="1">IF(Amortization32[[#This Row],[payment
date]]="",0,Amortization32[[#This Row],[interest]]+Amortization32[[#This Row],[principal]]+Amortization32[[#This Row],[property
tax]])</f>
        <v>0</v>
      </c>
      <c r="I320" s="216">
        <f ca="1">IF(Amortization32[[#This Row],[payment
date]]="",0,Amortization32[[#This Row],[opening
balance]]-Amortization32[[#This Row],[principal]])</f>
        <v>0</v>
      </c>
      <c r="J320" s="217">
        <f ca="1">IF(Amortization32[[#This Row],[closing
balance]]&gt;0,LastRow-ROW(),0)</f>
        <v>0</v>
      </c>
    </row>
    <row r="321" spans="2:10" ht="15" customHeight="1">
      <c r="B321" s="214" t="str">
        <f>IF(SUM(ROWS($B$4:B321))&gt;'Mortgage Calculator'!DurationOfLoan,"",SUM(ROWS($B$4:B321)))</f>
        <v/>
      </c>
      <c r="C321" s="215" t="str">
        <f ca="1">IFERROR(DATE(YEAR('Mortgage Calculator'!LoanStart), MONTH('Mortgage Calculator'!LoanStart) +B321,DAY('Mortgage Calculator'!LoanStart)), "")</f>
        <v/>
      </c>
      <c r="D321" s="216" t="str">
        <f>IFERROR(-FV('Mortgage Calculator'!InterestRate/12,B321-1,-'Mortgage Calculator'!MonthlyLoanPayment,'Mortgage Calculator'!LoanAmount),"")</f>
        <v/>
      </c>
      <c r="E321" s="216">
        <v>0</v>
      </c>
      <c r="F321" s="216" t="s">
        <v>689</v>
      </c>
      <c r="G321" s="216">
        <f ca="1">IF(Amortization32[[#This Row],[payment
date]]="",0,'Mortgage Calculator'!PropertyTaxAmount)</f>
        <v>0</v>
      </c>
      <c r="H321" s="216">
        <f ca="1">IF(Amortization32[[#This Row],[payment
date]]="",0,Amortization32[[#This Row],[interest]]+Amortization32[[#This Row],[principal]]+Amortization32[[#This Row],[property
tax]])</f>
        <v>0</v>
      </c>
      <c r="I321" s="216">
        <f ca="1">IF(Amortization32[[#This Row],[payment
date]]="",0,Amortization32[[#This Row],[opening
balance]]-Amortization32[[#This Row],[principal]])</f>
        <v>0</v>
      </c>
      <c r="J321" s="217">
        <f ca="1">IF(Amortization32[[#This Row],[closing
balance]]&gt;0,LastRow-ROW(),0)</f>
        <v>0</v>
      </c>
    </row>
    <row r="322" spans="2:10" ht="15" customHeight="1">
      <c r="B322" s="214" t="str">
        <f>IF(SUM(ROWS($B$4:B322))&gt;'Mortgage Calculator'!DurationOfLoan,"",SUM(ROWS($B$4:B322)))</f>
        <v/>
      </c>
      <c r="C322" s="215" t="str">
        <f ca="1">IFERROR(DATE(YEAR('Mortgage Calculator'!LoanStart), MONTH('Mortgage Calculator'!LoanStart) +B322,DAY('Mortgage Calculator'!LoanStart)), "")</f>
        <v/>
      </c>
      <c r="D322" s="216" t="str">
        <f>IFERROR(-FV('Mortgage Calculator'!InterestRate/12,B322-1,-'Mortgage Calculator'!MonthlyLoanPayment,'Mortgage Calculator'!LoanAmount),"")</f>
        <v/>
      </c>
      <c r="E322" s="216">
        <v>0</v>
      </c>
      <c r="F322" s="216" t="s">
        <v>689</v>
      </c>
      <c r="G322" s="216">
        <f ca="1">IF(Amortization32[[#This Row],[payment
date]]="",0,'Mortgage Calculator'!PropertyTaxAmount)</f>
        <v>0</v>
      </c>
      <c r="H322" s="216">
        <f ca="1">IF(Amortization32[[#This Row],[payment
date]]="",0,Amortization32[[#This Row],[interest]]+Amortization32[[#This Row],[principal]]+Amortization32[[#This Row],[property
tax]])</f>
        <v>0</v>
      </c>
      <c r="I322" s="216">
        <f ca="1">IF(Amortization32[[#This Row],[payment
date]]="",0,Amortization32[[#This Row],[opening
balance]]-Amortization32[[#This Row],[principal]])</f>
        <v>0</v>
      </c>
      <c r="J322" s="217">
        <f ca="1">IF(Amortization32[[#This Row],[closing
balance]]&gt;0,LastRow-ROW(),0)</f>
        <v>0</v>
      </c>
    </row>
    <row r="323" spans="2:10" ht="15" customHeight="1">
      <c r="B323" s="214" t="str">
        <f>IF(SUM(ROWS($B$4:B323))&gt;'Mortgage Calculator'!DurationOfLoan,"",SUM(ROWS($B$4:B323)))</f>
        <v/>
      </c>
      <c r="C323" s="215" t="str">
        <f ca="1">IFERROR(DATE(YEAR('Mortgage Calculator'!LoanStart), MONTH('Mortgage Calculator'!LoanStart) +B323,DAY('Mortgage Calculator'!LoanStart)), "")</f>
        <v/>
      </c>
      <c r="D323" s="216" t="str">
        <f>IFERROR(-FV('Mortgage Calculator'!InterestRate/12,B323-1,-'Mortgage Calculator'!MonthlyLoanPayment,'Mortgage Calculator'!LoanAmount),"")</f>
        <v/>
      </c>
      <c r="E323" s="216">
        <v>0</v>
      </c>
      <c r="F323" s="216" t="s">
        <v>689</v>
      </c>
      <c r="G323" s="216">
        <f ca="1">IF(Amortization32[[#This Row],[payment
date]]="",0,'Mortgage Calculator'!PropertyTaxAmount)</f>
        <v>0</v>
      </c>
      <c r="H323" s="216">
        <f ca="1">IF(Amortization32[[#This Row],[payment
date]]="",0,Amortization32[[#This Row],[interest]]+Amortization32[[#This Row],[principal]]+Amortization32[[#This Row],[property
tax]])</f>
        <v>0</v>
      </c>
      <c r="I323" s="216">
        <f ca="1">IF(Amortization32[[#This Row],[payment
date]]="",0,Amortization32[[#This Row],[opening
balance]]-Amortization32[[#This Row],[principal]])</f>
        <v>0</v>
      </c>
      <c r="J323" s="217">
        <f ca="1">IF(Amortization32[[#This Row],[closing
balance]]&gt;0,LastRow-ROW(),0)</f>
        <v>0</v>
      </c>
    </row>
    <row r="324" spans="2:10" ht="15" customHeight="1">
      <c r="B324" s="214" t="str">
        <f>IF(SUM(ROWS($B$4:B324))&gt;'Mortgage Calculator'!DurationOfLoan,"",SUM(ROWS($B$4:B324)))</f>
        <v/>
      </c>
      <c r="C324" s="215" t="str">
        <f ca="1">IFERROR(DATE(YEAR('Mortgage Calculator'!LoanStart), MONTH('Mortgage Calculator'!LoanStart) +B324,DAY('Mortgage Calculator'!LoanStart)), "")</f>
        <v/>
      </c>
      <c r="D324" s="216" t="str">
        <f>IFERROR(-FV('Mortgage Calculator'!InterestRate/12,B324-1,-'Mortgage Calculator'!MonthlyLoanPayment,'Mortgage Calculator'!LoanAmount),"")</f>
        <v/>
      </c>
      <c r="E324" s="216">
        <v>0</v>
      </c>
      <c r="F324" s="216" t="s">
        <v>689</v>
      </c>
      <c r="G324" s="216">
        <f ca="1">IF(Amortization32[[#This Row],[payment
date]]="",0,'Mortgage Calculator'!PropertyTaxAmount)</f>
        <v>0</v>
      </c>
      <c r="H324" s="216">
        <f ca="1">IF(Amortization32[[#This Row],[payment
date]]="",0,Amortization32[[#This Row],[interest]]+Amortization32[[#This Row],[principal]]+Amortization32[[#This Row],[property
tax]])</f>
        <v>0</v>
      </c>
      <c r="I324" s="216">
        <f ca="1">IF(Amortization32[[#This Row],[payment
date]]="",0,Amortization32[[#This Row],[opening
balance]]-Amortization32[[#This Row],[principal]])</f>
        <v>0</v>
      </c>
      <c r="J324" s="217">
        <f ca="1">IF(Amortization32[[#This Row],[closing
balance]]&gt;0,LastRow-ROW(),0)</f>
        <v>0</v>
      </c>
    </row>
    <row r="325" spans="2:10" ht="15" customHeight="1">
      <c r="B325" s="214" t="str">
        <f>IF(SUM(ROWS($B$4:B325))&gt;'Mortgage Calculator'!DurationOfLoan,"",SUM(ROWS($B$4:B325)))</f>
        <v/>
      </c>
      <c r="C325" s="215" t="str">
        <f ca="1">IFERROR(DATE(YEAR('Mortgage Calculator'!LoanStart), MONTH('Mortgage Calculator'!LoanStart) +B325,DAY('Mortgage Calculator'!LoanStart)), "")</f>
        <v/>
      </c>
      <c r="D325" s="216" t="str">
        <f>IFERROR(-FV('Mortgage Calculator'!InterestRate/12,B325-1,-'Mortgage Calculator'!MonthlyLoanPayment,'Mortgage Calculator'!LoanAmount),"")</f>
        <v/>
      </c>
      <c r="E325" s="216">
        <v>0</v>
      </c>
      <c r="F325" s="216" t="s">
        <v>689</v>
      </c>
      <c r="G325" s="216">
        <f ca="1">IF(Amortization32[[#This Row],[payment
date]]="",0,'Mortgage Calculator'!PropertyTaxAmount)</f>
        <v>0</v>
      </c>
      <c r="H325" s="216">
        <f ca="1">IF(Amortization32[[#This Row],[payment
date]]="",0,Amortization32[[#This Row],[interest]]+Amortization32[[#This Row],[principal]]+Amortization32[[#This Row],[property
tax]])</f>
        <v>0</v>
      </c>
      <c r="I325" s="216">
        <f ca="1">IF(Amortization32[[#This Row],[payment
date]]="",0,Amortization32[[#This Row],[opening
balance]]-Amortization32[[#This Row],[principal]])</f>
        <v>0</v>
      </c>
      <c r="J325" s="217">
        <f ca="1">IF(Amortization32[[#This Row],[closing
balance]]&gt;0,LastRow-ROW(),0)</f>
        <v>0</v>
      </c>
    </row>
    <row r="326" spans="2:10" ht="15" customHeight="1">
      <c r="B326" s="214" t="str">
        <f>IF(SUM(ROWS($B$4:B326))&gt;'Mortgage Calculator'!DurationOfLoan,"",SUM(ROWS($B$4:B326)))</f>
        <v/>
      </c>
      <c r="C326" s="215" t="str">
        <f ca="1">IFERROR(DATE(YEAR('Mortgage Calculator'!LoanStart), MONTH('Mortgage Calculator'!LoanStart) +B326,DAY('Mortgage Calculator'!LoanStart)), "")</f>
        <v/>
      </c>
      <c r="D326" s="216" t="str">
        <f>IFERROR(-FV('Mortgage Calculator'!InterestRate/12,B326-1,-'Mortgage Calculator'!MonthlyLoanPayment,'Mortgage Calculator'!LoanAmount),"")</f>
        <v/>
      </c>
      <c r="E326" s="216">
        <v>0</v>
      </c>
      <c r="F326" s="216" t="s">
        <v>689</v>
      </c>
      <c r="G326" s="216">
        <f ca="1">IF(Amortization32[[#This Row],[payment
date]]="",0,'Mortgage Calculator'!PropertyTaxAmount)</f>
        <v>0</v>
      </c>
      <c r="H326" s="216">
        <f ca="1">IF(Amortization32[[#This Row],[payment
date]]="",0,Amortization32[[#This Row],[interest]]+Amortization32[[#This Row],[principal]]+Amortization32[[#This Row],[property
tax]])</f>
        <v>0</v>
      </c>
      <c r="I326" s="216">
        <f ca="1">IF(Amortization32[[#This Row],[payment
date]]="",0,Amortization32[[#This Row],[opening
balance]]-Amortization32[[#This Row],[principal]])</f>
        <v>0</v>
      </c>
      <c r="J326" s="217">
        <f ca="1">IF(Amortization32[[#This Row],[closing
balance]]&gt;0,LastRow-ROW(),0)</f>
        <v>0</v>
      </c>
    </row>
    <row r="327" spans="2:10" ht="15" customHeight="1">
      <c r="B327" s="214" t="str">
        <f>IF(SUM(ROWS($B$4:B327))&gt;'Mortgage Calculator'!DurationOfLoan,"",SUM(ROWS($B$4:B327)))</f>
        <v/>
      </c>
      <c r="C327" s="215" t="str">
        <f ca="1">IFERROR(DATE(YEAR('Mortgage Calculator'!LoanStart), MONTH('Mortgage Calculator'!LoanStart) +B327,DAY('Mortgage Calculator'!LoanStart)), "")</f>
        <v/>
      </c>
      <c r="D327" s="216" t="str">
        <f>IFERROR(-FV('Mortgage Calculator'!InterestRate/12,B327-1,-'Mortgage Calculator'!MonthlyLoanPayment,'Mortgage Calculator'!LoanAmount),"")</f>
        <v/>
      </c>
      <c r="E327" s="216">
        <v>0</v>
      </c>
      <c r="F327" s="216" t="s">
        <v>689</v>
      </c>
      <c r="G327" s="216">
        <f ca="1">IF(Amortization32[[#This Row],[payment
date]]="",0,'Mortgage Calculator'!PropertyTaxAmount)</f>
        <v>0</v>
      </c>
      <c r="H327" s="216">
        <f ca="1">IF(Amortization32[[#This Row],[payment
date]]="",0,Amortization32[[#This Row],[interest]]+Amortization32[[#This Row],[principal]]+Amortization32[[#This Row],[property
tax]])</f>
        <v>0</v>
      </c>
      <c r="I327" s="216">
        <f ca="1">IF(Amortization32[[#This Row],[payment
date]]="",0,Amortization32[[#This Row],[opening
balance]]-Amortization32[[#This Row],[principal]])</f>
        <v>0</v>
      </c>
      <c r="J327" s="217">
        <f ca="1">IF(Amortization32[[#This Row],[closing
balance]]&gt;0,LastRow-ROW(),0)</f>
        <v>0</v>
      </c>
    </row>
    <row r="328" spans="2:10" ht="15" customHeight="1">
      <c r="B328" s="214" t="str">
        <f>IF(SUM(ROWS($B$4:B328))&gt;'Mortgage Calculator'!DurationOfLoan,"",SUM(ROWS($B$4:B328)))</f>
        <v/>
      </c>
      <c r="C328" s="215" t="str">
        <f ca="1">IFERROR(DATE(YEAR('Mortgage Calculator'!LoanStart), MONTH('Mortgage Calculator'!LoanStart) +B328,DAY('Mortgage Calculator'!LoanStart)), "")</f>
        <v/>
      </c>
      <c r="D328" s="216" t="str">
        <f>IFERROR(-FV('Mortgage Calculator'!InterestRate/12,B328-1,-'Mortgage Calculator'!MonthlyLoanPayment,'Mortgage Calculator'!LoanAmount),"")</f>
        <v/>
      </c>
      <c r="E328" s="216">
        <v>0</v>
      </c>
      <c r="F328" s="216" t="s">
        <v>689</v>
      </c>
      <c r="G328" s="216">
        <f ca="1">IF(Amortization32[[#This Row],[payment
date]]="",0,'Mortgage Calculator'!PropertyTaxAmount)</f>
        <v>0</v>
      </c>
      <c r="H328" s="216">
        <f ca="1">IF(Amortization32[[#This Row],[payment
date]]="",0,Amortization32[[#This Row],[interest]]+Amortization32[[#This Row],[principal]]+Amortization32[[#This Row],[property
tax]])</f>
        <v>0</v>
      </c>
      <c r="I328" s="216">
        <f ca="1">IF(Amortization32[[#This Row],[payment
date]]="",0,Amortization32[[#This Row],[opening
balance]]-Amortization32[[#This Row],[principal]])</f>
        <v>0</v>
      </c>
      <c r="J328" s="217">
        <f ca="1">IF(Amortization32[[#This Row],[closing
balance]]&gt;0,LastRow-ROW(),0)</f>
        <v>0</v>
      </c>
    </row>
    <row r="329" spans="2:10" ht="15" customHeight="1">
      <c r="B329" s="214" t="str">
        <f>IF(SUM(ROWS($B$4:B329))&gt;'Mortgage Calculator'!DurationOfLoan,"",SUM(ROWS($B$4:B329)))</f>
        <v/>
      </c>
      <c r="C329" s="215" t="str">
        <f ca="1">IFERROR(DATE(YEAR('Mortgage Calculator'!LoanStart), MONTH('Mortgage Calculator'!LoanStart) +B329,DAY('Mortgage Calculator'!LoanStart)), "")</f>
        <v/>
      </c>
      <c r="D329" s="216" t="str">
        <f>IFERROR(-FV('Mortgage Calculator'!InterestRate/12,B329-1,-'Mortgage Calculator'!MonthlyLoanPayment,'Mortgage Calculator'!LoanAmount),"")</f>
        <v/>
      </c>
      <c r="E329" s="216">
        <v>0</v>
      </c>
      <c r="F329" s="216" t="s">
        <v>689</v>
      </c>
      <c r="G329" s="216">
        <f ca="1">IF(Amortization32[[#This Row],[payment
date]]="",0,'Mortgage Calculator'!PropertyTaxAmount)</f>
        <v>0</v>
      </c>
      <c r="H329" s="216">
        <f ca="1">IF(Amortization32[[#This Row],[payment
date]]="",0,Amortization32[[#This Row],[interest]]+Amortization32[[#This Row],[principal]]+Amortization32[[#This Row],[property
tax]])</f>
        <v>0</v>
      </c>
      <c r="I329" s="216">
        <f ca="1">IF(Amortization32[[#This Row],[payment
date]]="",0,Amortization32[[#This Row],[opening
balance]]-Amortization32[[#This Row],[principal]])</f>
        <v>0</v>
      </c>
      <c r="J329" s="217">
        <f ca="1">IF(Amortization32[[#This Row],[closing
balance]]&gt;0,LastRow-ROW(),0)</f>
        <v>0</v>
      </c>
    </row>
    <row r="330" spans="2:10" ht="15" customHeight="1">
      <c r="B330" s="214" t="str">
        <f>IF(SUM(ROWS($B$4:B330))&gt;'Mortgage Calculator'!DurationOfLoan,"",SUM(ROWS($B$4:B330)))</f>
        <v/>
      </c>
      <c r="C330" s="215" t="str">
        <f ca="1">IFERROR(DATE(YEAR('Mortgage Calculator'!LoanStart), MONTH('Mortgage Calculator'!LoanStart) +B330,DAY('Mortgage Calculator'!LoanStart)), "")</f>
        <v/>
      </c>
      <c r="D330" s="216" t="str">
        <f>IFERROR(-FV('Mortgage Calculator'!InterestRate/12,B330-1,-'Mortgage Calculator'!MonthlyLoanPayment,'Mortgage Calculator'!LoanAmount),"")</f>
        <v/>
      </c>
      <c r="E330" s="216">
        <v>0</v>
      </c>
      <c r="F330" s="216" t="s">
        <v>689</v>
      </c>
      <c r="G330" s="216">
        <f ca="1">IF(Amortization32[[#This Row],[payment
date]]="",0,'Mortgage Calculator'!PropertyTaxAmount)</f>
        <v>0</v>
      </c>
      <c r="H330" s="216">
        <f ca="1">IF(Amortization32[[#This Row],[payment
date]]="",0,Amortization32[[#This Row],[interest]]+Amortization32[[#This Row],[principal]]+Amortization32[[#This Row],[property
tax]])</f>
        <v>0</v>
      </c>
      <c r="I330" s="216">
        <f ca="1">IF(Amortization32[[#This Row],[payment
date]]="",0,Amortization32[[#This Row],[opening
balance]]-Amortization32[[#This Row],[principal]])</f>
        <v>0</v>
      </c>
      <c r="J330" s="217">
        <f ca="1">IF(Amortization32[[#This Row],[closing
balance]]&gt;0,LastRow-ROW(),0)</f>
        <v>0</v>
      </c>
    </row>
    <row r="331" spans="2:10" ht="15" customHeight="1">
      <c r="B331" s="214" t="str">
        <f>IF(SUM(ROWS($B$4:B331))&gt;'Mortgage Calculator'!DurationOfLoan,"",SUM(ROWS($B$4:B331)))</f>
        <v/>
      </c>
      <c r="C331" s="215" t="str">
        <f ca="1">IFERROR(DATE(YEAR('Mortgage Calculator'!LoanStart), MONTH('Mortgage Calculator'!LoanStart) +B331,DAY('Mortgage Calculator'!LoanStart)), "")</f>
        <v/>
      </c>
      <c r="D331" s="216" t="str">
        <f>IFERROR(-FV('Mortgage Calculator'!InterestRate/12,B331-1,-'Mortgage Calculator'!MonthlyLoanPayment,'Mortgage Calculator'!LoanAmount),"")</f>
        <v/>
      </c>
      <c r="E331" s="216">
        <v>0</v>
      </c>
      <c r="F331" s="216" t="s">
        <v>689</v>
      </c>
      <c r="G331" s="216">
        <f ca="1">IF(Amortization32[[#This Row],[payment
date]]="",0,'Mortgage Calculator'!PropertyTaxAmount)</f>
        <v>0</v>
      </c>
      <c r="H331" s="216">
        <f ca="1">IF(Amortization32[[#This Row],[payment
date]]="",0,Amortization32[[#This Row],[interest]]+Amortization32[[#This Row],[principal]]+Amortization32[[#This Row],[property
tax]])</f>
        <v>0</v>
      </c>
      <c r="I331" s="216">
        <f ca="1">IF(Amortization32[[#This Row],[payment
date]]="",0,Amortization32[[#This Row],[opening
balance]]-Amortization32[[#This Row],[principal]])</f>
        <v>0</v>
      </c>
      <c r="J331" s="217">
        <f ca="1">IF(Amortization32[[#This Row],[closing
balance]]&gt;0,LastRow-ROW(),0)</f>
        <v>0</v>
      </c>
    </row>
    <row r="332" spans="2:10" ht="15" customHeight="1">
      <c r="B332" s="214" t="str">
        <f>IF(SUM(ROWS($B$4:B332))&gt;'Mortgage Calculator'!DurationOfLoan,"",SUM(ROWS($B$4:B332)))</f>
        <v/>
      </c>
      <c r="C332" s="215" t="str">
        <f ca="1">IFERROR(DATE(YEAR('Mortgage Calculator'!LoanStart), MONTH('Mortgage Calculator'!LoanStart) +B332,DAY('Mortgage Calculator'!LoanStart)), "")</f>
        <v/>
      </c>
      <c r="D332" s="216" t="str">
        <f>IFERROR(-FV('Mortgage Calculator'!InterestRate/12,B332-1,-'Mortgage Calculator'!MonthlyLoanPayment,'Mortgage Calculator'!LoanAmount),"")</f>
        <v/>
      </c>
      <c r="E332" s="216">
        <v>0</v>
      </c>
      <c r="F332" s="216" t="s">
        <v>689</v>
      </c>
      <c r="G332" s="216">
        <f ca="1">IF(Amortization32[[#This Row],[payment
date]]="",0,'Mortgage Calculator'!PropertyTaxAmount)</f>
        <v>0</v>
      </c>
      <c r="H332" s="216">
        <f ca="1">IF(Amortization32[[#This Row],[payment
date]]="",0,Amortization32[[#This Row],[interest]]+Amortization32[[#This Row],[principal]]+Amortization32[[#This Row],[property
tax]])</f>
        <v>0</v>
      </c>
      <c r="I332" s="216">
        <f ca="1">IF(Amortization32[[#This Row],[payment
date]]="",0,Amortization32[[#This Row],[opening
balance]]-Amortization32[[#This Row],[principal]])</f>
        <v>0</v>
      </c>
      <c r="J332" s="217">
        <f ca="1">IF(Amortization32[[#This Row],[closing
balance]]&gt;0,LastRow-ROW(),0)</f>
        <v>0</v>
      </c>
    </row>
    <row r="333" spans="2:10" ht="15" customHeight="1">
      <c r="B333" s="214" t="str">
        <f>IF(SUM(ROWS($B$4:B333))&gt;'Mortgage Calculator'!DurationOfLoan,"",SUM(ROWS($B$4:B333)))</f>
        <v/>
      </c>
      <c r="C333" s="215" t="str">
        <f ca="1">IFERROR(DATE(YEAR('Mortgage Calculator'!LoanStart), MONTH('Mortgage Calculator'!LoanStart) +B333,DAY('Mortgage Calculator'!LoanStart)), "")</f>
        <v/>
      </c>
      <c r="D333" s="216" t="str">
        <f>IFERROR(-FV('Mortgage Calculator'!InterestRate/12,B333-1,-'Mortgage Calculator'!MonthlyLoanPayment,'Mortgage Calculator'!LoanAmount),"")</f>
        <v/>
      </c>
      <c r="E333" s="216">
        <v>0</v>
      </c>
      <c r="F333" s="216" t="s">
        <v>689</v>
      </c>
      <c r="G333" s="216">
        <f ca="1">IF(Amortization32[[#This Row],[payment
date]]="",0,'Mortgage Calculator'!PropertyTaxAmount)</f>
        <v>0</v>
      </c>
      <c r="H333" s="216">
        <f ca="1">IF(Amortization32[[#This Row],[payment
date]]="",0,Amortization32[[#This Row],[interest]]+Amortization32[[#This Row],[principal]]+Amortization32[[#This Row],[property
tax]])</f>
        <v>0</v>
      </c>
      <c r="I333" s="216">
        <f ca="1">IF(Amortization32[[#This Row],[payment
date]]="",0,Amortization32[[#This Row],[opening
balance]]-Amortization32[[#This Row],[principal]])</f>
        <v>0</v>
      </c>
      <c r="J333" s="217">
        <f ca="1">IF(Amortization32[[#This Row],[closing
balance]]&gt;0,LastRow-ROW(),0)</f>
        <v>0</v>
      </c>
    </row>
    <row r="334" spans="2:10" ht="15" customHeight="1">
      <c r="B334" s="214" t="str">
        <f>IF(SUM(ROWS($B$4:B334))&gt;'Mortgage Calculator'!DurationOfLoan,"",SUM(ROWS($B$4:B334)))</f>
        <v/>
      </c>
      <c r="C334" s="215" t="str">
        <f ca="1">IFERROR(DATE(YEAR('Mortgage Calculator'!LoanStart), MONTH('Mortgage Calculator'!LoanStart) +B334,DAY('Mortgage Calculator'!LoanStart)), "")</f>
        <v/>
      </c>
      <c r="D334" s="216" t="str">
        <f>IFERROR(-FV('Mortgage Calculator'!InterestRate/12,B334-1,-'Mortgage Calculator'!MonthlyLoanPayment,'Mortgage Calculator'!LoanAmount),"")</f>
        <v/>
      </c>
      <c r="E334" s="216">
        <v>0</v>
      </c>
      <c r="F334" s="216" t="s">
        <v>689</v>
      </c>
      <c r="G334" s="216">
        <f ca="1">IF(Amortization32[[#This Row],[payment
date]]="",0,'Mortgage Calculator'!PropertyTaxAmount)</f>
        <v>0</v>
      </c>
      <c r="H334" s="216">
        <f ca="1">IF(Amortization32[[#This Row],[payment
date]]="",0,Amortization32[[#This Row],[interest]]+Amortization32[[#This Row],[principal]]+Amortization32[[#This Row],[property
tax]])</f>
        <v>0</v>
      </c>
      <c r="I334" s="216">
        <f ca="1">IF(Amortization32[[#This Row],[payment
date]]="",0,Amortization32[[#This Row],[opening
balance]]-Amortization32[[#This Row],[principal]])</f>
        <v>0</v>
      </c>
      <c r="J334" s="217">
        <f ca="1">IF(Amortization32[[#This Row],[closing
balance]]&gt;0,LastRow-ROW(),0)</f>
        <v>0</v>
      </c>
    </row>
    <row r="335" spans="2:10" ht="15" customHeight="1">
      <c r="B335" s="214" t="str">
        <f>IF(SUM(ROWS($B$4:B335))&gt;'Mortgage Calculator'!DurationOfLoan,"",SUM(ROWS($B$4:B335)))</f>
        <v/>
      </c>
      <c r="C335" s="215" t="str">
        <f ca="1">IFERROR(DATE(YEAR('Mortgage Calculator'!LoanStart), MONTH('Mortgage Calculator'!LoanStart) +B335,DAY('Mortgage Calculator'!LoanStart)), "")</f>
        <v/>
      </c>
      <c r="D335" s="216" t="str">
        <f>IFERROR(-FV('Mortgage Calculator'!InterestRate/12,B335-1,-'Mortgage Calculator'!MonthlyLoanPayment,'Mortgage Calculator'!LoanAmount),"")</f>
        <v/>
      </c>
      <c r="E335" s="216">
        <v>0</v>
      </c>
      <c r="F335" s="216" t="s">
        <v>689</v>
      </c>
      <c r="G335" s="216">
        <f ca="1">IF(Amortization32[[#This Row],[payment
date]]="",0,'Mortgage Calculator'!PropertyTaxAmount)</f>
        <v>0</v>
      </c>
      <c r="H335" s="216">
        <f ca="1">IF(Amortization32[[#This Row],[payment
date]]="",0,Amortization32[[#This Row],[interest]]+Amortization32[[#This Row],[principal]]+Amortization32[[#This Row],[property
tax]])</f>
        <v>0</v>
      </c>
      <c r="I335" s="216">
        <f ca="1">IF(Amortization32[[#This Row],[payment
date]]="",0,Amortization32[[#This Row],[opening
balance]]-Amortization32[[#This Row],[principal]])</f>
        <v>0</v>
      </c>
      <c r="J335" s="217">
        <f ca="1">IF(Amortization32[[#This Row],[closing
balance]]&gt;0,LastRow-ROW(),0)</f>
        <v>0</v>
      </c>
    </row>
    <row r="336" spans="2:10" ht="15" customHeight="1">
      <c r="B336" s="214" t="str">
        <f>IF(SUM(ROWS($B$4:B336))&gt;'Mortgage Calculator'!DurationOfLoan,"",SUM(ROWS($B$4:B336)))</f>
        <v/>
      </c>
      <c r="C336" s="215" t="str">
        <f ca="1">IFERROR(DATE(YEAR('Mortgage Calculator'!LoanStart), MONTH('Mortgage Calculator'!LoanStart) +B336,DAY('Mortgage Calculator'!LoanStart)), "")</f>
        <v/>
      </c>
      <c r="D336" s="216" t="str">
        <f>IFERROR(-FV('Mortgage Calculator'!InterestRate/12,B336-1,-'Mortgage Calculator'!MonthlyLoanPayment,'Mortgage Calculator'!LoanAmount),"")</f>
        <v/>
      </c>
      <c r="E336" s="216">
        <v>0</v>
      </c>
      <c r="F336" s="216" t="s">
        <v>689</v>
      </c>
      <c r="G336" s="216">
        <f ca="1">IF(Amortization32[[#This Row],[payment
date]]="",0,'Mortgage Calculator'!PropertyTaxAmount)</f>
        <v>0</v>
      </c>
      <c r="H336" s="216">
        <f ca="1">IF(Amortization32[[#This Row],[payment
date]]="",0,Amortization32[[#This Row],[interest]]+Amortization32[[#This Row],[principal]]+Amortization32[[#This Row],[property
tax]])</f>
        <v>0</v>
      </c>
      <c r="I336" s="216">
        <f ca="1">IF(Amortization32[[#This Row],[payment
date]]="",0,Amortization32[[#This Row],[opening
balance]]-Amortization32[[#This Row],[principal]])</f>
        <v>0</v>
      </c>
      <c r="J336" s="217">
        <f ca="1">IF(Amortization32[[#This Row],[closing
balance]]&gt;0,LastRow-ROW(),0)</f>
        <v>0</v>
      </c>
    </row>
    <row r="337" spans="2:10" ht="15" customHeight="1">
      <c r="B337" s="214" t="str">
        <f>IF(SUM(ROWS($B$4:B337))&gt;'Mortgage Calculator'!DurationOfLoan,"",SUM(ROWS($B$4:B337)))</f>
        <v/>
      </c>
      <c r="C337" s="215" t="str">
        <f ca="1">IFERROR(DATE(YEAR('Mortgage Calculator'!LoanStart), MONTH('Mortgage Calculator'!LoanStart) +B337,DAY('Mortgage Calculator'!LoanStart)), "")</f>
        <v/>
      </c>
      <c r="D337" s="216" t="str">
        <f>IFERROR(-FV('Mortgage Calculator'!InterestRate/12,B337-1,-'Mortgage Calculator'!MonthlyLoanPayment,'Mortgage Calculator'!LoanAmount),"")</f>
        <v/>
      </c>
      <c r="E337" s="216">
        <v>0</v>
      </c>
      <c r="F337" s="216" t="s">
        <v>689</v>
      </c>
      <c r="G337" s="216">
        <f ca="1">IF(Amortization32[[#This Row],[payment
date]]="",0,'Mortgage Calculator'!PropertyTaxAmount)</f>
        <v>0</v>
      </c>
      <c r="H337" s="216">
        <f ca="1">IF(Amortization32[[#This Row],[payment
date]]="",0,Amortization32[[#This Row],[interest]]+Amortization32[[#This Row],[principal]]+Amortization32[[#This Row],[property
tax]])</f>
        <v>0</v>
      </c>
      <c r="I337" s="216">
        <f ca="1">IF(Amortization32[[#This Row],[payment
date]]="",0,Amortization32[[#This Row],[opening
balance]]-Amortization32[[#This Row],[principal]])</f>
        <v>0</v>
      </c>
      <c r="J337" s="217">
        <f ca="1">IF(Amortization32[[#This Row],[closing
balance]]&gt;0,LastRow-ROW(),0)</f>
        <v>0</v>
      </c>
    </row>
    <row r="338" spans="2:10" ht="15" customHeight="1">
      <c r="B338" s="214" t="str">
        <f>IF(SUM(ROWS($B$4:B338))&gt;'Mortgage Calculator'!DurationOfLoan,"",SUM(ROWS($B$4:B338)))</f>
        <v/>
      </c>
      <c r="C338" s="215" t="str">
        <f ca="1">IFERROR(DATE(YEAR('Mortgage Calculator'!LoanStart), MONTH('Mortgage Calculator'!LoanStart) +B338,DAY('Mortgage Calculator'!LoanStart)), "")</f>
        <v/>
      </c>
      <c r="D338" s="216" t="str">
        <f>IFERROR(-FV('Mortgage Calculator'!InterestRate/12,B338-1,-'Mortgage Calculator'!MonthlyLoanPayment,'Mortgage Calculator'!LoanAmount),"")</f>
        <v/>
      </c>
      <c r="E338" s="216">
        <v>0</v>
      </c>
      <c r="F338" s="216" t="s">
        <v>689</v>
      </c>
      <c r="G338" s="216">
        <f ca="1">IF(Amortization32[[#This Row],[payment
date]]="",0,'Mortgage Calculator'!PropertyTaxAmount)</f>
        <v>0</v>
      </c>
      <c r="H338" s="216">
        <f ca="1">IF(Amortization32[[#This Row],[payment
date]]="",0,Amortization32[[#This Row],[interest]]+Amortization32[[#This Row],[principal]]+Amortization32[[#This Row],[property
tax]])</f>
        <v>0</v>
      </c>
      <c r="I338" s="216">
        <f ca="1">IF(Amortization32[[#This Row],[payment
date]]="",0,Amortization32[[#This Row],[opening
balance]]-Amortization32[[#This Row],[principal]])</f>
        <v>0</v>
      </c>
      <c r="J338" s="217">
        <f ca="1">IF(Amortization32[[#This Row],[closing
balance]]&gt;0,LastRow-ROW(),0)</f>
        <v>0</v>
      </c>
    </row>
    <row r="339" spans="2:10" ht="15" customHeight="1">
      <c r="B339" s="214" t="str">
        <f>IF(SUM(ROWS($B$4:B339))&gt;'Mortgage Calculator'!DurationOfLoan,"",SUM(ROWS($B$4:B339)))</f>
        <v/>
      </c>
      <c r="C339" s="215" t="str">
        <f ca="1">IFERROR(DATE(YEAR('Mortgage Calculator'!LoanStart), MONTH('Mortgage Calculator'!LoanStart) +B339,DAY('Mortgage Calculator'!LoanStart)), "")</f>
        <v/>
      </c>
      <c r="D339" s="216" t="str">
        <f>IFERROR(-FV('Mortgage Calculator'!InterestRate/12,B339-1,-'Mortgage Calculator'!MonthlyLoanPayment,'Mortgage Calculator'!LoanAmount),"")</f>
        <v/>
      </c>
      <c r="E339" s="216">
        <v>0</v>
      </c>
      <c r="F339" s="216" t="s">
        <v>689</v>
      </c>
      <c r="G339" s="216">
        <f ca="1">IF(Amortization32[[#This Row],[payment
date]]="",0,'Mortgage Calculator'!PropertyTaxAmount)</f>
        <v>0</v>
      </c>
      <c r="H339" s="216">
        <f ca="1">IF(Amortization32[[#This Row],[payment
date]]="",0,Amortization32[[#This Row],[interest]]+Amortization32[[#This Row],[principal]]+Amortization32[[#This Row],[property
tax]])</f>
        <v>0</v>
      </c>
      <c r="I339" s="216">
        <f ca="1">IF(Amortization32[[#This Row],[payment
date]]="",0,Amortization32[[#This Row],[opening
balance]]-Amortization32[[#This Row],[principal]])</f>
        <v>0</v>
      </c>
      <c r="J339" s="217">
        <f ca="1">IF(Amortization32[[#This Row],[closing
balance]]&gt;0,LastRow-ROW(),0)</f>
        <v>0</v>
      </c>
    </row>
    <row r="340" spans="2:10" ht="15" customHeight="1">
      <c r="B340" s="214" t="str">
        <f>IF(SUM(ROWS($B$4:B340))&gt;'Mortgage Calculator'!DurationOfLoan,"",SUM(ROWS($B$4:B340)))</f>
        <v/>
      </c>
      <c r="C340" s="215" t="str">
        <f ca="1">IFERROR(DATE(YEAR('Mortgage Calculator'!LoanStart), MONTH('Mortgage Calculator'!LoanStart) +B340,DAY('Mortgage Calculator'!LoanStart)), "")</f>
        <v/>
      </c>
      <c r="D340" s="216" t="str">
        <f>IFERROR(-FV('Mortgage Calculator'!InterestRate/12,B340-1,-'Mortgage Calculator'!MonthlyLoanPayment,'Mortgage Calculator'!LoanAmount),"")</f>
        <v/>
      </c>
      <c r="E340" s="216">
        <v>0</v>
      </c>
      <c r="F340" s="216" t="s">
        <v>689</v>
      </c>
      <c r="G340" s="216">
        <f ca="1">IF(Amortization32[[#This Row],[payment
date]]="",0,'Mortgage Calculator'!PropertyTaxAmount)</f>
        <v>0</v>
      </c>
      <c r="H340" s="216">
        <f ca="1">IF(Amortization32[[#This Row],[payment
date]]="",0,Amortization32[[#This Row],[interest]]+Amortization32[[#This Row],[principal]]+Amortization32[[#This Row],[property
tax]])</f>
        <v>0</v>
      </c>
      <c r="I340" s="216">
        <f ca="1">IF(Amortization32[[#This Row],[payment
date]]="",0,Amortization32[[#This Row],[opening
balance]]-Amortization32[[#This Row],[principal]])</f>
        <v>0</v>
      </c>
      <c r="J340" s="217">
        <f ca="1">IF(Amortization32[[#This Row],[closing
balance]]&gt;0,LastRow-ROW(),0)</f>
        <v>0</v>
      </c>
    </row>
    <row r="341" spans="2:10" ht="15" customHeight="1">
      <c r="B341" s="214" t="str">
        <f>IF(SUM(ROWS($B$4:B341))&gt;'Mortgage Calculator'!DurationOfLoan,"",SUM(ROWS($B$4:B341)))</f>
        <v/>
      </c>
      <c r="C341" s="215" t="str">
        <f ca="1">IFERROR(DATE(YEAR('Mortgage Calculator'!LoanStart), MONTH('Mortgage Calculator'!LoanStart) +B341,DAY('Mortgage Calculator'!LoanStart)), "")</f>
        <v/>
      </c>
      <c r="D341" s="216" t="str">
        <f>IFERROR(-FV('Mortgage Calculator'!InterestRate/12,B341-1,-'Mortgage Calculator'!MonthlyLoanPayment,'Mortgage Calculator'!LoanAmount),"")</f>
        <v/>
      </c>
      <c r="E341" s="216">
        <v>0</v>
      </c>
      <c r="F341" s="216" t="s">
        <v>689</v>
      </c>
      <c r="G341" s="216">
        <f ca="1">IF(Amortization32[[#This Row],[payment
date]]="",0,'Mortgage Calculator'!PropertyTaxAmount)</f>
        <v>0</v>
      </c>
      <c r="H341" s="216">
        <f ca="1">IF(Amortization32[[#This Row],[payment
date]]="",0,Amortization32[[#This Row],[interest]]+Amortization32[[#This Row],[principal]]+Amortization32[[#This Row],[property
tax]])</f>
        <v>0</v>
      </c>
      <c r="I341" s="216">
        <f ca="1">IF(Amortization32[[#This Row],[payment
date]]="",0,Amortization32[[#This Row],[opening
balance]]-Amortization32[[#This Row],[principal]])</f>
        <v>0</v>
      </c>
      <c r="J341" s="217">
        <f ca="1">IF(Amortization32[[#This Row],[closing
balance]]&gt;0,LastRow-ROW(),0)</f>
        <v>0</v>
      </c>
    </row>
    <row r="342" spans="2:10" ht="15" customHeight="1">
      <c r="B342" s="214" t="str">
        <f>IF(SUM(ROWS($B$4:B342))&gt;'Mortgage Calculator'!DurationOfLoan,"",SUM(ROWS($B$4:B342)))</f>
        <v/>
      </c>
      <c r="C342" s="215" t="str">
        <f ca="1">IFERROR(DATE(YEAR('Mortgage Calculator'!LoanStart), MONTH('Mortgage Calculator'!LoanStart) +B342,DAY('Mortgage Calculator'!LoanStart)), "")</f>
        <v/>
      </c>
      <c r="D342" s="216" t="str">
        <f>IFERROR(-FV('Mortgage Calculator'!InterestRate/12,B342-1,-'Mortgage Calculator'!MonthlyLoanPayment,'Mortgage Calculator'!LoanAmount),"")</f>
        <v/>
      </c>
      <c r="E342" s="216">
        <v>0</v>
      </c>
      <c r="F342" s="216" t="s">
        <v>689</v>
      </c>
      <c r="G342" s="216">
        <f ca="1">IF(Amortization32[[#This Row],[payment
date]]="",0,'Mortgage Calculator'!PropertyTaxAmount)</f>
        <v>0</v>
      </c>
      <c r="H342" s="216">
        <f ca="1">IF(Amortization32[[#This Row],[payment
date]]="",0,Amortization32[[#This Row],[interest]]+Amortization32[[#This Row],[principal]]+Amortization32[[#This Row],[property
tax]])</f>
        <v>0</v>
      </c>
      <c r="I342" s="216">
        <f ca="1">IF(Amortization32[[#This Row],[payment
date]]="",0,Amortization32[[#This Row],[opening
balance]]-Amortization32[[#This Row],[principal]])</f>
        <v>0</v>
      </c>
      <c r="J342" s="217">
        <f ca="1">IF(Amortization32[[#This Row],[closing
balance]]&gt;0,LastRow-ROW(),0)</f>
        <v>0</v>
      </c>
    </row>
    <row r="343" spans="2:10" ht="15" customHeight="1">
      <c r="B343" s="214" t="str">
        <f>IF(SUM(ROWS($B$4:B343))&gt;'Mortgage Calculator'!DurationOfLoan,"",SUM(ROWS($B$4:B343)))</f>
        <v/>
      </c>
      <c r="C343" s="215" t="str">
        <f ca="1">IFERROR(DATE(YEAR('Mortgage Calculator'!LoanStart), MONTH('Mortgage Calculator'!LoanStart) +B343,DAY('Mortgage Calculator'!LoanStart)), "")</f>
        <v/>
      </c>
      <c r="D343" s="216" t="str">
        <f>IFERROR(-FV('Mortgage Calculator'!InterestRate/12,B343-1,-'Mortgage Calculator'!MonthlyLoanPayment,'Mortgage Calculator'!LoanAmount),"")</f>
        <v/>
      </c>
      <c r="E343" s="216">
        <v>0</v>
      </c>
      <c r="F343" s="216" t="s">
        <v>689</v>
      </c>
      <c r="G343" s="216">
        <f ca="1">IF(Amortization32[[#This Row],[payment
date]]="",0,'Mortgage Calculator'!PropertyTaxAmount)</f>
        <v>0</v>
      </c>
      <c r="H343" s="216">
        <f ca="1">IF(Amortization32[[#This Row],[payment
date]]="",0,Amortization32[[#This Row],[interest]]+Amortization32[[#This Row],[principal]]+Amortization32[[#This Row],[property
tax]])</f>
        <v>0</v>
      </c>
      <c r="I343" s="216">
        <f ca="1">IF(Amortization32[[#This Row],[payment
date]]="",0,Amortization32[[#This Row],[opening
balance]]-Amortization32[[#This Row],[principal]])</f>
        <v>0</v>
      </c>
      <c r="J343" s="217">
        <f ca="1">IF(Amortization32[[#This Row],[closing
balance]]&gt;0,LastRow-ROW(),0)</f>
        <v>0</v>
      </c>
    </row>
    <row r="344" spans="2:10" ht="15" customHeight="1">
      <c r="B344" s="214" t="str">
        <f>IF(SUM(ROWS($B$4:B344))&gt;'Mortgage Calculator'!DurationOfLoan,"",SUM(ROWS($B$4:B344)))</f>
        <v/>
      </c>
      <c r="C344" s="215" t="str">
        <f ca="1">IFERROR(DATE(YEAR('Mortgage Calculator'!LoanStart), MONTH('Mortgage Calculator'!LoanStart) +B344,DAY('Mortgage Calculator'!LoanStart)), "")</f>
        <v/>
      </c>
      <c r="D344" s="216" t="str">
        <f>IFERROR(-FV('Mortgage Calculator'!InterestRate/12,B344-1,-'Mortgage Calculator'!MonthlyLoanPayment,'Mortgage Calculator'!LoanAmount),"")</f>
        <v/>
      </c>
      <c r="E344" s="216">
        <v>0</v>
      </c>
      <c r="F344" s="216" t="s">
        <v>689</v>
      </c>
      <c r="G344" s="216">
        <f ca="1">IF(Amortization32[[#This Row],[payment
date]]="",0,'Mortgage Calculator'!PropertyTaxAmount)</f>
        <v>0</v>
      </c>
      <c r="H344" s="216">
        <f ca="1">IF(Amortization32[[#This Row],[payment
date]]="",0,Amortization32[[#This Row],[interest]]+Amortization32[[#This Row],[principal]]+Amortization32[[#This Row],[property
tax]])</f>
        <v>0</v>
      </c>
      <c r="I344" s="216">
        <f ca="1">IF(Amortization32[[#This Row],[payment
date]]="",0,Amortization32[[#This Row],[opening
balance]]-Amortization32[[#This Row],[principal]])</f>
        <v>0</v>
      </c>
      <c r="J344" s="217">
        <f ca="1">IF(Amortization32[[#This Row],[closing
balance]]&gt;0,LastRow-ROW(),0)</f>
        <v>0</v>
      </c>
    </row>
    <row r="345" spans="2:10" ht="15" customHeight="1">
      <c r="B345" s="214" t="str">
        <f>IF(SUM(ROWS($B$4:B345))&gt;'Mortgage Calculator'!DurationOfLoan,"",SUM(ROWS($B$4:B345)))</f>
        <v/>
      </c>
      <c r="C345" s="215" t="str">
        <f ca="1">IFERROR(DATE(YEAR('Mortgage Calculator'!LoanStart), MONTH('Mortgage Calculator'!LoanStart) +B345,DAY('Mortgage Calculator'!LoanStart)), "")</f>
        <v/>
      </c>
      <c r="D345" s="216" t="str">
        <f>IFERROR(-FV('Mortgage Calculator'!InterestRate/12,B345-1,-'Mortgage Calculator'!MonthlyLoanPayment,'Mortgage Calculator'!LoanAmount),"")</f>
        <v/>
      </c>
      <c r="E345" s="216">
        <v>0</v>
      </c>
      <c r="F345" s="216" t="s">
        <v>689</v>
      </c>
      <c r="G345" s="216">
        <f ca="1">IF(Amortization32[[#This Row],[payment
date]]="",0,'Mortgage Calculator'!PropertyTaxAmount)</f>
        <v>0</v>
      </c>
      <c r="H345" s="216">
        <f ca="1">IF(Amortization32[[#This Row],[payment
date]]="",0,Amortization32[[#This Row],[interest]]+Amortization32[[#This Row],[principal]]+Amortization32[[#This Row],[property
tax]])</f>
        <v>0</v>
      </c>
      <c r="I345" s="216">
        <f ca="1">IF(Amortization32[[#This Row],[payment
date]]="",0,Amortization32[[#This Row],[opening
balance]]-Amortization32[[#This Row],[principal]])</f>
        <v>0</v>
      </c>
      <c r="J345" s="217">
        <f ca="1">IF(Amortization32[[#This Row],[closing
balance]]&gt;0,LastRow-ROW(),0)</f>
        <v>0</v>
      </c>
    </row>
    <row r="346" spans="2:10" ht="15" customHeight="1">
      <c r="B346" s="214" t="str">
        <f>IF(SUM(ROWS($B$4:B346))&gt;'Mortgage Calculator'!DurationOfLoan,"",SUM(ROWS($B$4:B346)))</f>
        <v/>
      </c>
      <c r="C346" s="215" t="str">
        <f ca="1">IFERROR(DATE(YEAR('Mortgage Calculator'!LoanStart), MONTH('Mortgage Calculator'!LoanStart) +B346,DAY('Mortgage Calculator'!LoanStart)), "")</f>
        <v/>
      </c>
      <c r="D346" s="216" t="str">
        <f>IFERROR(-FV('Mortgage Calculator'!InterestRate/12,B346-1,-'Mortgage Calculator'!MonthlyLoanPayment,'Mortgage Calculator'!LoanAmount),"")</f>
        <v/>
      </c>
      <c r="E346" s="216">
        <v>0</v>
      </c>
      <c r="F346" s="216" t="s">
        <v>689</v>
      </c>
      <c r="G346" s="216">
        <f ca="1">IF(Amortization32[[#This Row],[payment
date]]="",0,'Mortgage Calculator'!PropertyTaxAmount)</f>
        <v>0</v>
      </c>
      <c r="H346" s="216">
        <f ca="1">IF(Amortization32[[#This Row],[payment
date]]="",0,Amortization32[[#This Row],[interest]]+Amortization32[[#This Row],[principal]]+Amortization32[[#This Row],[property
tax]])</f>
        <v>0</v>
      </c>
      <c r="I346" s="216">
        <f ca="1">IF(Amortization32[[#This Row],[payment
date]]="",0,Amortization32[[#This Row],[opening
balance]]-Amortization32[[#This Row],[principal]])</f>
        <v>0</v>
      </c>
      <c r="J346" s="217">
        <f ca="1">IF(Amortization32[[#This Row],[closing
balance]]&gt;0,LastRow-ROW(),0)</f>
        <v>0</v>
      </c>
    </row>
    <row r="347" spans="2:10" ht="15" customHeight="1">
      <c r="B347" s="214" t="str">
        <f>IF(SUM(ROWS($B$4:B347))&gt;'Mortgage Calculator'!DurationOfLoan,"",SUM(ROWS($B$4:B347)))</f>
        <v/>
      </c>
      <c r="C347" s="215" t="str">
        <f ca="1">IFERROR(DATE(YEAR('Mortgage Calculator'!LoanStart), MONTH('Mortgage Calculator'!LoanStart) +B347,DAY('Mortgage Calculator'!LoanStart)), "")</f>
        <v/>
      </c>
      <c r="D347" s="216" t="str">
        <f>IFERROR(-FV('Mortgage Calculator'!InterestRate/12,B347-1,-'Mortgage Calculator'!MonthlyLoanPayment,'Mortgage Calculator'!LoanAmount),"")</f>
        <v/>
      </c>
      <c r="E347" s="216">
        <v>0</v>
      </c>
      <c r="F347" s="216" t="s">
        <v>689</v>
      </c>
      <c r="G347" s="216">
        <f ca="1">IF(Amortization32[[#This Row],[payment
date]]="",0,'Mortgage Calculator'!PropertyTaxAmount)</f>
        <v>0</v>
      </c>
      <c r="H347" s="216">
        <f ca="1">IF(Amortization32[[#This Row],[payment
date]]="",0,Amortization32[[#This Row],[interest]]+Amortization32[[#This Row],[principal]]+Amortization32[[#This Row],[property
tax]])</f>
        <v>0</v>
      </c>
      <c r="I347" s="216">
        <f ca="1">IF(Amortization32[[#This Row],[payment
date]]="",0,Amortization32[[#This Row],[opening
balance]]-Amortization32[[#This Row],[principal]])</f>
        <v>0</v>
      </c>
      <c r="J347" s="217">
        <f ca="1">IF(Amortization32[[#This Row],[closing
balance]]&gt;0,LastRow-ROW(),0)</f>
        <v>0</v>
      </c>
    </row>
    <row r="348" spans="2:10" ht="15" customHeight="1">
      <c r="B348" s="214" t="str">
        <f>IF(SUM(ROWS($B$4:B348))&gt;'Mortgage Calculator'!DurationOfLoan,"",SUM(ROWS($B$4:B348)))</f>
        <v/>
      </c>
      <c r="C348" s="215" t="str">
        <f ca="1">IFERROR(DATE(YEAR('Mortgage Calculator'!LoanStart), MONTH('Mortgage Calculator'!LoanStart) +B348,DAY('Mortgage Calculator'!LoanStart)), "")</f>
        <v/>
      </c>
      <c r="D348" s="216" t="str">
        <f>IFERROR(-FV('Mortgage Calculator'!InterestRate/12,B348-1,-'Mortgage Calculator'!MonthlyLoanPayment,'Mortgage Calculator'!LoanAmount),"")</f>
        <v/>
      </c>
      <c r="E348" s="216">
        <v>0</v>
      </c>
      <c r="F348" s="216" t="s">
        <v>689</v>
      </c>
      <c r="G348" s="216">
        <f ca="1">IF(Amortization32[[#This Row],[payment
date]]="",0,'Mortgage Calculator'!PropertyTaxAmount)</f>
        <v>0</v>
      </c>
      <c r="H348" s="216">
        <f ca="1">IF(Amortization32[[#This Row],[payment
date]]="",0,Amortization32[[#This Row],[interest]]+Amortization32[[#This Row],[principal]]+Amortization32[[#This Row],[property
tax]])</f>
        <v>0</v>
      </c>
      <c r="I348" s="216">
        <f ca="1">IF(Amortization32[[#This Row],[payment
date]]="",0,Amortization32[[#This Row],[opening
balance]]-Amortization32[[#This Row],[principal]])</f>
        <v>0</v>
      </c>
      <c r="J348" s="217">
        <f ca="1">IF(Amortization32[[#This Row],[closing
balance]]&gt;0,LastRow-ROW(),0)</f>
        <v>0</v>
      </c>
    </row>
    <row r="349" spans="2:10" ht="15" customHeight="1">
      <c r="B349" s="214" t="str">
        <f>IF(SUM(ROWS($B$4:B349))&gt;'Mortgage Calculator'!DurationOfLoan,"",SUM(ROWS($B$4:B349)))</f>
        <v/>
      </c>
      <c r="C349" s="215" t="str">
        <f ca="1">IFERROR(DATE(YEAR('Mortgage Calculator'!LoanStart), MONTH('Mortgage Calculator'!LoanStart) +B349,DAY('Mortgage Calculator'!LoanStart)), "")</f>
        <v/>
      </c>
      <c r="D349" s="216" t="str">
        <f>IFERROR(-FV('Mortgage Calculator'!InterestRate/12,B349-1,-'Mortgage Calculator'!MonthlyLoanPayment,'Mortgage Calculator'!LoanAmount),"")</f>
        <v/>
      </c>
      <c r="E349" s="216">
        <v>0</v>
      </c>
      <c r="F349" s="216" t="s">
        <v>689</v>
      </c>
      <c r="G349" s="216">
        <f ca="1">IF(Amortization32[[#This Row],[payment
date]]="",0,'Mortgage Calculator'!PropertyTaxAmount)</f>
        <v>0</v>
      </c>
      <c r="H349" s="216">
        <f ca="1">IF(Amortization32[[#This Row],[payment
date]]="",0,Amortization32[[#This Row],[interest]]+Amortization32[[#This Row],[principal]]+Amortization32[[#This Row],[property
tax]])</f>
        <v>0</v>
      </c>
      <c r="I349" s="216">
        <f ca="1">IF(Amortization32[[#This Row],[payment
date]]="",0,Amortization32[[#This Row],[opening
balance]]-Amortization32[[#This Row],[principal]])</f>
        <v>0</v>
      </c>
      <c r="J349" s="217">
        <f ca="1">IF(Amortization32[[#This Row],[closing
balance]]&gt;0,LastRow-ROW(),0)</f>
        <v>0</v>
      </c>
    </row>
    <row r="350" spans="2:10" ht="15" customHeight="1">
      <c r="B350" s="214" t="str">
        <f>IF(SUM(ROWS($B$4:B350))&gt;'Mortgage Calculator'!DurationOfLoan,"",SUM(ROWS($B$4:B350)))</f>
        <v/>
      </c>
      <c r="C350" s="215" t="str">
        <f ca="1">IFERROR(DATE(YEAR('Mortgage Calculator'!LoanStart), MONTH('Mortgage Calculator'!LoanStart) +B350,DAY('Mortgage Calculator'!LoanStart)), "")</f>
        <v/>
      </c>
      <c r="D350" s="216" t="str">
        <f>IFERROR(-FV('Mortgage Calculator'!InterestRate/12,B350-1,-'Mortgage Calculator'!MonthlyLoanPayment,'Mortgage Calculator'!LoanAmount),"")</f>
        <v/>
      </c>
      <c r="E350" s="216">
        <v>0</v>
      </c>
      <c r="F350" s="216" t="s">
        <v>689</v>
      </c>
      <c r="G350" s="216">
        <f ca="1">IF(Amortization32[[#This Row],[payment
date]]="",0,'Mortgage Calculator'!PropertyTaxAmount)</f>
        <v>0</v>
      </c>
      <c r="H350" s="216">
        <f ca="1">IF(Amortization32[[#This Row],[payment
date]]="",0,Amortization32[[#This Row],[interest]]+Amortization32[[#This Row],[principal]]+Amortization32[[#This Row],[property
tax]])</f>
        <v>0</v>
      </c>
      <c r="I350" s="216">
        <f ca="1">IF(Amortization32[[#This Row],[payment
date]]="",0,Amortization32[[#This Row],[opening
balance]]-Amortization32[[#This Row],[principal]])</f>
        <v>0</v>
      </c>
      <c r="J350" s="217">
        <f ca="1">IF(Amortization32[[#This Row],[closing
balance]]&gt;0,LastRow-ROW(),0)</f>
        <v>0</v>
      </c>
    </row>
    <row r="351" spans="2:10" ht="15" customHeight="1">
      <c r="B351" s="214" t="str">
        <f>IF(SUM(ROWS($B$4:B351))&gt;'Mortgage Calculator'!DurationOfLoan,"",SUM(ROWS($B$4:B351)))</f>
        <v/>
      </c>
      <c r="C351" s="215" t="str">
        <f ca="1">IFERROR(DATE(YEAR('Mortgage Calculator'!LoanStart), MONTH('Mortgage Calculator'!LoanStart) +B351,DAY('Mortgage Calculator'!LoanStart)), "")</f>
        <v/>
      </c>
      <c r="D351" s="216" t="str">
        <f>IFERROR(-FV('Mortgage Calculator'!InterestRate/12,B351-1,-'Mortgage Calculator'!MonthlyLoanPayment,'Mortgage Calculator'!LoanAmount),"")</f>
        <v/>
      </c>
      <c r="E351" s="216">
        <v>0</v>
      </c>
      <c r="F351" s="216" t="s">
        <v>689</v>
      </c>
      <c r="G351" s="216">
        <f ca="1">IF(Amortization32[[#This Row],[payment
date]]="",0,'Mortgage Calculator'!PropertyTaxAmount)</f>
        <v>0</v>
      </c>
      <c r="H351" s="216">
        <f ca="1">IF(Amortization32[[#This Row],[payment
date]]="",0,Amortization32[[#This Row],[interest]]+Amortization32[[#This Row],[principal]]+Amortization32[[#This Row],[property
tax]])</f>
        <v>0</v>
      </c>
      <c r="I351" s="216">
        <f ca="1">IF(Amortization32[[#This Row],[payment
date]]="",0,Amortization32[[#This Row],[opening
balance]]-Amortization32[[#This Row],[principal]])</f>
        <v>0</v>
      </c>
      <c r="J351" s="217">
        <f ca="1">IF(Amortization32[[#This Row],[closing
balance]]&gt;0,LastRow-ROW(),0)</f>
        <v>0</v>
      </c>
    </row>
    <row r="352" spans="2:10" ht="15" customHeight="1">
      <c r="B352" s="214" t="str">
        <f>IF(SUM(ROWS($B$4:B352))&gt;'Mortgage Calculator'!DurationOfLoan,"",SUM(ROWS($B$4:B352)))</f>
        <v/>
      </c>
      <c r="C352" s="215" t="str">
        <f ca="1">IFERROR(DATE(YEAR('Mortgage Calculator'!LoanStart), MONTH('Mortgage Calculator'!LoanStart) +B352,DAY('Mortgage Calculator'!LoanStart)), "")</f>
        <v/>
      </c>
      <c r="D352" s="216" t="str">
        <f>IFERROR(-FV('Mortgage Calculator'!InterestRate/12,B352-1,-'Mortgage Calculator'!MonthlyLoanPayment,'Mortgage Calculator'!LoanAmount),"")</f>
        <v/>
      </c>
      <c r="E352" s="216">
        <v>0</v>
      </c>
      <c r="F352" s="216" t="s">
        <v>689</v>
      </c>
      <c r="G352" s="216">
        <f ca="1">IF(Amortization32[[#This Row],[payment
date]]="",0,'Mortgage Calculator'!PropertyTaxAmount)</f>
        <v>0</v>
      </c>
      <c r="H352" s="216">
        <f ca="1">IF(Amortization32[[#This Row],[payment
date]]="",0,Amortization32[[#This Row],[interest]]+Amortization32[[#This Row],[principal]]+Amortization32[[#This Row],[property
tax]])</f>
        <v>0</v>
      </c>
      <c r="I352" s="216">
        <f ca="1">IF(Amortization32[[#This Row],[payment
date]]="",0,Amortization32[[#This Row],[opening
balance]]-Amortization32[[#This Row],[principal]])</f>
        <v>0</v>
      </c>
      <c r="J352" s="217">
        <f ca="1">IF(Amortization32[[#This Row],[closing
balance]]&gt;0,LastRow-ROW(),0)</f>
        <v>0</v>
      </c>
    </row>
    <row r="353" spans="2:10" ht="15" customHeight="1">
      <c r="B353" s="214" t="str">
        <f>IF(SUM(ROWS($B$4:B353))&gt;'Mortgage Calculator'!DurationOfLoan,"",SUM(ROWS($B$4:B353)))</f>
        <v/>
      </c>
      <c r="C353" s="215" t="str">
        <f ca="1">IFERROR(DATE(YEAR('Mortgage Calculator'!LoanStart), MONTH('Mortgage Calculator'!LoanStart) +B353,DAY('Mortgage Calculator'!LoanStart)), "")</f>
        <v/>
      </c>
      <c r="D353" s="216" t="str">
        <f>IFERROR(-FV('Mortgage Calculator'!InterestRate/12,B353-1,-'Mortgage Calculator'!MonthlyLoanPayment,'Mortgage Calculator'!LoanAmount),"")</f>
        <v/>
      </c>
      <c r="E353" s="216">
        <v>0</v>
      </c>
      <c r="F353" s="216" t="s">
        <v>689</v>
      </c>
      <c r="G353" s="216">
        <f ca="1">IF(Amortization32[[#This Row],[payment
date]]="",0,'Mortgage Calculator'!PropertyTaxAmount)</f>
        <v>0</v>
      </c>
      <c r="H353" s="216">
        <f ca="1">IF(Amortization32[[#This Row],[payment
date]]="",0,Amortization32[[#This Row],[interest]]+Amortization32[[#This Row],[principal]]+Amortization32[[#This Row],[property
tax]])</f>
        <v>0</v>
      </c>
      <c r="I353" s="216">
        <f ca="1">IF(Amortization32[[#This Row],[payment
date]]="",0,Amortization32[[#This Row],[opening
balance]]-Amortization32[[#This Row],[principal]])</f>
        <v>0</v>
      </c>
      <c r="J353" s="217">
        <f ca="1">IF(Amortization32[[#This Row],[closing
balance]]&gt;0,LastRow-ROW(),0)</f>
        <v>0</v>
      </c>
    </row>
    <row r="354" spans="2:10" ht="15" customHeight="1">
      <c r="B354" s="214" t="str">
        <f>IF(SUM(ROWS($B$4:B354))&gt;'Mortgage Calculator'!DurationOfLoan,"",SUM(ROWS($B$4:B354)))</f>
        <v/>
      </c>
      <c r="C354" s="215" t="str">
        <f ca="1">IFERROR(DATE(YEAR('Mortgage Calculator'!LoanStart), MONTH('Mortgage Calculator'!LoanStart) +B354,DAY('Mortgage Calculator'!LoanStart)), "")</f>
        <v/>
      </c>
      <c r="D354" s="216" t="str">
        <f>IFERROR(-FV('Mortgage Calculator'!InterestRate/12,B354-1,-'Mortgage Calculator'!MonthlyLoanPayment,'Mortgage Calculator'!LoanAmount),"")</f>
        <v/>
      </c>
      <c r="E354" s="216">
        <v>0</v>
      </c>
      <c r="F354" s="216" t="s">
        <v>689</v>
      </c>
      <c r="G354" s="216">
        <f ca="1">IF(Amortization32[[#This Row],[payment
date]]="",0,'Mortgage Calculator'!PropertyTaxAmount)</f>
        <v>0</v>
      </c>
      <c r="H354" s="216">
        <f ca="1">IF(Amortization32[[#This Row],[payment
date]]="",0,Amortization32[[#This Row],[interest]]+Amortization32[[#This Row],[principal]]+Amortization32[[#This Row],[property
tax]])</f>
        <v>0</v>
      </c>
      <c r="I354" s="216">
        <f ca="1">IF(Amortization32[[#This Row],[payment
date]]="",0,Amortization32[[#This Row],[opening
balance]]-Amortization32[[#This Row],[principal]])</f>
        <v>0</v>
      </c>
      <c r="J354" s="217">
        <f ca="1">IF(Amortization32[[#This Row],[closing
balance]]&gt;0,LastRow-ROW(),0)</f>
        <v>0</v>
      </c>
    </row>
    <row r="355" spans="2:10" ht="15" customHeight="1">
      <c r="B355" s="214" t="str">
        <f>IF(SUM(ROWS($B$4:B355))&gt;'Mortgage Calculator'!DurationOfLoan,"",SUM(ROWS($B$4:B355)))</f>
        <v/>
      </c>
      <c r="C355" s="215" t="str">
        <f ca="1">IFERROR(DATE(YEAR('Mortgage Calculator'!LoanStart), MONTH('Mortgage Calculator'!LoanStart) +B355,DAY('Mortgage Calculator'!LoanStart)), "")</f>
        <v/>
      </c>
      <c r="D355" s="216" t="str">
        <f>IFERROR(-FV('Mortgage Calculator'!InterestRate/12,B355-1,-'Mortgage Calculator'!MonthlyLoanPayment,'Mortgage Calculator'!LoanAmount),"")</f>
        <v/>
      </c>
      <c r="E355" s="216">
        <v>0</v>
      </c>
      <c r="F355" s="216" t="s">
        <v>689</v>
      </c>
      <c r="G355" s="216">
        <f ca="1">IF(Amortization32[[#This Row],[payment
date]]="",0,'Mortgage Calculator'!PropertyTaxAmount)</f>
        <v>0</v>
      </c>
      <c r="H355" s="216">
        <f ca="1">IF(Amortization32[[#This Row],[payment
date]]="",0,Amortization32[[#This Row],[interest]]+Amortization32[[#This Row],[principal]]+Amortization32[[#This Row],[property
tax]])</f>
        <v>0</v>
      </c>
      <c r="I355" s="216">
        <f ca="1">IF(Amortization32[[#This Row],[payment
date]]="",0,Amortization32[[#This Row],[opening
balance]]-Amortization32[[#This Row],[principal]])</f>
        <v>0</v>
      </c>
      <c r="J355" s="217">
        <f ca="1">IF(Amortization32[[#This Row],[closing
balance]]&gt;0,LastRow-ROW(),0)</f>
        <v>0</v>
      </c>
    </row>
    <row r="356" spans="2:10" ht="15" customHeight="1">
      <c r="B356" s="214" t="str">
        <f>IF(SUM(ROWS($B$4:B356))&gt;'Mortgage Calculator'!DurationOfLoan,"",SUM(ROWS($B$4:B356)))</f>
        <v/>
      </c>
      <c r="C356" s="215" t="str">
        <f ca="1">IFERROR(DATE(YEAR('Mortgage Calculator'!LoanStart), MONTH('Mortgage Calculator'!LoanStart) +B356,DAY('Mortgage Calculator'!LoanStart)), "")</f>
        <v/>
      </c>
      <c r="D356" s="216" t="str">
        <f>IFERROR(-FV('Mortgage Calculator'!InterestRate/12,B356-1,-'Mortgage Calculator'!MonthlyLoanPayment,'Mortgage Calculator'!LoanAmount),"")</f>
        <v/>
      </c>
      <c r="E356" s="216">
        <v>0</v>
      </c>
      <c r="F356" s="216" t="s">
        <v>689</v>
      </c>
      <c r="G356" s="216">
        <f ca="1">IF(Amortization32[[#This Row],[payment
date]]="",0,'Mortgage Calculator'!PropertyTaxAmount)</f>
        <v>0</v>
      </c>
      <c r="H356" s="216">
        <f ca="1">IF(Amortization32[[#This Row],[payment
date]]="",0,Amortization32[[#This Row],[interest]]+Amortization32[[#This Row],[principal]]+Amortization32[[#This Row],[property
tax]])</f>
        <v>0</v>
      </c>
      <c r="I356" s="216">
        <f ca="1">IF(Amortization32[[#This Row],[payment
date]]="",0,Amortization32[[#This Row],[opening
balance]]-Amortization32[[#This Row],[principal]])</f>
        <v>0</v>
      </c>
      <c r="J356" s="217">
        <f ca="1">IF(Amortization32[[#This Row],[closing
balance]]&gt;0,LastRow-ROW(),0)</f>
        <v>0</v>
      </c>
    </row>
    <row r="357" spans="2:10" ht="15" customHeight="1">
      <c r="B357" s="214" t="str">
        <f>IF(SUM(ROWS($B$4:B357))&gt;'Mortgage Calculator'!DurationOfLoan,"",SUM(ROWS($B$4:B357)))</f>
        <v/>
      </c>
      <c r="C357" s="215" t="str">
        <f ca="1">IFERROR(DATE(YEAR('Mortgage Calculator'!LoanStart), MONTH('Mortgage Calculator'!LoanStart) +B357,DAY('Mortgage Calculator'!LoanStart)), "")</f>
        <v/>
      </c>
      <c r="D357" s="216" t="str">
        <f>IFERROR(-FV('Mortgage Calculator'!InterestRate/12,B357-1,-'Mortgage Calculator'!MonthlyLoanPayment,'Mortgage Calculator'!LoanAmount),"")</f>
        <v/>
      </c>
      <c r="E357" s="216">
        <v>0</v>
      </c>
      <c r="F357" s="216" t="s">
        <v>689</v>
      </c>
      <c r="G357" s="216">
        <f ca="1">IF(Amortization32[[#This Row],[payment
date]]="",0,'Mortgage Calculator'!PropertyTaxAmount)</f>
        <v>0</v>
      </c>
      <c r="H357" s="216">
        <f ca="1">IF(Amortization32[[#This Row],[payment
date]]="",0,Amortization32[[#This Row],[interest]]+Amortization32[[#This Row],[principal]]+Amortization32[[#This Row],[property
tax]])</f>
        <v>0</v>
      </c>
      <c r="I357" s="216">
        <f ca="1">IF(Amortization32[[#This Row],[payment
date]]="",0,Amortization32[[#This Row],[opening
balance]]-Amortization32[[#This Row],[principal]])</f>
        <v>0</v>
      </c>
      <c r="J357" s="217">
        <f ca="1">IF(Amortization32[[#This Row],[closing
balance]]&gt;0,LastRow-ROW(),0)</f>
        <v>0</v>
      </c>
    </row>
    <row r="358" spans="2:10" ht="15" customHeight="1">
      <c r="B358" s="214" t="str">
        <f>IF(SUM(ROWS($B$4:B358))&gt;'Mortgage Calculator'!DurationOfLoan,"",SUM(ROWS($B$4:B358)))</f>
        <v/>
      </c>
      <c r="C358" s="215" t="str">
        <f ca="1">IFERROR(DATE(YEAR('Mortgage Calculator'!LoanStart), MONTH('Mortgage Calculator'!LoanStart) +B358,DAY('Mortgage Calculator'!LoanStart)), "")</f>
        <v/>
      </c>
      <c r="D358" s="216" t="str">
        <f>IFERROR(-FV('Mortgage Calculator'!InterestRate/12,B358-1,-'Mortgage Calculator'!MonthlyLoanPayment,'Mortgage Calculator'!LoanAmount),"")</f>
        <v/>
      </c>
      <c r="E358" s="216">
        <v>0</v>
      </c>
      <c r="F358" s="216" t="s">
        <v>689</v>
      </c>
      <c r="G358" s="216">
        <f ca="1">IF(Amortization32[[#This Row],[payment
date]]="",0,'Mortgage Calculator'!PropertyTaxAmount)</f>
        <v>0</v>
      </c>
      <c r="H358" s="216">
        <f ca="1">IF(Amortization32[[#This Row],[payment
date]]="",0,Amortization32[[#This Row],[interest]]+Amortization32[[#This Row],[principal]]+Amortization32[[#This Row],[property
tax]])</f>
        <v>0</v>
      </c>
      <c r="I358" s="216">
        <f ca="1">IF(Amortization32[[#This Row],[payment
date]]="",0,Amortization32[[#This Row],[opening
balance]]-Amortization32[[#This Row],[principal]])</f>
        <v>0</v>
      </c>
      <c r="J358" s="217">
        <f ca="1">IF(Amortization32[[#This Row],[closing
balance]]&gt;0,LastRow-ROW(),0)</f>
        <v>0</v>
      </c>
    </row>
    <row r="359" spans="2:10" ht="15" customHeight="1">
      <c r="B359" s="214" t="str">
        <f>IF(SUM(ROWS($B$4:B359))&gt;'Mortgage Calculator'!DurationOfLoan,"",SUM(ROWS($B$4:B359)))</f>
        <v/>
      </c>
      <c r="C359" s="215" t="str">
        <f ca="1">IFERROR(DATE(YEAR('Mortgage Calculator'!LoanStart), MONTH('Mortgage Calculator'!LoanStart) +B359,DAY('Mortgage Calculator'!LoanStart)), "")</f>
        <v/>
      </c>
      <c r="D359" s="216" t="str">
        <f>IFERROR(-FV('Mortgage Calculator'!InterestRate/12,B359-1,-'Mortgage Calculator'!MonthlyLoanPayment,'Mortgage Calculator'!LoanAmount),"")</f>
        <v/>
      </c>
      <c r="E359" s="216">
        <v>0</v>
      </c>
      <c r="F359" s="216" t="s">
        <v>689</v>
      </c>
      <c r="G359" s="216">
        <f ca="1">IF(Amortization32[[#This Row],[payment
date]]="",0,'Mortgage Calculator'!PropertyTaxAmount)</f>
        <v>0</v>
      </c>
      <c r="H359" s="216">
        <f ca="1">IF(Amortization32[[#This Row],[payment
date]]="",0,Amortization32[[#This Row],[interest]]+Amortization32[[#This Row],[principal]]+Amortization32[[#This Row],[property
tax]])</f>
        <v>0</v>
      </c>
      <c r="I359" s="216">
        <f ca="1">IF(Amortization32[[#This Row],[payment
date]]="",0,Amortization32[[#This Row],[opening
balance]]-Amortization32[[#This Row],[principal]])</f>
        <v>0</v>
      </c>
      <c r="J359" s="217">
        <f ca="1">IF(Amortization32[[#This Row],[closing
balance]]&gt;0,LastRow-ROW(),0)</f>
        <v>0</v>
      </c>
    </row>
    <row r="360" spans="2:10" ht="15" customHeight="1">
      <c r="B360" s="214" t="str">
        <f>IF(SUM(ROWS($B$4:B360))&gt;'Mortgage Calculator'!DurationOfLoan,"",SUM(ROWS($B$4:B360)))</f>
        <v/>
      </c>
      <c r="C360" s="215" t="str">
        <f ca="1">IFERROR(DATE(YEAR('Mortgage Calculator'!LoanStart), MONTH('Mortgage Calculator'!LoanStart) +B360,DAY('Mortgage Calculator'!LoanStart)), "")</f>
        <v/>
      </c>
      <c r="D360" s="216" t="str">
        <f>IFERROR(-FV('Mortgage Calculator'!InterestRate/12,B360-1,-'Mortgage Calculator'!MonthlyLoanPayment,'Mortgage Calculator'!LoanAmount),"")</f>
        <v/>
      </c>
      <c r="E360" s="216">
        <v>0</v>
      </c>
      <c r="F360" s="216" t="s">
        <v>689</v>
      </c>
      <c r="G360" s="216">
        <f ca="1">IF(Amortization32[[#This Row],[payment
date]]="",0,'Mortgage Calculator'!PropertyTaxAmount)</f>
        <v>0</v>
      </c>
      <c r="H360" s="216">
        <f ca="1">IF(Amortization32[[#This Row],[payment
date]]="",0,Amortization32[[#This Row],[interest]]+Amortization32[[#This Row],[principal]]+Amortization32[[#This Row],[property
tax]])</f>
        <v>0</v>
      </c>
      <c r="I360" s="216">
        <f ca="1">IF(Amortization32[[#This Row],[payment
date]]="",0,Amortization32[[#This Row],[opening
balance]]-Amortization32[[#This Row],[principal]])</f>
        <v>0</v>
      </c>
      <c r="J360" s="217">
        <f ca="1">IF(Amortization32[[#This Row],[closing
balance]]&gt;0,LastRow-ROW(),0)</f>
        <v>0</v>
      </c>
    </row>
    <row r="361" spans="2:10" ht="15" customHeight="1">
      <c r="B361" s="214" t="str">
        <f>IF(SUM(ROWS($B$4:B361))&gt;'Mortgage Calculator'!DurationOfLoan,"",SUM(ROWS($B$4:B361)))</f>
        <v/>
      </c>
      <c r="C361" s="215" t="str">
        <f ca="1">IFERROR(DATE(YEAR('Mortgage Calculator'!LoanStart), MONTH('Mortgage Calculator'!LoanStart) +B361,DAY('Mortgage Calculator'!LoanStart)), "")</f>
        <v/>
      </c>
      <c r="D361" s="216" t="str">
        <f>IFERROR(-FV('Mortgage Calculator'!InterestRate/12,B361-1,-'Mortgage Calculator'!MonthlyLoanPayment,'Mortgage Calculator'!LoanAmount),"")</f>
        <v/>
      </c>
      <c r="E361" s="216">
        <v>0</v>
      </c>
      <c r="F361" s="216" t="s">
        <v>689</v>
      </c>
      <c r="G361" s="216">
        <f ca="1">IF(Amortization32[[#This Row],[payment
date]]="",0,'Mortgage Calculator'!PropertyTaxAmount)</f>
        <v>0</v>
      </c>
      <c r="H361" s="216">
        <f ca="1">IF(Amortization32[[#This Row],[payment
date]]="",0,Amortization32[[#This Row],[interest]]+Amortization32[[#This Row],[principal]]+Amortization32[[#This Row],[property
tax]])</f>
        <v>0</v>
      </c>
      <c r="I361" s="216">
        <f ca="1">IF(Amortization32[[#This Row],[payment
date]]="",0,Amortization32[[#This Row],[opening
balance]]-Amortization32[[#This Row],[principal]])</f>
        <v>0</v>
      </c>
      <c r="J361" s="217">
        <f ca="1">IF(Amortization32[[#This Row],[closing
balance]]&gt;0,LastRow-ROW(),0)</f>
        <v>0</v>
      </c>
    </row>
    <row r="362" spans="2:10" ht="15" customHeight="1">
      <c r="B362" s="214" t="str">
        <f>IF(SUM(ROWS($B$4:B362))&gt;'Mortgage Calculator'!DurationOfLoan,"",SUM(ROWS($B$4:B362)))</f>
        <v/>
      </c>
      <c r="C362" s="215" t="str">
        <f ca="1">IFERROR(DATE(YEAR('Mortgage Calculator'!LoanStart), MONTH('Mortgage Calculator'!LoanStart) +B362,DAY('Mortgage Calculator'!LoanStart)), "")</f>
        <v/>
      </c>
      <c r="D362" s="216" t="str">
        <f>IFERROR(-FV('Mortgage Calculator'!InterestRate/12,B362-1,-'Mortgage Calculator'!MonthlyLoanPayment,'Mortgage Calculator'!LoanAmount),"")</f>
        <v/>
      </c>
      <c r="E362" s="216">
        <v>0</v>
      </c>
      <c r="F362" s="216" t="s">
        <v>689</v>
      </c>
      <c r="G362" s="216">
        <f ca="1">IF(Amortization32[[#This Row],[payment
date]]="",0,'Mortgage Calculator'!PropertyTaxAmount)</f>
        <v>0</v>
      </c>
      <c r="H362" s="216">
        <f ca="1">IF(Amortization32[[#This Row],[payment
date]]="",0,Amortization32[[#This Row],[interest]]+Amortization32[[#This Row],[principal]]+Amortization32[[#This Row],[property
tax]])</f>
        <v>0</v>
      </c>
      <c r="I362" s="216">
        <f ca="1">IF(Amortization32[[#This Row],[payment
date]]="",0,Amortization32[[#This Row],[opening
balance]]-Amortization32[[#This Row],[principal]])</f>
        <v>0</v>
      </c>
      <c r="J362" s="217">
        <f ca="1">IF(Amortization32[[#This Row],[closing
balance]]&gt;0,LastRow-ROW(),0)</f>
        <v>0</v>
      </c>
    </row>
    <row r="363" spans="2:10" ht="15" customHeight="1">
      <c r="B363" s="214" t="str">
        <f>IF(SUM(ROWS($B$4:B363))&gt;'Mortgage Calculator'!DurationOfLoan,"",SUM(ROWS($B$4:B363)))</f>
        <v/>
      </c>
      <c r="C363" s="215" t="str">
        <f ca="1">IFERROR(DATE(YEAR('Mortgage Calculator'!LoanStart), MONTH('Mortgage Calculator'!LoanStart) +B363,DAY('Mortgage Calculator'!LoanStart)), "")</f>
        <v/>
      </c>
      <c r="D363" s="216" t="str">
        <f>IFERROR(-FV('Mortgage Calculator'!InterestRate/12,B363-1,-'Mortgage Calculator'!MonthlyLoanPayment,'Mortgage Calculator'!LoanAmount),"")</f>
        <v/>
      </c>
      <c r="E363" s="216">
        <v>0</v>
      </c>
      <c r="F363" s="216" t="s">
        <v>689</v>
      </c>
      <c r="G363" s="216">
        <f ca="1">IF(Amortization32[[#This Row],[payment
date]]="",0,'Mortgage Calculator'!PropertyTaxAmount)</f>
        <v>0</v>
      </c>
      <c r="H363" s="216">
        <f ca="1">IF(Amortization32[[#This Row],[payment
date]]="",0,Amortization32[[#This Row],[interest]]+Amortization32[[#This Row],[principal]]+Amortization32[[#This Row],[property
tax]])</f>
        <v>0</v>
      </c>
      <c r="I363" s="216">
        <f ca="1">IF(Amortization32[[#This Row],[payment
date]]="",0,Amortization32[[#This Row],[opening
balance]]-Amortization32[[#This Row],[principal]])</f>
        <v>0</v>
      </c>
      <c r="J363" s="217">
        <f ca="1">IF(Amortization32[[#This Row],[closing
balance]]&gt;0,LastRow-ROW(),0)</f>
        <v>0</v>
      </c>
    </row>
  </sheetData>
  <sheetProtection selectLockedCells="1"/>
  <mergeCells count="1">
    <mergeCell ref="B1:J2"/>
  </mergeCells>
  <conditionalFormatting sqref="B4:J363">
    <cfRule type="expression" dxfId="3" priority="1">
      <formula>$C4=""</formula>
    </cfRule>
  </conditionalFormatting>
  <dataValidations count="11">
    <dataValidation allowBlank="1" showInputMessage="1" showErrorMessage="1" prompt="Title of this worksheet is in this and the cell below" sqref="B1" xr:uid="{DF6BE18D-9B24-4F17-8D23-A5A5D8417154}"/>
    <dataValidation allowBlank="1" showInputMessage="1" showErrorMessage="1" prompt="Number of payments remaining are automatically updated in this column under this heading based on Loan Duration in Mortgage Calculator worksheet &amp; number of payments applied to loan" sqref="J3" xr:uid="{1486CC0F-5481-4DEA-98B0-1DF40204AB30}"/>
    <dataValidation allowBlank="1" showInputMessage="1" showErrorMessage="1" prompt="Closing balance adjusted for the total payment is automatically updated in this column" sqref="I3" xr:uid="{B4A3D284-2131-4EE7-9050-F5D4F53AE765}"/>
    <dataValidation allowBlank="1" showInputMessage="1" showErrorMessage="1" prompt="Total payment is automatically adjusted in this column based on the interest, principal and property tax amounts in column E, F and G" sqref="H3" xr:uid="{8CC21071-F07E-49D4-BB61-50119D3C45BE}"/>
    <dataValidation allowBlank="1" showInputMessage="1" showErrorMessage="1" prompt="Property tax payment entered in cell E8 on Mortgage Calculator worksheet is automatically updated in this column " sqref="G3" xr:uid="{2A2113BB-5A98-49DC-9582-E6CCB9D83B91}"/>
    <dataValidation allowBlank="1" showInputMessage="1" showErrorMessage="1" prompt="Amount of payment applied to the principal payment is automatically updated in this column" sqref="F3" xr:uid="{61C31B63-06F8-40C7-8520-86A1F0A77D5F}"/>
    <dataValidation allowBlank="1" showInputMessage="1" showErrorMessage="1" prompt="Interest breakdown is automatically updated in this column" sqref="E3" xr:uid="{698F3EF5-2C40-4476-9512-598F1B55B86D}"/>
    <dataValidation allowBlank="1" showInputMessage="1" showErrorMessage="1" prompt="Opening and adjusted balance as payments are applied are automatically updated in this column" sqref="D3" xr:uid="{D35599A3-3253-44C6-995A-8015B6E2BB36}"/>
    <dataValidation allowBlank="1" showInputMessage="1" showErrorMessage="1" prompt="Payment date is automatically updated in this column" sqref="C3" xr:uid="{75C594FB-F86E-4D56-999B-F0595E6CC3EC}"/>
    <dataValidation allowBlank="1" showInputMessage="1" showErrorMessage="1" prompt="Payment number is in this column. Add additional payments by adding a new row and entering the payment date. Columns will update automatically" sqref="B3" xr:uid="{9D6CE3BC-7121-44D1-BF54-592840CE0CA5}"/>
    <dataValidation allowBlank="1" showInputMessage="1" showErrorMessage="1" prompt="Amortization Table calculated from Mortgage Calculator worksheet. Add additional payments by inserting new rows to this table. Enter payment date &amp; columns will update automatically" sqref="A1" xr:uid="{84C2CC4E-39B5-44FE-8104-35594A235067}"/>
  </dataValidations>
  <printOptions horizontalCentered="1"/>
  <pageMargins left="0.25" right="0.25" top="0.75" bottom="0.75" header="0.3" footer="0.3"/>
  <pageSetup scale="74" fitToHeight="0" orientation="portrait" r:id="rId1"/>
  <headerFooter differentFirst="1">
    <oddFooter>Page &amp;P of &amp;N</oddFooter>
  </headerFooter>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021EF-4B3E-4049-9AE6-AF9EC512EDF1}">
  <sheetPr codeName="Sheet6">
    <tabColor rgb="FF5C5CE6"/>
  </sheetPr>
  <dimension ref="A1:G173"/>
  <sheetViews>
    <sheetView topLeftCell="B1" workbookViewId="0">
      <selection activeCell="L198" sqref="L198"/>
    </sheetView>
  </sheetViews>
  <sheetFormatPr defaultRowHeight="14.5"/>
  <cols>
    <col min="1" max="1" width="17.453125" customWidth="1"/>
    <col min="2" max="2" width="27" bestFit="1" customWidth="1"/>
    <col min="3" max="3" width="19.453125" customWidth="1"/>
    <col min="4" max="4" width="21.26953125" customWidth="1"/>
    <col min="7" max="7" width="10.54296875" customWidth="1"/>
  </cols>
  <sheetData>
    <row r="1" spans="1:7">
      <c r="A1" t="s">
        <v>437</v>
      </c>
      <c r="B1" t="s">
        <v>5</v>
      </c>
      <c r="C1" t="s">
        <v>690</v>
      </c>
      <c r="D1" t="s">
        <v>691</v>
      </c>
    </row>
    <row r="2" spans="1:7" hidden="1">
      <c r="A2" t="s">
        <v>692</v>
      </c>
      <c r="B2" t="s">
        <v>693</v>
      </c>
      <c r="C2">
        <v>0.74253251379999996</v>
      </c>
      <c r="D2">
        <v>1.3467423734999999</v>
      </c>
      <c r="F2" s="511" t="s">
        <v>437</v>
      </c>
      <c r="G2" s="512" t="s">
        <v>694</v>
      </c>
    </row>
    <row r="3" spans="1:7" hidden="1">
      <c r="A3" t="s">
        <v>695</v>
      </c>
      <c r="B3" t="s">
        <v>696</v>
      </c>
      <c r="C3">
        <v>0.64955094260000001</v>
      </c>
      <c r="D3">
        <v>1.5395251311</v>
      </c>
      <c r="G3" s="513"/>
    </row>
    <row r="4" spans="1:7" hidden="1">
      <c r="A4" t="s">
        <v>697</v>
      </c>
      <c r="B4" t="s">
        <v>698</v>
      </c>
      <c r="C4">
        <v>0.54214302059999997</v>
      </c>
      <c r="D4">
        <v>1.8445317233</v>
      </c>
    </row>
    <row r="5" spans="1:7" hidden="1">
      <c r="A5" t="s">
        <v>699</v>
      </c>
      <c r="B5" t="s">
        <v>700</v>
      </c>
      <c r="C5">
        <v>54.787100064500002</v>
      </c>
      <c r="D5">
        <v>1.82524718E-2</v>
      </c>
    </row>
    <row r="6" spans="1:7" hidden="1">
      <c r="A6" t="s">
        <v>440</v>
      </c>
      <c r="B6" t="s">
        <v>701</v>
      </c>
      <c r="C6">
        <v>1.0203318195</v>
      </c>
      <c r="D6">
        <v>0.98007332609999998</v>
      </c>
    </row>
    <row r="7" spans="1:7" hidden="1">
      <c r="A7" t="s">
        <v>702</v>
      </c>
      <c r="B7" t="s">
        <v>703</v>
      </c>
      <c r="C7">
        <v>0.92819690160000001</v>
      </c>
      <c r="D7">
        <v>1.0773576147999999</v>
      </c>
    </row>
    <row r="8" spans="1:7" hidden="1">
      <c r="A8" t="s">
        <v>694</v>
      </c>
      <c r="B8" t="s">
        <v>704</v>
      </c>
      <c r="C8">
        <v>1</v>
      </c>
      <c r="D8">
        <v>1</v>
      </c>
    </row>
    <row r="9" spans="1:7" hidden="1">
      <c r="A9" t="s">
        <v>705</v>
      </c>
      <c r="B9" t="s">
        <v>706</v>
      </c>
      <c r="C9">
        <v>0.67824428489999999</v>
      </c>
      <c r="D9">
        <v>1.4743950258</v>
      </c>
    </row>
    <row r="10" spans="1:7" hidden="1">
      <c r="A10" t="s">
        <v>707</v>
      </c>
      <c r="B10" t="s">
        <v>708</v>
      </c>
      <c r="C10">
        <v>3.1083446062000002</v>
      </c>
      <c r="D10">
        <v>0.32171465090000001</v>
      </c>
    </row>
    <row r="11" spans="1:7" hidden="1">
      <c r="A11" t="s">
        <v>709</v>
      </c>
      <c r="B11" t="s">
        <v>710</v>
      </c>
      <c r="C11">
        <v>85.194671913199997</v>
      </c>
      <c r="D11">
        <v>1.1737823200000001E-2</v>
      </c>
    </row>
    <row r="12" spans="1:7" hidden="1">
      <c r="A12" t="s">
        <v>711</v>
      </c>
      <c r="B12" t="s">
        <v>712</v>
      </c>
      <c r="C12">
        <v>4.7209670531999999</v>
      </c>
      <c r="D12">
        <v>0.21182100800000001</v>
      </c>
    </row>
    <row r="13" spans="1:7" hidden="1">
      <c r="A13" t="s">
        <v>713</v>
      </c>
      <c r="B13" t="s">
        <v>714</v>
      </c>
      <c r="C13">
        <v>1.0846310475000001</v>
      </c>
      <c r="D13">
        <v>0.92197250139999998</v>
      </c>
    </row>
    <row r="14" spans="1:7" hidden="1">
      <c r="A14" t="s">
        <v>715</v>
      </c>
      <c r="B14" t="s">
        <v>716</v>
      </c>
      <c r="C14">
        <v>24.7274103323</v>
      </c>
      <c r="D14">
        <v>4.0440951400000001E-2</v>
      </c>
    </row>
    <row r="15" spans="1:7" hidden="1">
      <c r="A15" t="s">
        <v>717</v>
      </c>
      <c r="B15" t="s">
        <v>718</v>
      </c>
      <c r="C15">
        <v>230.72891562359999</v>
      </c>
      <c r="D15">
        <v>4.3340905000000002E-3</v>
      </c>
    </row>
    <row r="16" spans="1:7" hidden="1">
      <c r="A16" t="s">
        <v>719</v>
      </c>
      <c r="B16" t="s">
        <v>720</v>
      </c>
      <c r="C16">
        <v>2.7269506568000002</v>
      </c>
      <c r="D16">
        <v>0.36670997239999997</v>
      </c>
    </row>
    <row r="17" spans="1:4" hidden="1">
      <c r="A17" t="s">
        <v>721</v>
      </c>
      <c r="B17" t="s">
        <v>722</v>
      </c>
      <c r="C17">
        <v>5.7860045792000001</v>
      </c>
      <c r="D17">
        <v>0.1728308345</v>
      </c>
    </row>
    <row r="18" spans="1:4" hidden="1">
      <c r="A18" t="s">
        <v>723</v>
      </c>
      <c r="B18" t="s">
        <v>724</v>
      </c>
      <c r="C18">
        <v>15.125161695499999</v>
      </c>
      <c r="D18">
        <v>6.6114995699999998E-2</v>
      </c>
    </row>
    <row r="19" spans="1:4" hidden="1">
      <c r="A19" t="s">
        <v>725</v>
      </c>
      <c r="B19" t="s">
        <v>726</v>
      </c>
      <c r="C19">
        <v>11.3898335633</v>
      </c>
      <c r="D19">
        <v>8.7797595500000006E-2</v>
      </c>
    </row>
    <row r="20" spans="1:4" hidden="1">
      <c r="A20" t="s">
        <v>727</v>
      </c>
      <c r="B20" t="s">
        <v>728</v>
      </c>
      <c r="C20">
        <v>37.877827535599998</v>
      </c>
      <c r="D20">
        <v>2.6400669299999999E-2</v>
      </c>
    </row>
    <row r="21" spans="1:4" hidden="1">
      <c r="A21" t="s">
        <v>729</v>
      </c>
      <c r="B21" t="s">
        <v>730</v>
      </c>
      <c r="C21">
        <v>6.6478209465999996</v>
      </c>
      <c r="D21">
        <v>0.1504252308</v>
      </c>
    </row>
    <row r="22" spans="1:4" hidden="1">
      <c r="A22" t="s">
        <v>731</v>
      </c>
      <c r="B22" t="s">
        <v>732</v>
      </c>
      <c r="C22">
        <v>10627.1703913289</v>
      </c>
      <c r="D22">
        <v>9.4098399999999993E-5</v>
      </c>
    </row>
    <row r="23" spans="1:4" hidden="1">
      <c r="A23" t="s">
        <v>733</v>
      </c>
      <c r="B23" t="s">
        <v>734</v>
      </c>
      <c r="C23">
        <v>4.1236183342999997</v>
      </c>
      <c r="D23">
        <v>0.24250546940000001</v>
      </c>
    </row>
    <row r="24" spans="1:4" hidden="1">
      <c r="A24" t="s">
        <v>735</v>
      </c>
      <c r="B24" t="s">
        <v>736</v>
      </c>
      <c r="C24">
        <v>2.7844969266000001</v>
      </c>
      <c r="D24">
        <v>0.35913129960000001</v>
      </c>
    </row>
    <row r="25" spans="1:4" hidden="1">
      <c r="A25" t="s">
        <v>737</v>
      </c>
      <c r="B25" t="s">
        <v>738</v>
      </c>
      <c r="C25">
        <v>9.8961814945000004</v>
      </c>
      <c r="D25">
        <v>0.10104907640000001</v>
      </c>
    </row>
    <row r="26" spans="1:4" hidden="1">
      <c r="A26" t="s">
        <v>739</v>
      </c>
      <c r="B26" t="s">
        <v>740</v>
      </c>
      <c r="C26">
        <v>84.168992884700003</v>
      </c>
      <c r="D26">
        <v>1.1880859800000001E-2</v>
      </c>
    </row>
    <row r="27" spans="1:4" hidden="1">
      <c r="A27" t="s">
        <v>741</v>
      </c>
      <c r="B27" t="s">
        <v>742</v>
      </c>
      <c r="C27">
        <v>881.84610974019995</v>
      </c>
      <c r="D27">
        <v>1.1339847E-3</v>
      </c>
    </row>
    <row r="28" spans="1:4" hidden="1">
      <c r="A28" t="s">
        <v>743</v>
      </c>
      <c r="B28" t="s">
        <v>744</v>
      </c>
      <c r="C28">
        <v>11.6727711367</v>
      </c>
      <c r="D28">
        <v>8.5669460000000003E-2</v>
      </c>
    </row>
    <row r="29" spans="1:4" hidden="1">
      <c r="A29" t="s">
        <v>745</v>
      </c>
      <c r="B29" t="s">
        <v>746</v>
      </c>
      <c r="C29">
        <v>1082.8566499213</v>
      </c>
      <c r="D29">
        <v>9.234833E-4</v>
      </c>
    </row>
    <row r="30" spans="1:4" hidden="1">
      <c r="A30" t="s">
        <v>747</v>
      </c>
      <c r="B30" t="s">
        <v>748</v>
      </c>
      <c r="C30">
        <v>6.4481511119999997</v>
      </c>
      <c r="D30">
        <v>0.15508321420000001</v>
      </c>
    </row>
    <row r="31" spans="1:4" hidden="1">
      <c r="A31" t="s">
        <v>749</v>
      </c>
      <c r="B31" t="s">
        <v>750</v>
      </c>
      <c r="C31">
        <v>0.2244442375</v>
      </c>
      <c r="D31">
        <v>4.4554496529999996</v>
      </c>
    </row>
    <row r="32" spans="1:4" hidden="1">
      <c r="A32" t="s">
        <v>751</v>
      </c>
      <c r="B32" t="s">
        <v>752</v>
      </c>
      <c r="C32">
        <v>55.499772862299999</v>
      </c>
      <c r="D32">
        <v>1.80180918E-2</v>
      </c>
    </row>
    <row r="33" spans="1:4" hidden="1">
      <c r="A33" t="s">
        <v>753</v>
      </c>
      <c r="B33" t="s">
        <v>754</v>
      </c>
      <c r="C33">
        <v>4.8331004141999996</v>
      </c>
      <c r="D33">
        <v>0.2069065226</v>
      </c>
    </row>
    <row r="34" spans="1:4" hidden="1">
      <c r="A34" t="s">
        <v>755</v>
      </c>
      <c r="B34" t="s">
        <v>756</v>
      </c>
      <c r="C34">
        <v>130.87375152870001</v>
      </c>
      <c r="D34">
        <v>7.6409516000000002E-3</v>
      </c>
    </row>
    <row r="35" spans="1:4" hidden="1">
      <c r="A35" t="s">
        <v>757</v>
      </c>
      <c r="B35" t="s">
        <v>758</v>
      </c>
      <c r="C35">
        <v>2.3076573605999999</v>
      </c>
      <c r="D35">
        <v>0.43333989569999998</v>
      </c>
    </row>
    <row r="36" spans="1:4" hidden="1">
      <c r="A36" t="s">
        <v>759</v>
      </c>
      <c r="B36" t="s">
        <v>760</v>
      </c>
      <c r="C36">
        <v>2.9407109496000001</v>
      </c>
      <c r="D36">
        <v>0.34005382270000001</v>
      </c>
    </row>
    <row r="37" spans="1:4" hidden="1">
      <c r="A37" t="s">
        <v>761</v>
      </c>
      <c r="B37" t="s">
        <v>762</v>
      </c>
      <c r="C37">
        <v>2.7028183500999998</v>
      </c>
      <c r="D37">
        <v>0.36998416849999999</v>
      </c>
    </row>
    <row r="38" spans="1:4" hidden="1">
      <c r="A38" t="s">
        <v>763</v>
      </c>
      <c r="B38" t="s">
        <v>764</v>
      </c>
      <c r="C38">
        <v>4.0693400000000002E-4</v>
      </c>
      <c r="D38">
        <v>2457.4007796577998</v>
      </c>
    </row>
    <row r="39" spans="1:4" hidden="1">
      <c r="A39" t="s">
        <v>765</v>
      </c>
      <c r="B39" t="s">
        <v>766</v>
      </c>
      <c r="C39">
        <v>0.28550375150000001</v>
      </c>
      <c r="D39">
        <v>3.5025809454000001</v>
      </c>
    </row>
    <row r="40" spans="1:4" hidden="1">
      <c r="A40" t="s">
        <v>767</v>
      </c>
      <c r="B40" t="s">
        <v>768</v>
      </c>
      <c r="C40">
        <v>2950.5647921333998</v>
      </c>
      <c r="D40">
        <v>3.3891820000000002E-4</v>
      </c>
    </row>
    <row r="41" spans="1:4" hidden="1">
      <c r="A41" t="s">
        <v>769</v>
      </c>
      <c r="B41" t="s">
        <v>770</v>
      </c>
      <c r="C41">
        <v>612.53592688690003</v>
      </c>
      <c r="D41">
        <v>1.6325573000000001E-3</v>
      </c>
    </row>
    <row r="42" spans="1:4" hidden="1">
      <c r="A42" t="s">
        <v>771</v>
      </c>
      <c r="B42" t="s">
        <v>772</v>
      </c>
      <c r="C42">
        <v>20.528408977800002</v>
      </c>
      <c r="D42">
        <v>4.8712981199999998E-2</v>
      </c>
    </row>
    <row r="43" spans="1:4" hidden="1">
      <c r="A43" t="s">
        <v>773</v>
      </c>
      <c r="B43" t="s">
        <v>774</v>
      </c>
      <c r="C43">
        <v>76.951969498899999</v>
      </c>
      <c r="D43">
        <v>1.2995118999999999E-2</v>
      </c>
    </row>
    <row r="44" spans="1:4" hidden="1">
      <c r="A44" t="s">
        <v>775</v>
      </c>
      <c r="B44" t="s">
        <v>776</v>
      </c>
      <c r="C44">
        <v>15.8111829993</v>
      </c>
      <c r="D44">
        <v>6.3246374399999999E-2</v>
      </c>
    </row>
    <row r="45" spans="1:4" hidden="1">
      <c r="A45" t="s">
        <v>777</v>
      </c>
      <c r="B45" t="s">
        <v>778</v>
      </c>
      <c r="C45">
        <v>16820.471295189</v>
      </c>
      <c r="D45">
        <v>5.9451399999999998E-5</v>
      </c>
    </row>
    <row r="46" spans="1:4" hidden="1">
      <c r="A46" t="s">
        <v>779</v>
      </c>
      <c r="B46" t="s">
        <v>780</v>
      </c>
      <c r="C46">
        <v>6.8435188538</v>
      </c>
      <c r="D46">
        <v>0.1461236568</v>
      </c>
    </row>
    <row r="47" spans="1:4" hidden="1">
      <c r="A47" t="s">
        <v>781</v>
      </c>
      <c r="B47" t="s">
        <v>782</v>
      </c>
      <c r="C47">
        <v>0.52645555229999996</v>
      </c>
      <c r="D47">
        <v>1.8994955902999999</v>
      </c>
    </row>
    <row r="48" spans="1:4" hidden="1">
      <c r="A48" t="s">
        <v>783</v>
      </c>
      <c r="B48" t="s">
        <v>784</v>
      </c>
      <c r="C48">
        <v>0.27919222519999998</v>
      </c>
      <c r="D48">
        <v>3.5817616316000001</v>
      </c>
    </row>
    <row r="49" spans="1:4" hidden="1">
      <c r="A49" t="s">
        <v>785</v>
      </c>
      <c r="B49" t="s">
        <v>786</v>
      </c>
      <c r="C49">
        <v>426.0774876456</v>
      </c>
      <c r="D49">
        <v>2.3469909000000001E-3</v>
      </c>
    </row>
    <row r="50" spans="1:4" hidden="1">
      <c r="A50" t="s">
        <v>787</v>
      </c>
      <c r="B50" t="s">
        <v>788</v>
      </c>
      <c r="C50">
        <v>150.6170956823</v>
      </c>
      <c r="D50">
        <v>6.6393525999999996E-3</v>
      </c>
    </row>
    <row r="51" spans="1:4" hidden="1">
      <c r="A51" t="s">
        <v>789</v>
      </c>
      <c r="B51" t="s">
        <v>790</v>
      </c>
      <c r="C51">
        <v>20.621684139500001</v>
      </c>
      <c r="D51">
        <v>4.8492644600000002E-2</v>
      </c>
    </row>
    <row r="52" spans="1:4" hidden="1">
      <c r="A52" t="s">
        <v>791</v>
      </c>
      <c r="B52" t="s">
        <v>792</v>
      </c>
      <c r="C52">
        <v>307.36339291370001</v>
      </c>
      <c r="D52">
        <v>3.2534779000000002E-3</v>
      </c>
    </row>
    <row r="53" spans="1:4" hidden="1">
      <c r="A53" t="s">
        <v>793</v>
      </c>
      <c r="B53" t="s">
        <v>794</v>
      </c>
      <c r="C53">
        <v>2.1338841961999999</v>
      </c>
      <c r="D53">
        <v>0.46862899200000002</v>
      </c>
    </row>
    <row r="54" spans="1:4" hidden="1">
      <c r="A54" t="s">
        <v>795</v>
      </c>
      <c r="B54" t="s">
        <v>796</v>
      </c>
      <c r="C54">
        <v>2617.6139495762</v>
      </c>
      <c r="D54">
        <v>3.820273E-4</v>
      </c>
    </row>
    <row r="55" spans="1:4" hidden="1">
      <c r="A55" t="s">
        <v>797</v>
      </c>
      <c r="B55" t="s">
        <v>798</v>
      </c>
      <c r="C55">
        <v>3.2118380989999999</v>
      </c>
      <c r="D55">
        <v>0.31134819660000002</v>
      </c>
    </row>
    <row r="56" spans="1:4" hidden="1">
      <c r="A56" t="s">
        <v>799</v>
      </c>
      <c r="B56" t="s">
        <v>800</v>
      </c>
      <c r="C56">
        <v>63.7628908115</v>
      </c>
      <c r="D56">
        <v>1.56831032E-2</v>
      </c>
    </row>
    <row r="57" spans="1:4" hidden="1">
      <c r="A57" t="s">
        <v>801</v>
      </c>
      <c r="B57" t="s">
        <v>802</v>
      </c>
      <c r="C57">
        <v>2.8929156273999999</v>
      </c>
      <c r="D57">
        <v>0.34567202390000001</v>
      </c>
    </row>
    <row r="58" spans="1:4" hidden="1">
      <c r="A58" t="s">
        <v>803</v>
      </c>
      <c r="B58" t="s">
        <v>804</v>
      </c>
      <c r="C58">
        <v>2.2906133941000002</v>
      </c>
      <c r="D58">
        <v>0.43656428559999999</v>
      </c>
    </row>
    <row r="59" spans="1:4" hidden="1">
      <c r="A59" t="s">
        <v>805</v>
      </c>
      <c r="B59" t="s">
        <v>806</v>
      </c>
      <c r="C59">
        <v>426.0774876456</v>
      </c>
      <c r="D59">
        <v>2.3469909000000001E-3</v>
      </c>
    </row>
    <row r="60" spans="1:4" hidden="1">
      <c r="A60" t="s">
        <v>807</v>
      </c>
      <c r="B60" t="s">
        <v>808</v>
      </c>
      <c r="C60">
        <v>1.5792130532999999</v>
      </c>
      <c r="D60">
        <v>0.63322678210000005</v>
      </c>
    </row>
    <row r="61" spans="1:4" hidden="1">
      <c r="A61" t="s">
        <v>809</v>
      </c>
      <c r="B61" t="s">
        <v>810</v>
      </c>
      <c r="C61">
        <v>344417.68423359271</v>
      </c>
      <c r="D61">
        <v>2.9034999999999998E-6</v>
      </c>
    </row>
    <row r="62" spans="1:4" hidden="1">
      <c r="A62" t="s">
        <v>811</v>
      </c>
      <c r="B62" t="s">
        <v>810</v>
      </c>
      <c r="C62">
        <v>3.4441768423000001</v>
      </c>
      <c r="D62">
        <v>0.29034513779999999</v>
      </c>
    </row>
    <row r="63" spans="1:4" hidden="1">
      <c r="A63" t="s">
        <v>812</v>
      </c>
      <c r="B63" t="s">
        <v>813</v>
      </c>
      <c r="C63">
        <v>1.9138530509</v>
      </c>
      <c r="D63">
        <v>0.52250615560000002</v>
      </c>
    </row>
    <row r="64" spans="1:4" hidden="1">
      <c r="A64" t="s">
        <v>814</v>
      </c>
      <c r="B64" t="s">
        <v>815</v>
      </c>
      <c r="C64">
        <v>4.8886331180999996</v>
      </c>
      <c r="D64">
        <v>0.20455615630000001</v>
      </c>
    </row>
    <row r="65" spans="1:4" hidden="1">
      <c r="A65" t="s">
        <v>816</v>
      </c>
      <c r="B65" t="s">
        <v>817</v>
      </c>
      <c r="C65">
        <v>8051.5029351667999</v>
      </c>
      <c r="D65">
        <v>1.2420040000000001E-4</v>
      </c>
    </row>
    <row r="66" spans="1:4" hidden="1">
      <c r="A66" t="s">
        <v>818</v>
      </c>
      <c r="B66" t="s">
        <v>819</v>
      </c>
      <c r="C66">
        <v>1.27041122</v>
      </c>
      <c r="D66">
        <v>0.78714670040000001</v>
      </c>
    </row>
    <row r="67" spans="1:4" hidden="1">
      <c r="A67" t="s">
        <v>820</v>
      </c>
      <c r="B67" t="s">
        <v>821</v>
      </c>
      <c r="C67">
        <v>103.4103362872</v>
      </c>
      <c r="D67">
        <v>9.6702131999999996E-3</v>
      </c>
    </row>
    <row r="68" spans="1:4" hidden="1">
      <c r="A68" t="s">
        <v>822</v>
      </c>
      <c r="B68" t="s">
        <v>823</v>
      </c>
      <c r="C68">
        <v>31435.828047923798</v>
      </c>
      <c r="D68">
        <v>3.1810799999999997E-5</v>
      </c>
    </row>
    <row r="69" spans="1:4" hidden="1">
      <c r="A69" t="s">
        <v>824</v>
      </c>
      <c r="B69" t="s">
        <v>825</v>
      </c>
      <c r="C69">
        <v>42.763839022200003</v>
      </c>
      <c r="D69">
        <v>2.3384242900000001E-2</v>
      </c>
    </row>
    <row r="70" spans="1:4" hidden="1">
      <c r="A70" t="s">
        <v>826</v>
      </c>
      <c r="B70" t="s">
        <v>827</v>
      </c>
      <c r="C70">
        <v>95.499110471899996</v>
      </c>
      <c r="D70">
        <v>1.04713017E-2</v>
      </c>
    </row>
    <row r="71" spans="1:4" hidden="1">
      <c r="A71" t="s">
        <v>828</v>
      </c>
      <c r="B71" t="s">
        <v>829</v>
      </c>
      <c r="C71">
        <v>475.64303984420002</v>
      </c>
      <c r="D71">
        <v>2.1024170000000001E-3</v>
      </c>
    </row>
    <row r="72" spans="1:4" hidden="1">
      <c r="A72" t="s">
        <v>830</v>
      </c>
      <c r="B72" t="s">
        <v>831</v>
      </c>
      <c r="C72">
        <v>3.21133038E-2</v>
      </c>
      <c r="D72">
        <v>31.139742138599999</v>
      </c>
    </row>
    <row r="73" spans="1:4" hidden="1">
      <c r="A73" t="s">
        <v>832</v>
      </c>
      <c r="B73" t="s">
        <v>833</v>
      </c>
      <c r="C73">
        <v>1865.6440793741001</v>
      </c>
      <c r="D73">
        <v>5.360079E-4</v>
      </c>
    </row>
    <row r="74" spans="1:4" hidden="1">
      <c r="A74" t="s">
        <v>834</v>
      </c>
      <c r="B74" t="s">
        <v>835</v>
      </c>
      <c r="C74">
        <v>114.540592336</v>
      </c>
      <c r="D74">
        <v>8.7305292999999996E-3</v>
      </c>
    </row>
    <row r="75" spans="1:4" hidden="1">
      <c r="A75" t="s">
        <v>836</v>
      </c>
      <c r="B75" t="s">
        <v>837</v>
      </c>
      <c r="C75">
        <v>3.4079191525999999</v>
      </c>
      <c r="D75">
        <v>0.29343419110000002</v>
      </c>
    </row>
    <row r="76" spans="1:4" hidden="1">
      <c r="A76" t="s">
        <v>838</v>
      </c>
      <c r="B76" t="s">
        <v>839</v>
      </c>
      <c r="C76">
        <v>4.5852003411000002</v>
      </c>
      <c r="D76">
        <v>0.21809297859999999</v>
      </c>
    </row>
    <row r="77" spans="1:4" hidden="1">
      <c r="A77" t="s">
        <v>840</v>
      </c>
      <c r="B77" t="s">
        <v>841</v>
      </c>
      <c r="C77">
        <v>32.537116457000003</v>
      </c>
      <c r="D77">
        <v>3.0734131000000001E-2</v>
      </c>
    </row>
    <row r="78" spans="1:4" hidden="1">
      <c r="A78" t="s">
        <v>842</v>
      </c>
      <c r="B78" t="s">
        <v>843</v>
      </c>
      <c r="C78">
        <v>407.38824663780002</v>
      </c>
      <c r="D78">
        <v>2.4546608999999999E-3</v>
      </c>
    </row>
    <row r="79" spans="1:4" hidden="1">
      <c r="A79" t="s">
        <v>844</v>
      </c>
      <c r="B79" t="s">
        <v>845</v>
      </c>
      <c r="C79">
        <v>33.157149404400002</v>
      </c>
      <c r="D79">
        <v>3.01594081E-2</v>
      </c>
    </row>
    <row r="80" spans="1:4" hidden="1">
      <c r="A80" t="s">
        <v>846</v>
      </c>
      <c r="B80" t="s">
        <v>847</v>
      </c>
      <c r="C80">
        <v>78.267577781300005</v>
      </c>
      <c r="D80">
        <v>1.27766826E-2</v>
      </c>
    </row>
    <row r="81" spans="1:4" hidden="1">
      <c r="A81" t="s">
        <v>848</v>
      </c>
      <c r="B81" t="s">
        <v>849</v>
      </c>
      <c r="C81">
        <v>1119.3677645133</v>
      </c>
      <c r="D81">
        <v>8.9336139999999999E-4</v>
      </c>
    </row>
    <row r="82" spans="1:4" hidden="1">
      <c r="A82" t="s">
        <v>850</v>
      </c>
      <c r="B82" t="s">
        <v>851</v>
      </c>
      <c r="C82">
        <v>77.512045654299996</v>
      </c>
      <c r="D82">
        <v>1.2901220600000001E-2</v>
      </c>
    </row>
    <row r="83" spans="1:4" hidden="1">
      <c r="A83" t="s">
        <v>852</v>
      </c>
      <c r="B83" t="s">
        <v>853</v>
      </c>
      <c r="C83">
        <v>5.0426952869999999</v>
      </c>
      <c r="D83">
        <v>0.19830664810000001</v>
      </c>
    </row>
    <row r="84" spans="1:4" hidden="1">
      <c r="A84" t="s">
        <v>854</v>
      </c>
      <c r="B84" t="s">
        <v>855</v>
      </c>
      <c r="C84">
        <v>1713.0851406694001</v>
      </c>
      <c r="D84">
        <v>5.8374209999999998E-4</v>
      </c>
    </row>
    <row r="85" spans="1:4" hidden="1">
      <c r="A85" t="s">
        <v>856</v>
      </c>
      <c r="B85" t="s">
        <v>857</v>
      </c>
      <c r="C85">
        <v>79.295705764600001</v>
      </c>
      <c r="D85">
        <v>1.2611023400000001E-2</v>
      </c>
    </row>
    <row r="86" spans="1:4" hidden="1">
      <c r="A86" t="s">
        <v>858</v>
      </c>
      <c r="B86" t="s">
        <v>859</v>
      </c>
      <c r="C86">
        <v>2.0066179224999998</v>
      </c>
      <c r="D86">
        <v>0.49835097589999999</v>
      </c>
    </row>
    <row r="87" spans="1:4" hidden="1">
      <c r="A87" t="s">
        <v>860</v>
      </c>
      <c r="B87" t="s">
        <v>861</v>
      </c>
      <c r="C87">
        <v>5.7198961782</v>
      </c>
      <c r="D87">
        <v>0.1748283481</v>
      </c>
    </row>
    <row r="88" spans="1:4" hidden="1">
      <c r="A88" t="s">
        <v>862</v>
      </c>
      <c r="B88" t="s">
        <v>863</v>
      </c>
      <c r="C88">
        <v>87.700450428300002</v>
      </c>
      <c r="D88">
        <v>1.140245E-2</v>
      </c>
    </row>
    <row r="89" spans="1:4" hidden="1">
      <c r="A89" t="s">
        <v>864</v>
      </c>
      <c r="B89" t="s">
        <v>865</v>
      </c>
      <c r="C89">
        <v>5.1061550663000004</v>
      </c>
      <c r="D89">
        <v>0.1958420743</v>
      </c>
    </row>
    <row r="90" spans="1:4" hidden="1">
      <c r="A90" t="s">
        <v>866</v>
      </c>
      <c r="B90" t="s">
        <v>867</v>
      </c>
      <c r="C90">
        <v>268.72251673459999</v>
      </c>
      <c r="D90">
        <v>3.7213108000000001E-3</v>
      </c>
    </row>
    <row r="91" spans="1:4" hidden="1">
      <c r="A91" t="s">
        <v>868</v>
      </c>
      <c r="B91" t="s">
        <v>869</v>
      </c>
      <c r="C91">
        <v>1.4850650274999999</v>
      </c>
      <c r="D91">
        <v>0.67337118679999997</v>
      </c>
    </row>
    <row r="92" spans="1:4" hidden="1">
      <c r="A92" t="s">
        <v>870</v>
      </c>
      <c r="B92" t="s">
        <v>871</v>
      </c>
      <c r="C92">
        <v>0.74253251379999996</v>
      </c>
      <c r="D92">
        <v>1.3467423734999999</v>
      </c>
    </row>
    <row r="93" spans="1:4" hidden="1">
      <c r="A93" t="s">
        <v>872</v>
      </c>
      <c r="B93" t="s">
        <v>873</v>
      </c>
      <c r="C93">
        <v>8371.1847527467999</v>
      </c>
      <c r="D93">
        <v>1.1945740000000001E-4</v>
      </c>
    </row>
    <row r="94" spans="1:4" hidden="1">
      <c r="A94" t="s">
        <v>874</v>
      </c>
      <c r="B94" t="s">
        <v>875</v>
      </c>
      <c r="C94">
        <v>1</v>
      </c>
      <c r="D94">
        <v>1</v>
      </c>
    </row>
    <row r="95" spans="1:4" hidden="1">
      <c r="A95" t="s">
        <v>876</v>
      </c>
      <c r="B95" t="s">
        <v>877</v>
      </c>
      <c r="C95">
        <v>8.6181272991999993</v>
      </c>
      <c r="D95">
        <v>0.1160344893</v>
      </c>
    </row>
    <row r="96" spans="1:4" hidden="1">
      <c r="A96" t="s">
        <v>878</v>
      </c>
      <c r="B96" t="s">
        <v>879</v>
      </c>
      <c r="C96">
        <v>18.2028366491</v>
      </c>
      <c r="D96">
        <v>5.4936492599999998E-2</v>
      </c>
    </row>
    <row r="97" spans="1:4" hidden="1">
      <c r="A97" t="s">
        <v>880</v>
      </c>
      <c r="B97" t="s">
        <v>881</v>
      </c>
      <c r="C97">
        <v>5151.0922502268004</v>
      </c>
      <c r="D97">
        <v>1.9413359999999999E-4</v>
      </c>
    </row>
    <row r="98" spans="1:4" hidden="1">
      <c r="A98" t="s">
        <v>882</v>
      </c>
      <c r="B98" t="s">
        <v>883</v>
      </c>
      <c r="C98">
        <v>36.725844135099997</v>
      </c>
      <c r="D98">
        <v>2.7228781899999999E-2</v>
      </c>
    </row>
    <row r="99" spans="1:4" hidden="1">
      <c r="A99" t="s">
        <v>884</v>
      </c>
      <c r="B99" t="s">
        <v>885</v>
      </c>
      <c r="C99">
        <v>11.3898335633</v>
      </c>
      <c r="D99">
        <v>8.7797595500000006E-2</v>
      </c>
    </row>
    <row r="100" spans="1:4" hidden="1">
      <c r="A100" t="s">
        <v>886</v>
      </c>
      <c r="B100" t="s">
        <v>887</v>
      </c>
      <c r="C100">
        <v>2.6035929967000002</v>
      </c>
      <c r="D100">
        <v>0.38408460970000002</v>
      </c>
    </row>
    <row r="101" spans="1:4" hidden="1">
      <c r="A101" t="s">
        <v>888</v>
      </c>
      <c r="B101" t="s">
        <v>889</v>
      </c>
      <c r="C101">
        <v>324.82756564729999</v>
      </c>
      <c r="D101">
        <v>3.0785564999999998E-3</v>
      </c>
    </row>
    <row r="102" spans="1:4" hidden="1">
      <c r="A102" t="s">
        <v>890</v>
      </c>
      <c r="B102" t="s">
        <v>891</v>
      </c>
      <c r="C102">
        <v>5.9595847167000002</v>
      </c>
      <c r="D102">
        <v>0.16779692669999999</v>
      </c>
    </row>
    <row r="103" spans="1:4" hidden="1">
      <c r="A103" t="s">
        <v>892</v>
      </c>
      <c r="B103" t="s">
        <v>893</v>
      </c>
      <c r="C103">
        <v>0.74253251379999996</v>
      </c>
      <c r="D103">
        <v>1.3467423734999999</v>
      </c>
    </row>
    <row r="104" spans="1:4" hidden="1">
      <c r="A104" t="s">
        <v>894</v>
      </c>
      <c r="B104" t="s">
        <v>895</v>
      </c>
      <c r="C104">
        <v>26.2842677077</v>
      </c>
      <c r="D104">
        <v>3.8045572E-2</v>
      </c>
    </row>
    <row r="105" spans="1:4" hidden="1">
      <c r="A105" t="s">
        <v>896</v>
      </c>
      <c r="B105" t="s">
        <v>897</v>
      </c>
      <c r="C105">
        <v>1.27041122</v>
      </c>
      <c r="D105">
        <v>0.78714670040000001</v>
      </c>
    </row>
    <row r="106" spans="1:4" hidden="1">
      <c r="A106" t="s">
        <v>898</v>
      </c>
      <c r="B106" t="s">
        <v>899</v>
      </c>
      <c r="C106">
        <v>322.72003774569998</v>
      </c>
      <c r="D106">
        <v>3.098661E-3</v>
      </c>
    </row>
    <row r="107" spans="1:4" hidden="1">
      <c r="A107" t="s">
        <v>900</v>
      </c>
      <c r="B107" t="s">
        <v>901</v>
      </c>
      <c r="C107">
        <v>0.74253251379999996</v>
      </c>
      <c r="D107">
        <v>1.3467423734999999</v>
      </c>
    </row>
    <row r="108" spans="1:4" hidden="1">
      <c r="A108" t="s">
        <v>902</v>
      </c>
      <c r="B108" t="s">
        <v>903</v>
      </c>
      <c r="C108">
        <v>154.91835513929999</v>
      </c>
      <c r="D108">
        <v>6.4550129999999999E-3</v>
      </c>
    </row>
    <row r="109" spans="1:4" hidden="1">
      <c r="A109" t="s">
        <v>904</v>
      </c>
      <c r="B109" t="s">
        <v>905</v>
      </c>
      <c r="C109">
        <v>185.92245737190001</v>
      </c>
      <c r="D109">
        <v>5.3785863999999996E-3</v>
      </c>
    </row>
    <row r="110" spans="1:4" hidden="1">
      <c r="A110" t="s">
        <v>906</v>
      </c>
      <c r="B110" t="s">
        <v>907</v>
      </c>
      <c r="C110">
        <v>2943.9152527043002</v>
      </c>
      <c r="D110">
        <v>3.3968369999999999E-4</v>
      </c>
    </row>
    <row r="111" spans="1:4" hidden="1">
      <c r="A111" t="s">
        <v>908</v>
      </c>
      <c r="B111" t="s">
        <v>909</v>
      </c>
      <c r="C111">
        <v>0.60888234630000004</v>
      </c>
      <c r="D111">
        <v>1.6423534138</v>
      </c>
    </row>
    <row r="112" spans="1:4" hidden="1">
      <c r="A112" t="s">
        <v>910</v>
      </c>
      <c r="B112" t="s">
        <v>911</v>
      </c>
      <c r="C112">
        <v>47.409269654200003</v>
      </c>
      <c r="D112">
        <v>2.1092921399999999E-2</v>
      </c>
    </row>
    <row r="113" spans="1:4" hidden="1">
      <c r="A113" t="s">
        <v>912</v>
      </c>
      <c r="B113" t="s">
        <v>913</v>
      </c>
      <c r="C113">
        <v>76.389607503700006</v>
      </c>
      <c r="D113">
        <v>1.30907859E-2</v>
      </c>
    </row>
    <row r="114" spans="1:4" hidden="1">
      <c r="A114" t="s">
        <v>914</v>
      </c>
      <c r="B114" t="s">
        <v>915</v>
      </c>
      <c r="C114">
        <v>10.968706217999999</v>
      </c>
      <c r="D114">
        <v>9.1168455100000004E-2</v>
      </c>
    </row>
    <row r="115" spans="1:4" hidden="1">
      <c r="A115" t="s">
        <v>916</v>
      </c>
      <c r="B115" t="s">
        <v>917</v>
      </c>
      <c r="C115">
        <v>356.44447139959999</v>
      </c>
      <c r="D115">
        <v>2.8054860999999999E-3</v>
      </c>
    </row>
    <row r="116" spans="1:4" hidden="1">
      <c r="A116" t="s">
        <v>918</v>
      </c>
      <c r="B116" t="s">
        <v>919</v>
      </c>
      <c r="C116">
        <v>1.2615479143999999</v>
      </c>
      <c r="D116">
        <v>0.79267698720000002</v>
      </c>
    </row>
    <row r="117" spans="1:4" hidden="1">
      <c r="A117" t="s">
        <v>920</v>
      </c>
      <c r="B117" t="s">
        <v>921</v>
      </c>
      <c r="C117">
        <v>6.0123037502000001</v>
      </c>
      <c r="D117">
        <v>0.16632559520000001</v>
      </c>
    </row>
    <row r="118" spans="1:4" hidden="1">
      <c r="A118" t="s">
        <v>922</v>
      </c>
      <c r="B118" t="s">
        <v>923</v>
      </c>
      <c r="C118">
        <v>8450.7262251445009</v>
      </c>
      <c r="D118">
        <v>1.1833299999999999E-4</v>
      </c>
    </row>
    <row r="119" spans="1:4" hidden="1">
      <c r="A119" t="s">
        <v>924</v>
      </c>
      <c r="B119" t="s">
        <v>925</v>
      </c>
      <c r="C119">
        <v>1.6925060387999999</v>
      </c>
      <c r="D119">
        <v>0.59083984170000003</v>
      </c>
    </row>
    <row r="120" spans="1:4" hidden="1">
      <c r="A120" t="s">
        <v>926</v>
      </c>
      <c r="B120" t="s">
        <v>927</v>
      </c>
      <c r="C120">
        <v>1.4948108549000001</v>
      </c>
      <c r="D120">
        <v>0.66898095950000003</v>
      </c>
    </row>
    <row r="121" spans="1:4" hidden="1">
      <c r="A121" t="s">
        <v>928</v>
      </c>
      <c r="B121" t="s">
        <v>929</v>
      </c>
      <c r="C121">
        <v>39.304527175399997</v>
      </c>
      <c r="D121">
        <v>2.54423618E-2</v>
      </c>
    </row>
    <row r="122" spans="1:4" hidden="1">
      <c r="A122" t="s">
        <v>930</v>
      </c>
      <c r="B122" t="s">
        <v>931</v>
      </c>
      <c r="C122">
        <v>605.39555141690005</v>
      </c>
      <c r="D122">
        <v>1.6518126000000001E-3</v>
      </c>
    </row>
    <row r="123" spans="1:4" hidden="1">
      <c r="A123" t="s">
        <v>932</v>
      </c>
      <c r="B123" t="s">
        <v>933</v>
      </c>
      <c r="C123">
        <v>1490.2000470891001</v>
      </c>
      <c r="D123">
        <v>6.7105080000000002E-4</v>
      </c>
    </row>
    <row r="124" spans="1:4" hidden="1">
      <c r="A124" t="s">
        <v>934</v>
      </c>
      <c r="B124" t="s">
        <v>935</v>
      </c>
      <c r="C124">
        <v>75.430365427599995</v>
      </c>
      <c r="D124">
        <v>1.32572604E-2</v>
      </c>
    </row>
    <row r="125" spans="1:4" hidden="1">
      <c r="A125" t="s">
        <v>936</v>
      </c>
      <c r="B125" t="s">
        <v>937</v>
      </c>
      <c r="C125">
        <v>433.62740206490002</v>
      </c>
      <c r="D125">
        <v>2.3061272999999999E-3</v>
      </c>
    </row>
    <row r="126" spans="1:4" hidden="1">
      <c r="A126" t="s">
        <v>938</v>
      </c>
      <c r="B126" t="s">
        <v>939</v>
      </c>
      <c r="C126">
        <v>6742.7952632183997</v>
      </c>
      <c r="D126">
        <v>1.4830639999999999E-4</v>
      </c>
    </row>
    <row r="127" spans="1:4" hidden="1">
      <c r="A127" t="s">
        <v>940</v>
      </c>
      <c r="B127" t="s">
        <v>941</v>
      </c>
      <c r="C127">
        <v>2129.5728923879001</v>
      </c>
      <c r="D127">
        <v>4.6957770000000002E-4</v>
      </c>
    </row>
    <row r="128" spans="1:4" hidden="1">
      <c r="A128" t="s">
        <v>942</v>
      </c>
      <c r="B128" t="s">
        <v>943</v>
      </c>
      <c r="C128">
        <v>11.390563039</v>
      </c>
      <c r="D128">
        <v>8.7791972800000007E-2</v>
      </c>
    </row>
    <row r="129" spans="1:4" hidden="1">
      <c r="A129" t="s">
        <v>944</v>
      </c>
      <c r="B129" t="s">
        <v>945</v>
      </c>
      <c r="C129">
        <v>1479.5953809763</v>
      </c>
      <c r="D129">
        <v>6.7586040000000005E-4</v>
      </c>
    </row>
    <row r="130" spans="1:4" hidden="1">
      <c r="A130" t="s">
        <v>946</v>
      </c>
      <c r="B130" t="s">
        <v>947</v>
      </c>
      <c r="C130">
        <v>16.026408328599999</v>
      </c>
      <c r="D130">
        <v>6.23970124E-2</v>
      </c>
    </row>
    <row r="131" spans="1:4" hidden="1">
      <c r="A131" t="s">
        <v>948</v>
      </c>
      <c r="B131" t="s">
        <v>949</v>
      </c>
      <c r="C131">
        <v>8.3811584970999995</v>
      </c>
      <c r="D131">
        <v>0.1193152475</v>
      </c>
    </row>
    <row r="132" spans="1:4" hidden="1">
      <c r="A132" t="s">
        <v>950</v>
      </c>
      <c r="B132" t="s">
        <v>951</v>
      </c>
      <c r="C132">
        <v>668.27658140940002</v>
      </c>
      <c r="D132">
        <v>1.4963864000000001E-3</v>
      </c>
    </row>
    <row r="133" spans="1:4" hidden="1">
      <c r="A133" t="s">
        <v>952</v>
      </c>
      <c r="B133" t="s">
        <v>953</v>
      </c>
      <c r="C133">
        <v>62.9581526256</v>
      </c>
      <c r="D133">
        <v>1.58835664E-2</v>
      </c>
    </row>
    <row r="134" spans="1:4" hidden="1">
      <c r="A134" t="s">
        <v>954</v>
      </c>
      <c r="B134" t="s">
        <v>955</v>
      </c>
      <c r="C134">
        <v>110.1835786048</v>
      </c>
      <c r="D134">
        <v>9.0757626000000004E-3</v>
      </c>
    </row>
    <row r="135" spans="1:4" hidden="1">
      <c r="A135" t="s">
        <v>956</v>
      </c>
      <c r="B135" t="s">
        <v>957</v>
      </c>
      <c r="C135">
        <v>11.3898335633</v>
      </c>
      <c r="D135">
        <v>8.7797595500000006E-2</v>
      </c>
    </row>
    <row r="136" spans="1:4" hidden="1">
      <c r="A136" t="s">
        <v>958</v>
      </c>
      <c r="B136" t="s">
        <v>959</v>
      </c>
      <c r="C136">
        <v>1318.9886226891001</v>
      </c>
      <c r="D136">
        <v>7.5815669999999998E-4</v>
      </c>
    </row>
    <row r="137" spans="1:4" hidden="1">
      <c r="A137" t="s">
        <v>960</v>
      </c>
      <c r="B137" t="s">
        <v>961</v>
      </c>
      <c r="C137">
        <v>0.54214302059999997</v>
      </c>
      <c r="D137">
        <v>1.8445317233</v>
      </c>
    </row>
    <row r="138" spans="1:4" hidden="1">
      <c r="A138" t="s">
        <v>962</v>
      </c>
      <c r="B138" t="s">
        <v>963</v>
      </c>
      <c r="C138">
        <v>7.5579140000000004E-4</v>
      </c>
      <c r="D138">
        <v>1323.1164099489999</v>
      </c>
    </row>
    <row r="139" spans="1:4" hidden="1">
      <c r="A139" t="s">
        <v>964</v>
      </c>
      <c r="B139" t="s">
        <v>965</v>
      </c>
      <c r="C139">
        <v>13.333565203299999</v>
      </c>
      <c r="D139">
        <v>7.4998695800000001E-2</v>
      </c>
    </row>
    <row r="140" spans="1:4" hidden="1">
      <c r="A140" t="s">
        <v>966</v>
      </c>
      <c r="B140" t="s">
        <v>967</v>
      </c>
      <c r="C140">
        <v>17.883972266099999</v>
      </c>
      <c r="D140">
        <v>5.5915989200000002E-2</v>
      </c>
    </row>
    <row r="141" spans="1:4" hidden="1">
      <c r="A141" t="s">
        <v>968</v>
      </c>
      <c r="B141" t="s">
        <v>969</v>
      </c>
      <c r="C141">
        <v>3026.2075160301001</v>
      </c>
      <c r="D141">
        <v>3.3044660000000002E-4</v>
      </c>
    </row>
    <row r="142" spans="1:4" hidden="1">
      <c r="A142" t="s">
        <v>970</v>
      </c>
      <c r="B142" t="s">
        <v>971</v>
      </c>
      <c r="C142">
        <v>40.248553967500001</v>
      </c>
      <c r="D142">
        <v>2.48456131E-2</v>
      </c>
    </row>
    <row r="143" spans="1:4" hidden="1">
      <c r="A143" t="s">
        <v>972</v>
      </c>
      <c r="B143" t="s">
        <v>973</v>
      </c>
      <c r="C143">
        <v>84.2300402077</v>
      </c>
      <c r="D143">
        <v>1.18722489E-2</v>
      </c>
    </row>
    <row r="144" spans="1:4" hidden="1">
      <c r="A144" t="s">
        <v>974</v>
      </c>
      <c r="B144" t="s">
        <v>975</v>
      </c>
      <c r="C144">
        <v>1.3291606921000001</v>
      </c>
      <c r="D144">
        <v>0.75235447899999996</v>
      </c>
    </row>
    <row r="145" spans="1:4" hidden="1">
      <c r="A145" t="s">
        <v>976</v>
      </c>
      <c r="B145" t="s">
        <v>977</v>
      </c>
      <c r="C145">
        <v>27.017478115300001</v>
      </c>
      <c r="D145">
        <v>3.70130771E-2</v>
      </c>
    </row>
    <row r="146" spans="1:4" hidden="1">
      <c r="A146" t="s">
        <v>978</v>
      </c>
      <c r="B146" t="s">
        <v>979</v>
      </c>
      <c r="C146">
        <v>11.3898335633</v>
      </c>
      <c r="D146">
        <v>8.7797595500000006E-2</v>
      </c>
    </row>
    <row r="147" spans="1:4" hidden="1">
      <c r="A147" t="s">
        <v>980</v>
      </c>
      <c r="B147" t="s">
        <v>981</v>
      </c>
      <c r="C147">
        <v>71.625982438899996</v>
      </c>
      <c r="D147">
        <v>1.39614141E-2</v>
      </c>
    </row>
    <row r="148" spans="1:4" hidden="1">
      <c r="A148" t="s">
        <v>982</v>
      </c>
      <c r="B148" t="s">
        <v>983</v>
      </c>
      <c r="C148">
        <v>15.7734259125</v>
      </c>
      <c r="D148">
        <v>6.3397768199999996E-2</v>
      </c>
    </row>
    <row r="149" spans="1:4" hidden="1">
      <c r="A149" t="s">
        <v>984</v>
      </c>
      <c r="B149" t="s">
        <v>985</v>
      </c>
      <c r="C149">
        <v>6.4971594955</v>
      </c>
      <c r="D149">
        <v>0.15391341410000001</v>
      </c>
    </row>
    <row r="150" spans="1:4" hidden="1">
      <c r="A150" t="s">
        <v>986</v>
      </c>
      <c r="B150" t="s">
        <v>987</v>
      </c>
      <c r="C150">
        <v>3.8541040000000001E-4</v>
      </c>
      <c r="D150">
        <v>2594.6368663044</v>
      </c>
    </row>
    <row r="151" spans="1:4" hidden="1">
      <c r="A151" t="s">
        <v>988</v>
      </c>
      <c r="B151" t="s">
        <v>989</v>
      </c>
      <c r="C151">
        <v>0.74253251379999996</v>
      </c>
      <c r="D151">
        <v>1.3467423734999999</v>
      </c>
    </row>
    <row r="152" spans="1:4" hidden="1">
      <c r="A152" t="s">
        <v>990</v>
      </c>
      <c r="B152" t="s">
        <v>991</v>
      </c>
      <c r="C152">
        <v>0.52837550889999996</v>
      </c>
      <c r="D152">
        <v>1.8925933985000001</v>
      </c>
    </row>
    <row r="153" spans="1:4" hidden="1">
      <c r="A153" t="s">
        <v>992</v>
      </c>
      <c r="B153" t="s">
        <v>993</v>
      </c>
      <c r="C153">
        <v>757.12166611199996</v>
      </c>
      <c r="D153">
        <v>1.3207917E-3</v>
      </c>
    </row>
    <row r="154" spans="1:4">
      <c r="A154" t="s">
        <v>994</v>
      </c>
      <c r="B154" t="s">
        <v>995</v>
      </c>
      <c r="C154">
        <v>1.3291331997</v>
      </c>
      <c r="D154">
        <v>0.75237004110000005</v>
      </c>
    </row>
    <row r="155" spans="1:4" hidden="1">
      <c r="A155" t="s">
        <v>996</v>
      </c>
      <c r="B155" t="s">
        <v>997</v>
      </c>
      <c r="C155">
        <v>54.787100064500002</v>
      </c>
      <c r="D155">
        <v>1.82524718E-2</v>
      </c>
    </row>
    <row r="156" spans="1:4" hidden="1">
      <c r="A156" t="s">
        <v>998</v>
      </c>
      <c r="B156" t="s">
        <v>999</v>
      </c>
      <c r="C156">
        <v>132.00295805709999</v>
      </c>
      <c r="D156">
        <v>7.5755878000000002E-3</v>
      </c>
    </row>
    <row r="157" spans="1:4" hidden="1">
      <c r="A157" t="s">
        <v>1000</v>
      </c>
      <c r="B157" t="s">
        <v>1001</v>
      </c>
      <c r="C157">
        <v>319.55811573419999</v>
      </c>
      <c r="D157">
        <v>3.1293212000000001E-3</v>
      </c>
    </row>
    <row r="158" spans="1:4" hidden="1">
      <c r="A158" t="s">
        <v>1002</v>
      </c>
      <c r="B158" t="s">
        <v>1003</v>
      </c>
      <c r="C158">
        <v>11.137987706600001</v>
      </c>
      <c r="D158">
        <v>8.9782824900000002E-2</v>
      </c>
    </row>
    <row r="159" spans="1:4" hidden="1">
      <c r="A159" t="s">
        <v>1004</v>
      </c>
      <c r="B159" t="s">
        <v>1005</v>
      </c>
      <c r="C159">
        <v>0.54214302059999997</v>
      </c>
      <c r="D159">
        <v>1.8445317233</v>
      </c>
    </row>
    <row r="160" spans="1:4" hidden="1">
      <c r="A160" t="s">
        <v>1006</v>
      </c>
      <c r="B160" t="s">
        <v>1007</v>
      </c>
      <c r="C160">
        <v>0.54214302059999997</v>
      </c>
      <c r="D160">
        <v>1.8445317233</v>
      </c>
    </row>
    <row r="161" spans="1:4" hidden="1">
      <c r="A161" t="s">
        <v>1008</v>
      </c>
      <c r="B161" t="s">
        <v>1009</v>
      </c>
      <c r="C161">
        <v>0.12375541850000001</v>
      </c>
      <c r="D161">
        <v>8.0804542733000009</v>
      </c>
    </row>
    <row r="162" spans="1:4" hidden="1">
      <c r="A162" t="s">
        <v>1010</v>
      </c>
      <c r="B162" t="s">
        <v>1011</v>
      </c>
      <c r="C162">
        <v>1.9385959320999999</v>
      </c>
      <c r="D162">
        <v>0.51583725290000004</v>
      </c>
    </row>
    <row r="163" spans="1:4" hidden="1">
      <c r="A163" t="s">
        <v>1012</v>
      </c>
      <c r="B163" t="s">
        <v>1013</v>
      </c>
      <c r="C163">
        <v>0.54214302059999997</v>
      </c>
      <c r="D163">
        <v>1.8445317233</v>
      </c>
    </row>
    <row r="164" spans="1:4" hidden="1">
      <c r="A164" t="s">
        <v>1014</v>
      </c>
      <c r="B164" t="s">
        <v>1015</v>
      </c>
      <c r="C164">
        <v>2.5941500669000002</v>
      </c>
      <c r="D164">
        <v>0.38548271080000002</v>
      </c>
    </row>
    <row r="165" spans="1:4" hidden="1">
      <c r="A165" t="s">
        <v>1016</v>
      </c>
      <c r="B165" t="s">
        <v>1017</v>
      </c>
      <c r="C165">
        <v>0.54214302059999997</v>
      </c>
      <c r="D165">
        <v>1.8445317233</v>
      </c>
    </row>
    <row r="166" spans="1:4" hidden="1">
      <c r="A166" t="s">
        <v>1018</v>
      </c>
      <c r="B166" t="s">
        <v>1019</v>
      </c>
      <c r="C166">
        <v>0.54214302059999997</v>
      </c>
      <c r="D166">
        <v>1.8445317233</v>
      </c>
    </row>
    <row r="167" spans="1:4" hidden="1">
      <c r="A167" t="s">
        <v>1020</v>
      </c>
      <c r="B167" t="s">
        <v>1021</v>
      </c>
      <c r="C167">
        <v>1.0203318195</v>
      </c>
      <c r="D167">
        <v>0.98007332609999998</v>
      </c>
    </row>
    <row r="168" spans="1:4" hidden="1">
      <c r="A168" t="s">
        <v>1022</v>
      </c>
      <c r="B168" t="s">
        <v>1023</v>
      </c>
      <c r="C168">
        <v>12.6210101463</v>
      </c>
      <c r="D168">
        <v>7.9232960599999999E-2</v>
      </c>
    </row>
    <row r="169" spans="1:4" hidden="1">
      <c r="A169" t="s">
        <v>1024</v>
      </c>
      <c r="B169" t="s">
        <v>1024</v>
      </c>
      <c r="C169">
        <v>2.2198266299999998E-2</v>
      </c>
      <c r="D169">
        <v>45.048563161300002</v>
      </c>
    </row>
    <row r="170" spans="1:4" hidden="1">
      <c r="A170" t="s">
        <v>1025</v>
      </c>
      <c r="B170" t="s">
        <v>1025</v>
      </c>
      <c r="C170">
        <v>4.7229697267999997</v>
      </c>
      <c r="D170">
        <v>0.21173118990000001</v>
      </c>
    </row>
    <row r="171" spans="1:4" hidden="1">
      <c r="A171" t="s">
        <v>1026</v>
      </c>
      <c r="B171" t="s">
        <v>1026</v>
      </c>
      <c r="C171">
        <v>2.2259534087000001</v>
      </c>
      <c r="D171">
        <v>0.44924570120000001</v>
      </c>
    </row>
    <row r="172" spans="1:4" hidden="1">
      <c r="A172" t="s">
        <v>1027</v>
      </c>
      <c r="B172" t="s">
        <v>1027</v>
      </c>
      <c r="C172">
        <v>3.4441768423000001</v>
      </c>
      <c r="D172">
        <v>0.29034513779999999</v>
      </c>
    </row>
    <row r="173" spans="1:4" hidden="1">
      <c r="A173" t="s">
        <v>1028</v>
      </c>
      <c r="B173" t="s">
        <v>313</v>
      </c>
      <c r="C173">
        <v>1.7028400000000001E-5</v>
      </c>
      <c r="D173">
        <v>58725.341038420796</v>
      </c>
    </row>
  </sheetData>
  <pageMargins left="0.7" right="0.7" top="0.75" bottom="0.75" header="0.3" footer="0.3"/>
  <pageSetup paperSize="9" orientation="portrait" horizontalDpi="0"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64250-41EE-4AD9-9274-1087557DCFE1}">
  <sheetPr codeName="Sheet25">
    <tabColor rgb="FF5C5CE6"/>
  </sheetPr>
  <dimension ref="A1:Y267"/>
  <sheetViews>
    <sheetView zoomScale="70" workbookViewId="0">
      <selection activeCell="AG27" sqref="AG27"/>
    </sheetView>
  </sheetViews>
  <sheetFormatPr defaultRowHeight="14.5"/>
  <cols>
    <col min="1" max="1" width="13.26953125" customWidth="1"/>
    <col min="2" max="2" width="16.7265625" customWidth="1"/>
    <col min="20" max="22" width="9.26953125" bestFit="1" customWidth="1"/>
  </cols>
  <sheetData>
    <row r="1" spans="1:25" ht="15" customHeight="1">
      <c r="A1" s="138"/>
      <c r="B1" s="759" t="s">
        <v>152</v>
      </c>
      <c r="E1" s="788" t="s">
        <v>1029</v>
      </c>
      <c r="F1" s="788"/>
      <c r="G1" s="788"/>
      <c r="H1" s="788"/>
      <c r="I1" s="788"/>
      <c r="J1" s="788"/>
      <c r="K1" s="788"/>
      <c r="L1" s="788"/>
      <c r="M1" s="788"/>
      <c r="N1" s="788"/>
      <c r="O1" s="788"/>
      <c r="P1" s="788"/>
      <c r="Q1" s="788"/>
      <c r="R1" s="788"/>
      <c r="S1" s="788"/>
      <c r="T1" s="788"/>
      <c r="U1" s="464"/>
      <c r="V1" s="464"/>
    </row>
    <row r="2" spans="1:25" ht="15" customHeight="1">
      <c r="A2" s="139"/>
      <c r="B2" s="760"/>
      <c r="E2" s="788"/>
      <c r="F2" s="788"/>
      <c r="G2" s="788"/>
      <c r="H2" s="788"/>
      <c r="I2" s="788"/>
      <c r="J2" s="788"/>
      <c r="K2" s="788"/>
      <c r="L2" s="788"/>
      <c r="M2" s="788"/>
      <c r="N2" s="788"/>
      <c r="O2" s="788"/>
      <c r="P2" s="788"/>
      <c r="Q2" s="788"/>
      <c r="R2" s="788"/>
      <c r="S2" s="788"/>
      <c r="T2" s="788"/>
      <c r="U2" s="464"/>
      <c r="V2" s="464"/>
    </row>
    <row r="3" spans="1:25" ht="15" customHeight="1">
      <c r="A3" s="139"/>
      <c r="B3" s="760"/>
      <c r="E3" s="788"/>
      <c r="F3" s="788"/>
      <c r="G3" s="788"/>
      <c r="H3" s="788"/>
      <c r="I3" s="788"/>
      <c r="J3" s="788"/>
      <c r="K3" s="788"/>
      <c r="L3" s="788"/>
      <c r="M3" s="788"/>
      <c r="N3" s="788"/>
      <c r="O3" s="788"/>
      <c r="P3" s="788"/>
      <c r="Q3" s="788"/>
      <c r="R3" s="788"/>
      <c r="S3" s="788"/>
      <c r="T3" s="788"/>
      <c r="U3" s="464"/>
      <c r="V3" s="464"/>
    </row>
    <row r="4" spans="1:25" ht="15" customHeight="1">
      <c r="A4" s="139"/>
      <c r="B4" s="760"/>
      <c r="E4" s="464"/>
      <c r="F4" s="464"/>
      <c r="G4" s="464"/>
      <c r="H4" s="464"/>
      <c r="I4" s="464"/>
      <c r="J4" s="464"/>
      <c r="K4" s="464"/>
      <c r="L4" s="464"/>
      <c r="M4" s="464"/>
      <c r="N4" s="464"/>
      <c r="O4" s="464"/>
      <c r="P4" s="464"/>
      <c r="Q4" s="464"/>
      <c r="R4" s="464"/>
      <c r="S4" s="464"/>
      <c r="T4" s="464"/>
      <c r="U4" s="464"/>
      <c r="V4" s="464"/>
    </row>
    <row r="5" spans="1:25" ht="15" customHeight="1">
      <c r="A5" s="139"/>
      <c r="B5" s="140"/>
      <c r="E5" s="464"/>
      <c r="F5" s="464"/>
      <c r="G5" s="464"/>
      <c r="H5" s="464"/>
      <c r="I5" s="464"/>
      <c r="J5" s="464"/>
      <c r="K5" s="464"/>
      <c r="L5" s="464"/>
      <c r="M5" s="464"/>
      <c r="N5" s="464"/>
      <c r="O5" s="464"/>
      <c r="P5" s="464"/>
      <c r="Q5" s="464"/>
      <c r="R5" s="464"/>
      <c r="S5" s="464"/>
      <c r="T5" s="464"/>
      <c r="U5" s="464"/>
      <c r="V5" s="464"/>
      <c r="W5" s="392"/>
      <c r="X5" s="392"/>
      <c r="Y5" s="392"/>
    </row>
    <row r="6" spans="1:25">
      <c r="A6" s="139"/>
      <c r="B6" s="140"/>
      <c r="S6" s="392"/>
      <c r="T6" s="392"/>
      <c r="U6" s="392"/>
      <c r="V6" s="392"/>
      <c r="W6" s="392"/>
      <c r="X6" s="392"/>
      <c r="Y6" s="392"/>
    </row>
    <row r="7" spans="1:25" ht="18.5">
      <c r="A7" s="690" t="s">
        <v>38</v>
      </c>
      <c r="B7" s="738"/>
      <c r="S7" s="392"/>
      <c r="T7" s="392"/>
      <c r="U7" s="392"/>
      <c r="V7" s="392"/>
      <c r="W7" s="392"/>
      <c r="X7" s="392"/>
      <c r="Y7" s="392"/>
    </row>
    <row r="8" spans="1:25">
      <c r="A8" s="139"/>
      <c r="B8" s="140"/>
      <c r="S8" s="392"/>
      <c r="T8" s="392"/>
      <c r="U8" s="392"/>
      <c r="V8" s="392"/>
      <c r="W8" s="392"/>
      <c r="X8" s="392"/>
      <c r="Y8" s="392"/>
    </row>
    <row r="9" spans="1:25">
      <c r="A9" s="139"/>
      <c r="B9" s="140"/>
      <c r="S9" s="392"/>
      <c r="T9" s="392"/>
      <c r="U9" s="392"/>
      <c r="V9" s="392"/>
      <c r="W9" s="392"/>
      <c r="X9" s="392"/>
      <c r="Y9" s="392"/>
    </row>
    <row r="10" spans="1:25">
      <c r="A10" s="139"/>
      <c r="B10" s="140"/>
      <c r="S10" s="392"/>
      <c r="T10" s="392"/>
      <c r="U10" s="392"/>
      <c r="V10" s="392"/>
      <c r="W10" s="392"/>
      <c r="X10" s="392"/>
      <c r="Y10" s="392"/>
    </row>
    <row r="11" spans="1:25">
      <c r="A11" s="139"/>
      <c r="B11" s="140"/>
      <c r="S11" s="392"/>
      <c r="T11" s="392"/>
      <c r="U11" s="392"/>
      <c r="V11" s="392"/>
      <c r="W11" s="392"/>
      <c r="X11" s="392"/>
      <c r="Y11" s="392"/>
    </row>
    <row r="12" spans="1:25">
      <c r="A12" s="139"/>
      <c r="B12" s="140"/>
      <c r="S12" s="392"/>
      <c r="T12" s="392"/>
      <c r="U12" s="392"/>
      <c r="V12" s="392"/>
      <c r="W12" s="392"/>
      <c r="X12" s="392"/>
      <c r="Y12" s="392"/>
    </row>
    <row r="13" spans="1:25">
      <c r="A13" s="139"/>
      <c r="B13" s="140"/>
      <c r="S13" s="392"/>
      <c r="T13" s="392"/>
      <c r="U13" s="392"/>
      <c r="V13" s="392"/>
      <c r="W13" s="392"/>
      <c r="X13" s="392"/>
      <c r="Y13" s="392"/>
    </row>
    <row r="14" spans="1:25">
      <c r="A14" s="139"/>
      <c r="B14" s="140"/>
      <c r="S14" s="392"/>
      <c r="T14" s="392"/>
      <c r="U14" s="392"/>
      <c r="V14" s="392"/>
      <c r="W14" s="392"/>
      <c r="X14" s="392"/>
      <c r="Y14" s="392"/>
    </row>
    <row r="15" spans="1:25">
      <c r="A15" s="139"/>
      <c r="B15" s="140"/>
      <c r="S15" s="392"/>
      <c r="T15" s="392"/>
      <c r="U15" s="392"/>
      <c r="V15" s="392"/>
      <c r="W15" s="392"/>
      <c r="X15" s="392"/>
      <c r="Y15" s="392"/>
    </row>
    <row r="16" spans="1:25">
      <c r="A16" s="139"/>
      <c r="B16" s="140"/>
      <c r="S16" s="392"/>
      <c r="T16" s="392"/>
      <c r="U16" s="392"/>
      <c r="V16" s="392"/>
      <c r="W16" s="392"/>
      <c r="X16" s="392"/>
      <c r="Y16" s="392"/>
    </row>
    <row r="17" spans="1:25">
      <c r="A17" s="139"/>
      <c r="B17" s="140"/>
      <c r="S17" s="392"/>
      <c r="T17" s="392"/>
      <c r="U17" s="392"/>
      <c r="V17" s="392"/>
      <c r="W17" s="392"/>
      <c r="X17" s="392"/>
      <c r="Y17" s="392"/>
    </row>
    <row r="18" spans="1:25">
      <c r="A18" s="139"/>
      <c r="B18" s="140"/>
      <c r="S18" s="392"/>
      <c r="T18" s="392"/>
      <c r="U18" s="392"/>
      <c r="V18" s="392"/>
      <c r="W18" s="392"/>
      <c r="X18" s="392"/>
      <c r="Y18" s="392"/>
    </row>
    <row r="19" spans="1:25">
      <c r="A19" s="139"/>
      <c r="B19" s="140"/>
      <c r="S19" s="392"/>
      <c r="T19" s="392"/>
      <c r="U19" s="392"/>
      <c r="V19" s="392"/>
      <c r="W19" s="392"/>
      <c r="X19" s="392"/>
      <c r="Y19" s="392"/>
    </row>
    <row r="20" spans="1:25">
      <c r="A20" s="139"/>
      <c r="B20" s="140"/>
      <c r="S20" s="392"/>
      <c r="T20" s="392"/>
      <c r="U20" s="392"/>
      <c r="V20" s="392"/>
      <c r="W20" s="392"/>
      <c r="X20" s="392"/>
      <c r="Y20" s="392"/>
    </row>
    <row r="21" spans="1:25">
      <c r="A21" s="139"/>
      <c r="B21" s="140"/>
      <c r="S21" s="392"/>
      <c r="T21" s="392"/>
      <c r="U21" s="392"/>
      <c r="V21" s="392"/>
      <c r="W21" s="392"/>
      <c r="X21" s="392"/>
      <c r="Y21" s="392"/>
    </row>
    <row r="22" spans="1:25">
      <c r="A22" s="139"/>
      <c r="B22" s="140"/>
      <c r="S22" s="392"/>
      <c r="T22" s="392"/>
      <c r="U22" s="392"/>
      <c r="V22" s="392"/>
      <c r="W22" s="392"/>
      <c r="X22" s="392"/>
      <c r="Y22" s="392"/>
    </row>
    <row r="23" spans="1:25">
      <c r="A23" s="139"/>
      <c r="B23" s="140"/>
      <c r="S23" s="392"/>
      <c r="T23" s="392"/>
      <c r="U23" s="392"/>
      <c r="V23" s="392"/>
      <c r="W23" s="392"/>
      <c r="X23" s="392"/>
      <c r="Y23" s="392"/>
    </row>
    <row r="24" spans="1:25">
      <c r="A24" s="139"/>
      <c r="B24" s="140"/>
      <c r="S24" s="392"/>
      <c r="T24" s="392"/>
      <c r="U24" s="392"/>
      <c r="V24" s="392"/>
      <c r="W24" s="392"/>
      <c r="X24" s="392"/>
      <c r="Y24" s="392"/>
    </row>
    <row r="25" spans="1:25">
      <c r="A25" s="139"/>
      <c r="B25" s="140"/>
      <c r="S25" s="392"/>
      <c r="T25" s="392"/>
      <c r="U25" s="392"/>
      <c r="V25" s="392"/>
      <c r="W25" s="392"/>
      <c r="X25" s="392"/>
      <c r="Y25" s="392"/>
    </row>
    <row r="26" spans="1:25">
      <c r="A26" s="139"/>
      <c r="B26" s="140"/>
      <c r="S26" s="392"/>
      <c r="T26" s="392"/>
      <c r="U26" s="392"/>
      <c r="V26" s="392"/>
      <c r="W26" s="392"/>
      <c r="X26" s="392"/>
      <c r="Y26" s="392"/>
    </row>
    <row r="27" spans="1:25">
      <c r="A27" s="139"/>
      <c r="B27" s="140"/>
      <c r="S27" s="392"/>
      <c r="T27" s="392"/>
      <c r="U27" s="392"/>
      <c r="V27" s="392"/>
      <c r="W27" s="392"/>
      <c r="X27" s="392"/>
      <c r="Y27" s="392"/>
    </row>
    <row r="28" spans="1:25">
      <c r="A28" s="139"/>
      <c r="B28" s="140"/>
      <c r="S28" s="392"/>
      <c r="T28" s="392"/>
      <c r="U28" s="392"/>
      <c r="V28" s="392"/>
      <c r="W28" s="392"/>
      <c r="X28" s="392"/>
      <c r="Y28" s="392"/>
    </row>
    <row r="29" spans="1:25">
      <c r="A29" s="139"/>
      <c r="B29" s="140"/>
      <c r="S29" s="392"/>
      <c r="T29" s="392"/>
      <c r="U29" s="392"/>
      <c r="V29" s="392"/>
      <c r="W29" s="392"/>
      <c r="X29" s="392"/>
      <c r="Y29" s="392"/>
    </row>
    <row r="30" spans="1:25">
      <c r="A30" s="684"/>
      <c r="B30" s="753"/>
      <c r="S30" s="392"/>
      <c r="T30" s="392"/>
      <c r="U30" s="392"/>
      <c r="V30" s="392"/>
      <c r="W30" s="392"/>
      <c r="X30" s="392"/>
      <c r="Y30" s="392"/>
    </row>
    <row r="31" spans="1:25">
      <c r="A31" s="684"/>
      <c r="B31" s="753"/>
      <c r="S31" s="392"/>
      <c r="T31" s="392"/>
      <c r="U31" s="392"/>
      <c r="V31" s="392"/>
      <c r="W31" s="392"/>
      <c r="X31" s="392"/>
      <c r="Y31" s="392"/>
    </row>
    <row r="32" spans="1:25">
      <c r="A32" s="684"/>
      <c r="B32" s="753"/>
      <c r="S32" s="392"/>
      <c r="T32" s="392"/>
      <c r="U32" s="392"/>
      <c r="V32" s="392"/>
      <c r="W32" s="392"/>
      <c r="X32" s="392"/>
      <c r="Y32" s="392"/>
    </row>
    <row r="33" spans="1:25">
      <c r="A33" s="684"/>
      <c r="B33" s="753"/>
      <c r="S33" s="392"/>
      <c r="T33" s="392"/>
      <c r="U33" s="392"/>
      <c r="V33" s="392"/>
      <c r="W33" s="392"/>
      <c r="X33" s="392"/>
      <c r="Y33" s="392"/>
    </row>
    <row r="34" spans="1:25">
      <c r="S34" s="392"/>
      <c r="T34" s="392"/>
      <c r="U34" s="392"/>
      <c r="V34" s="392"/>
      <c r="W34" s="392"/>
      <c r="X34" s="392"/>
      <c r="Y34" s="392"/>
    </row>
    <row r="35" spans="1:25">
      <c r="S35" s="392"/>
      <c r="T35" s="392"/>
      <c r="U35" s="392"/>
      <c r="V35" s="392"/>
      <c r="W35" s="392"/>
      <c r="X35" s="392"/>
      <c r="Y35" s="392"/>
    </row>
    <row r="36" spans="1:25">
      <c r="S36" s="392"/>
      <c r="T36" s="392"/>
      <c r="U36" s="392"/>
      <c r="V36" s="392"/>
      <c r="W36" s="392"/>
      <c r="X36" s="392"/>
      <c r="Y36" s="392"/>
    </row>
    <row r="37" spans="1:25">
      <c r="S37" s="392"/>
      <c r="T37" s="392"/>
      <c r="U37" s="392"/>
      <c r="V37" s="392"/>
      <c r="W37" s="392"/>
      <c r="X37" s="392"/>
      <c r="Y37" s="392"/>
    </row>
    <row r="38" spans="1:25">
      <c r="S38" s="392"/>
      <c r="T38" s="392"/>
      <c r="U38" s="392"/>
      <c r="V38" s="392"/>
      <c r="W38" s="392"/>
      <c r="X38" s="392"/>
      <c r="Y38" s="392"/>
    </row>
    <row r="39" spans="1:25">
      <c r="S39" s="392"/>
      <c r="T39" s="392"/>
      <c r="U39" s="392"/>
      <c r="V39" s="392"/>
      <c r="W39" s="392"/>
      <c r="X39" s="392"/>
      <c r="Y39" s="392"/>
    </row>
    <row r="40" spans="1:25">
      <c r="S40" s="392"/>
      <c r="T40" s="392"/>
      <c r="U40" s="392"/>
      <c r="V40" s="392"/>
      <c r="W40" s="392"/>
      <c r="X40" s="392"/>
      <c r="Y40" s="392"/>
    </row>
    <row r="41" spans="1:25">
      <c r="S41" s="392"/>
      <c r="T41" s="392"/>
      <c r="U41" s="392"/>
      <c r="V41" s="392"/>
      <c r="W41" s="392"/>
      <c r="X41" s="392"/>
      <c r="Y41" s="392"/>
    </row>
    <row r="42" spans="1:25">
      <c r="S42" s="392"/>
      <c r="T42" s="392"/>
      <c r="U42" s="392"/>
      <c r="V42" s="392"/>
      <c r="W42" s="392"/>
      <c r="X42" s="392"/>
      <c r="Y42" s="392"/>
    </row>
    <row r="43" spans="1:25">
      <c r="S43" s="392"/>
      <c r="T43" s="392"/>
      <c r="U43" s="392"/>
      <c r="V43" s="392"/>
      <c r="W43" s="392"/>
      <c r="X43" s="392"/>
      <c r="Y43" s="392"/>
    </row>
    <row r="44" spans="1:25">
      <c r="S44" s="392"/>
      <c r="T44" s="392"/>
      <c r="U44" s="392"/>
      <c r="V44" s="392"/>
      <c r="W44" s="392"/>
      <c r="X44" s="392"/>
      <c r="Y44" s="392"/>
    </row>
    <row r="45" spans="1:25">
      <c r="S45" s="392"/>
      <c r="T45" s="392"/>
      <c r="U45" s="392"/>
      <c r="V45" s="392"/>
      <c r="W45" s="392"/>
      <c r="X45" s="392"/>
      <c r="Y45" s="392"/>
    </row>
    <row r="46" spans="1:25">
      <c r="S46" s="392"/>
      <c r="T46" s="392"/>
      <c r="U46" s="392"/>
      <c r="V46" s="392"/>
      <c r="W46" s="392"/>
      <c r="X46" s="392"/>
      <c r="Y46" s="392"/>
    </row>
    <row r="47" spans="1:25">
      <c r="S47" s="392"/>
      <c r="T47" s="392"/>
      <c r="U47" s="392"/>
      <c r="V47" s="392"/>
      <c r="W47" s="392"/>
      <c r="X47" s="392"/>
      <c r="Y47" s="392"/>
    </row>
    <row r="48" spans="1:25">
      <c r="S48" s="392"/>
      <c r="T48" s="392"/>
      <c r="U48" s="392"/>
      <c r="V48" s="392"/>
      <c r="W48" s="392"/>
      <c r="X48" s="392"/>
      <c r="Y48" s="392"/>
    </row>
    <row r="49" spans="19:25">
      <c r="S49" s="392"/>
      <c r="T49" s="392"/>
      <c r="U49" s="392"/>
      <c r="V49" s="392"/>
      <c r="W49" s="392"/>
      <c r="X49" s="392"/>
      <c r="Y49" s="392"/>
    </row>
    <row r="50" spans="19:25">
      <c r="S50" s="392"/>
      <c r="T50" s="392"/>
      <c r="U50" s="392"/>
      <c r="V50" s="392"/>
      <c r="W50" s="392"/>
      <c r="X50" s="392"/>
      <c r="Y50" s="392"/>
    </row>
    <row r="51" spans="19:25">
      <c r="S51" s="392"/>
      <c r="T51" s="392"/>
      <c r="U51" s="392"/>
      <c r="V51" s="392"/>
      <c r="W51" s="392"/>
      <c r="X51" s="392"/>
      <c r="Y51" s="392"/>
    </row>
    <row r="52" spans="19:25">
      <c r="S52" s="392"/>
      <c r="T52" s="392"/>
      <c r="U52" s="392"/>
      <c r="V52" s="392"/>
      <c r="W52" s="392"/>
      <c r="X52" s="392"/>
      <c r="Y52" s="392"/>
    </row>
    <row r="53" spans="19:25">
      <c r="S53" s="392"/>
      <c r="T53" s="392"/>
      <c r="U53" s="392"/>
      <c r="V53" s="392"/>
      <c r="W53" s="392"/>
      <c r="X53" s="392"/>
      <c r="Y53" s="392"/>
    </row>
    <row r="54" spans="19:25">
      <c r="S54" s="392"/>
      <c r="T54" s="392"/>
      <c r="U54" s="392"/>
      <c r="V54" s="392"/>
      <c r="W54" s="392"/>
      <c r="X54" s="392"/>
      <c r="Y54" s="392"/>
    </row>
    <row r="55" spans="19:25">
      <c r="S55" s="392"/>
      <c r="T55" s="392"/>
      <c r="U55" s="392"/>
      <c r="V55" s="392"/>
      <c r="W55" s="392"/>
      <c r="X55" s="392"/>
      <c r="Y55" s="392"/>
    </row>
    <row r="56" spans="19:25">
      <c r="S56" s="392"/>
      <c r="T56" s="392"/>
      <c r="U56" s="392"/>
      <c r="V56" s="392"/>
      <c r="W56" s="392"/>
      <c r="X56" s="392"/>
      <c r="Y56" s="392"/>
    </row>
    <row r="57" spans="19:25">
      <c r="S57" s="392"/>
      <c r="T57" s="392"/>
      <c r="U57" s="392"/>
      <c r="V57" s="392"/>
      <c r="W57" s="392"/>
      <c r="X57" s="392"/>
      <c r="Y57" s="392"/>
    </row>
    <row r="58" spans="19:25">
      <c r="S58" s="392"/>
      <c r="T58" s="392"/>
      <c r="U58" s="392"/>
      <c r="V58" s="392"/>
      <c r="W58" s="392"/>
      <c r="X58" s="392"/>
      <c r="Y58" s="392"/>
    </row>
    <row r="59" spans="19:25">
      <c r="S59" s="392"/>
      <c r="T59" s="392"/>
      <c r="U59" s="392"/>
      <c r="V59" s="392"/>
      <c r="W59" s="392"/>
      <c r="X59" s="392"/>
      <c r="Y59" s="392"/>
    </row>
    <row r="60" spans="19:25">
      <c r="S60" s="392"/>
      <c r="T60" s="392"/>
      <c r="U60" s="392"/>
      <c r="V60" s="392"/>
      <c r="W60" s="392"/>
      <c r="X60" s="392"/>
      <c r="Y60" s="392"/>
    </row>
    <row r="61" spans="19:25">
      <c r="S61" s="392"/>
      <c r="T61" s="392"/>
      <c r="U61" s="392"/>
      <c r="V61" s="392"/>
      <c r="W61" s="392"/>
      <c r="X61" s="392"/>
      <c r="Y61" s="392"/>
    </row>
    <row r="62" spans="19:25">
      <c r="S62" s="392"/>
      <c r="T62" s="392"/>
      <c r="U62" s="392"/>
      <c r="V62" s="392"/>
      <c r="W62" s="392"/>
      <c r="X62" s="392"/>
      <c r="Y62" s="392"/>
    </row>
    <row r="63" spans="19:25">
      <c r="S63" s="392"/>
      <c r="T63" s="392"/>
      <c r="U63" s="392"/>
      <c r="V63" s="392"/>
      <c r="W63" s="392"/>
      <c r="X63" s="392"/>
      <c r="Y63" s="392"/>
    </row>
    <row r="64" spans="19:25">
      <c r="S64" s="392"/>
      <c r="T64" s="392"/>
      <c r="U64" s="392"/>
      <c r="V64" s="392"/>
      <c r="W64" s="392"/>
      <c r="X64" s="392"/>
      <c r="Y64" s="392"/>
    </row>
    <row r="65" spans="19:25">
      <c r="S65" s="392"/>
      <c r="T65" s="392"/>
      <c r="U65" s="392"/>
      <c r="V65" s="392"/>
      <c r="W65" s="392"/>
      <c r="X65" s="392"/>
      <c r="Y65" s="392"/>
    </row>
    <row r="66" spans="19:25">
      <c r="S66" s="392"/>
      <c r="T66" s="392"/>
      <c r="U66" s="392"/>
      <c r="V66" s="392"/>
      <c r="W66" s="392"/>
      <c r="X66" s="392"/>
      <c r="Y66" s="392"/>
    </row>
    <row r="67" spans="19:25">
      <c r="S67" s="392"/>
      <c r="T67" s="392"/>
      <c r="U67" s="392"/>
      <c r="V67" s="392"/>
      <c r="W67" s="392"/>
      <c r="X67" s="392"/>
      <c r="Y67" s="392"/>
    </row>
    <row r="68" spans="19:25">
      <c r="S68" s="392"/>
      <c r="T68" s="392"/>
      <c r="U68" s="392"/>
      <c r="V68" s="392"/>
      <c r="W68" s="392"/>
      <c r="X68" s="392"/>
      <c r="Y68" s="392"/>
    </row>
    <row r="69" spans="19:25">
      <c r="S69" s="392"/>
      <c r="T69" s="392"/>
      <c r="U69" s="392"/>
      <c r="V69" s="392"/>
      <c r="W69" s="392"/>
      <c r="X69" s="392"/>
      <c r="Y69" s="392"/>
    </row>
    <row r="70" spans="19:25">
      <c r="S70" s="392"/>
      <c r="T70" s="392"/>
      <c r="U70" s="392"/>
      <c r="V70" s="392"/>
      <c r="W70" s="392"/>
      <c r="X70" s="392"/>
      <c r="Y70" s="392"/>
    </row>
    <row r="71" spans="19:25">
      <c r="S71" s="392"/>
      <c r="T71" s="392"/>
      <c r="U71" s="392"/>
      <c r="V71" s="392"/>
      <c r="W71" s="392"/>
      <c r="X71" s="392"/>
      <c r="Y71" s="392"/>
    </row>
    <row r="72" spans="19:25">
      <c r="S72" s="392"/>
      <c r="T72" s="392"/>
      <c r="U72" s="392"/>
      <c r="V72" s="392"/>
      <c r="W72" s="392"/>
      <c r="X72" s="392"/>
      <c r="Y72" s="392"/>
    </row>
    <row r="73" spans="19:25">
      <c r="S73" s="392"/>
      <c r="T73" s="392"/>
      <c r="U73" s="392"/>
      <c r="V73" s="392"/>
      <c r="W73" s="392"/>
      <c r="X73" s="392"/>
      <c r="Y73" s="392"/>
    </row>
    <row r="74" spans="19:25">
      <c r="S74" s="392"/>
      <c r="T74" s="392"/>
      <c r="U74" s="392"/>
      <c r="V74" s="392"/>
      <c r="W74" s="392"/>
      <c r="X74" s="392"/>
      <c r="Y74" s="392"/>
    </row>
    <row r="75" spans="19:25">
      <c r="S75" s="392"/>
      <c r="T75" s="392"/>
      <c r="U75" s="392"/>
      <c r="V75" s="392"/>
      <c r="W75" s="392"/>
      <c r="X75" s="392"/>
      <c r="Y75" s="392"/>
    </row>
    <row r="76" spans="19:25">
      <c r="S76" s="392"/>
      <c r="T76" s="392"/>
      <c r="U76" s="392"/>
      <c r="V76" s="392"/>
      <c r="W76" s="392"/>
      <c r="X76" s="392"/>
      <c r="Y76" s="392"/>
    </row>
    <row r="77" spans="19:25">
      <c r="S77" s="392"/>
      <c r="T77" s="392"/>
      <c r="U77" s="392"/>
      <c r="V77" s="392"/>
      <c r="W77" s="392"/>
      <c r="X77" s="392"/>
      <c r="Y77" s="392"/>
    </row>
    <row r="78" spans="19:25">
      <c r="S78" s="392"/>
      <c r="T78" s="392"/>
      <c r="U78" s="392"/>
      <c r="V78" s="392"/>
      <c r="W78" s="392"/>
      <c r="X78" s="392"/>
      <c r="Y78" s="392"/>
    </row>
    <row r="79" spans="19:25">
      <c r="S79" s="392"/>
      <c r="T79" s="392"/>
      <c r="U79" s="392"/>
      <c r="V79" s="392"/>
      <c r="W79" s="392"/>
      <c r="X79" s="392"/>
      <c r="Y79" s="392"/>
    </row>
    <row r="80" spans="19:25">
      <c r="S80" s="392"/>
      <c r="T80" s="392"/>
      <c r="U80" s="392"/>
      <c r="V80" s="392"/>
      <c r="W80" s="392"/>
      <c r="X80" s="392"/>
      <c r="Y80" s="392"/>
    </row>
    <row r="81" spans="19:25">
      <c r="S81" s="392"/>
      <c r="T81" s="392"/>
      <c r="U81" s="392"/>
      <c r="V81" s="392"/>
      <c r="W81" s="392"/>
      <c r="X81" s="392"/>
      <c r="Y81" s="392"/>
    </row>
    <row r="82" spans="19:25">
      <c r="S82" s="392"/>
      <c r="T82" s="392"/>
      <c r="U82" s="392"/>
      <c r="V82" s="392"/>
      <c r="W82" s="392"/>
      <c r="X82" s="392"/>
      <c r="Y82" s="392"/>
    </row>
    <row r="83" spans="19:25">
      <c r="S83" s="392"/>
      <c r="T83" s="392"/>
      <c r="U83" s="392"/>
      <c r="V83" s="392"/>
      <c r="W83" s="392"/>
      <c r="X83" s="392"/>
      <c r="Y83" s="392"/>
    </row>
    <row r="84" spans="19:25">
      <c r="S84" s="392"/>
      <c r="T84" s="392"/>
      <c r="U84" s="392"/>
      <c r="V84" s="392"/>
      <c r="W84" s="392"/>
      <c r="X84" s="392"/>
      <c r="Y84" s="392"/>
    </row>
    <row r="85" spans="19:25">
      <c r="S85" s="392"/>
      <c r="T85" s="392"/>
      <c r="U85" s="392"/>
      <c r="V85" s="392"/>
      <c r="W85" s="392"/>
      <c r="X85" s="392"/>
      <c r="Y85" s="392"/>
    </row>
    <row r="86" spans="19:25">
      <c r="S86" s="392"/>
      <c r="T86" s="392"/>
      <c r="U86" s="392"/>
      <c r="V86" s="392"/>
      <c r="W86" s="392"/>
      <c r="X86" s="392"/>
      <c r="Y86" s="392"/>
    </row>
    <row r="87" spans="19:25">
      <c r="S87" s="392"/>
      <c r="T87" s="392"/>
      <c r="U87" s="392"/>
      <c r="V87" s="392"/>
      <c r="W87" s="392"/>
      <c r="X87" s="392"/>
      <c r="Y87" s="392"/>
    </row>
    <row r="88" spans="19:25">
      <c r="S88" s="392"/>
      <c r="T88" s="392"/>
      <c r="U88" s="392"/>
      <c r="V88" s="392"/>
      <c r="W88" s="392"/>
      <c r="X88" s="392"/>
      <c r="Y88" s="392"/>
    </row>
    <row r="89" spans="19:25">
      <c r="S89" s="392"/>
      <c r="T89" s="392"/>
      <c r="U89" s="392"/>
      <c r="V89" s="392"/>
      <c r="W89" s="392"/>
      <c r="X89" s="392"/>
      <c r="Y89" s="392"/>
    </row>
    <row r="90" spans="19:25">
      <c r="S90" s="392"/>
      <c r="T90" s="392"/>
      <c r="U90" s="392"/>
      <c r="V90" s="392"/>
      <c r="W90" s="392"/>
      <c r="X90" s="392"/>
      <c r="Y90" s="392"/>
    </row>
    <row r="91" spans="19:25">
      <c r="S91" s="392"/>
      <c r="T91" s="392"/>
      <c r="U91" s="392"/>
      <c r="V91" s="392"/>
      <c r="W91" s="392"/>
      <c r="X91" s="392"/>
      <c r="Y91" s="392"/>
    </row>
    <row r="92" spans="19:25">
      <c r="S92" s="392"/>
      <c r="T92" s="392"/>
      <c r="U92" s="392"/>
      <c r="V92" s="392"/>
      <c r="W92" s="392"/>
      <c r="X92" s="392"/>
      <c r="Y92" s="392"/>
    </row>
    <row r="93" spans="19:25">
      <c r="S93" s="392"/>
      <c r="T93" s="392"/>
      <c r="U93" s="392"/>
      <c r="V93" s="392"/>
      <c r="W93" s="392"/>
      <c r="X93" s="392"/>
      <c r="Y93" s="392"/>
    </row>
    <row r="94" spans="19:25">
      <c r="S94" s="392"/>
      <c r="T94" s="392"/>
      <c r="U94" s="392"/>
      <c r="V94" s="392"/>
      <c r="W94" s="392"/>
      <c r="X94" s="392"/>
      <c r="Y94" s="392"/>
    </row>
    <row r="95" spans="19:25">
      <c r="S95" s="392"/>
      <c r="T95" s="392"/>
      <c r="U95" s="392"/>
      <c r="V95" s="392"/>
      <c r="W95" s="392"/>
      <c r="X95" s="392"/>
      <c r="Y95" s="392"/>
    </row>
    <row r="96" spans="19:25">
      <c r="S96" s="392"/>
      <c r="T96" s="392"/>
      <c r="U96" s="392"/>
      <c r="V96" s="392"/>
      <c r="W96" s="392"/>
      <c r="X96" s="392"/>
      <c r="Y96" s="392"/>
    </row>
    <row r="97" spans="19:25">
      <c r="S97" s="392"/>
      <c r="T97" s="392"/>
      <c r="U97" s="392"/>
      <c r="V97" s="392"/>
      <c r="W97" s="392"/>
      <c r="X97" s="392"/>
      <c r="Y97" s="392"/>
    </row>
    <row r="98" spans="19:25">
      <c r="S98" s="392"/>
      <c r="T98" s="392"/>
      <c r="U98" s="392"/>
      <c r="V98" s="392"/>
      <c r="W98" s="392"/>
      <c r="X98" s="392"/>
      <c r="Y98" s="392"/>
    </row>
    <row r="99" spans="19:25">
      <c r="S99" s="392"/>
      <c r="T99" s="392"/>
      <c r="U99" s="392"/>
      <c r="V99" s="392"/>
      <c r="W99" s="392"/>
      <c r="X99" s="392"/>
      <c r="Y99" s="392"/>
    </row>
    <row r="100" spans="19:25">
      <c r="S100" s="392"/>
      <c r="T100" s="392"/>
      <c r="U100" s="392"/>
      <c r="V100" s="392"/>
      <c r="W100" s="392"/>
      <c r="X100" s="392"/>
      <c r="Y100" s="392"/>
    </row>
    <row r="101" spans="19:25">
      <c r="S101" s="392"/>
      <c r="T101" s="392"/>
      <c r="U101" s="392"/>
      <c r="V101" s="392"/>
      <c r="W101" s="392"/>
      <c r="X101" s="392"/>
      <c r="Y101" s="392"/>
    </row>
    <row r="102" spans="19:25">
      <c r="S102" s="392"/>
      <c r="T102" s="392"/>
      <c r="U102" s="392"/>
      <c r="V102" s="392"/>
      <c r="W102" s="392"/>
      <c r="X102" s="392"/>
      <c r="Y102" s="392"/>
    </row>
    <row r="103" spans="19:25">
      <c r="S103" s="392"/>
      <c r="T103" s="392"/>
      <c r="U103" s="392"/>
      <c r="V103" s="392"/>
      <c r="W103" s="392"/>
      <c r="X103" s="392"/>
      <c r="Y103" s="392"/>
    </row>
    <row r="104" spans="19:25">
      <c r="S104" s="392"/>
      <c r="T104" s="392"/>
      <c r="U104" s="392"/>
      <c r="V104" s="392"/>
      <c r="W104" s="392"/>
      <c r="X104" s="392"/>
      <c r="Y104" s="392"/>
    </row>
    <row r="105" spans="19:25">
      <c r="S105" s="392"/>
      <c r="T105" s="392"/>
      <c r="U105" s="392"/>
      <c r="V105" s="392"/>
      <c r="W105" s="392"/>
      <c r="X105" s="392"/>
      <c r="Y105" s="392"/>
    </row>
    <row r="106" spans="19:25">
      <c r="S106" s="392"/>
      <c r="T106" s="392"/>
      <c r="U106" s="392"/>
      <c r="V106" s="392"/>
      <c r="W106" s="392"/>
      <c r="X106" s="392"/>
      <c r="Y106" s="392"/>
    </row>
    <row r="107" spans="19:25">
      <c r="S107" s="392"/>
      <c r="T107" s="392"/>
      <c r="U107" s="392"/>
      <c r="V107" s="392"/>
      <c r="W107" s="392"/>
      <c r="X107" s="392"/>
      <c r="Y107" s="392"/>
    </row>
    <row r="108" spans="19:25">
      <c r="S108" s="392"/>
      <c r="T108" s="392"/>
      <c r="U108" s="392"/>
      <c r="V108" s="392"/>
      <c r="W108" s="392"/>
      <c r="X108" s="392"/>
      <c r="Y108" s="392"/>
    </row>
    <row r="109" spans="19:25">
      <c r="S109" s="392"/>
      <c r="T109" s="392"/>
      <c r="U109" s="392"/>
      <c r="V109" s="392"/>
      <c r="W109" s="392"/>
      <c r="X109" s="392"/>
      <c r="Y109" s="392"/>
    </row>
    <row r="110" spans="19:25">
      <c r="S110" s="392"/>
      <c r="T110" s="392"/>
      <c r="U110" s="392"/>
      <c r="V110" s="392"/>
      <c r="W110" s="392"/>
      <c r="X110" s="392"/>
      <c r="Y110" s="392"/>
    </row>
    <row r="111" spans="19:25">
      <c r="S111" s="392"/>
      <c r="T111" s="392"/>
      <c r="U111" s="392"/>
      <c r="V111" s="392"/>
      <c r="W111" s="392"/>
      <c r="X111" s="392"/>
      <c r="Y111" s="392"/>
    </row>
    <row r="112" spans="19:25">
      <c r="S112" s="392"/>
      <c r="T112" s="392"/>
      <c r="U112" s="392"/>
      <c r="V112" s="392"/>
      <c r="W112" s="392"/>
      <c r="X112" s="392"/>
      <c r="Y112" s="392"/>
    </row>
    <row r="113" spans="19:25">
      <c r="S113" s="392"/>
      <c r="T113" s="392"/>
      <c r="U113" s="392"/>
      <c r="V113" s="392"/>
      <c r="W113" s="392"/>
      <c r="X113" s="392"/>
      <c r="Y113" s="392"/>
    </row>
    <row r="114" spans="19:25">
      <c r="S114" s="392"/>
      <c r="T114" s="392"/>
      <c r="U114" s="392"/>
      <c r="V114" s="392"/>
      <c r="W114" s="392"/>
      <c r="X114" s="392"/>
      <c r="Y114" s="392"/>
    </row>
    <row r="115" spans="19:25">
      <c r="S115" s="392"/>
      <c r="T115" s="392"/>
      <c r="U115" s="392"/>
      <c r="V115" s="392"/>
      <c r="W115" s="392"/>
      <c r="X115" s="392"/>
      <c r="Y115" s="392"/>
    </row>
    <row r="116" spans="19:25">
      <c r="S116" s="392"/>
      <c r="T116" s="392"/>
      <c r="U116" s="392"/>
      <c r="V116" s="392"/>
      <c r="W116" s="392"/>
      <c r="X116" s="392"/>
      <c r="Y116" s="392"/>
    </row>
    <row r="117" spans="19:25">
      <c r="S117" s="392"/>
      <c r="T117" s="392"/>
      <c r="U117" s="392"/>
      <c r="V117" s="392"/>
      <c r="W117" s="392"/>
      <c r="X117" s="392"/>
      <c r="Y117" s="392"/>
    </row>
    <row r="118" spans="19:25">
      <c r="S118" s="392"/>
      <c r="T118" s="392"/>
      <c r="U118" s="392"/>
      <c r="V118" s="392"/>
      <c r="W118" s="392"/>
      <c r="X118" s="392"/>
      <c r="Y118" s="392"/>
    </row>
    <row r="119" spans="19:25">
      <c r="S119" s="392"/>
      <c r="T119" s="392"/>
      <c r="U119" s="392"/>
      <c r="V119" s="392"/>
      <c r="W119" s="392"/>
      <c r="X119" s="392"/>
      <c r="Y119" s="392"/>
    </row>
    <row r="120" spans="19:25">
      <c r="S120" s="392"/>
      <c r="T120" s="392"/>
      <c r="U120" s="392"/>
      <c r="V120" s="392"/>
      <c r="W120" s="392"/>
      <c r="X120" s="392"/>
      <c r="Y120" s="392"/>
    </row>
    <row r="121" spans="19:25">
      <c r="S121" s="392"/>
      <c r="T121" s="392"/>
      <c r="U121" s="392"/>
      <c r="V121" s="392"/>
      <c r="W121" s="392"/>
      <c r="X121" s="392"/>
      <c r="Y121" s="392"/>
    </row>
    <row r="122" spans="19:25">
      <c r="S122" s="392"/>
      <c r="T122" s="392"/>
      <c r="U122" s="392"/>
      <c r="V122" s="392"/>
      <c r="W122" s="392"/>
      <c r="X122" s="392"/>
      <c r="Y122" s="392"/>
    </row>
    <row r="123" spans="19:25">
      <c r="S123" s="392"/>
      <c r="T123" s="392"/>
      <c r="U123" s="392"/>
      <c r="V123" s="392"/>
      <c r="W123" s="392"/>
      <c r="X123" s="392"/>
      <c r="Y123" s="392"/>
    </row>
    <row r="124" spans="19:25">
      <c r="S124" s="392"/>
      <c r="T124" s="392"/>
      <c r="U124" s="392"/>
      <c r="V124" s="392"/>
      <c r="W124" s="392"/>
      <c r="X124" s="392"/>
      <c r="Y124" s="392"/>
    </row>
    <row r="125" spans="19:25">
      <c r="S125" s="392"/>
      <c r="T125" s="392"/>
      <c r="U125" s="392"/>
      <c r="V125" s="392"/>
      <c r="W125" s="392"/>
      <c r="X125" s="392"/>
      <c r="Y125" s="392"/>
    </row>
    <row r="126" spans="19:25">
      <c r="S126" s="392"/>
      <c r="T126" s="392"/>
      <c r="U126" s="392"/>
      <c r="V126" s="392"/>
      <c r="W126" s="392"/>
      <c r="X126" s="392"/>
      <c r="Y126" s="392"/>
    </row>
    <row r="127" spans="19:25">
      <c r="S127" s="392"/>
      <c r="T127" s="392"/>
      <c r="U127" s="392"/>
      <c r="V127" s="392"/>
      <c r="W127" s="392"/>
      <c r="X127" s="392"/>
      <c r="Y127" s="392"/>
    </row>
    <row r="128" spans="19:25">
      <c r="S128" s="392"/>
      <c r="T128" s="392"/>
      <c r="U128" s="392"/>
      <c r="V128" s="392"/>
      <c r="W128" s="392"/>
      <c r="X128" s="392"/>
      <c r="Y128" s="392"/>
    </row>
    <row r="129" spans="19:25">
      <c r="S129" s="392"/>
      <c r="T129" s="392"/>
      <c r="U129" s="392"/>
      <c r="V129" s="392"/>
      <c r="W129" s="392"/>
      <c r="X129" s="392"/>
      <c r="Y129" s="392"/>
    </row>
    <row r="130" spans="19:25">
      <c r="S130" s="392"/>
      <c r="T130" s="392"/>
      <c r="U130" s="392"/>
      <c r="V130" s="392"/>
      <c r="W130" s="392"/>
      <c r="X130" s="392"/>
      <c r="Y130" s="392"/>
    </row>
    <row r="131" spans="19:25">
      <c r="S131" s="392"/>
      <c r="T131" s="392"/>
      <c r="U131" s="392"/>
      <c r="V131" s="392"/>
      <c r="W131" s="392"/>
      <c r="X131" s="392"/>
      <c r="Y131" s="392"/>
    </row>
    <row r="132" spans="19:25">
      <c r="S132" s="392"/>
      <c r="T132" s="392"/>
      <c r="U132" s="392"/>
      <c r="V132" s="392"/>
      <c r="W132" s="392"/>
      <c r="X132" s="392"/>
      <c r="Y132" s="392"/>
    </row>
    <row r="133" spans="19:25">
      <c r="S133" s="392"/>
      <c r="T133" s="392"/>
      <c r="U133" s="392"/>
      <c r="V133" s="392"/>
      <c r="W133" s="392"/>
      <c r="X133" s="392"/>
      <c r="Y133" s="392"/>
    </row>
    <row r="134" spans="19:25">
      <c r="S134" s="392"/>
      <c r="T134" s="392"/>
      <c r="U134" s="392"/>
      <c r="V134" s="392"/>
      <c r="W134" s="392"/>
      <c r="X134" s="392"/>
      <c r="Y134" s="392"/>
    </row>
    <row r="135" spans="19:25">
      <c r="S135" s="392"/>
      <c r="T135" s="392"/>
      <c r="U135" s="392"/>
      <c r="V135" s="392"/>
      <c r="W135" s="392"/>
      <c r="X135" s="392"/>
      <c r="Y135" s="392"/>
    </row>
    <row r="136" spans="19:25">
      <c r="S136" s="392"/>
      <c r="T136" s="392"/>
      <c r="U136" s="392"/>
      <c r="V136" s="392"/>
      <c r="W136" s="392"/>
      <c r="X136" s="392"/>
      <c r="Y136" s="392"/>
    </row>
    <row r="137" spans="19:25">
      <c r="S137" s="392"/>
      <c r="T137" s="392"/>
      <c r="U137" s="392"/>
      <c r="V137" s="392"/>
      <c r="W137" s="392"/>
      <c r="X137" s="392"/>
      <c r="Y137" s="392"/>
    </row>
    <row r="138" spans="19:25">
      <c r="S138" s="392"/>
      <c r="T138" s="392"/>
      <c r="U138" s="392"/>
      <c r="V138" s="392"/>
      <c r="W138" s="392"/>
      <c r="X138" s="392"/>
      <c r="Y138" s="392"/>
    </row>
    <row r="139" spans="19:25">
      <c r="S139" s="392"/>
      <c r="T139" s="392"/>
      <c r="U139" s="392"/>
      <c r="V139" s="392"/>
      <c r="W139" s="392"/>
      <c r="X139" s="392"/>
      <c r="Y139" s="392"/>
    </row>
    <row r="140" spans="19:25">
      <c r="S140" s="392"/>
      <c r="T140" s="392"/>
      <c r="U140" s="392"/>
      <c r="V140" s="392"/>
      <c r="W140" s="392"/>
      <c r="X140" s="392"/>
      <c r="Y140" s="392"/>
    </row>
    <row r="141" spans="19:25">
      <c r="S141" s="392"/>
      <c r="T141" s="392"/>
      <c r="U141" s="392"/>
      <c r="V141" s="392"/>
      <c r="W141" s="392"/>
      <c r="X141" s="392"/>
      <c r="Y141" s="392"/>
    </row>
    <row r="142" spans="19:25">
      <c r="S142" s="392"/>
      <c r="T142" s="392"/>
      <c r="U142" s="392"/>
      <c r="V142" s="392"/>
      <c r="W142" s="392"/>
      <c r="X142" s="392"/>
      <c r="Y142" s="392"/>
    </row>
    <row r="143" spans="19:25">
      <c r="S143" s="392"/>
      <c r="T143" s="392"/>
      <c r="U143" s="392"/>
      <c r="V143" s="392"/>
      <c r="W143" s="392"/>
      <c r="X143" s="392"/>
      <c r="Y143" s="392"/>
    </row>
    <row r="144" spans="19:25">
      <c r="S144" s="392"/>
      <c r="T144" s="392"/>
      <c r="U144" s="392"/>
      <c r="V144" s="392"/>
      <c r="W144" s="392"/>
      <c r="X144" s="392"/>
      <c r="Y144" s="392"/>
    </row>
    <row r="145" spans="19:25">
      <c r="S145" s="392"/>
      <c r="T145" s="392"/>
      <c r="U145" s="392"/>
      <c r="V145" s="392"/>
      <c r="W145" s="392"/>
      <c r="X145" s="392"/>
      <c r="Y145" s="392"/>
    </row>
    <row r="146" spans="19:25">
      <c r="S146" s="392"/>
      <c r="T146" s="392"/>
      <c r="U146" s="392"/>
      <c r="V146" s="392"/>
      <c r="W146" s="392"/>
      <c r="X146" s="392"/>
      <c r="Y146" s="392"/>
    </row>
    <row r="147" spans="19:25">
      <c r="S147" s="392"/>
      <c r="T147" s="392"/>
      <c r="U147" s="392"/>
      <c r="V147" s="392"/>
      <c r="W147" s="392"/>
      <c r="X147" s="392"/>
      <c r="Y147" s="392"/>
    </row>
    <row r="148" spans="19:25">
      <c r="S148" s="392"/>
      <c r="T148" s="392"/>
      <c r="U148" s="392"/>
      <c r="V148" s="392"/>
      <c r="W148" s="392"/>
      <c r="X148" s="392"/>
      <c r="Y148" s="392"/>
    </row>
    <row r="149" spans="19:25">
      <c r="S149" s="392"/>
      <c r="T149" s="392"/>
      <c r="U149" s="392"/>
      <c r="V149" s="392"/>
      <c r="W149" s="392"/>
      <c r="X149" s="392"/>
      <c r="Y149" s="392"/>
    </row>
    <row r="150" spans="19:25">
      <c r="S150" s="392"/>
      <c r="T150" s="392"/>
      <c r="U150" s="392"/>
      <c r="V150" s="392"/>
      <c r="W150" s="392"/>
      <c r="X150" s="392"/>
      <c r="Y150" s="392"/>
    </row>
    <row r="151" spans="19:25">
      <c r="S151" s="392"/>
      <c r="T151" s="392"/>
      <c r="U151" s="392"/>
      <c r="V151" s="392"/>
      <c r="W151" s="392"/>
      <c r="X151" s="392"/>
      <c r="Y151" s="392"/>
    </row>
    <row r="152" spans="19:25">
      <c r="S152" s="392"/>
      <c r="T152" s="392"/>
      <c r="U152" s="392"/>
      <c r="V152" s="392"/>
      <c r="W152" s="392"/>
      <c r="X152" s="392"/>
      <c r="Y152" s="392"/>
    </row>
    <row r="153" spans="19:25">
      <c r="S153" s="392"/>
      <c r="T153" s="392"/>
      <c r="U153" s="392"/>
      <c r="V153" s="392"/>
      <c r="W153" s="392"/>
      <c r="X153" s="392"/>
      <c r="Y153" s="392"/>
    </row>
    <row r="154" spans="19:25">
      <c r="S154" s="392"/>
      <c r="T154" s="392"/>
      <c r="U154" s="392"/>
      <c r="V154" s="392"/>
      <c r="W154" s="392"/>
      <c r="X154" s="392"/>
      <c r="Y154" s="392"/>
    </row>
    <row r="155" spans="19:25">
      <c r="S155" s="392"/>
      <c r="T155" s="392"/>
      <c r="U155" s="392"/>
      <c r="V155" s="392"/>
      <c r="W155" s="392"/>
      <c r="X155" s="392"/>
      <c r="Y155" s="392"/>
    </row>
    <row r="156" spans="19:25">
      <c r="S156" s="392"/>
      <c r="T156" s="392"/>
      <c r="U156" s="392"/>
      <c r="V156" s="392"/>
      <c r="W156" s="392"/>
      <c r="X156" s="392"/>
      <c r="Y156" s="392"/>
    </row>
    <row r="157" spans="19:25">
      <c r="S157" s="392"/>
      <c r="T157" s="392"/>
      <c r="U157" s="392"/>
      <c r="V157" s="392"/>
      <c r="W157" s="392"/>
      <c r="X157" s="392"/>
      <c r="Y157" s="392"/>
    </row>
    <row r="158" spans="19:25">
      <c r="S158" s="392"/>
      <c r="T158" s="392"/>
      <c r="U158" s="392"/>
      <c r="V158" s="392"/>
      <c r="W158" s="392"/>
      <c r="X158" s="392"/>
      <c r="Y158" s="392"/>
    </row>
    <row r="159" spans="19:25">
      <c r="S159" s="392"/>
      <c r="T159" s="392"/>
      <c r="U159" s="392"/>
      <c r="V159" s="392"/>
      <c r="W159" s="392"/>
      <c r="X159" s="392"/>
      <c r="Y159" s="392"/>
    </row>
    <row r="160" spans="19:25">
      <c r="S160" s="392"/>
      <c r="T160" s="392"/>
      <c r="U160" s="392"/>
      <c r="V160" s="392"/>
      <c r="W160" s="392"/>
      <c r="X160" s="392"/>
      <c r="Y160" s="392"/>
    </row>
    <row r="161" spans="19:25">
      <c r="S161" s="392"/>
      <c r="T161" s="392"/>
      <c r="U161" s="392"/>
      <c r="V161" s="392"/>
      <c r="W161" s="392"/>
      <c r="X161" s="392"/>
      <c r="Y161" s="392"/>
    </row>
    <row r="162" spans="19:25">
      <c r="S162" s="392"/>
      <c r="T162" s="392"/>
      <c r="U162" s="392"/>
      <c r="V162" s="392"/>
      <c r="W162" s="392"/>
      <c r="X162" s="392"/>
      <c r="Y162" s="392"/>
    </row>
    <row r="163" spans="19:25">
      <c r="S163" s="392"/>
      <c r="T163" s="392"/>
      <c r="U163" s="392"/>
      <c r="V163" s="392"/>
      <c r="W163" s="392"/>
      <c r="X163" s="392"/>
      <c r="Y163" s="392"/>
    </row>
    <row r="164" spans="19:25">
      <c r="S164" s="392"/>
      <c r="T164" s="392"/>
      <c r="U164" s="392"/>
      <c r="V164" s="392"/>
      <c r="W164" s="392"/>
      <c r="X164" s="392"/>
      <c r="Y164" s="392"/>
    </row>
    <row r="165" spans="19:25">
      <c r="S165" s="392"/>
      <c r="T165" s="392"/>
      <c r="U165" s="392"/>
      <c r="V165" s="392"/>
      <c r="W165" s="392"/>
      <c r="X165" s="392"/>
      <c r="Y165" s="392"/>
    </row>
    <row r="166" spans="19:25">
      <c r="S166" s="392"/>
      <c r="T166" s="392"/>
      <c r="U166" s="392"/>
      <c r="V166" s="392"/>
      <c r="W166" s="392"/>
      <c r="X166" s="392"/>
      <c r="Y166" s="392"/>
    </row>
    <row r="167" spans="19:25">
      <c r="S167" s="392"/>
      <c r="T167" s="392"/>
      <c r="U167" s="392"/>
      <c r="V167" s="392"/>
      <c r="W167" s="392"/>
      <c r="X167" s="392"/>
      <c r="Y167" s="392"/>
    </row>
    <row r="168" spans="19:25">
      <c r="S168" s="392"/>
      <c r="T168" s="392"/>
      <c r="U168" s="392"/>
      <c r="V168" s="392"/>
      <c r="W168" s="392"/>
      <c r="X168" s="392"/>
      <c r="Y168" s="392"/>
    </row>
    <row r="169" spans="19:25">
      <c r="S169" s="392"/>
      <c r="T169" s="392"/>
      <c r="U169" s="392"/>
      <c r="V169" s="392"/>
      <c r="W169" s="392"/>
      <c r="X169" s="392"/>
      <c r="Y169" s="392"/>
    </row>
    <row r="170" spans="19:25">
      <c r="S170" s="392"/>
      <c r="T170" s="392"/>
      <c r="U170" s="392"/>
      <c r="V170" s="392"/>
      <c r="W170" s="392"/>
      <c r="X170" s="392"/>
      <c r="Y170" s="392"/>
    </row>
    <row r="171" spans="19:25">
      <c r="S171" s="392"/>
      <c r="T171" s="392"/>
      <c r="U171" s="392"/>
      <c r="V171" s="392"/>
      <c r="W171" s="392"/>
      <c r="X171" s="392"/>
      <c r="Y171" s="392"/>
    </row>
    <row r="172" spans="19:25">
      <c r="S172" s="392"/>
      <c r="T172" s="392"/>
      <c r="U172" s="392"/>
      <c r="V172" s="392"/>
      <c r="W172" s="392"/>
      <c r="X172" s="392"/>
      <c r="Y172" s="392"/>
    </row>
    <row r="173" spans="19:25">
      <c r="S173" s="392"/>
      <c r="T173" s="392"/>
      <c r="U173" s="392"/>
      <c r="V173" s="392"/>
      <c r="W173" s="392"/>
      <c r="X173" s="392"/>
      <c r="Y173" s="392"/>
    </row>
    <row r="174" spans="19:25">
      <c r="S174" s="392"/>
      <c r="T174" s="392"/>
      <c r="U174" s="392"/>
      <c r="V174" s="392"/>
      <c r="W174" s="392"/>
      <c r="X174" s="392"/>
      <c r="Y174" s="392"/>
    </row>
    <row r="175" spans="19:25">
      <c r="S175" s="392"/>
      <c r="T175" s="392"/>
      <c r="U175" s="392"/>
      <c r="V175" s="392"/>
      <c r="W175" s="392"/>
      <c r="X175" s="392"/>
      <c r="Y175" s="392"/>
    </row>
    <row r="176" spans="19:25">
      <c r="S176" s="392"/>
      <c r="T176" s="392"/>
      <c r="U176" s="392"/>
      <c r="V176" s="392"/>
      <c r="W176" s="392"/>
      <c r="X176" s="392"/>
      <c r="Y176" s="392"/>
    </row>
    <row r="177" spans="19:25">
      <c r="S177" s="392"/>
      <c r="T177" s="392"/>
      <c r="U177" s="392"/>
      <c r="V177" s="392"/>
      <c r="W177" s="392"/>
      <c r="X177" s="392"/>
      <c r="Y177" s="392"/>
    </row>
    <row r="178" spans="19:25">
      <c r="S178" s="392"/>
      <c r="T178" s="392"/>
      <c r="U178" s="392"/>
      <c r="V178" s="392"/>
      <c r="W178" s="392"/>
      <c r="X178" s="392"/>
      <c r="Y178" s="392"/>
    </row>
    <row r="179" spans="19:25">
      <c r="S179" s="392"/>
      <c r="T179" s="392"/>
      <c r="U179" s="392"/>
      <c r="V179" s="392"/>
      <c r="W179" s="392"/>
      <c r="X179" s="392"/>
      <c r="Y179" s="392"/>
    </row>
    <row r="180" spans="19:25">
      <c r="S180" s="392"/>
      <c r="T180" s="392"/>
      <c r="U180" s="392"/>
      <c r="V180" s="392"/>
      <c r="W180" s="392"/>
      <c r="X180" s="392"/>
      <c r="Y180" s="392"/>
    </row>
    <row r="181" spans="19:25">
      <c r="S181" s="392"/>
      <c r="T181" s="392"/>
      <c r="U181" s="392"/>
      <c r="V181" s="392"/>
      <c r="W181" s="392"/>
      <c r="X181" s="392"/>
      <c r="Y181" s="392"/>
    </row>
    <row r="182" spans="19:25">
      <c r="S182" s="392"/>
      <c r="T182" s="392"/>
      <c r="U182" s="392"/>
      <c r="V182" s="392"/>
      <c r="W182" s="392"/>
      <c r="X182" s="392"/>
      <c r="Y182" s="392"/>
    </row>
    <row r="183" spans="19:25">
      <c r="S183" s="392"/>
      <c r="T183" s="392"/>
      <c r="U183" s="392"/>
      <c r="V183" s="392"/>
      <c r="W183" s="392"/>
      <c r="X183" s="392"/>
      <c r="Y183" s="392"/>
    </row>
    <row r="184" spans="19:25">
      <c r="S184" s="392"/>
      <c r="T184" s="392"/>
      <c r="U184" s="392"/>
      <c r="V184" s="392"/>
      <c r="W184" s="392"/>
      <c r="X184" s="392"/>
      <c r="Y184" s="392"/>
    </row>
    <row r="185" spans="19:25">
      <c r="S185" s="392"/>
      <c r="T185" s="392"/>
      <c r="U185" s="392"/>
      <c r="V185" s="392"/>
      <c r="W185" s="392"/>
      <c r="X185" s="392"/>
      <c r="Y185" s="392"/>
    </row>
    <row r="186" spans="19:25">
      <c r="S186" s="392"/>
      <c r="T186" s="392"/>
      <c r="U186" s="392"/>
      <c r="V186" s="392"/>
      <c r="W186" s="392"/>
      <c r="X186" s="392"/>
      <c r="Y186" s="392"/>
    </row>
    <row r="187" spans="19:25">
      <c r="S187" s="392"/>
      <c r="T187" s="392"/>
      <c r="U187" s="392"/>
      <c r="V187" s="392"/>
      <c r="W187" s="392"/>
      <c r="X187" s="392"/>
      <c r="Y187" s="392"/>
    </row>
    <row r="188" spans="19:25">
      <c r="S188" s="392"/>
      <c r="T188" s="392"/>
      <c r="U188" s="392"/>
      <c r="V188" s="392"/>
      <c r="W188" s="392"/>
      <c r="X188" s="392"/>
      <c r="Y188" s="392"/>
    </row>
    <row r="189" spans="19:25">
      <c r="S189" s="392"/>
      <c r="T189" s="392"/>
      <c r="U189" s="392"/>
      <c r="V189" s="392"/>
      <c r="W189" s="392"/>
      <c r="X189" s="392"/>
      <c r="Y189" s="392"/>
    </row>
    <row r="190" spans="19:25">
      <c r="S190" s="392"/>
      <c r="T190" s="392"/>
      <c r="U190" s="392"/>
      <c r="V190" s="392"/>
      <c r="W190" s="392"/>
      <c r="X190" s="392"/>
      <c r="Y190" s="392"/>
    </row>
    <row r="191" spans="19:25">
      <c r="S191" s="392"/>
      <c r="T191" s="392"/>
      <c r="U191" s="392"/>
      <c r="V191" s="392"/>
      <c r="W191" s="392"/>
      <c r="X191" s="392"/>
      <c r="Y191" s="392"/>
    </row>
    <row r="192" spans="19:25">
      <c r="S192" s="392"/>
      <c r="T192" s="392"/>
      <c r="U192" s="392"/>
      <c r="V192" s="392"/>
      <c r="W192" s="392"/>
      <c r="X192" s="392"/>
      <c r="Y192" s="392"/>
    </row>
    <row r="193" spans="19:25">
      <c r="S193" s="392"/>
      <c r="T193" s="392"/>
      <c r="U193" s="392"/>
      <c r="V193" s="392"/>
      <c r="W193" s="392"/>
      <c r="X193" s="392"/>
      <c r="Y193" s="392"/>
    </row>
    <row r="194" spans="19:25">
      <c r="S194" s="392"/>
      <c r="T194" s="392"/>
      <c r="U194" s="392"/>
      <c r="V194" s="392"/>
      <c r="W194" s="392"/>
      <c r="X194" s="392"/>
      <c r="Y194" s="392"/>
    </row>
    <row r="195" spans="19:25">
      <c r="S195" s="392"/>
      <c r="T195" s="392"/>
      <c r="U195" s="392"/>
      <c r="V195" s="392"/>
      <c r="W195" s="392"/>
      <c r="X195" s="392"/>
      <c r="Y195" s="392"/>
    </row>
    <row r="196" spans="19:25">
      <c r="S196" s="392"/>
      <c r="T196" s="392"/>
      <c r="U196" s="392"/>
      <c r="V196" s="392"/>
      <c r="W196" s="392"/>
      <c r="X196" s="392"/>
      <c r="Y196" s="392"/>
    </row>
    <row r="197" spans="19:25">
      <c r="S197" s="392"/>
      <c r="T197" s="392"/>
      <c r="U197" s="392"/>
      <c r="V197" s="392"/>
      <c r="W197" s="392"/>
      <c r="X197" s="392"/>
      <c r="Y197" s="392"/>
    </row>
    <row r="198" spans="19:25">
      <c r="S198" s="392"/>
      <c r="T198" s="392"/>
      <c r="U198" s="392"/>
      <c r="V198" s="392"/>
      <c r="W198" s="392"/>
      <c r="X198" s="392"/>
      <c r="Y198" s="392"/>
    </row>
    <row r="199" spans="19:25">
      <c r="S199" s="392"/>
      <c r="T199" s="392"/>
      <c r="U199" s="392"/>
      <c r="V199" s="392"/>
      <c r="W199" s="392"/>
      <c r="X199" s="392"/>
      <c r="Y199" s="392"/>
    </row>
    <row r="200" spans="19:25">
      <c r="S200" s="392"/>
      <c r="T200" s="392"/>
      <c r="U200" s="392"/>
      <c r="V200" s="392"/>
      <c r="W200" s="392"/>
      <c r="X200" s="392"/>
      <c r="Y200" s="392"/>
    </row>
    <row r="201" spans="19:25">
      <c r="S201" s="392"/>
      <c r="T201" s="392"/>
      <c r="U201" s="392"/>
      <c r="V201" s="392"/>
      <c r="W201" s="392"/>
      <c r="X201" s="392"/>
      <c r="Y201" s="392"/>
    </row>
    <row r="202" spans="19:25">
      <c r="S202" s="392"/>
      <c r="T202" s="392"/>
      <c r="U202" s="392"/>
      <c r="V202" s="392"/>
      <c r="W202" s="392"/>
      <c r="X202" s="392"/>
      <c r="Y202" s="392"/>
    </row>
    <row r="203" spans="19:25">
      <c r="S203" s="392"/>
      <c r="T203" s="392"/>
      <c r="U203" s="392"/>
      <c r="V203" s="392"/>
      <c r="W203" s="392"/>
      <c r="X203" s="392"/>
      <c r="Y203" s="392"/>
    </row>
    <row r="204" spans="19:25">
      <c r="S204" s="392"/>
      <c r="T204" s="392"/>
      <c r="U204" s="392"/>
      <c r="V204" s="392"/>
      <c r="W204" s="392"/>
      <c r="X204" s="392"/>
      <c r="Y204" s="392"/>
    </row>
    <row r="205" spans="19:25">
      <c r="S205" s="392"/>
      <c r="T205" s="392"/>
      <c r="U205" s="392"/>
      <c r="V205" s="392"/>
      <c r="W205" s="392"/>
      <c r="X205" s="392"/>
      <c r="Y205" s="392"/>
    </row>
    <row r="206" spans="19:25">
      <c r="S206" s="392"/>
      <c r="T206" s="392"/>
      <c r="U206" s="392"/>
      <c r="V206" s="392"/>
      <c r="W206" s="392"/>
      <c r="X206" s="392"/>
      <c r="Y206" s="392"/>
    </row>
    <row r="207" spans="19:25">
      <c r="S207" s="392"/>
      <c r="T207" s="392"/>
      <c r="U207" s="392"/>
      <c r="V207" s="392"/>
      <c r="W207" s="392"/>
      <c r="X207" s="392"/>
      <c r="Y207" s="392"/>
    </row>
    <row r="208" spans="19:25">
      <c r="S208" s="392"/>
      <c r="T208" s="392"/>
      <c r="U208" s="392"/>
      <c r="V208" s="392"/>
      <c r="W208" s="392"/>
      <c r="X208" s="392"/>
      <c r="Y208" s="392"/>
    </row>
    <row r="209" spans="19:25">
      <c r="S209" s="392"/>
      <c r="T209" s="392"/>
      <c r="U209" s="392"/>
      <c r="V209" s="392"/>
      <c r="W209" s="392"/>
      <c r="X209" s="392"/>
      <c r="Y209" s="392"/>
    </row>
    <row r="210" spans="19:25">
      <c r="S210" s="392"/>
      <c r="T210" s="392"/>
      <c r="U210" s="392"/>
      <c r="V210" s="392"/>
      <c r="W210" s="392"/>
      <c r="X210" s="392"/>
      <c r="Y210" s="392"/>
    </row>
    <row r="211" spans="19:25">
      <c r="S211" s="392"/>
      <c r="T211" s="392"/>
      <c r="U211" s="392"/>
      <c r="V211" s="392"/>
      <c r="W211" s="392"/>
      <c r="X211" s="392"/>
      <c r="Y211" s="392"/>
    </row>
    <row r="212" spans="19:25">
      <c r="S212" s="392"/>
      <c r="T212" s="392"/>
      <c r="U212" s="392"/>
      <c r="V212" s="392"/>
      <c r="W212" s="392"/>
      <c r="X212" s="392"/>
      <c r="Y212" s="392"/>
    </row>
    <row r="213" spans="19:25">
      <c r="S213" s="392"/>
      <c r="T213" s="392"/>
      <c r="U213" s="392"/>
      <c r="V213" s="392"/>
      <c r="W213" s="392"/>
      <c r="X213" s="392"/>
      <c r="Y213" s="392"/>
    </row>
    <row r="214" spans="19:25">
      <c r="S214" s="392"/>
      <c r="T214" s="392"/>
      <c r="U214" s="392"/>
      <c r="V214" s="392"/>
      <c r="W214" s="392"/>
      <c r="X214" s="392"/>
      <c r="Y214" s="392"/>
    </row>
    <row r="215" spans="19:25">
      <c r="S215" s="392"/>
      <c r="T215" s="392"/>
      <c r="U215" s="392"/>
      <c r="V215" s="392"/>
      <c r="W215" s="392"/>
      <c r="X215" s="392"/>
      <c r="Y215" s="392"/>
    </row>
    <row r="216" spans="19:25">
      <c r="S216" s="392"/>
      <c r="T216" s="392"/>
      <c r="U216" s="392"/>
      <c r="V216" s="392"/>
      <c r="W216" s="392"/>
      <c r="X216" s="392"/>
      <c r="Y216" s="392"/>
    </row>
    <row r="217" spans="19:25">
      <c r="S217" s="392"/>
      <c r="T217" s="392"/>
      <c r="U217" s="392"/>
      <c r="V217" s="392"/>
      <c r="W217" s="392"/>
      <c r="X217" s="392"/>
      <c r="Y217" s="392"/>
    </row>
    <row r="218" spans="19:25">
      <c r="S218" s="392"/>
      <c r="T218" s="392"/>
      <c r="U218" s="392"/>
      <c r="V218" s="392"/>
      <c r="W218" s="392"/>
      <c r="X218" s="392"/>
      <c r="Y218" s="392"/>
    </row>
    <row r="219" spans="19:25">
      <c r="S219" s="392"/>
      <c r="T219" s="392"/>
      <c r="U219" s="392"/>
      <c r="V219" s="392"/>
      <c r="W219" s="392"/>
      <c r="X219" s="392"/>
      <c r="Y219" s="392"/>
    </row>
    <row r="220" spans="19:25">
      <c r="S220" s="392"/>
      <c r="T220" s="392"/>
      <c r="U220" s="392"/>
      <c r="V220" s="392"/>
      <c r="W220" s="392"/>
      <c r="X220" s="392"/>
      <c r="Y220" s="392"/>
    </row>
    <row r="221" spans="19:25">
      <c r="S221" s="392"/>
      <c r="T221" s="392"/>
      <c r="U221" s="392"/>
      <c r="V221" s="392"/>
      <c r="W221" s="392"/>
      <c r="X221" s="392"/>
      <c r="Y221" s="392"/>
    </row>
    <row r="222" spans="19:25">
      <c r="S222" s="392"/>
      <c r="T222" s="392"/>
      <c r="U222" s="392"/>
      <c r="V222" s="392"/>
      <c r="W222" s="392"/>
      <c r="X222" s="392"/>
      <c r="Y222" s="392"/>
    </row>
    <row r="223" spans="19:25">
      <c r="S223" s="392"/>
      <c r="T223" s="392"/>
      <c r="U223" s="392"/>
      <c r="V223" s="392"/>
      <c r="W223" s="392"/>
      <c r="X223" s="392"/>
      <c r="Y223" s="392"/>
    </row>
    <row r="224" spans="19:25">
      <c r="S224" s="392"/>
      <c r="T224" s="392"/>
      <c r="U224" s="392"/>
      <c r="V224" s="392"/>
      <c r="W224" s="392"/>
      <c r="X224" s="392"/>
      <c r="Y224" s="392"/>
    </row>
    <row r="225" spans="19:25">
      <c r="S225" s="392"/>
      <c r="T225" s="392"/>
      <c r="U225" s="392"/>
      <c r="V225" s="392"/>
      <c r="W225" s="392"/>
      <c r="X225" s="392"/>
      <c r="Y225" s="392"/>
    </row>
    <row r="226" spans="19:25">
      <c r="S226" s="392"/>
      <c r="T226" s="392"/>
      <c r="U226" s="392"/>
      <c r="V226" s="392"/>
      <c r="W226" s="392"/>
      <c r="X226" s="392"/>
      <c r="Y226" s="392"/>
    </row>
    <row r="227" spans="19:25">
      <c r="S227" s="392"/>
      <c r="T227" s="392"/>
      <c r="U227" s="392"/>
      <c r="V227" s="392"/>
      <c r="W227" s="392"/>
      <c r="X227" s="392"/>
      <c r="Y227" s="392"/>
    </row>
    <row r="228" spans="19:25">
      <c r="S228" s="392"/>
      <c r="T228" s="392"/>
      <c r="U228" s="392"/>
      <c r="V228" s="392"/>
      <c r="W228" s="392"/>
      <c r="X228" s="392"/>
      <c r="Y228" s="392"/>
    </row>
    <row r="229" spans="19:25">
      <c r="S229" s="392"/>
      <c r="T229" s="392"/>
      <c r="U229" s="392"/>
      <c r="V229" s="392"/>
      <c r="W229" s="392"/>
      <c r="X229" s="392"/>
      <c r="Y229" s="392"/>
    </row>
    <row r="230" spans="19:25">
      <c r="S230" s="392"/>
      <c r="T230" s="392"/>
      <c r="U230" s="392"/>
      <c r="V230" s="392"/>
      <c r="W230" s="392"/>
      <c r="X230" s="392"/>
      <c r="Y230" s="392"/>
    </row>
    <row r="231" spans="19:25">
      <c r="S231" s="392"/>
      <c r="T231" s="392"/>
      <c r="U231" s="392"/>
      <c r="V231" s="392"/>
      <c r="W231" s="392"/>
      <c r="X231" s="392"/>
      <c r="Y231" s="392"/>
    </row>
    <row r="232" spans="19:25">
      <c r="S232" s="392"/>
      <c r="T232" s="392"/>
      <c r="U232" s="392"/>
      <c r="V232" s="392"/>
      <c r="W232" s="392"/>
      <c r="X232" s="392"/>
      <c r="Y232" s="392"/>
    </row>
    <row r="233" spans="19:25">
      <c r="S233" s="392"/>
      <c r="T233" s="392"/>
      <c r="U233" s="392"/>
      <c r="V233" s="392"/>
      <c r="W233" s="392"/>
      <c r="X233" s="392"/>
      <c r="Y233" s="392"/>
    </row>
    <row r="234" spans="19:25">
      <c r="S234" s="392"/>
      <c r="T234" s="392"/>
      <c r="U234" s="392"/>
      <c r="V234" s="392"/>
      <c r="W234" s="392"/>
      <c r="X234" s="392"/>
      <c r="Y234" s="392"/>
    </row>
    <row r="235" spans="19:25">
      <c r="S235" s="392"/>
      <c r="T235" s="392"/>
      <c r="U235" s="392"/>
      <c r="V235" s="392"/>
      <c r="W235" s="392"/>
      <c r="X235" s="392"/>
      <c r="Y235" s="392"/>
    </row>
    <row r="236" spans="19:25">
      <c r="S236" s="392"/>
      <c r="T236" s="392"/>
      <c r="U236" s="392"/>
      <c r="V236" s="392"/>
      <c r="W236" s="392"/>
      <c r="X236" s="392"/>
      <c r="Y236" s="392"/>
    </row>
    <row r="237" spans="19:25">
      <c r="S237" s="392"/>
      <c r="T237" s="392"/>
      <c r="U237" s="392"/>
      <c r="V237" s="392"/>
      <c r="W237" s="392"/>
      <c r="X237" s="392"/>
      <c r="Y237" s="392"/>
    </row>
    <row r="238" spans="19:25">
      <c r="S238" s="392"/>
      <c r="T238" s="392"/>
      <c r="U238" s="392"/>
      <c r="V238" s="392"/>
      <c r="W238" s="392"/>
      <c r="X238" s="392"/>
      <c r="Y238" s="392"/>
    </row>
    <row r="239" spans="19:25">
      <c r="S239" s="392"/>
      <c r="T239" s="392"/>
      <c r="U239" s="392"/>
      <c r="V239" s="392"/>
      <c r="W239" s="392"/>
      <c r="X239" s="392"/>
      <c r="Y239" s="392"/>
    </row>
    <row r="240" spans="19:25">
      <c r="S240" s="392"/>
      <c r="T240" s="392"/>
      <c r="U240" s="392"/>
      <c r="V240" s="392"/>
      <c r="W240" s="392"/>
      <c r="X240" s="392"/>
      <c r="Y240" s="392"/>
    </row>
    <row r="241" spans="19:25">
      <c r="S241" s="392"/>
      <c r="T241" s="392"/>
      <c r="U241" s="392"/>
      <c r="V241" s="392"/>
      <c r="W241" s="392"/>
      <c r="X241" s="392"/>
      <c r="Y241" s="392"/>
    </row>
    <row r="242" spans="19:25">
      <c r="S242" s="392"/>
      <c r="T242" s="392"/>
      <c r="U242" s="392"/>
      <c r="V242" s="392"/>
      <c r="W242" s="392"/>
      <c r="X242" s="392"/>
      <c r="Y242" s="392"/>
    </row>
    <row r="243" spans="19:25">
      <c r="S243" s="392"/>
      <c r="T243" s="392"/>
      <c r="U243" s="392"/>
      <c r="V243" s="392"/>
      <c r="W243" s="392"/>
      <c r="X243" s="392"/>
      <c r="Y243" s="392"/>
    </row>
    <row r="244" spans="19:25">
      <c r="S244" s="392"/>
      <c r="T244" s="392"/>
      <c r="U244" s="392"/>
      <c r="V244" s="392"/>
      <c r="W244" s="392"/>
      <c r="X244" s="392"/>
      <c r="Y244" s="392"/>
    </row>
    <row r="245" spans="19:25">
      <c r="S245" s="392"/>
      <c r="T245" s="392"/>
      <c r="U245" s="392"/>
      <c r="V245" s="392"/>
      <c r="W245" s="392"/>
      <c r="X245" s="392"/>
      <c r="Y245" s="392"/>
    </row>
    <row r="246" spans="19:25">
      <c r="S246" s="392"/>
      <c r="T246" s="392"/>
      <c r="U246" s="392"/>
      <c r="V246" s="392"/>
      <c r="W246" s="392"/>
      <c r="X246" s="392"/>
      <c r="Y246" s="392"/>
    </row>
    <row r="247" spans="19:25">
      <c r="S247" s="392"/>
      <c r="T247" s="392"/>
      <c r="U247" s="392"/>
      <c r="V247" s="392"/>
      <c r="W247" s="392"/>
      <c r="X247" s="392"/>
      <c r="Y247" s="392"/>
    </row>
    <row r="248" spans="19:25">
      <c r="S248" s="392"/>
      <c r="T248" s="392"/>
      <c r="U248" s="392"/>
      <c r="V248" s="392"/>
      <c r="W248" s="392"/>
      <c r="X248" s="392"/>
      <c r="Y248" s="392"/>
    </row>
    <row r="249" spans="19:25">
      <c r="S249" s="392"/>
      <c r="T249" s="392"/>
      <c r="U249" s="392"/>
      <c r="V249" s="392"/>
      <c r="W249" s="392"/>
      <c r="X249" s="392"/>
      <c r="Y249" s="392"/>
    </row>
    <row r="250" spans="19:25">
      <c r="S250" s="392"/>
      <c r="T250" s="392"/>
      <c r="U250" s="392"/>
      <c r="V250" s="392"/>
      <c r="W250" s="392"/>
      <c r="X250" s="392"/>
      <c r="Y250" s="392"/>
    </row>
    <row r="251" spans="19:25">
      <c r="S251" s="392"/>
      <c r="T251" s="392"/>
      <c r="U251" s="392"/>
      <c r="V251" s="392"/>
      <c r="W251" s="392"/>
      <c r="X251" s="392"/>
      <c r="Y251" s="392"/>
    </row>
    <row r="252" spans="19:25">
      <c r="S252" s="392"/>
      <c r="T252" s="392"/>
      <c r="U252" s="392"/>
      <c r="V252" s="392"/>
      <c r="W252" s="392"/>
      <c r="X252" s="392"/>
      <c r="Y252" s="392"/>
    </row>
    <row r="253" spans="19:25">
      <c r="S253" s="392"/>
      <c r="T253" s="392"/>
      <c r="U253" s="392"/>
      <c r="V253" s="392"/>
      <c r="W253" s="392"/>
      <c r="X253" s="392"/>
      <c r="Y253" s="392"/>
    </row>
    <row r="254" spans="19:25">
      <c r="S254" s="392"/>
      <c r="T254" s="392"/>
      <c r="U254" s="392"/>
      <c r="V254" s="392"/>
      <c r="W254" s="392"/>
      <c r="X254" s="392"/>
      <c r="Y254" s="392"/>
    </row>
    <row r="255" spans="19:25">
      <c r="S255" s="392"/>
      <c r="T255" s="392"/>
      <c r="U255" s="392"/>
      <c r="V255" s="392"/>
      <c r="W255" s="392"/>
      <c r="X255" s="392"/>
      <c r="Y255" s="392"/>
    </row>
    <row r="256" spans="19:25">
      <c r="S256" s="392"/>
      <c r="T256" s="392"/>
      <c r="U256" s="392"/>
      <c r="V256" s="392"/>
      <c r="W256" s="392"/>
      <c r="X256" s="392"/>
      <c r="Y256" s="392"/>
    </row>
    <row r="257" spans="19:25">
      <c r="S257" s="392"/>
      <c r="T257" s="392"/>
      <c r="U257" s="392"/>
      <c r="V257" s="392"/>
      <c r="W257" s="392"/>
      <c r="X257" s="392"/>
      <c r="Y257" s="392"/>
    </row>
    <row r="258" spans="19:25">
      <c r="S258" s="392"/>
      <c r="T258" s="392"/>
      <c r="U258" s="392"/>
      <c r="V258" s="392"/>
      <c r="W258" s="392"/>
      <c r="X258" s="392"/>
      <c r="Y258" s="392"/>
    </row>
    <row r="259" spans="19:25">
      <c r="S259" s="392"/>
      <c r="T259" s="392"/>
      <c r="U259" s="392"/>
      <c r="V259" s="392"/>
      <c r="W259" s="392"/>
      <c r="X259" s="392"/>
      <c r="Y259" s="392"/>
    </row>
    <row r="260" spans="19:25">
      <c r="S260" s="392"/>
      <c r="T260" s="392"/>
      <c r="U260" s="392"/>
      <c r="V260" s="392"/>
      <c r="W260" s="392"/>
      <c r="X260" s="392"/>
      <c r="Y260" s="392"/>
    </row>
    <row r="261" spans="19:25">
      <c r="S261" s="392"/>
      <c r="T261" s="392"/>
      <c r="U261" s="392"/>
      <c r="V261" s="392"/>
      <c r="W261" s="392"/>
      <c r="X261" s="392"/>
      <c r="Y261" s="392"/>
    </row>
    <row r="262" spans="19:25">
      <c r="S262" s="392"/>
      <c r="T262" s="392"/>
      <c r="U262" s="392"/>
      <c r="V262" s="392"/>
      <c r="W262" s="392"/>
      <c r="X262" s="392"/>
      <c r="Y262" s="392"/>
    </row>
    <row r="263" spans="19:25">
      <c r="S263" s="392"/>
      <c r="T263" s="392"/>
      <c r="U263" s="392"/>
      <c r="V263" s="392"/>
      <c r="W263" s="392"/>
      <c r="X263" s="392"/>
      <c r="Y263" s="392"/>
    </row>
    <row r="264" spans="19:25">
      <c r="S264" s="392"/>
      <c r="T264" s="392"/>
      <c r="U264" s="392"/>
      <c r="V264" s="392"/>
      <c r="W264" s="392"/>
      <c r="X264" s="392"/>
      <c r="Y264" s="392"/>
    </row>
    <row r="265" spans="19:25">
      <c r="S265" s="392"/>
      <c r="T265" s="392"/>
      <c r="U265" s="392"/>
      <c r="V265" s="392"/>
      <c r="W265" s="392"/>
      <c r="X265" s="392"/>
      <c r="Y265" s="392"/>
    </row>
    <row r="266" spans="19:25">
      <c r="S266" s="392"/>
      <c r="T266" s="392"/>
      <c r="U266" s="392"/>
      <c r="V266" s="392"/>
      <c r="W266" s="392"/>
      <c r="X266" s="392"/>
      <c r="Y266" s="392"/>
    </row>
    <row r="267" spans="19:25">
      <c r="S267" s="392"/>
      <c r="T267" s="392"/>
      <c r="U267" s="392"/>
      <c r="V267" s="392"/>
      <c r="W267" s="392"/>
      <c r="X267" s="392"/>
      <c r="Y267" s="392"/>
    </row>
  </sheetData>
  <mergeCells count="4">
    <mergeCell ref="B1:B4"/>
    <mergeCell ref="A7:B7"/>
    <mergeCell ref="A30:B33"/>
    <mergeCell ref="E1:T3"/>
  </mergeCells>
  <hyperlinks>
    <hyperlink ref="A7:B7" location="'Home'!A1" display="Home" xr:uid="{515E650C-59AF-4496-A4B9-08E94BB20F59}"/>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BC2-2E48-48D8-9265-0E3AB3AB0611}">
  <sheetPr codeName="Sheet32">
    <tabColor rgb="FF5C5CE6"/>
  </sheetPr>
  <dimension ref="A1:AU56"/>
  <sheetViews>
    <sheetView topLeftCell="AE21" workbookViewId="0">
      <selection activeCell="AW41" sqref="AW41"/>
    </sheetView>
  </sheetViews>
  <sheetFormatPr defaultRowHeight="14.5"/>
  <cols>
    <col min="33" max="33" width="10.7265625" customWidth="1"/>
    <col min="41" max="41" width="11.453125" customWidth="1"/>
  </cols>
  <sheetData>
    <row r="1" spans="1:47">
      <c r="A1" t="s">
        <v>1030</v>
      </c>
      <c r="I1" t="s">
        <v>1031</v>
      </c>
      <c r="Q1" t="s">
        <v>1032</v>
      </c>
      <c r="Y1" t="s">
        <v>1033</v>
      </c>
      <c r="AG1" t="s">
        <v>1034</v>
      </c>
      <c r="AO1" t="s">
        <v>1035</v>
      </c>
    </row>
    <row r="2" spans="1:47">
      <c r="A2" t="s">
        <v>27</v>
      </c>
      <c r="B2" t="s">
        <v>571</v>
      </c>
      <c r="C2" t="s">
        <v>1036</v>
      </c>
      <c r="D2" t="s">
        <v>1037</v>
      </c>
      <c r="E2" t="s">
        <v>1038</v>
      </c>
      <c r="F2" t="s">
        <v>1039</v>
      </c>
      <c r="G2" t="s">
        <v>1040</v>
      </c>
      <c r="I2" t="s">
        <v>27</v>
      </c>
      <c r="J2" t="s">
        <v>571</v>
      </c>
      <c r="K2" t="s">
        <v>1036</v>
      </c>
      <c r="L2" t="s">
        <v>1037</v>
      </c>
      <c r="M2" t="s">
        <v>1038</v>
      </c>
      <c r="N2" t="s">
        <v>1039</v>
      </c>
      <c r="O2" t="s">
        <v>1040</v>
      </c>
      <c r="Q2" t="s">
        <v>27</v>
      </c>
      <c r="R2" t="s">
        <v>571</v>
      </c>
      <c r="S2" t="s">
        <v>1036</v>
      </c>
      <c r="T2" t="s">
        <v>1037</v>
      </c>
      <c r="U2" t="s">
        <v>1038</v>
      </c>
      <c r="V2" t="s">
        <v>1039</v>
      </c>
      <c r="W2" t="s">
        <v>1040</v>
      </c>
      <c r="Y2" t="s">
        <v>27</v>
      </c>
      <c r="Z2" t="s">
        <v>571</v>
      </c>
      <c r="AA2" t="s">
        <v>1036</v>
      </c>
      <c r="AB2" t="s">
        <v>1037</v>
      </c>
      <c r="AC2" t="s">
        <v>1038</v>
      </c>
      <c r="AD2" t="s">
        <v>1039</v>
      </c>
      <c r="AE2" t="s">
        <v>1040</v>
      </c>
      <c r="AG2" t="s">
        <v>27</v>
      </c>
      <c r="AH2" t="s">
        <v>571</v>
      </c>
      <c r="AI2" t="s">
        <v>1036</v>
      </c>
      <c r="AJ2" t="s">
        <v>1037</v>
      </c>
      <c r="AK2" t="s">
        <v>1038</v>
      </c>
      <c r="AL2" t="s">
        <v>1039</v>
      </c>
      <c r="AM2" t="s">
        <v>1040</v>
      </c>
      <c r="AO2" t="s">
        <v>27</v>
      </c>
      <c r="AP2" t="s">
        <v>571</v>
      </c>
      <c r="AQ2" t="s">
        <v>1036</v>
      </c>
      <c r="AR2" t="s">
        <v>1037</v>
      </c>
      <c r="AS2" t="s">
        <v>1038</v>
      </c>
      <c r="AT2" t="s">
        <v>1039</v>
      </c>
      <c r="AU2" t="s">
        <v>1040</v>
      </c>
    </row>
    <row r="3" spans="1:47">
      <c r="A3" s="23">
        <v>44207</v>
      </c>
      <c r="B3">
        <v>0.75588599999999995</v>
      </c>
      <c r="C3">
        <v>0.75688800000000001</v>
      </c>
      <c r="D3">
        <v>0.75129199999999996</v>
      </c>
      <c r="E3">
        <v>0.75204899999999997</v>
      </c>
      <c r="F3">
        <v>0.75204899999999997</v>
      </c>
      <c r="G3">
        <v>0</v>
      </c>
      <c r="I3" s="23">
        <v>44207</v>
      </c>
      <c r="J3">
        <v>0.61861999999999995</v>
      </c>
      <c r="K3">
        <v>0.62217299999999998</v>
      </c>
      <c r="L3">
        <v>0.61831400000000003</v>
      </c>
      <c r="M3">
        <v>0.61474200000000001</v>
      </c>
      <c r="N3">
        <v>0.61474200000000001</v>
      </c>
      <c r="O3">
        <v>0</v>
      </c>
      <c r="Q3" s="23">
        <v>44207</v>
      </c>
      <c r="R3">
        <v>78.369698</v>
      </c>
      <c r="S3">
        <v>78.472999999999999</v>
      </c>
      <c r="T3">
        <v>77.136002000000005</v>
      </c>
      <c r="U3">
        <v>78.373397999999995</v>
      </c>
      <c r="V3">
        <v>78.373397999999995</v>
      </c>
      <c r="W3">
        <v>0</v>
      </c>
      <c r="Y3" s="23">
        <v>44207</v>
      </c>
      <c r="Z3">
        <v>0.55293000000000003</v>
      </c>
      <c r="AA3">
        <v>0.55366000000000004</v>
      </c>
      <c r="AB3">
        <v>0.55093400000000003</v>
      </c>
      <c r="AC3">
        <v>0.55297200000000002</v>
      </c>
      <c r="AD3">
        <v>0.55297200000000002</v>
      </c>
      <c r="AE3">
        <v>0</v>
      </c>
      <c r="AG3" s="23">
        <v>44207</v>
      </c>
      <c r="AH3">
        <v>0.97204999999999997</v>
      </c>
      <c r="AI3">
        <v>0.97800200000000004</v>
      </c>
      <c r="AJ3">
        <v>0.96908000000000005</v>
      </c>
      <c r="AK3">
        <v>0.97597999999999996</v>
      </c>
      <c r="AL3">
        <v>0.97597999999999996</v>
      </c>
      <c r="AM3">
        <v>0</v>
      </c>
      <c r="AO3" s="23">
        <v>44207</v>
      </c>
      <c r="AP3">
        <v>0.96043999999999996</v>
      </c>
      <c r="AQ3">
        <v>0.96148</v>
      </c>
      <c r="AR3">
        <v>0.95343</v>
      </c>
      <c r="AS3">
        <v>0.95714399999999999</v>
      </c>
      <c r="AT3">
        <v>0.95714399999999999</v>
      </c>
      <c r="AU3">
        <v>0</v>
      </c>
    </row>
    <row r="4" spans="1:47">
      <c r="A4" s="23">
        <v>44214</v>
      </c>
      <c r="B4">
        <v>0.75097100000000006</v>
      </c>
      <c r="C4">
        <v>0.75665899999999997</v>
      </c>
      <c r="D4">
        <v>0.74990100000000004</v>
      </c>
      <c r="E4">
        <v>0.75384099999999998</v>
      </c>
      <c r="F4">
        <v>0.75384099999999998</v>
      </c>
      <c r="G4">
        <v>0</v>
      </c>
      <c r="I4" s="23">
        <v>44214</v>
      </c>
      <c r="J4">
        <v>0.62222999999999995</v>
      </c>
      <c r="K4">
        <v>0.62411499999999998</v>
      </c>
      <c r="L4">
        <v>0.61617299999999997</v>
      </c>
      <c r="M4">
        <v>0.62139599999999995</v>
      </c>
      <c r="N4">
        <v>0.62139599999999995</v>
      </c>
      <c r="O4">
        <v>0</v>
      </c>
      <c r="Q4" s="23">
        <v>44214</v>
      </c>
      <c r="R4">
        <v>78.022002999999998</v>
      </c>
      <c r="S4">
        <v>78.327003000000005</v>
      </c>
      <c r="T4">
        <v>77.759003000000007</v>
      </c>
      <c r="U4">
        <v>78.252998000000005</v>
      </c>
      <c r="V4">
        <v>78.252998000000005</v>
      </c>
      <c r="W4">
        <v>0</v>
      </c>
      <c r="Y4" s="23">
        <v>44214</v>
      </c>
      <c r="Z4">
        <v>0.55315000000000003</v>
      </c>
      <c r="AA4">
        <v>0.55459000000000003</v>
      </c>
      <c r="AB4">
        <v>0.54966199999999998</v>
      </c>
      <c r="AC4">
        <v>0.54966199999999998</v>
      </c>
      <c r="AD4">
        <v>0.54966199999999998</v>
      </c>
      <c r="AE4">
        <v>0</v>
      </c>
      <c r="AG4" s="23">
        <v>44214</v>
      </c>
      <c r="AH4">
        <v>0.97699000000000003</v>
      </c>
      <c r="AI4">
        <v>0.9788</v>
      </c>
      <c r="AJ4">
        <v>0.97117399999999998</v>
      </c>
      <c r="AK4">
        <v>0.97509299999999999</v>
      </c>
      <c r="AL4">
        <v>0.97509299999999999</v>
      </c>
      <c r="AM4">
        <v>0</v>
      </c>
      <c r="AO4" s="23">
        <v>44214</v>
      </c>
      <c r="AP4">
        <v>0.95879999999999999</v>
      </c>
      <c r="AQ4">
        <v>0.96016000000000001</v>
      </c>
      <c r="AR4">
        <v>0.95152999999999999</v>
      </c>
      <c r="AS4">
        <v>0.95753200000000005</v>
      </c>
      <c r="AT4">
        <v>0.95753200000000005</v>
      </c>
      <c r="AU4">
        <v>0</v>
      </c>
    </row>
    <row r="5" spans="1:47">
      <c r="A5" s="23">
        <v>44221</v>
      </c>
      <c r="B5">
        <v>0.75294399999999995</v>
      </c>
      <c r="C5">
        <v>0.75557200000000002</v>
      </c>
      <c r="D5">
        <v>0.74968699999999999</v>
      </c>
      <c r="E5">
        <v>0.75295500000000004</v>
      </c>
      <c r="F5">
        <v>0.75295500000000004</v>
      </c>
      <c r="G5">
        <v>0</v>
      </c>
      <c r="I5" s="23">
        <v>44221</v>
      </c>
      <c r="J5">
        <v>0.61867000000000005</v>
      </c>
      <c r="K5">
        <v>0.62296399999999996</v>
      </c>
      <c r="L5">
        <v>0.61731400000000003</v>
      </c>
      <c r="M5">
        <v>0.61953999999999998</v>
      </c>
      <c r="N5">
        <v>0.61953999999999998</v>
      </c>
      <c r="O5">
        <v>0</v>
      </c>
      <c r="Q5" s="23">
        <v>44221</v>
      </c>
      <c r="R5">
        <v>78.133003000000002</v>
      </c>
      <c r="S5">
        <v>78.978995999999995</v>
      </c>
      <c r="T5">
        <v>77.970100000000002</v>
      </c>
      <c r="U5">
        <v>78.741501</v>
      </c>
      <c r="V5">
        <v>78.741501</v>
      </c>
      <c r="W5">
        <v>0</v>
      </c>
      <c r="Y5" s="23">
        <v>44221</v>
      </c>
      <c r="Z5">
        <v>0.55003000000000002</v>
      </c>
      <c r="AA5">
        <v>0.55254000000000003</v>
      </c>
      <c r="AB5">
        <v>0.54764500000000005</v>
      </c>
      <c r="AC5">
        <v>0.54839599999999999</v>
      </c>
      <c r="AD5">
        <v>0.54839599999999999</v>
      </c>
      <c r="AE5">
        <v>0</v>
      </c>
      <c r="AG5" s="23">
        <v>44221</v>
      </c>
      <c r="AH5">
        <v>0.97574000000000005</v>
      </c>
      <c r="AI5">
        <v>0.98765000000000003</v>
      </c>
      <c r="AJ5">
        <v>0.97306999999999999</v>
      </c>
      <c r="AK5">
        <v>0.98435300000000003</v>
      </c>
      <c r="AL5">
        <v>0.98435300000000003</v>
      </c>
      <c r="AM5">
        <v>0</v>
      </c>
      <c r="AO5" s="23">
        <v>44221</v>
      </c>
      <c r="AP5">
        <v>0.95786000000000004</v>
      </c>
      <c r="AQ5">
        <v>0.96655999999999997</v>
      </c>
      <c r="AR5">
        <v>0.95711000000000002</v>
      </c>
      <c r="AS5">
        <v>0.96088799999999996</v>
      </c>
      <c r="AT5">
        <v>0.96088799999999996</v>
      </c>
      <c r="AU5">
        <v>0</v>
      </c>
    </row>
    <row r="6" spans="1:47">
      <c r="A6" s="23">
        <v>44228</v>
      </c>
      <c r="B6">
        <v>0.75165899999999997</v>
      </c>
      <c r="C6">
        <v>0.75295500000000004</v>
      </c>
      <c r="D6">
        <v>0.74693799999999999</v>
      </c>
      <c r="E6">
        <v>0.75075099999999995</v>
      </c>
      <c r="F6">
        <v>0.75075099999999995</v>
      </c>
      <c r="G6">
        <v>0</v>
      </c>
      <c r="I6" s="23">
        <v>44228</v>
      </c>
      <c r="J6">
        <v>0.61994700000000003</v>
      </c>
      <c r="K6">
        <v>0.62514099999999995</v>
      </c>
      <c r="L6">
        <v>0.61930600000000002</v>
      </c>
      <c r="M6">
        <v>0.625027</v>
      </c>
      <c r="N6">
        <v>0.625027</v>
      </c>
      <c r="O6">
        <v>0</v>
      </c>
      <c r="Q6" s="23">
        <v>44228</v>
      </c>
      <c r="R6">
        <v>78.699996999999996</v>
      </c>
      <c r="S6">
        <v>79.071999000000005</v>
      </c>
      <c r="T6">
        <v>78.643996999999999</v>
      </c>
      <c r="U6">
        <v>78.960999000000001</v>
      </c>
      <c r="V6">
        <v>78.960999000000001</v>
      </c>
      <c r="W6">
        <v>0</v>
      </c>
      <c r="Y6" s="23">
        <v>44228</v>
      </c>
      <c r="Z6">
        <v>0.54864999999999997</v>
      </c>
      <c r="AA6">
        <v>0.55166000000000004</v>
      </c>
      <c r="AB6">
        <v>0.544879</v>
      </c>
      <c r="AC6">
        <v>0.544879</v>
      </c>
      <c r="AD6">
        <v>0.544879</v>
      </c>
      <c r="AE6">
        <v>0</v>
      </c>
      <c r="AG6" s="23">
        <v>44228</v>
      </c>
      <c r="AH6">
        <v>0.98619900000000005</v>
      </c>
      <c r="AI6">
        <v>0.99065999999999999</v>
      </c>
      <c r="AJ6">
        <v>0.97628800000000004</v>
      </c>
      <c r="AK6">
        <v>0.97628800000000004</v>
      </c>
      <c r="AL6">
        <v>0.97628800000000004</v>
      </c>
      <c r="AM6">
        <v>0</v>
      </c>
      <c r="AO6" s="23">
        <v>44228</v>
      </c>
      <c r="AP6">
        <v>0.96199000000000001</v>
      </c>
      <c r="AQ6">
        <v>0.964723</v>
      </c>
      <c r="AR6">
        <v>0.955237</v>
      </c>
      <c r="AS6">
        <v>0.955237</v>
      </c>
      <c r="AT6">
        <v>0.955237</v>
      </c>
      <c r="AU6">
        <v>0</v>
      </c>
    </row>
    <row r="7" spans="1:47">
      <c r="A7" s="23">
        <v>44235</v>
      </c>
      <c r="B7">
        <v>0.75000800000000001</v>
      </c>
      <c r="C7">
        <v>0.75580099999999995</v>
      </c>
      <c r="D7">
        <v>0.74822900000000003</v>
      </c>
      <c r="E7">
        <v>0.75505900000000004</v>
      </c>
      <c r="F7">
        <v>0.75505900000000004</v>
      </c>
      <c r="G7">
        <v>0</v>
      </c>
      <c r="I7" s="23">
        <v>44235</v>
      </c>
      <c r="J7">
        <v>0.622359</v>
      </c>
      <c r="K7">
        <v>0.623201</v>
      </c>
      <c r="L7">
        <v>0.62119500000000005</v>
      </c>
      <c r="M7">
        <v>0.62243199999999999</v>
      </c>
      <c r="N7">
        <v>0.62243199999999999</v>
      </c>
      <c r="O7">
        <v>0</v>
      </c>
      <c r="Q7" s="23">
        <v>44235</v>
      </c>
      <c r="R7">
        <v>79.036002999999994</v>
      </c>
      <c r="S7">
        <v>79.253997999999996</v>
      </c>
      <c r="T7">
        <v>78.689003</v>
      </c>
      <c r="U7">
        <v>79.180000000000007</v>
      </c>
      <c r="V7">
        <v>79.180000000000007</v>
      </c>
      <c r="W7">
        <v>0</v>
      </c>
      <c r="Y7" s="23">
        <v>44235</v>
      </c>
      <c r="Z7">
        <v>0.54579999999999995</v>
      </c>
      <c r="AA7">
        <v>0.54718</v>
      </c>
      <c r="AB7">
        <v>0.54435999999999996</v>
      </c>
      <c r="AC7">
        <v>0.54481100000000005</v>
      </c>
      <c r="AD7">
        <v>0.54481100000000005</v>
      </c>
      <c r="AE7">
        <v>0</v>
      </c>
      <c r="AG7" s="23">
        <v>44235</v>
      </c>
      <c r="AH7">
        <v>0.97657000000000005</v>
      </c>
      <c r="AI7">
        <v>0.97801000000000005</v>
      </c>
      <c r="AJ7">
        <v>0.97194000000000003</v>
      </c>
      <c r="AK7">
        <v>0.97307500000000002</v>
      </c>
      <c r="AL7">
        <v>0.97307500000000002</v>
      </c>
      <c r="AM7">
        <v>0</v>
      </c>
      <c r="AO7" s="23">
        <v>44235</v>
      </c>
      <c r="AP7">
        <v>0.95682</v>
      </c>
      <c r="AQ7">
        <v>0.96096000000000004</v>
      </c>
      <c r="AR7">
        <v>0.95544200000000001</v>
      </c>
      <c r="AS7">
        <v>0.95802699999999996</v>
      </c>
      <c r="AT7">
        <v>0.95802699999999996</v>
      </c>
      <c r="AU7">
        <v>0</v>
      </c>
    </row>
    <row r="8" spans="1:47">
      <c r="A8" s="23">
        <v>44242</v>
      </c>
      <c r="B8">
        <v>0.75468299999999999</v>
      </c>
      <c r="C8">
        <v>0.75728899999999999</v>
      </c>
      <c r="D8">
        <v>0.75137699999999996</v>
      </c>
      <c r="E8">
        <v>0.75534400000000002</v>
      </c>
      <c r="F8">
        <v>0.75534400000000002</v>
      </c>
      <c r="G8">
        <v>0</v>
      </c>
      <c r="I8" s="23">
        <v>44242</v>
      </c>
      <c r="J8">
        <v>0.622533</v>
      </c>
      <c r="K8">
        <v>0.62566500000000003</v>
      </c>
      <c r="L8">
        <v>0.61926800000000004</v>
      </c>
      <c r="M8">
        <v>0.62270400000000004</v>
      </c>
      <c r="N8">
        <v>0.62270400000000004</v>
      </c>
      <c r="O8">
        <v>0</v>
      </c>
      <c r="Q8" s="23">
        <v>44242</v>
      </c>
      <c r="R8">
        <v>79.275002000000001</v>
      </c>
      <c r="S8">
        <v>79.905997999999997</v>
      </c>
      <c r="T8">
        <v>79.111000000000004</v>
      </c>
      <c r="U8">
        <v>79.625</v>
      </c>
      <c r="V8">
        <v>79.625</v>
      </c>
      <c r="W8">
        <v>0</v>
      </c>
      <c r="Y8" s="23">
        <v>44242</v>
      </c>
      <c r="Z8">
        <v>0.54403000000000001</v>
      </c>
      <c r="AA8">
        <v>0.54425999999999997</v>
      </c>
      <c r="AB8">
        <v>0.53827000000000003</v>
      </c>
      <c r="AC8">
        <v>0.53849100000000005</v>
      </c>
      <c r="AD8">
        <v>0.53849100000000005</v>
      </c>
      <c r="AE8">
        <v>0</v>
      </c>
      <c r="AG8" s="23">
        <v>44242</v>
      </c>
      <c r="AH8">
        <v>0.97189000000000003</v>
      </c>
      <c r="AI8">
        <v>0.97309999999999997</v>
      </c>
      <c r="AJ8">
        <v>0.95924600000000004</v>
      </c>
      <c r="AK8">
        <v>0.95924600000000004</v>
      </c>
      <c r="AL8">
        <v>0.95924600000000004</v>
      </c>
      <c r="AM8">
        <v>0</v>
      </c>
      <c r="AO8" s="23">
        <v>44242</v>
      </c>
      <c r="AP8">
        <v>0.95743999999999996</v>
      </c>
      <c r="AQ8">
        <v>0.95804</v>
      </c>
      <c r="AR8">
        <v>0.95152999999999999</v>
      </c>
      <c r="AS8">
        <v>0.95299500000000004</v>
      </c>
      <c r="AT8">
        <v>0.95299500000000004</v>
      </c>
      <c r="AU8">
        <v>0</v>
      </c>
    </row>
    <row r="9" spans="1:47">
      <c r="A9" s="23">
        <v>44249</v>
      </c>
      <c r="B9">
        <v>0.75545799999999996</v>
      </c>
      <c r="C9">
        <v>0.75982099999999997</v>
      </c>
      <c r="D9">
        <v>0.75027200000000005</v>
      </c>
      <c r="E9">
        <v>0.75069399999999997</v>
      </c>
      <c r="F9">
        <v>0.75069399999999997</v>
      </c>
      <c r="G9">
        <v>0</v>
      </c>
      <c r="I9" s="23">
        <v>44249</v>
      </c>
      <c r="J9">
        <v>0.62299899999999997</v>
      </c>
      <c r="K9">
        <v>0.624977</v>
      </c>
      <c r="L9">
        <v>0.61885000000000001</v>
      </c>
      <c r="M9">
        <v>0.61908799999999997</v>
      </c>
      <c r="N9">
        <v>0.61908799999999997</v>
      </c>
      <c r="O9">
        <v>0</v>
      </c>
      <c r="Q9" s="23">
        <v>44249</v>
      </c>
      <c r="R9">
        <v>79.721001000000001</v>
      </c>
      <c r="S9">
        <v>80.627998000000005</v>
      </c>
      <c r="T9">
        <v>78.870002999999997</v>
      </c>
      <c r="U9">
        <v>80.084998999999996</v>
      </c>
      <c r="V9">
        <v>80.084998999999996</v>
      </c>
      <c r="W9">
        <v>0</v>
      </c>
      <c r="Y9" s="23">
        <v>44249</v>
      </c>
      <c r="Z9">
        <v>0.53846499999999997</v>
      </c>
      <c r="AA9">
        <v>0.54149000000000003</v>
      </c>
      <c r="AB9">
        <v>0.53335999999999995</v>
      </c>
      <c r="AC9">
        <v>0.53899600000000003</v>
      </c>
      <c r="AD9">
        <v>0.53899600000000003</v>
      </c>
      <c r="AE9">
        <v>0</v>
      </c>
      <c r="AG9" s="23">
        <v>44249</v>
      </c>
      <c r="AH9">
        <v>0.95818999999999999</v>
      </c>
      <c r="AI9">
        <v>0.97407299999999997</v>
      </c>
      <c r="AJ9">
        <v>0.94825000000000004</v>
      </c>
      <c r="AK9">
        <v>0.97407299999999997</v>
      </c>
      <c r="AL9">
        <v>0.97407299999999997</v>
      </c>
      <c r="AM9">
        <v>0</v>
      </c>
      <c r="AO9" s="23">
        <v>44249</v>
      </c>
      <c r="AP9">
        <v>0.95172999999999996</v>
      </c>
      <c r="AQ9">
        <v>0.95650599999999997</v>
      </c>
      <c r="AR9">
        <v>0.94542999999999999</v>
      </c>
      <c r="AS9">
        <v>0.95650599999999997</v>
      </c>
      <c r="AT9">
        <v>0.95650599999999997</v>
      </c>
      <c r="AU9">
        <v>0</v>
      </c>
    </row>
    <row r="10" spans="1:47">
      <c r="A10" s="23">
        <v>44256</v>
      </c>
      <c r="B10">
        <v>0.75238899999999997</v>
      </c>
      <c r="C10">
        <v>0.75352300000000005</v>
      </c>
      <c r="D10">
        <v>0.74390900000000004</v>
      </c>
      <c r="E10">
        <v>0.74526800000000004</v>
      </c>
      <c r="F10">
        <v>0.74526800000000004</v>
      </c>
      <c r="G10">
        <v>0</v>
      </c>
      <c r="I10" s="23">
        <v>44256</v>
      </c>
      <c r="J10">
        <v>0.62218799999999996</v>
      </c>
      <c r="K10">
        <v>0.62608399999999997</v>
      </c>
      <c r="L10">
        <v>0.62119500000000005</v>
      </c>
      <c r="M10">
        <v>0.62460000000000004</v>
      </c>
      <c r="N10">
        <v>0.62460000000000004</v>
      </c>
      <c r="O10">
        <v>0</v>
      </c>
      <c r="Q10" s="23">
        <v>44256</v>
      </c>
      <c r="R10">
        <v>80.097999999999999</v>
      </c>
      <c r="S10">
        <v>80.949996999999996</v>
      </c>
      <c r="T10">
        <v>80.008399999999995</v>
      </c>
      <c r="U10">
        <v>80.694999999999993</v>
      </c>
      <c r="V10">
        <v>80.694999999999993</v>
      </c>
      <c r="W10">
        <v>0</v>
      </c>
      <c r="Y10" s="23">
        <v>44256</v>
      </c>
      <c r="Z10">
        <v>0.53825000000000001</v>
      </c>
      <c r="AA10">
        <v>0.54132000000000002</v>
      </c>
      <c r="AB10">
        <v>0.53647999999999996</v>
      </c>
      <c r="AC10">
        <v>0.537767</v>
      </c>
      <c r="AD10">
        <v>0.537767</v>
      </c>
      <c r="AE10">
        <v>0</v>
      </c>
      <c r="AG10" s="23">
        <v>44256</v>
      </c>
      <c r="AH10">
        <v>0.97021999999999997</v>
      </c>
      <c r="AI10">
        <v>0.97575000000000001</v>
      </c>
      <c r="AJ10">
        <v>0.95952000000000004</v>
      </c>
      <c r="AK10">
        <v>0.96919900000000003</v>
      </c>
      <c r="AL10">
        <v>0.96919900000000003</v>
      </c>
      <c r="AM10">
        <v>0</v>
      </c>
      <c r="AO10" s="23">
        <v>44256</v>
      </c>
      <c r="AP10">
        <v>0.95513000000000003</v>
      </c>
      <c r="AQ10">
        <v>0.95543999999999996</v>
      </c>
      <c r="AR10">
        <v>0.94272999999999996</v>
      </c>
      <c r="AS10">
        <v>0.94301900000000005</v>
      </c>
      <c r="AT10">
        <v>0.94301900000000005</v>
      </c>
      <c r="AU10">
        <v>0</v>
      </c>
    </row>
    <row r="11" spans="1:47">
      <c r="A11" s="23">
        <v>44263</v>
      </c>
      <c r="B11">
        <v>0.74582899999999996</v>
      </c>
      <c r="C11">
        <v>0.74727200000000005</v>
      </c>
      <c r="D11">
        <v>0.73921899999999996</v>
      </c>
      <c r="E11">
        <v>0.74412</v>
      </c>
      <c r="F11">
        <v>0.74412</v>
      </c>
      <c r="G11">
        <v>0</v>
      </c>
      <c r="I11" s="23">
        <v>44263</v>
      </c>
      <c r="J11">
        <v>0.62536700000000001</v>
      </c>
      <c r="K11">
        <v>0.62552399999999997</v>
      </c>
      <c r="L11">
        <v>0.62169700000000006</v>
      </c>
      <c r="M11">
        <v>0.62189799999999995</v>
      </c>
      <c r="N11">
        <v>0.62189799999999995</v>
      </c>
      <c r="O11">
        <v>0</v>
      </c>
      <c r="Q11" s="23">
        <v>44263</v>
      </c>
      <c r="R11">
        <v>80.832001000000005</v>
      </c>
      <c r="S11">
        <v>81.172996999999995</v>
      </c>
      <c r="T11">
        <v>80.410895999999994</v>
      </c>
      <c r="U11">
        <v>80.992301999999995</v>
      </c>
      <c r="V11">
        <v>80.992301999999995</v>
      </c>
      <c r="W11">
        <v>0</v>
      </c>
      <c r="Y11" s="23">
        <v>44263</v>
      </c>
      <c r="Z11">
        <v>0.53849999999999998</v>
      </c>
      <c r="AA11">
        <v>0.53859999999999997</v>
      </c>
      <c r="AB11">
        <v>0.53266999999999998</v>
      </c>
      <c r="AC11">
        <v>0.533663</v>
      </c>
      <c r="AD11">
        <v>0.533663</v>
      </c>
      <c r="AE11">
        <v>0</v>
      </c>
      <c r="AG11" s="23">
        <v>44263</v>
      </c>
      <c r="AH11">
        <v>0.96752000000000005</v>
      </c>
      <c r="AI11">
        <v>0.97023000000000004</v>
      </c>
      <c r="AJ11">
        <v>0.95716000000000001</v>
      </c>
      <c r="AK11">
        <v>0.95772400000000002</v>
      </c>
      <c r="AL11">
        <v>0.95772400000000002</v>
      </c>
      <c r="AM11">
        <v>0</v>
      </c>
      <c r="AO11" s="23">
        <v>44263</v>
      </c>
      <c r="AP11">
        <v>0.94203999999999999</v>
      </c>
      <c r="AQ11">
        <v>0.94234399999999996</v>
      </c>
      <c r="AR11">
        <v>0.92701</v>
      </c>
      <c r="AS11">
        <v>0.92725500000000005</v>
      </c>
      <c r="AT11">
        <v>0.92725500000000005</v>
      </c>
      <c r="AU11">
        <v>0</v>
      </c>
    </row>
    <row r="12" spans="1:47">
      <c r="A12" s="23">
        <v>44270</v>
      </c>
      <c r="B12">
        <v>0.74409199999999998</v>
      </c>
      <c r="C12">
        <v>0.74699300000000002</v>
      </c>
      <c r="D12">
        <v>0.74168000000000001</v>
      </c>
      <c r="E12">
        <v>0.74537900000000001</v>
      </c>
      <c r="F12">
        <v>0.74537900000000001</v>
      </c>
      <c r="G12">
        <v>0</v>
      </c>
      <c r="I12" s="23">
        <v>44270</v>
      </c>
      <c r="J12">
        <v>0.622525</v>
      </c>
      <c r="K12">
        <v>0.62671200000000005</v>
      </c>
      <c r="L12">
        <v>0.59035400000000005</v>
      </c>
      <c r="M12">
        <v>0.62413799999999997</v>
      </c>
      <c r="N12">
        <v>0.62413799999999997</v>
      </c>
      <c r="O12">
        <v>0</v>
      </c>
      <c r="Q12" s="23">
        <v>44270</v>
      </c>
      <c r="R12">
        <v>81.178000999999995</v>
      </c>
      <c r="S12">
        <v>81.376998999999998</v>
      </c>
      <c r="T12">
        <v>77.585999000000001</v>
      </c>
      <c r="U12">
        <v>81.028998999999999</v>
      </c>
      <c r="V12">
        <v>81.028998999999999</v>
      </c>
      <c r="W12">
        <v>0</v>
      </c>
      <c r="Y12" s="23">
        <v>44270</v>
      </c>
      <c r="Z12">
        <v>0.53405000000000002</v>
      </c>
      <c r="AA12">
        <v>0.53815000000000002</v>
      </c>
      <c r="AB12">
        <v>0.53286</v>
      </c>
      <c r="AC12">
        <v>0.53679699999999997</v>
      </c>
      <c r="AD12">
        <v>0.53679699999999997</v>
      </c>
      <c r="AE12">
        <v>0</v>
      </c>
      <c r="AG12" s="23">
        <v>44270</v>
      </c>
      <c r="AH12">
        <v>0.95831999999999995</v>
      </c>
      <c r="AI12">
        <v>0.96370999999999996</v>
      </c>
      <c r="AJ12">
        <v>0.95099999999999996</v>
      </c>
      <c r="AK12">
        <v>0.96301400000000004</v>
      </c>
      <c r="AL12">
        <v>0.96301400000000004</v>
      </c>
      <c r="AM12">
        <v>0</v>
      </c>
      <c r="AO12" s="23">
        <v>44270</v>
      </c>
      <c r="AP12">
        <v>0.92762999999999995</v>
      </c>
      <c r="AQ12">
        <v>0.93369999999999997</v>
      </c>
      <c r="AR12">
        <v>0.92293999999999998</v>
      </c>
      <c r="AS12">
        <v>0.92772500000000002</v>
      </c>
      <c r="AT12">
        <v>0.92772500000000002</v>
      </c>
      <c r="AU12">
        <v>0</v>
      </c>
    </row>
    <row r="13" spans="1:47">
      <c r="A13" s="23">
        <v>44277</v>
      </c>
      <c r="B13">
        <v>0.74393100000000001</v>
      </c>
      <c r="C13">
        <v>0.74677000000000004</v>
      </c>
      <c r="D13">
        <v>0.74130099999999999</v>
      </c>
      <c r="E13">
        <v>0.74327299999999996</v>
      </c>
      <c r="F13">
        <v>0.74327299999999996</v>
      </c>
      <c r="G13">
        <v>0</v>
      </c>
      <c r="I13" s="23">
        <v>44277</v>
      </c>
      <c r="J13">
        <v>0.62590400000000002</v>
      </c>
      <c r="K13">
        <v>0.63057700000000005</v>
      </c>
      <c r="L13">
        <v>0.62445399999999995</v>
      </c>
      <c r="M13">
        <v>0.63015500000000002</v>
      </c>
      <c r="N13">
        <v>0.63015500000000002</v>
      </c>
      <c r="O13">
        <v>0</v>
      </c>
      <c r="Q13" s="23">
        <v>44277</v>
      </c>
      <c r="R13">
        <v>80.989998</v>
      </c>
      <c r="S13">
        <v>81.579002000000003</v>
      </c>
      <c r="T13">
        <v>74.804001</v>
      </c>
      <c r="U13">
        <v>81.022002999999998</v>
      </c>
      <c r="V13">
        <v>81.022002999999998</v>
      </c>
      <c r="W13">
        <v>0</v>
      </c>
      <c r="Y13" s="23">
        <v>44277</v>
      </c>
      <c r="Z13">
        <v>0.53764999999999996</v>
      </c>
      <c r="AA13">
        <v>0.54301999999999995</v>
      </c>
      <c r="AB13">
        <v>0.53727999999999998</v>
      </c>
      <c r="AC13">
        <v>0.53876400000000002</v>
      </c>
      <c r="AD13">
        <v>0.53876400000000002</v>
      </c>
      <c r="AE13">
        <v>0</v>
      </c>
      <c r="AG13" s="23">
        <v>44277</v>
      </c>
      <c r="AH13">
        <v>0.96306000000000003</v>
      </c>
      <c r="AI13">
        <v>0.98011999999999999</v>
      </c>
      <c r="AJ13">
        <v>0.96255000000000002</v>
      </c>
      <c r="AK13">
        <v>0.97211499999999995</v>
      </c>
      <c r="AL13">
        <v>0.97211499999999995</v>
      </c>
      <c r="AM13">
        <v>0</v>
      </c>
      <c r="AO13" s="23">
        <v>44277</v>
      </c>
      <c r="AP13">
        <v>0.93137000000000003</v>
      </c>
      <c r="AQ13">
        <v>0.93735000000000002</v>
      </c>
      <c r="AR13">
        <v>0.93033999999999994</v>
      </c>
      <c r="AS13">
        <v>0.93201400000000001</v>
      </c>
      <c r="AT13">
        <v>0.93201400000000001</v>
      </c>
      <c r="AU13">
        <v>0</v>
      </c>
    </row>
    <row r="14" spans="1:47">
      <c r="A14" s="23">
        <v>44284</v>
      </c>
      <c r="B14">
        <v>0.74299700000000002</v>
      </c>
      <c r="C14">
        <v>0.74482300000000001</v>
      </c>
      <c r="D14">
        <v>0.74114100000000005</v>
      </c>
      <c r="E14">
        <v>0.74384300000000003</v>
      </c>
      <c r="F14">
        <v>0.74384300000000003</v>
      </c>
      <c r="G14">
        <v>0</v>
      </c>
      <c r="I14" s="23">
        <v>44284</v>
      </c>
      <c r="J14">
        <v>0.63004000000000004</v>
      </c>
      <c r="K14">
        <v>0.63445700000000005</v>
      </c>
      <c r="L14">
        <v>0.62932699999999997</v>
      </c>
      <c r="M14">
        <v>0.63083500000000003</v>
      </c>
      <c r="N14">
        <v>0.63083500000000003</v>
      </c>
      <c r="O14">
        <v>0</v>
      </c>
      <c r="Q14" s="23">
        <v>44284</v>
      </c>
      <c r="R14">
        <v>81.500702000000004</v>
      </c>
      <c r="S14">
        <v>82.435997</v>
      </c>
      <c r="T14">
        <v>81.183098000000001</v>
      </c>
      <c r="U14">
        <v>82.233001999999999</v>
      </c>
      <c r="V14">
        <v>82.233001999999999</v>
      </c>
      <c r="W14">
        <v>0</v>
      </c>
      <c r="Y14" s="23">
        <v>44284</v>
      </c>
      <c r="Z14">
        <v>0.53856999999999999</v>
      </c>
      <c r="AA14">
        <v>0.54110000000000003</v>
      </c>
      <c r="AB14">
        <v>0.53649999999999998</v>
      </c>
      <c r="AC14">
        <v>0.53693000000000002</v>
      </c>
      <c r="AD14">
        <v>0.53693000000000002</v>
      </c>
      <c r="AE14">
        <v>0</v>
      </c>
      <c r="AG14" s="23">
        <v>44284</v>
      </c>
      <c r="AH14">
        <v>0.97243999999999997</v>
      </c>
      <c r="AI14">
        <v>0.98485</v>
      </c>
      <c r="AJ14">
        <v>0.96813000000000005</v>
      </c>
      <c r="AK14">
        <v>0.97624599999999995</v>
      </c>
      <c r="AL14">
        <v>0.97624599999999995</v>
      </c>
      <c r="AM14">
        <v>0</v>
      </c>
      <c r="AO14" s="23">
        <v>44284</v>
      </c>
      <c r="AP14">
        <v>0.93459000000000003</v>
      </c>
      <c r="AQ14">
        <v>0.93791000000000002</v>
      </c>
      <c r="AR14">
        <v>0.93165699999999996</v>
      </c>
      <c r="AS14">
        <v>0.93396500000000005</v>
      </c>
      <c r="AT14">
        <v>0.93396500000000005</v>
      </c>
      <c r="AU14">
        <v>0</v>
      </c>
    </row>
    <row r="15" spans="1:47">
      <c r="A15" s="23">
        <v>44291</v>
      </c>
      <c r="B15">
        <v>0.74309099999999995</v>
      </c>
      <c r="C15">
        <v>0.74777499999999997</v>
      </c>
      <c r="D15">
        <v>0.74259399999999998</v>
      </c>
      <c r="E15">
        <v>0.74507900000000005</v>
      </c>
      <c r="F15">
        <v>0.74507900000000005</v>
      </c>
      <c r="G15">
        <v>0</v>
      </c>
      <c r="I15" s="23">
        <v>44291</v>
      </c>
      <c r="J15">
        <v>0.63153599999999999</v>
      </c>
      <c r="K15">
        <v>0.63335200000000003</v>
      </c>
      <c r="L15">
        <v>0.62590000000000001</v>
      </c>
      <c r="M15">
        <v>0.62625299999999995</v>
      </c>
      <c r="N15">
        <v>0.62625299999999995</v>
      </c>
      <c r="O15">
        <v>0</v>
      </c>
      <c r="Q15" s="23">
        <v>44291</v>
      </c>
      <c r="R15">
        <v>82.228995999999995</v>
      </c>
      <c r="S15">
        <v>82.399001999999996</v>
      </c>
      <c r="T15">
        <v>81.313004000000006</v>
      </c>
      <c r="U15">
        <v>81.596999999999994</v>
      </c>
      <c r="V15">
        <v>81.596999999999994</v>
      </c>
      <c r="W15">
        <v>0</v>
      </c>
      <c r="Y15" s="23">
        <v>44291</v>
      </c>
      <c r="Z15">
        <v>0.53725999999999996</v>
      </c>
      <c r="AA15">
        <v>0.54503999999999997</v>
      </c>
      <c r="AB15">
        <v>0.53586999999999996</v>
      </c>
      <c r="AC15">
        <v>0.54349599999999998</v>
      </c>
      <c r="AD15">
        <v>0.54349599999999998</v>
      </c>
      <c r="AE15">
        <v>0</v>
      </c>
      <c r="AG15" s="23">
        <v>44291</v>
      </c>
      <c r="AH15">
        <v>0.97524</v>
      </c>
      <c r="AI15">
        <v>0.98175000000000001</v>
      </c>
      <c r="AJ15">
        <v>0.97306000000000004</v>
      </c>
      <c r="AK15">
        <v>0.97819199999999995</v>
      </c>
      <c r="AL15">
        <v>0.97819199999999995</v>
      </c>
      <c r="AM15">
        <v>0</v>
      </c>
      <c r="AO15" s="23">
        <v>44291</v>
      </c>
      <c r="AP15">
        <v>0.93372999999999995</v>
      </c>
      <c r="AQ15">
        <v>0.94308000000000003</v>
      </c>
      <c r="AR15">
        <v>0.93215000000000003</v>
      </c>
      <c r="AS15">
        <v>0.93336699999999995</v>
      </c>
      <c r="AT15">
        <v>0.93336699999999995</v>
      </c>
      <c r="AU15">
        <v>0</v>
      </c>
    </row>
    <row r="16" spans="1:47">
      <c r="A16" s="23">
        <v>44298</v>
      </c>
      <c r="B16">
        <v>0.74571200000000004</v>
      </c>
      <c r="C16">
        <v>0.75046900000000005</v>
      </c>
      <c r="D16">
        <v>0.74422999999999995</v>
      </c>
      <c r="E16">
        <v>0.74973800000000002</v>
      </c>
      <c r="F16">
        <v>0.74973800000000002</v>
      </c>
      <c r="G16">
        <v>0</v>
      </c>
      <c r="I16" s="23">
        <v>44298</v>
      </c>
      <c r="J16">
        <v>0.62636999999999998</v>
      </c>
      <c r="K16">
        <v>0.627471</v>
      </c>
      <c r="L16">
        <v>0.62363599999999997</v>
      </c>
      <c r="M16">
        <v>0.62496099999999999</v>
      </c>
      <c r="N16">
        <v>0.62496099999999999</v>
      </c>
      <c r="O16">
        <v>0</v>
      </c>
      <c r="Q16" s="23">
        <v>44298</v>
      </c>
      <c r="R16">
        <v>81.783996999999999</v>
      </c>
      <c r="S16">
        <v>81.805000000000007</v>
      </c>
      <c r="T16">
        <v>81.227897999999996</v>
      </c>
      <c r="U16">
        <v>81.445999</v>
      </c>
      <c r="V16">
        <v>81.445999</v>
      </c>
      <c r="W16">
        <v>0</v>
      </c>
      <c r="Y16" s="23">
        <v>44298</v>
      </c>
      <c r="Z16">
        <v>0.54374999999999996</v>
      </c>
      <c r="AA16">
        <v>0.54569000000000001</v>
      </c>
      <c r="AB16">
        <v>0.54097899999999999</v>
      </c>
      <c r="AC16">
        <v>0.54129000000000005</v>
      </c>
      <c r="AD16">
        <v>0.54129000000000005</v>
      </c>
      <c r="AE16">
        <v>0</v>
      </c>
      <c r="AG16" s="23">
        <v>44298</v>
      </c>
      <c r="AH16">
        <v>0.97794999999999999</v>
      </c>
      <c r="AI16">
        <v>0.98021999999999998</v>
      </c>
      <c r="AJ16">
        <v>0.96577000000000002</v>
      </c>
      <c r="AK16">
        <v>0.96865100000000004</v>
      </c>
      <c r="AL16">
        <v>0.96865100000000004</v>
      </c>
      <c r="AM16">
        <v>0</v>
      </c>
      <c r="AO16" s="23">
        <v>44298</v>
      </c>
      <c r="AP16">
        <v>0.93420000000000003</v>
      </c>
      <c r="AQ16">
        <v>0.94042000000000003</v>
      </c>
      <c r="AR16">
        <v>0.93384</v>
      </c>
      <c r="AS16">
        <v>0.93706800000000001</v>
      </c>
      <c r="AT16">
        <v>0.93706800000000001</v>
      </c>
      <c r="AU16">
        <v>0</v>
      </c>
    </row>
    <row r="17" spans="1:47">
      <c r="A17" s="23">
        <v>44305</v>
      </c>
      <c r="B17">
        <v>0.74934400000000001</v>
      </c>
      <c r="C17">
        <v>0.75431800000000004</v>
      </c>
      <c r="D17">
        <v>0.749193</v>
      </c>
      <c r="E17">
        <v>0.75409099999999996</v>
      </c>
      <c r="F17">
        <v>0.75409099999999996</v>
      </c>
      <c r="G17">
        <v>0</v>
      </c>
      <c r="I17" s="23">
        <v>44305</v>
      </c>
      <c r="J17">
        <v>0.62586399999999998</v>
      </c>
      <c r="K17">
        <v>0.62782899999999997</v>
      </c>
      <c r="L17">
        <v>0.62262600000000001</v>
      </c>
      <c r="M17">
        <v>0.62273100000000003</v>
      </c>
      <c r="N17">
        <v>0.62273100000000003</v>
      </c>
      <c r="O17">
        <v>0</v>
      </c>
      <c r="Q17" s="23">
        <v>44305</v>
      </c>
      <c r="R17">
        <v>81.390404000000004</v>
      </c>
      <c r="S17">
        <v>81.789000999999999</v>
      </c>
      <c r="T17">
        <v>81.007003999999995</v>
      </c>
      <c r="U17">
        <v>81.194000000000003</v>
      </c>
      <c r="V17">
        <v>81.194000000000003</v>
      </c>
      <c r="W17">
        <v>0</v>
      </c>
      <c r="Y17" s="23">
        <v>44305</v>
      </c>
      <c r="Z17">
        <v>0.54203000000000001</v>
      </c>
      <c r="AA17">
        <v>0.54408000000000001</v>
      </c>
      <c r="AB17">
        <v>0.53702799999999995</v>
      </c>
      <c r="AC17">
        <v>0.54255200000000003</v>
      </c>
      <c r="AD17">
        <v>0.54255200000000003</v>
      </c>
      <c r="AE17">
        <v>0</v>
      </c>
      <c r="AG17" s="23">
        <v>44305</v>
      </c>
      <c r="AH17">
        <v>0.97097999999999995</v>
      </c>
      <c r="AI17">
        <v>0.97650000000000003</v>
      </c>
      <c r="AJ17">
        <v>0.96474000000000004</v>
      </c>
      <c r="AK17">
        <v>0.97267400000000004</v>
      </c>
      <c r="AL17">
        <v>0.97267400000000004</v>
      </c>
      <c r="AM17">
        <v>0</v>
      </c>
      <c r="AO17" s="23">
        <v>44305</v>
      </c>
      <c r="AP17">
        <v>0.93762999999999996</v>
      </c>
      <c r="AQ17">
        <v>0.95047999999999999</v>
      </c>
      <c r="AR17">
        <v>0.93686000000000003</v>
      </c>
      <c r="AS17">
        <v>0.94004399999999999</v>
      </c>
      <c r="AT17">
        <v>0.94004399999999999</v>
      </c>
      <c r="AU17">
        <v>0</v>
      </c>
    </row>
    <row r="18" spans="1:47">
      <c r="A18" s="23">
        <v>44312</v>
      </c>
      <c r="B18">
        <v>0.75343800000000005</v>
      </c>
      <c r="C18">
        <v>0.75585800000000003</v>
      </c>
      <c r="D18">
        <v>0.75156900000000004</v>
      </c>
      <c r="E18">
        <v>0.75216300000000003</v>
      </c>
      <c r="F18">
        <v>0.75216300000000003</v>
      </c>
      <c r="G18">
        <v>0</v>
      </c>
      <c r="I18" s="23">
        <v>44312</v>
      </c>
      <c r="J18">
        <v>0.62304099999999996</v>
      </c>
      <c r="K18">
        <v>0.62514800000000004</v>
      </c>
      <c r="L18">
        <v>0.62134999999999996</v>
      </c>
      <c r="M18">
        <v>0.62507800000000002</v>
      </c>
      <c r="N18">
        <v>0.62507800000000002</v>
      </c>
      <c r="O18">
        <v>0</v>
      </c>
      <c r="Q18" s="23">
        <v>44312</v>
      </c>
      <c r="R18">
        <v>81.239898999999994</v>
      </c>
      <c r="S18">
        <v>82.325996000000004</v>
      </c>
      <c r="T18">
        <v>81.197800000000001</v>
      </c>
      <c r="U18">
        <v>82.136002000000005</v>
      </c>
      <c r="V18">
        <v>82.136002000000005</v>
      </c>
      <c r="W18">
        <v>0</v>
      </c>
      <c r="Y18" s="23">
        <v>44312</v>
      </c>
      <c r="Z18">
        <v>0.54315999999999998</v>
      </c>
      <c r="AA18">
        <v>0.54418</v>
      </c>
      <c r="AB18">
        <v>0.53983999999999999</v>
      </c>
      <c r="AC18">
        <v>0.54322999999999999</v>
      </c>
      <c r="AD18">
        <v>0.54322999999999999</v>
      </c>
      <c r="AE18">
        <v>0</v>
      </c>
      <c r="AG18" s="23">
        <v>44312</v>
      </c>
      <c r="AH18">
        <v>0.97265000000000001</v>
      </c>
      <c r="AI18">
        <v>0.97536999999999996</v>
      </c>
      <c r="AJ18">
        <v>0.96528000000000003</v>
      </c>
      <c r="AK18">
        <v>0.97402200000000005</v>
      </c>
      <c r="AL18">
        <v>0.97402200000000005</v>
      </c>
      <c r="AM18">
        <v>0</v>
      </c>
      <c r="AO18" s="23">
        <v>44312</v>
      </c>
      <c r="AP18">
        <v>0.94064999999999999</v>
      </c>
      <c r="AQ18">
        <v>0.94077999999999995</v>
      </c>
      <c r="AR18">
        <v>0.92367299999999997</v>
      </c>
      <c r="AS18">
        <v>0.92398599999999997</v>
      </c>
      <c r="AT18">
        <v>0.92398599999999997</v>
      </c>
      <c r="AU18">
        <v>0</v>
      </c>
    </row>
    <row r="19" spans="1:47">
      <c r="A19" s="23">
        <v>44319</v>
      </c>
      <c r="B19">
        <v>0.75169900000000001</v>
      </c>
      <c r="C19">
        <v>0.755687</v>
      </c>
      <c r="D19">
        <v>0.74687599999999998</v>
      </c>
      <c r="E19">
        <v>0.75522999999999996</v>
      </c>
      <c r="F19">
        <v>0.75522999999999996</v>
      </c>
      <c r="G19">
        <v>0</v>
      </c>
      <c r="I19" s="23">
        <v>44319</v>
      </c>
      <c r="J19">
        <v>0.625</v>
      </c>
      <c r="K19">
        <v>0.62510900000000003</v>
      </c>
      <c r="L19">
        <v>0.62019400000000002</v>
      </c>
      <c r="M19">
        <v>0.62035499999999999</v>
      </c>
      <c r="N19">
        <v>0.62035499999999999</v>
      </c>
      <c r="O19">
        <v>0</v>
      </c>
      <c r="Q19" s="23">
        <v>44319</v>
      </c>
      <c r="R19">
        <v>82.148003000000003</v>
      </c>
      <c r="S19">
        <v>82.320999</v>
      </c>
      <c r="T19">
        <v>81.597999999999999</v>
      </c>
      <c r="U19">
        <v>81.781998000000002</v>
      </c>
      <c r="V19">
        <v>81.781998000000002</v>
      </c>
      <c r="W19">
        <v>0</v>
      </c>
      <c r="Y19" s="23">
        <v>44319</v>
      </c>
      <c r="Z19">
        <v>0.54391</v>
      </c>
      <c r="AA19">
        <v>0.54398999999999997</v>
      </c>
      <c r="AB19">
        <v>0.53717000000000004</v>
      </c>
      <c r="AC19">
        <v>0.539246</v>
      </c>
      <c r="AD19">
        <v>0.539246</v>
      </c>
      <c r="AE19">
        <v>0</v>
      </c>
      <c r="AG19" s="23">
        <v>44319</v>
      </c>
      <c r="AH19">
        <v>0.97372999999999998</v>
      </c>
      <c r="AI19">
        <v>0.97416000000000003</v>
      </c>
      <c r="AJ19">
        <v>0.96067999999999998</v>
      </c>
      <c r="AK19">
        <v>0.96209500000000003</v>
      </c>
      <c r="AL19">
        <v>0.96209500000000003</v>
      </c>
      <c r="AM19">
        <v>0</v>
      </c>
      <c r="AO19" s="23">
        <v>44319</v>
      </c>
      <c r="AP19">
        <v>0.92301</v>
      </c>
      <c r="AQ19">
        <v>0.92450500000000002</v>
      </c>
      <c r="AR19">
        <v>0.91115800000000002</v>
      </c>
      <c r="AS19">
        <v>0.915273</v>
      </c>
      <c r="AT19">
        <v>0.915273</v>
      </c>
      <c r="AU19">
        <v>0</v>
      </c>
    </row>
    <row r="20" spans="1:47">
      <c r="A20" s="23">
        <v>44326</v>
      </c>
      <c r="B20">
        <v>0.75493900000000003</v>
      </c>
      <c r="C20">
        <v>0.75597199999999998</v>
      </c>
      <c r="D20">
        <v>0.74743400000000004</v>
      </c>
      <c r="E20">
        <v>0.75101600000000002</v>
      </c>
      <c r="F20">
        <v>0.75101600000000002</v>
      </c>
      <c r="G20">
        <v>0</v>
      </c>
      <c r="I20" s="23">
        <v>44326</v>
      </c>
      <c r="J20">
        <v>0.62036999999999998</v>
      </c>
      <c r="K20">
        <v>0.62168999999999996</v>
      </c>
      <c r="L20">
        <v>0.61734500000000003</v>
      </c>
      <c r="M20">
        <v>0.61776799999999998</v>
      </c>
      <c r="N20">
        <v>0.61776799999999998</v>
      </c>
      <c r="O20">
        <v>0</v>
      </c>
      <c r="Q20" s="23">
        <v>44326</v>
      </c>
      <c r="R20">
        <v>81.971001000000001</v>
      </c>
      <c r="S20">
        <v>82.301002999999994</v>
      </c>
      <c r="T20">
        <v>81.710898999999998</v>
      </c>
      <c r="U20">
        <v>82.077904000000004</v>
      </c>
      <c r="V20">
        <v>82.077904000000004</v>
      </c>
      <c r="W20">
        <v>0</v>
      </c>
      <c r="Y20" s="23">
        <v>44326</v>
      </c>
      <c r="Z20">
        <v>0.53773000000000004</v>
      </c>
      <c r="AA20">
        <v>0.53807000000000005</v>
      </c>
      <c r="AB20">
        <v>0.53178999999999998</v>
      </c>
      <c r="AC20">
        <v>0.53195999999999999</v>
      </c>
      <c r="AD20">
        <v>0.53195999999999999</v>
      </c>
      <c r="AE20">
        <v>0</v>
      </c>
      <c r="AG20" s="23">
        <v>44326</v>
      </c>
      <c r="AH20">
        <v>0.96079999999999999</v>
      </c>
      <c r="AI20">
        <v>0.97314000000000001</v>
      </c>
      <c r="AJ20">
        <v>0.95745999999999998</v>
      </c>
      <c r="AK20">
        <v>0.96543400000000001</v>
      </c>
      <c r="AL20">
        <v>0.96543400000000001</v>
      </c>
      <c r="AM20">
        <v>0</v>
      </c>
      <c r="AO20" s="23">
        <v>44326</v>
      </c>
      <c r="AP20">
        <v>0.91461000000000003</v>
      </c>
      <c r="AQ20">
        <v>0.91538600000000003</v>
      </c>
      <c r="AR20">
        <v>0.90564999999999996</v>
      </c>
      <c r="AS20">
        <v>0.90862799999999999</v>
      </c>
      <c r="AT20">
        <v>0.90862799999999999</v>
      </c>
      <c r="AU20">
        <v>0</v>
      </c>
    </row>
    <row r="21" spans="1:47">
      <c r="A21" s="23">
        <v>44333</v>
      </c>
      <c r="B21">
        <v>0.75027200000000005</v>
      </c>
      <c r="C21">
        <v>0.75301200000000001</v>
      </c>
      <c r="D21">
        <v>0.747977</v>
      </c>
      <c r="E21">
        <v>0.75227599999999994</v>
      </c>
      <c r="F21">
        <v>0.75227599999999994</v>
      </c>
      <c r="G21">
        <v>0</v>
      </c>
      <c r="I21" s="23">
        <v>44333</v>
      </c>
      <c r="J21">
        <v>0.61753999999999998</v>
      </c>
      <c r="K21">
        <v>0.61763900000000005</v>
      </c>
      <c r="L21">
        <v>0.61349699999999996</v>
      </c>
      <c r="M21">
        <v>0.61445000000000005</v>
      </c>
      <c r="N21">
        <v>0.61445000000000005</v>
      </c>
      <c r="O21">
        <v>0</v>
      </c>
      <c r="Q21" s="23">
        <v>44333</v>
      </c>
      <c r="R21">
        <v>82.075996000000004</v>
      </c>
      <c r="S21">
        <v>82.088997000000006</v>
      </c>
      <c r="T21">
        <v>81.490700000000004</v>
      </c>
      <c r="U21">
        <v>81.778998999999999</v>
      </c>
      <c r="V21">
        <v>81.778998999999999</v>
      </c>
      <c r="W21">
        <v>0</v>
      </c>
      <c r="Y21" s="23">
        <v>44333</v>
      </c>
      <c r="Z21">
        <v>0.53203</v>
      </c>
      <c r="AA21">
        <v>0.53212000000000004</v>
      </c>
      <c r="AB21">
        <v>0.52822999999999998</v>
      </c>
      <c r="AC21">
        <v>0.53029599999999999</v>
      </c>
      <c r="AD21">
        <v>0.53029599999999999</v>
      </c>
      <c r="AE21">
        <v>0</v>
      </c>
      <c r="AG21" s="23">
        <v>44333</v>
      </c>
      <c r="AH21">
        <v>0.96464000000000005</v>
      </c>
      <c r="AI21">
        <v>0.97119999999999995</v>
      </c>
      <c r="AJ21">
        <v>0.96190799999999999</v>
      </c>
      <c r="AK21">
        <v>0.97093300000000005</v>
      </c>
      <c r="AL21">
        <v>0.97093300000000005</v>
      </c>
      <c r="AM21">
        <v>0</v>
      </c>
      <c r="AO21" s="23">
        <v>44333</v>
      </c>
      <c r="AP21">
        <v>0.90863000000000005</v>
      </c>
      <c r="AQ21">
        <v>0.91042000000000001</v>
      </c>
      <c r="AR21">
        <v>0.90285000000000004</v>
      </c>
      <c r="AS21">
        <v>0.90684399999999998</v>
      </c>
      <c r="AT21">
        <v>0.90684399999999998</v>
      </c>
      <c r="AU21">
        <v>0</v>
      </c>
    </row>
    <row r="22" spans="1:47">
      <c r="A22" s="23">
        <v>44340</v>
      </c>
      <c r="B22">
        <v>0.75109499999999996</v>
      </c>
      <c r="C22">
        <v>0.75658999999999998</v>
      </c>
      <c r="D22">
        <v>0.75063199999999997</v>
      </c>
      <c r="E22">
        <v>0.75658999999999998</v>
      </c>
      <c r="F22">
        <v>0.75658999999999998</v>
      </c>
      <c r="G22">
        <v>0</v>
      </c>
      <c r="I22" s="23">
        <v>44340</v>
      </c>
      <c r="J22">
        <v>0.61652300000000004</v>
      </c>
      <c r="K22">
        <v>0.62170499999999995</v>
      </c>
      <c r="L22">
        <v>0.61460899999999996</v>
      </c>
      <c r="M22">
        <v>0.61916400000000005</v>
      </c>
      <c r="N22">
        <v>0.61916400000000005</v>
      </c>
      <c r="O22">
        <v>0</v>
      </c>
      <c r="Q22" s="23">
        <v>44340</v>
      </c>
      <c r="R22">
        <v>81.769699000000003</v>
      </c>
      <c r="S22">
        <v>83.133003000000002</v>
      </c>
      <c r="T22">
        <v>81.668899999999994</v>
      </c>
      <c r="U22">
        <v>82.904999000000004</v>
      </c>
      <c r="V22">
        <v>82.904999000000004</v>
      </c>
      <c r="W22">
        <v>0</v>
      </c>
      <c r="Y22" s="23">
        <v>44340</v>
      </c>
      <c r="Z22">
        <v>0.53108</v>
      </c>
      <c r="AA22">
        <v>0.53566999999999998</v>
      </c>
      <c r="AB22">
        <v>0.53041000000000005</v>
      </c>
      <c r="AC22">
        <v>0.53239599999999998</v>
      </c>
      <c r="AD22">
        <v>0.53239599999999998</v>
      </c>
      <c r="AE22">
        <v>0</v>
      </c>
      <c r="AG22" s="23">
        <v>44340</v>
      </c>
      <c r="AH22">
        <v>0.97209000000000001</v>
      </c>
      <c r="AI22">
        <v>0.98226999999999998</v>
      </c>
      <c r="AJ22">
        <v>0.96921000000000002</v>
      </c>
      <c r="AK22">
        <v>0.98047799999999996</v>
      </c>
      <c r="AL22">
        <v>0.98047799999999996</v>
      </c>
      <c r="AM22">
        <v>0</v>
      </c>
      <c r="AO22" s="23">
        <v>44340</v>
      </c>
      <c r="AP22">
        <v>0.90639999999999998</v>
      </c>
      <c r="AQ22">
        <v>0.91591</v>
      </c>
      <c r="AR22">
        <v>0.90586999999999995</v>
      </c>
      <c r="AS22">
        <v>0.911972</v>
      </c>
      <c r="AT22">
        <v>0.911972</v>
      </c>
      <c r="AU22">
        <v>0</v>
      </c>
    </row>
    <row r="23" spans="1:47">
      <c r="A23" s="23">
        <v>44347</v>
      </c>
      <c r="B23">
        <v>0.755687</v>
      </c>
      <c r="C23">
        <v>0.75843799999999995</v>
      </c>
      <c r="D23">
        <v>0.75244</v>
      </c>
      <c r="E23">
        <v>0.75509300000000001</v>
      </c>
      <c r="F23">
        <v>0.75509300000000001</v>
      </c>
      <c r="G23">
        <v>0</v>
      </c>
      <c r="I23" s="23">
        <v>44347</v>
      </c>
      <c r="J23">
        <v>0.61983600000000005</v>
      </c>
      <c r="K23">
        <v>0.62182499999999996</v>
      </c>
      <c r="L23">
        <v>0.61755099999999996</v>
      </c>
      <c r="M23">
        <v>0.62050099999999997</v>
      </c>
      <c r="N23">
        <v>0.62050099999999997</v>
      </c>
      <c r="O23">
        <v>0</v>
      </c>
      <c r="Q23" s="23">
        <v>44347</v>
      </c>
      <c r="R23">
        <v>83.052002000000002</v>
      </c>
      <c r="S23">
        <v>83.070999</v>
      </c>
      <c r="T23">
        <v>82.596001000000001</v>
      </c>
      <c r="U23">
        <v>83.012900999999999</v>
      </c>
      <c r="V23">
        <v>83.012900999999999</v>
      </c>
      <c r="W23">
        <v>0</v>
      </c>
      <c r="Y23" s="23">
        <v>44347</v>
      </c>
      <c r="Z23">
        <v>0.53281000000000001</v>
      </c>
      <c r="AA23">
        <v>0.53483000000000003</v>
      </c>
      <c r="AB23">
        <v>0.53177300000000005</v>
      </c>
      <c r="AC23">
        <v>0.53306600000000004</v>
      </c>
      <c r="AD23">
        <v>0.53306600000000004</v>
      </c>
      <c r="AE23">
        <v>0</v>
      </c>
      <c r="AG23" s="23">
        <v>44347</v>
      </c>
      <c r="AH23">
        <v>0.98011999999999999</v>
      </c>
      <c r="AI23">
        <v>0.98436000000000001</v>
      </c>
      <c r="AJ23">
        <v>0.97338000000000002</v>
      </c>
      <c r="AK23">
        <v>0.97580599999999995</v>
      </c>
      <c r="AL23">
        <v>0.97580599999999995</v>
      </c>
      <c r="AM23">
        <v>0</v>
      </c>
      <c r="AO23" s="23">
        <v>44347</v>
      </c>
      <c r="AP23">
        <v>0.91247999999999996</v>
      </c>
      <c r="AQ23">
        <v>0.91474999999999995</v>
      </c>
      <c r="AR23">
        <v>0.90888999999999998</v>
      </c>
      <c r="AS23">
        <v>0.91140399999999999</v>
      </c>
      <c r="AT23">
        <v>0.91140399999999999</v>
      </c>
      <c r="AU23">
        <v>0</v>
      </c>
    </row>
    <row r="24" spans="1:47">
      <c r="A24" s="23">
        <v>44354</v>
      </c>
      <c r="B24">
        <v>0.75509300000000001</v>
      </c>
      <c r="C24">
        <v>0.75688800000000001</v>
      </c>
      <c r="D24">
        <v>0.75363100000000005</v>
      </c>
      <c r="E24">
        <v>0.75496200000000002</v>
      </c>
      <c r="F24">
        <v>0.75496200000000002</v>
      </c>
      <c r="G24">
        <v>0</v>
      </c>
      <c r="I24" s="23">
        <v>44354</v>
      </c>
      <c r="J24">
        <v>0.62058000000000002</v>
      </c>
      <c r="K24">
        <v>0.62345700000000004</v>
      </c>
      <c r="L24">
        <v>0.61888799999999999</v>
      </c>
      <c r="M24">
        <v>0.62048199999999998</v>
      </c>
      <c r="N24">
        <v>0.62048199999999998</v>
      </c>
      <c r="O24">
        <v>0</v>
      </c>
      <c r="Q24" s="23">
        <v>44354</v>
      </c>
      <c r="R24">
        <v>82.769997000000004</v>
      </c>
      <c r="S24">
        <v>82.848999000000006</v>
      </c>
      <c r="T24">
        <v>82.487999000000002</v>
      </c>
      <c r="U24">
        <v>82.609001000000006</v>
      </c>
      <c r="V24">
        <v>82.609001000000006</v>
      </c>
      <c r="W24">
        <v>0</v>
      </c>
      <c r="Y24" s="23">
        <v>44354</v>
      </c>
      <c r="Z24">
        <v>0.53310999999999997</v>
      </c>
      <c r="AA24">
        <v>0.53608</v>
      </c>
      <c r="AB24">
        <v>0.53248099999999998</v>
      </c>
      <c r="AC24">
        <v>0.53430200000000005</v>
      </c>
      <c r="AD24">
        <v>0.53430200000000005</v>
      </c>
      <c r="AE24">
        <v>0</v>
      </c>
      <c r="AG24" s="23">
        <v>44354</v>
      </c>
      <c r="AH24">
        <v>0.97559600000000002</v>
      </c>
      <c r="AI24">
        <v>0.97982000000000002</v>
      </c>
      <c r="AJ24">
        <v>0.97287999999999997</v>
      </c>
      <c r="AK24">
        <v>0.97889000000000004</v>
      </c>
      <c r="AL24">
        <v>0.97889000000000004</v>
      </c>
      <c r="AM24">
        <v>0</v>
      </c>
      <c r="AO24" s="23">
        <v>44354</v>
      </c>
      <c r="AP24">
        <v>0.91173999999999999</v>
      </c>
      <c r="AQ24">
        <v>0.91681999999999997</v>
      </c>
      <c r="AR24">
        <v>0.91169999999999995</v>
      </c>
      <c r="AS24">
        <v>0.91643600000000003</v>
      </c>
      <c r="AT24">
        <v>0.91643600000000003</v>
      </c>
      <c r="AU24">
        <v>0</v>
      </c>
    </row>
    <row r="25" spans="1:47">
      <c r="A25" s="23">
        <v>44361</v>
      </c>
      <c r="B25">
        <v>0.754301</v>
      </c>
      <c r="C25">
        <v>0.75477399999999994</v>
      </c>
      <c r="D25">
        <v>0.74293100000000001</v>
      </c>
      <c r="E25">
        <v>0.74490100000000004</v>
      </c>
      <c r="F25">
        <v>0.74490100000000004</v>
      </c>
      <c r="G25">
        <v>0</v>
      </c>
      <c r="I25" s="23">
        <v>44361</v>
      </c>
      <c r="J25">
        <v>0.62278900000000004</v>
      </c>
      <c r="K25">
        <v>0.62721099999999996</v>
      </c>
      <c r="L25">
        <v>0.62057799999999996</v>
      </c>
      <c r="M25">
        <v>0.62558599999999998</v>
      </c>
      <c r="N25">
        <v>0.62558599999999998</v>
      </c>
      <c r="O25">
        <v>0</v>
      </c>
      <c r="Q25" s="23">
        <v>44361</v>
      </c>
      <c r="R25">
        <v>82.744399999999999</v>
      </c>
      <c r="S25">
        <v>83.052002000000002</v>
      </c>
      <c r="T25">
        <v>81.656998000000002</v>
      </c>
      <c r="U25">
        <v>82.221999999999994</v>
      </c>
      <c r="V25">
        <v>82.221999999999994</v>
      </c>
      <c r="W25">
        <v>0</v>
      </c>
      <c r="Y25" s="23">
        <v>44361</v>
      </c>
      <c r="Z25">
        <v>0.53420000000000001</v>
      </c>
      <c r="AA25">
        <v>0.53852999999999995</v>
      </c>
      <c r="AB25">
        <v>0.53361800000000004</v>
      </c>
      <c r="AC25">
        <v>0.53753600000000001</v>
      </c>
      <c r="AD25">
        <v>0.53753600000000001</v>
      </c>
      <c r="AE25">
        <v>0</v>
      </c>
      <c r="AG25" s="23">
        <v>44361</v>
      </c>
      <c r="AH25">
        <v>0.97824</v>
      </c>
      <c r="AI25">
        <v>0.99340700000000004</v>
      </c>
      <c r="AJ25">
        <v>0.97589000000000004</v>
      </c>
      <c r="AK25">
        <v>0.99340700000000004</v>
      </c>
      <c r="AL25">
        <v>0.99340700000000004</v>
      </c>
      <c r="AM25">
        <v>0</v>
      </c>
      <c r="AO25" s="23">
        <v>44361</v>
      </c>
      <c r="AP25">
        <v>0.91690000000000005</v>
      </c>
      <c r="AQ25">
        <v>0.92727000000000004</v>
      </c>
      <c r="AR25">
        <v>0.91427999999999998</v>
      </c>
      <c r="AS25">
        <v>0.92570699999999995</v>
      </c>
      <c r="AT25">
        <v>0.92570699999999995</v>
      </c>
      <c r="AU25">
        <v>0</v>
      </c>
    </row>
    <row r="26" spans="1:47">
      <c r="A26" s="23">
        <v>44368</v>
      </c>
      <c r="B26">
        <v>0.74351699999999998</v>
      </c>
      <c r="C26">
        <v>0.74654699999999996</v>
      </c>
      <c r="D26">
        <v>0.74206499999999997</v>
      </c>
      <c r="E26">
        <v>0.74504499999999996</v>
      </c>
      <c r="F26">
        <v>0.74504499999999996</v>
      </c>
      <c r="G26">
        <v>0</v>
      </c>
      <c r="I26" s="23">
        <v>44368</v>
      </c>
      <c r="J26">
        <v>0.62634000000000001</v>
      </c>
      <c r="K26">
        <v>0.62668000000000001</v>
      </c>
      <c r="L26">
        <v>0.62181299999999995</v>
      </c>
      <c r="M26">
        <v>0.62422</v>
      </c>
      <c r="N26">
        <v>0.62422</v>
      </c>
      <c r="O26">
        <v>0</v>
      </c>
      <c r="Q26" s="23">
        <v>44368</v>
      </c>
      <c r="R26">
        <v>81.918998999999999</v>
      </c>
      <c r="S26">
        <v>82.656998000000002</v>
      </c>
      <c r="T26">
        <v>81.455803000000003</v>
      </c>
      <c r="U26">
        <v>82.581001000000001</v>
      </c>
      <c r="V26">
        <v>82.581001000000001</v>
      </c>
      <c r="W26">
        <v>0</v>
      </c>
      <c r="Y26" s="23">
        <v>44368</v>
      </c>
      <c r="Z26">
        <v>0.53808</v>
      </c>
      <c r="AA26">
        <v>0.53847999999999996</v>
      </c>
      <c r="AB26">
        <v>0.53130999999999995</v>
      </c>
      <c r="AC26">
        <v>0.53623900000000002</v>
      </c>
      <c r="AD26">
        <v>0.53623900000000002</v>
      </c>
      <c r="AE26">
        <v>0</v>
      </c>
      <c r="AG26" s="23">
        <v>44368</v>
      </c>
      <c r="AH26">
        <v>0.99097999999999997</v>
      </c>
      <c r="AI26">
        <v>0.99248000000000003</v>
      </c>
      <c r="AJ26">
        <v>0.97945000000000004</v>
      </c>
      <c r="AK26">
        <v>0.98214500000000005</v>
      </c>
      <c r="AL26">
        <v>0.98214500000000005</v>
      </c>
      <c r="AM26">
        <v>0</v>
      </c>
      <c r="AO26" s="23">
        <v>44368</v>
      </c>
      <c r="AP26">
        <v>0.92571000000000003</v>
      </c>
      <c r="AQ26">
        <v>0.92718</v>
      </c>
      <c r="AR26">
        <v>0.91842999999999997</v>
      </c>
      <c r="AS26">
        <v>0.92059000000000002</v>
      </c>
      <c r="AT26">
        <v>0.92059000000000002</v>
      </c>
      <c r="AU26">
        <v>0</v>
      </c>
    </row>
    <row r="27" spans="1:47">
      <c r="A27" s="23">
        <v>44375</v>
      </c>
      <c r="B27">
        <v>0.74491200000000002</v>
      </c>
      <c r="C27">
        <v>0.74532299999999996</v>
      </c>
      <c r="D27">
        <v>0.73963400000000001</v>
      </c>
      <c r="E27">
        <v>0.74261100000000002</v>
      </c>
      <c r="F27">
        <v>0.74261100000000002</v>
      </c>
      <c r="G27">
        <v>0</v>
      </c>
      <c r="I27" s="23">
        <v>44375</v>
      </c>
      <c r="J27">
        <v>0.62370999999999999</v>
      </c>
      <c r="K27">
        <v>0.62748999999999999</v>
      </c>
      <c r="L27">
        <v>0.62320799999999998</v>
      </c>
      <c r="M27">
        <v>0.625614</v>
      </c>
      <c r="N27">
        <v>0.625614</v>
      </c>
      <c r="O27">
        <v>0</v>
      </c>
      <c r="Q27" s="23">
        <v>44375</v>
      </c>
      <c r="R27">
        <v>82.533996999999999</v>
      </c>
      <c r="S27">
        <v>82.859001000000006</v>
      </c>
      <c r="T27">
        <v>82.070296999999997</v>
      </c>
      <c r="U27">
        <v>82.669998000000007</v>
      </c>
      <c r="V27">
        <v>82.669998000000007</v>
      </c>
      <c r="W27">
        <v>0</v>
      </c>
      <c r="Y27" s="23">
        <v>44375</v>
      </c>
      <c r="Z27">
        <v>0.53596999999999995</v>
      </c>
      <c r="AA27">
        <v>0.53913999999999995</v>
      </c>
      <c r="AB27">
        <v>0.53427000000000002</v>
      </c>
      <c r="AC27">
        <v>0.53661300000000001</v>
      </c>
      <c r="AD27">
        <v>0.53661300000000001</v>
      </c>
      <c r="AE27">
        <v>0</v>
      </c>
      <c r="AG27" s="23">
        <v>44375</v>
      </c>
      <c r="AH27">
        <v>0.98068999999999995</v>
      </c>
      <c r="AI27">
        <v>0.99360999999999999</v>
      </c>
      <c r="AJ27">
        <v>0.97975000000000001</v>
      </c>
      <c r="AK27">
        <v>0.98593600000000003</v>
      </c>
      <c r="AL27">
        <v>0.98593600000000003</v>
      </c>
      <c r="AM27">
        <v>0</v>
      </c>
      <c r="AO27" s="23">
        <v>44375</v>
      </c>
      <c r="AP27">
        <v>0.91854000000000002</v>
      </c>
      <c r="AQ27">
        <v>0.92364999999999997</v>
      </c>
      <c r="AR27">
        <v>0.91444300000000001</v>
      </c>
      <c r="AS27">
        <v>0.91444300000000001</v>
      </c>
      <c r="AT27">
        <v>0.91444300000000001</v>
      </c>
      <c r="AU27">
        <v>0</v>
      </c>
    </row>
    <row r="28" spans="1:47">
      <c r="A28" s="23">
        <v>44382</v>
      </c>
      <c r="B28">
        <v>0.74217</v>
      </c>
      <c r="C28">
        <v>0.74510100000000001</v>
      </c>
      <c r="D28">
        <v>0.73780599999999996</v>
      </c>
      <c r="E28">
        <v>0.74035700000000004</v>
      </c>
      <c r="F28">
        <v>0.74035700000000004</v>
      </c>
      <c r="G28">
        <v>0</v>
      </c>
      <c r="I28" s="23">
        <v>44382</v>
      </c>
      <c r="J28">
        <v>0.62590800000000002</v>
      </c>
      <c r="K28">
        <v>0.62872499999999998</v>
      </c>
      <c r="L28">
        <v>0.62297499999999995</v>
      </c>
      <c r="M28">
        <v>0.62297499999999995</v>
      </c>
      <c r="N28">
        <v>0.62297499999999995</v>
      </c>
      <c r="O28">
        <v>0</v>
      </c>
      <c r="Q28" s="23">
        <v>44382</v>
      </c>
      <c r="R28">
        <v>82.471001000000001</v>
      </c>
      <c r="S28">
        <v>82.563004000000006</v>
      </c>
      <c r="T28">
        <v>80.845000999999996</v>
      </c>
      <c r="U28">
        <v>81.185997</v>
      </c>
      <c r="V28">
        <v>81.185997</v>
      </c>
      <c r="W28">
        <v>0</v>
      </c>
      <c r="Y28" s="23">
        <v>44382</v>
      </c>
      <c r="Z28">
        <v>0.53657999999999995</v>
      </c>
      <c r="AA28">
        <v>0.53846000000000005</v>
      </c>
      <c r="AB28">
        <v>0.53210199999999996</v>
      </c>
      <c r="AC28">
        <v>0.53210199999999996</v>
      </c>
      <c r="AD28">
        <v>0.53210199999999996</v>
      </c>
      <c r="AE28">
        <v>0</v>
      </c>
      <c r="AG28" s="23">
        <v>44382</v>
      </c>
      <c r="AH28">
        <v>0.98719000000000001</v>
      </c>
      <c r="AI28">
        <v>0.99629999999999996</v>
      </c>
      <c r="AJ28">
        <v>0.98012999999999995</v>
      </c>
      <c r="AK28">
        <v>0.98876799999999998</v>
      </c>
      <c r="AL28">
        <v>0.98876799999999998</v>
      </c>
      <c r="AM28">
        <v>0</v>
      </c>
      <c r="AO28" s="23">
        <v>44382</v>
      </c>
      <c r="AP28">
        <v>0.91517000000000004</v>
      </c>
      <c r="AQ28">
        <v>0.93042999999999998</v>
      </c>
      <c r="AR28">
        <v>0.91503999999999996</v>
      </c>
      <c r="AS28">
        <v>0.92050200000000004</v>
      </c>
      <c r="AT28">
        <v>0.92050200000000004</v>
      </c>
      <c r="AU28">
        <v>0</v>
      </c>
    </row>
    <row r="29" spans="1:47">
      <c r="A29" s="23">
        <v>44389</v>
      </c>
      <c r="B29">
        <v>0.74031800000000003</v>
      </c>
      <c r="C29">
        <v>0.74117999999999995</v>
      </c>
      <c r="D29">
        <v>0.73669200000000001</v>
      </c>
      <c r="E29">
        <v>0.73708300000000004</v>
      </c>
      <c r="F29">
        <v>0.73708300000000004</v>
      </c>
      <c r="G29">
        <v>0</v>
      </c>
      <c r="I29" s="23">
        <v>44389</v>
      </c>
      <c r="J29">
        <v>0.62316899999999997</v>
      </c>
      <c r="K29">
        <v>0.62636199999999997</v>
      </c>
      <c r="L29">
        <v>0.62274300000000005</v>
      </c>
      <c r="M29">
        <v>0.62379099999999998</v>
      </c>
      <c r="N29">
        <v>0.62379099999999998</v>
      </c>
      <c r="O29">
        <v>0</v>
      </c>
      <c r="Q29" s="23">
        <v>44389</v>
      </c>
      <c r="R29">
        <v>81.577003000000005</v>
      </c>
      <c r="S29">
        <v>81.792000000000002</v>
      </c>
      <c r="T29">
        <v>81.001998999999998</v>
      </c>
      <c r="U29">
        <v>81.036002999999994</v>
      </c>
      <c r="V29">
        <v>81.036002999999994</v>
      </c>
      <c r="W29">
        <v>0</v>
      </c>
      <c r="Y29" s="23">
        <v>44389</v>
      </c>
      <c r="Z29">
        <v>0.53258000000000005</v>
      </c>
      <c r="AA29">
        <v>0.53547500000000003</v>
      </c>
      <c r="AB29">
        <v>0.53159000000000001</v>
      </c>
      <c r="AC29">
        <v>0.53547500000000003</v>
      </c>
      <c r="AD29">
        <v>0.53547500000000003</v>
      </c>
      <c r="AE29">
        <v>0</v>
      </c>
      <c r="AG29" s="23">
        <v>44389</v>
      </c>
      <c r="AH29">
        <v>0.98829999999999996</v>
      </c>
      <c r="AI29">
        <v>0.99585000000000001</v>
      </c>
      <c r="AJ29">
        <v>0.986904</v>
      </c>
      <c r="AK29">
        <v>0.99517800000000001</v>
      </c>
      <c r="AL29">
        <v>0.99517800000000001</v>
      </c>
      <c r="AM29">
        <v>0</v>
      </c>
      <c r="AO29" s="23">
        <v>44389</v>
      </c>
      <c r="AP29">
        <v>0.92162999999999995</v>
      </c>
      <c r="AQ29">
        <v>0.92976000000000003</v>
      </c>
      <c r="AR29">
        <v>0.92010000000000003</v>
      </c>
      <c r="AS29">
        <v>0.92869800000000002</v>
      </c>
      <c r="AT29">
        <v>0.92869800000000002</v>
      </c>
      <c r="AU29">
        <v>0</v>
      </c>
    </row>
    <row r="30" spans="1:47">
      <c r="A30" s="23">
        <v>44396</v>
      </c>
      <c r="B30">
        <v>0.73708799999999997</v>
      </c>
      <c r="C30">
        <v>0.73729999999999996</v>
      </c>
      <c r="D30">
        <v>0.73038499999999995</v>
      </c>
      <c r="E30">
        <v>0.735456</v>
      </c>
      <c r="F30">
        <v>0.735456</v>
      </c>
      <c r="G30">
        <v>0</v>
      </c>
      <c r="I30" s="23">
        <v>44396</v>
      </c>
      <c r="J30">
        <v>0.62395</v>
      </c>
      <c r="K30">
        <v>0.62579799999999997</v>
      </c>
      <c r="L30">
        <v>0.61957899999999999</v>
      </c>
      <c r="M30">
        <v>0.62346900000000005</v>
      </c>
      <c r="N30">
        <v>0.62346900000000005</v>
      </c>
      <c r="O30">
        <v>0</v>
      </c>
      <c r="Q30" s="23">
        <v>44396</v>
      </c>
      <c r="R30">
        <v>80.996002000000004</v>
      </c>
      <c r="S30">
        <v>81.337997000000001</v>
      </c>
      <c r="T30">
        <v>79.901000999999994</v>
      </c>
      <c r="U30">
        <v>81.019997000000004</v>
      </c>
      <c r="V30">
        <v>81.019997000000004</v>
      </c>
      <c r="W30">
        <v>0</v>
      </c>
      <c r="Y30" s="23">
        <v>44396</v>
      </c>
      <c r="Z30">
        <v>0.53551000000000004</v>
      </c>
      <c r="AA30">
        <v>0.53820999999999997</v>
      </c>
      <c r="AB30">
        <v>0.53337900000000005</v>
      </c>
      <c r="AC30">
        <v>0.53337900000000005</v>
      </c>
      <c r="AD30">
        <v>0.53337900000000005</v>
      </c>
      <c r="AE30">
        <v>0</v>
      </c>
      <c r="AG30" s="23">
        <v>44396</v>
      </c>
      <c r="AH30">
        <v>0.99751999999999996</v>
      </c>
      <c r="AI30">
        <v>1.002648</v>
      </c>
      <c r="AJ30">
        <v>0.99528000000000005</v>
      </c>
      <c r="AK30">
        <v>0.99799199999999999</v>
      </c>
      <c r="AL30">
        <v>0.99799199999999999</v>
      </c>
      <c r="AM30">
        <v>0</v>
      </c>
      <c r="AO30" s="23">
        <v>44396</v>
      </c>
      <c r="AP30">
        <v>0.92991000000000001</v>
      </c>
      <c r="AQ30">
        <v>0.93988000000000005</v>
      </c>
      <c r="AR30">
        <v>0.91851000000000005</v>
      </c>
      <c r="AS30">
        <v>0.92397499999999999</v>
      </c>
      <c r="AT30">
        <v>0.92397499999999999</v>
      </c>
      <c r="AU30">
        <v>0</v>
      </c>
    </row>
    <row r="31" spans="1:47">
      <c r="A31" s="23">
        <v>44403</v>
      </c>
      <c r="B31">
        <v>0.734981</v>
      </c>
      <c r="C31">
        <v>0.74013799999999996</v>
      </c>
      <c r="D31">
        <v>0.73421400000000003</v>
      </c>
      <c r="E31">
        <v>0.73891799999999996</v>
      </c>
      <c r="F31">
        <v>0.73891799999999996</v>
      </c>
      <c r="G31">
        <v>0</v>
      </c>
      <c r="I31" s="23">
        <v>44403</v>
      </c>
      <c r="J31">
        <v>0.62420799999999999</v>
      </c>
      <c r="K31">
        <v>0.62437200000000004</v>
      </c>
      <c r="L31">
        <v>0.62064399999999997</v>
      </c>
      <c r="M31">
        <v>0.62150000000000005</v>
      </c>
      <c r="N31">
        <v>0.62150000000000005</v>
      </c>
      <c r="O31">
        <v>0</v>
      </c>
      <c r="Q31" s="23">
        <v>44403</v>
      </c>
      <c r="R31">
        <v>81.235000999999997</v>
      </c>
      <c r="S31">
        <v>81.266998000000001</v>
      </c>
      <c r="T31">
        <v>80.583397000000005</v>
      </c>
      <c r="U31">
        <v>80.853995999999995</v>
      </c>
      <c r="V31">
        <v>80.853995999999995</v>
      </c>
      <c r="W31">
        <v>0</v>
      </c>
      <c r="Y31" s="23">
        <v>44403</v>
      </c>
      <c r="Z31">
        <v>0.53417000000000003</v>
      </c>
      <c r="AA31">
        <v>0.53478999999999999</v>
      </c>
      <c r="AB31">
        <v>0.52823399999999998</v>
      </c>
      <c r="AC31">
        <v>0.53077399999999997</v>
      </c>
      <c r="AD31">
        <v>0.53077399999999997</v>
      </c>
      <c r="AE31">
        <v>0</v>
      </c>
      <c r="AG31" s="23">
        <v>44403</v>
      </c>
      <c r="AH31">
        <v>0.99756999999999996</v>
      </c>
      <c r="AI31">
        <v>1.0052700000000001</v>
      </c>
      <c r="AJ31">
        <v>0.99616000000000005</v>
      </c>
      <c r="AK31">
        <v>1.0048049999999999</v>
      </c>
      <c r="AL31">
        <v>1.0048049999999999</v>
      </c>
      <c r="AM31">
        <v>0</v>
      </c>
      <c r="AO31" s="23">
        <v>44403</v>
      </c>
      <c r="AP31">
        <v>0.92364000000000002</v>
      </c>
      <c r="AQ31">
        <v>0.92622000000000004</v>
      </c>
      <c r="AR31">
        <v>0.91776999999999997</v>
      </c>
      <c r="AS31">
        <v>0.92054599999999998</v>
      </c>
      <c r="AT31">
        <v>0.92054599999999998</v>
      </c>
      <c r="AU31">
        <v>0</v>
      </c>
    </row>
    <row r="32" spans="1:47">
      <c r="A32" s="23">
        <v>44410</v>
      </c>
      <c r="B32">
        <v>0.73821999999999999</v>
      </c>
      <c r="C32">
        <v>0.74244600000000005</v>
      </c>
      <c r="D32">
        <v>0.73787100000000005</v>
      </c>
      <c r="E32">
        <v>0.73847600000000002</v>
      </c>
      <c r="F32">
        <v>0.73847600000000002</v>
      </c>
      <c r="G32">
        <v>0</v>
      </c>
      <c r="I32" s="23">
        <v>44410</v>
      </c>
      <c r="J32">
        <v>0.62208399999999997</v>
      </c>
      <c r="K32">
        <v>0.62780599999999998</v>
      </c>
      <c r="L32">
        <v>0.62165899999999996</v>
      </c>
      <c r="M32">
        <v>0.62751000000000001</v>
      </c>
      <c r="N32">
        <v>0.62751000000000001</v>
      </c>
      <c r="O32">
        <v>0</v>
      </c>
      <c r="Q32" s="23">
        <v>44410</v>
      </c>
      <c r="R32">
        <v>80.967003000000005</v>
      </c>
      <c r="S32">
        <v>81.487999000000002</v>
      </c>
      <c r="T32">
        <v>80.508003000000002</v>
      </c>
      <c r="U32">
        <v>81.232001999999994</v>
      </c>
      <c r="V32">
        <v>81.232001999999994</v>
      </c>
      <c r="W32">
        <v>0</v>
      </c>
      <c r="Y32" s="23">
        <v>44410</v>
      </c>
      <c r="Z32">
        <v>0.53115999999999997</v>
      </c>
      <c r="AA32">
        <v>0.53324000000000005</v>
      </c>
      <c r="AB32">
        <v>0.53073999999999999</v>
      </c>
      <c r="AC32">
        <v>0.53184699999999996</v>
      </c>
      <c r="AD32">
        <v>0.53184699999999996</v>
      </c>
      <c r="AE32">
        <v>0</v>
      </c>
      <c r="AG32" s="23">
        <v>44410</v>
      </c>
      <c r="AH32">
        <v>1.00529</v>
      </c>
      <c r="AI32">
        <v>1.0068900000000001</v>
      </c>
      <c r="AJ32">
        <v>0.99858000000000002</v>
      </c>
      <c r="AK32">
        <v>1.0045059999999999</v>
      </c>
      <c r="AL32">
        <v>1.0045059999999999</v>
      </c>
      <c r="AM32">
        <v>0</v>
      </c>
      <c r="AO32" s="23">
        <v>44410</v>
      </c>
      <c r="AP32">
        <v>0.92052</v>
      </c>
      <c r="AQ32">
        <v>0.93084999999999996</v>
      </c>
      <c r="AR32">
        <v>0.92051000000000005</v>
      </c>
      <c r="AS32">
        <v>0.92695499999999997</v>
      </c>
      <c r="AT32">
        <v>0.92695499999999997</v>
      </c>
      <c r="AU32">
        <v>0</v>
      </c>
    </row>
    <row r="33" spans="1:47">
      <c r="A33" s="23">
        <v>44417</v>
      </c>
      <c r="B33">
        <v>0.73739200000000005</v>
      </c>
      <c r="C33">
        <v>0.73828000000000005</v>
      </c>
      <c r="D33">
        <v>0.73501300000000003</v>
      </c>
      <c r="E33">
        <v>0.73828000000000005</v>
      </c>
      <c r="F33">
        <v>0.73828000000000005</v>
      </c>
      <c r="G33">
        <v>0</v>
      </c>
      <c r="I33" s="23">
        <v>44417</v>
      </c>
      <c r="J33">
        <v>0.62756999999999996</v>
      </c>
      <c r="K33">
        <v>0.62826300000000002</v>
      </c>
      <c r="L33">
        <v>0.625</v>
      </c>
      <c r="M33">
        <v>0.62753800000000004</v>
      </c>
      <c r="N33">
        <v>0.62753800000000004</v>
      </c>
      <c r="O33">
        <v>0</v>
      </c>
      <c r="Q33" s="23">
        <v>44417</v>
      </c>
      <c r="R33">
        <v>81.272696999999994</v>
      </c>
      <c r="S33">
        <v>81.476996999999997</v>
      </c>
      <c r="T33">
        <v>80.751998999999998</v>
      </c>
      <c r="U33">
        <v>81.308998000000003</v>
      </c>
      <c r="V33">
        <v>81.308998000000003</v>
      </c>
      <c r="W33">
        <v>0</v>
      </c>
      <c r="Y33" s="23">
        <v>44417</v>
      </c>
      <c r="Z33">
        <v>0.53164999999999996</v>
      </c>
      <c r="AA33">
        <v>0.53381000000000001</v>
      </c>
      <c r="AB33">
        <v>0.53050399999999998</v>
      </c>
      <c r="AC33">
        <v>0.53208500000000003</v>
      </c>
      <c r="AD33">
        <v>0.53208500000000003</v>
      </c>
      <c r="AE33">
        <v>0</v>
      </c>
      <c r="AG33" s="23">
        <v>44417</v>
      </c>
      <c r="AH33">
        <v>1.00508</v>
      </c>
      <c r="AI33">
        <v>1.00658</v>
      </c>
      <c r="AJ33">
        <v>0.99839</v>
      </c>
      <c r="AK33">
        <v>1.002073</v>
      </c>
      <c r="AL33">
        <v>1.002073</v>
      </c>
      <c r="AM33">
        <v>0</v>
      </c>
      <c r="AO33" s="23">
        <v>44417</v>
      </c>
      <c r="AP33">
        <v>0.92691000000000001</v>
      </c>
      <c r="AQ33">
        <v>0.92779999999999996</v>
      </c>
      <c r="AR33">
        <v>0.92032000000000003</v>
      </c>
      <c r="AS33">
        <v>0.92345699999999997</v>
      </c>
      <c r="AT33">
        <v>0.92345699999999997</v>
      </c>
      <c r="AU33">
        <v>0</v>
      </c>
    </row>
    <row r="34" spans="1:47">
      <c r="A34" s="23">
        <v>44424</v>
      </c>
      <c r="B34">
        <v>0.73833400000000005</v>
      </c>
      <c r="C34">
        <v>0.73838899999999996</v>
      </c>
      <c r="D34">
        <v>0.73242399999999996</v>
      </c>
      <c r="E34">
        <v>0.73390200000000005</v>
      </c>
      <c r="F34">
        <v>0.73390200000000005</v>
      </c>
      <c r="G34">
        <v>0</v>
      </c>
      <c r="I34" s="23">
        <v>44424</v>
      </c>
      <c r="J34">
        <v>0.625614</v>
      </c>
      <c r="K34">
        <v>0.62879600000000002</v>
      </c>
      <c r="L34">
        <v>0.62433700000000003</v>
      </c>
      <c r="M34">
        <v>0.62723499999999999</v>
      </c>
      <c r="N34">
        <v>0.62723499999999999</v>
      </c>
      <c r="O34">
        <v>0</v>
      </c>
      <c r="Q34" s="23">
        <v>44424</v>
      </c>
      <c r="R34">
        <v>80.878997999999996</v>
      </c>
      <c r="S34">
        <v>80.878997999999996</v>
      </c>
      <c r="T34">
        <v>80.201103000000003</v>
      </c>
      <c r="U34">
        <v>80.425003000000004</v>
      </c>
      <c r="V34">
        <v>80.425003000000004</v>
      </c>
      <c r="W34">
        <v>0</v>
      </c>
      <c r="Y34" s="23">
        <v>44424</v>
      </c>
      <c r="Z34">
        <v>0.53222000000000003</v>
      </c>
      <c r="AA34">
        <v>0.53910999999999998</v>
      </c>
      <c r="AB34">
        <v>0.53137800000000002</v>
      </c>
      <c r="AC34">
        <v>0.53844499999999995</v>
      </c>
      <c r="AD34">
        <v>0.53844499999999995</v>
      </c>
      <c r="AE34">
        <v>0</v>
      </c>
      <c r="AG34" s="23">
        <v>44424</v>
      </c>
      <c r="AH34">
        <v>1.00177</v>
      </c>
      <c r="AI34">
        <v>1.03129</v>
      </c>
      <c r="AJ34">
        <v>1.00176</v>
      </c>
      <c r="AK34">
        <v>1.0286740000000001</v>
      </c>
      <c r="AL34">
        <v>1.0286740000000001</v>
      </c>
      <c r="AM34">
        <v>0</v>
      </c>
      <c r="AO34" s="23">
        <v>44424</v>
      </c>
      <c r="AP34">
        <v>0.92376000000000003</v>
      </c>
      <c r="AQ34">
        <v>0.94930999999999999</v>
      </c>
      <c r="AR34">
        <v>0.92354800000000004</v>
      </c>
      <c r="AS34">
        <v>0.94091800000000003</v>
      </c>
      <c r="AT34">
        <v>0.94091800000000003</v>
      </c>
      <c r="AU34">
        <v>0</v>
      </c>
    </row>
    <row r="35" spans="1:47">
      <c r="A35" s="23">
        <v>44431</v>
      </c>
      <c r="B35">
        <v>0.73453800000000002</v>
      </c>
      <c r="C35">
        <v>0.74349399999999999</v>
      </c>
      <c r="D35">
        <v>0.73417100000000002</v>
      </c>
      <c r="E35">
        <v>0.74349399999999999</v>
      </c>
      <c r="F35">
        <v>0.74349399999999999</v>
      </c>
      <c r="G35">
        <v>0</v>
      </c>
      <c r="I35" s="23">
        <v>44431</v>
      </c>
      <c r="J35">
        <v>0.62754200000000004</v>
      </c>
      <c r="K35">
        <v>0.63048000000000004</v>
      </c>
      <c r="L35">
        <v>0.62676299999999996</v>
      </c>
      <c r="M35">
        <v>0.62834000000000001</v>
      </c>
      <c r="N35">
        <v>0.62834000000000001</v>
      </c>
      <c r="O35">
        <v>0</v>
      </c>
      <c r="Q35" s="23">
        <v>44431</v>
      </c>
      <c r="R35">
        <v>80.663002000000006</v>
      </c>
      <c r="S35">
        <v>81.711997999999994</v>
      </c>
      <c r="T35">
        <v>80.637000999999998</v>
      </c>
      <c r="U35">
        <v>81.279999000000004</v>
      </c>
      <c r="V35">
        <v>81.279999000000004</v>
      </c>
      <c r="W35">
        <v>0</v>
      </c>
      <c r="Y35" s="23">
        <v>44431</v>
      </c>
      <c r="Z35">
        <v>0.53873000000000004</v>
      </c>
      <c r="AA35">
        <v>0.54069</v>
      </c>
      <c r="AB35">
        <v>0.53625</v>
      </c>
      <c r="AC35">
        <v>0.53969500000000004</v>
      </c>
      <c r="AD35">
        <v>0.53969500000000004</v>
      </c>
      <c r="AE35">
        <v>0</v>
      </c>
      <c r="AG35" s="23">
        <v>44431</v>
      </c>
      <c r="AH35">
        <v>1.0280199999999999</v>
      </c>
      <c r="AI35">
        <v>1.02813</v>
      </c>
      <c r="AJ35">
        <v>1.0154300000000001</v>
      </c>
      <c r="AK35">
        <v>1.0159149999999999</v>
      </c>
      <c r="AL35">
        <v>1.0159149999999999</v>
      </c>
      <c r="AM35">
        <v>0</v>
      </c>
      <c r="AO35" s="23">
        <v>44431</v>
      </c>
      <c r="AP35">
        <v>0.94133</v>
      </c>
      <c r="AQ35">
        <v>0.94169000000000003</v>
      </c>
      <c r="AR35">
        <v>0.92910999999999999</v>
      </c>
      <c r="AS35">
        <v>0.93717499999999998</v>
      </c>
      <c r="AT35">
        <v>0.93717499999999998</v>
      </c>
      <c r="AU35">
        <v>0</v>
      </c>
    </row>
    <row r="36" spans="1:47">
      <c r="A36" s="23">
        <v>44438</v>
      </c>
      <c r="B36">
        <v>0.74330099999999999</v>
      </c>
      <c r="C36">
        <v>0.74657499999999999</v>
      </c>
      <c r="D36">
        <v>0.74209899999999995</v>
      </c>
      <c r="E36">
        <v>0.74582300000000001</v>
      </c>
      <c r="F36">
        <v>0.74582300000000001</v>
      </c>
      <c r="G36">
        <v>0</v>
      </c>
      <c r="I36" s="23">
        <v>44438</v>
      </c>
      <c r="J36">
        <v>0.62944500000000003</v>
      </c>
      <c r="K36">
        <v>0.63069600000000003</v>
      </c>
      <c r="L36">
        <v>0.62620200000000004</v>
      </c>
      <c r="M36">
        <v>0.62717599999999996</v>
      </c>
      <c r="N36">
        <v>0.62717599999999996</v>
      </c>
      <c r="O36">
        <v>0</v>
      </c>
      <c r="Q36" s="23">
        <v>44438</v>
      </c>
      <c r="R36">
        <v>81.607596999999998</v>
      </c>
      <c r="S36">
        <v>82.030997999999997</v>
      </c>
      <c r="T36">
        <v>81.431601999999998</v>
      </c>
      <c r="U36">
        <v>81.873001000000002</v>
      </c>
      <c r="V36">
        <v>81.873001000000002</v>
      </c>
      <c r="W36">
        <v>0</v>
      </c>
      <c r="Y36" s="23">
        <v>44438</v>
      </c>
      <c r="Z36">
        <v>0.53993999999999998</v>
      </c>
      <c r="AA36">
        <v>0.54139000000000004</v>
      </c>
      <c r="AB36">
        <v>0.53727999999999998</v>
      </c>
      <c r="AC36">
        <v>0.53773800000000005</v>
      </c>
      <c r="AD36">
        <v>0.53773800000000005</v>
      </c>
      <c r="AE36">
        <v>0</v>
      </c>
      <c r="AG36" s="23">
        <v>44438</v>
      </c>
      <c r="AH36">
        <v>1.0157</v>
      </c>
      <c r="AI36">
        <v>1.020038</v>
      </c>
      <c r="AJ36">
        <v>0.99833000000000005</v>
      </c>
      <c r="AK36">
        <v>0.99992000000000003</v>
      </c>
      <c r="AL36">
        <v>0.99992000000000003</v>
      </c>
      <c r="AM36">
        <v>0</v>
      </c>
      <c r="AO36" s="23">
        <v>44438</v>
      </c>
      <c r="AP36">
        <v>0.93715999999999999</v>
      </c>
      <c r="AQ36">
        <v>0.94054000000000004</v>
      </c>
      <c r="AR36">
        <v>0.93217000000000005</v>
      </c>
      <c r="AS36">
        <v>0.93445</v>
      </c>
      <c r="AT36">
        <v>0.93445</v>
      </c>
      <c r="AU36">
        <v>0</v>
      </c>
    </row>
    <row r="37" spans="1:47">
      <c r="A37" s="23">
        <v>44445</v>
      </c>
      <c r="B37">
        <v>0.74576799999999999</v>
      </c>
      <c r="C37">
        <v>0.74755199999999999</v>
      </c>
      <c r="D37">
        <v>0.74233499999999997</v>
      </c>
      <c r="E37">
        <v>0.74596300000000004</v>
      </c>
      <c r="F37">
        <v>0.74596300000000004</v>
      </c>
      <c r="G37">
        <v>0</v>
      </c>
      <c r="I37" s="23">
        <v>44445</v>
      </c>
      <c r="J37">
        <v>0.62680199999999997</v>
      </c>
      <c r="K37">
        <v>0.63167600000000002</v>
      </c>
      <c r="L37">
        <v>0.62609599999999999</v>
      </c>
      <c r="M37">
        <v>0.62977799999999995</v>
      </c>
      <c r="N37">
        <v>0.62977799999999995</v>
      </c>
      <c r="O37">
        <v>0</v>
      </c>
      <c r="Q37" s="23">
        <v>44445</v>
      </c>
      <c r="R37">
        <v>81.835999000000001</v>
      </c>
      <c r="S37">
        <v>82.137000999999998</v>
      </c>
      <c r="T37">
        <v>81.647002999999998</v>
      </c>
      <c r="U37">
        <v>81.748001000000002</v>
      </c>
      <c r="V37">
        <v>81.748001000000002</v>
      </c>
      <c r="W37">
        <v>0</v>
      </c>
      <c r="Y37" s="23">
        <v>44445</v>
      </c>
      <c r="Z37">
        <v>0.53785400000000005</v>
      </c>
      <c r="AA37">
        <v>0.54066999999999998</v>
      </c>
      <c r="AB37">
        <v>0.53734599999999999</v>
      </c>
      <c r="AC37">
        <v>0.53870600000000002</v>
      </c>
      <c r="AD37">
        <v>0.53870600000000002</v>
      </c>
      <c r="AE37">
        <v>0</v>
      </c>
      <c r="AG37" s="23">
        <v>44445</v>
      </c>
      <c r="AH37">
        <v>1.0015099999999999</v>
      </c>
      <c r="AI37">
        <v>1.0132140000000001</v>
      </c>
      <c r="AJ37">
        <v>0.99885000000000002</v>
      </c>
      <c r="AK37">
        <v>1.0132140000000001</v>
      </c>
      <c r="AL37">
        <v>1.0132140000000001</v>
      </c>
      <c r="AM37">
        <v>0</v>
      </c>
      <c r="AO37" s="23">
        <v>44445</v>
      </c>
      <c r="AP37">
        <v>0.93410000000000004</v>
      </c>
      <c r="AQ37">
        <v>0.94718000000000002</v>
      </c>
      <c r="AR37">
        <v>0.93279000000000001</v>
      </c>
      <c r="AS37">
        <v>0.94571099999999997</v>
      </c>
      <c r="AT37">
        <v>0.94571099999999997</v>
      </c>
      <c r="AU37">
        <v>0</v>
      </c>
    </row>
    <row r="38" spans="1:47">
      <c r="A38" s="23">
        <v>44452</v>
      </c>
      <c r="B38">
        <v>0.74561200000000005</v>
      </c>
      <c r="C38">
        <v>0.74643599999999999</v>
      </c>
      <c r="D38">
        <v>0.74148800000000004</v>
      </c>
      <c r="E38">
        <v>0.74265499999999995</v>
      </c>
      <c r="F38">
        <v>0.74265499999999995</v>
      </c>
      <c r="G38">
        <v>0</v>
      </c>
      <c r="I38" s="23">
        <v>44452</v>
      </c>
      <c r="J38">
        <v>0.63079499999999999</v>
      </c>
      <c r="K38">
        <v>0.63289499999999999</v>
      </c>
      <c r="L38">
        <v>0.62968299999999999</v>
      </c>
      <c r="M38">
        <v>0.63171999999999995</v>
      </c>
      <c r="N38">
        <v>0.63171999999999995</v>
      </c>
      <c r="O38">
        <v>0</v>
      </c>
      <c r="Q38" s="23">
        <v>44452</v>
      </c>
      <c r="R38">
        <v>81.910895999999994</v>
      </c>
      <c r="S38">
        <v>82.023003000000003</v>
      </c>
      <c r="T38">
        <v>81.335999000000001</v>
      </c>
      <c r="U38">
        <v>81.530997999999997</v>
      </c>
      <c r="V38">
        <v>81.530997999999997</v>
      </c>
      <c r="W38">
        <v>0</v>
      </c>
      <c r="Y38" s="23">
        <v>44452</v>
      </c>
      <c r="Z38">
        <v>0.53856000000000004</v>
      </c>
      <c r="AA38">
        <v>0.53976000000000002</v>
      </c>
      <c r="AB38">
        <v>0.53625999999999996</v>
      </c>
      <c r="AC38">
        <v>0.53943300000000005</v>
      </c>
      <c r="AD38">
        <v>0.53943300000000005</v>
      </c>
      <c r="AE38">
        <v>0</v>
      </c>
      <c r="AG38" s="23">
        <v>44452</v>
      </c>
      <c r="AH38">
        <v>1.01206</v>
      </c>
      <c r="AI38">
        <v>1.02112</v>
      </c>
      <c r="AJ38">
        <v>1.01027</v>
      </c>
      <c r="AK38">
        <v>1.020178</v>
      </c>
      <c r="AL38">
        <v>1.020178</v>
      </c>
      <c r="AM38">
        <v>0</v>
      </c>
      <c r="AO38" s="23">
        <v>44452</v>
      </c>
      <c r="AP38">
        <v>0.94498000000000004</v>
      </c>
      <c r="AQ38">
        <v>0.94642000000000004</v>
      </c>
      <c r="AR38">
        <v>0.939083</v>
      </c>
      <c r="AS38">
        <v>0.94642000000000004</v>
      </c>
      <c r="AT38">
        <v>0.94642000000000004</v>
      </c>
      <c r="AU38">
        <v>0</v>
      </c>
    </row>
    <row r="39" spans="1:47">
      <c r="A39" s="23">
        <v>44459</v>
      </c>
      <c r="B39">
        <v>0.74134500000000003</v>
      </c>
      <c r="C39">
        <v>0.74272099999999996</v>
      </c>
      <c r="D39">
        <v>0.73784400000000006</v>
      </c>
      <c r="E39">
        <v>0.74151</v>
      </c>
      <c r="F39">
        <v>0.74151</v>
      </c>
      <c r="G39">
        <v>0</v>
      </c>
      <c r="I39" s="23">
        <v>44459</v>
      </c>
      <c r="J39">
        <v>0.63172799999999996</v>
      </c>
      <c r="K39">
        <v>0.633216</v>
      </c>
      <c r="L39">
        <v>0.62936199999999998</v>
      </c>
      <c r="M39">
        <v>0.63138099999999997</v>
      </c>
      <c r="N39">
        <v>0.63138099999999997</v>
      </c>
      <c r="O39">
        <v>0</v>
      </c>
      <c r="Q39" s="23">
        <v>44459</v>
      </c>
      <c r="R39">
        <v>81.486000000000004</v>
      </c>
      <c r="S39">
        <v>81.894997000000004</v>
      </c>
      <c r="T39">
        <v>80.638496000000004</v>
      </c>
      <c r="U39">
        <v>81.778998999999999</v>
      </c>
      <c r="V39">
        <v>81.778998999999999</v>
      </c>
      <c r="W39">
        <v>0</v>
      </c>
      <c r="Y39" s="23">
        <v>44459</v>
      </c>
      <c r="Z39">
        <v>0.53976000000000002</v>
      </c>
      <c r="AA39">
        <v>0.54313999999999996</v>
      </c>
      <c r="AB39">
        <v>0.53920000000000001</v>
      </c>
      <c r="AC39">
        <v>0.53997399999999995</v>
      </c>
      <c r="AD39">
        <v>0.53997399999999995</v>
      </c>
      <c r="AE39">
        <v>0</v>
      </c>
      <c r="AG39" s="23">
        <v>44459</v>
      </c>
      <c r="AH39">
        <v>1.01996</v>
      </c>
      <c r="AI39">
        <v>1.0234700000000001</v>
      </c>
      <c r="AJ39">
        <v>1.0138499999999999</v>
      </c>
      <c r="AK39">
        <v>1.0170950000000001</v>
      </c>
      <c r="AL39">
        <v>1.0170950000000001</v>
      </c>
      <c r="AM39">
        <v>0</v>
      </c>
      <c r="AO39" s="23">
        <v>44459</v>
      </c>
      <c r="AP39">
        <v>0.94582999999999995</v>
      </c>
      <c r="AQ39">
        <v>0.95274000000000003</v>
      </c>
      <c r="AR39">
        <v>0.93411699999999998</v>
      </c>
      <c r="AS39">
        <v>0.93411699999999998</v>
      </c>
      <c r="AT39">
        <v>0.93411699999999998</v>
      </c>
      <c r="AU39">
        <v>0</v>
      </c>
    </row>
    <row r="40" spans="1:47">
      <c r="A40" s="23">
        <v>44466</v>
      </c>
      <c r="B40">
        <v>0.73906000000000005</v>
      </c>
      <c r="C40">
        <v>0.74035700000000004</v>
      </c>
      <c r="D40">
        <v>0.73387000000000002</v>
      </c>
      <c r="E40">
        <v>0.73751199999999995</v>
      </c>
      <c r="F40">
        <v>0.73751199999999995</v>
      </c>
      <c r="G40">
        <v>0</v>
      </c>
      <c r="I40" s="23">
        <v>44466</v>
      </c>
      <c r="J40">
        <v>0.63022699999999998</v>
      </c>
      <c r="K40">
        <v>0.63650499999999999</v>
      </c>
      <c r="L40">
        <v>0.62968299999999999</v>
      </c>
      <c r="M40">
        <v>0.63603900000000002</v>
      </c>
      <c r="N40">
        <v>0.63603900000000002</v>
      </c>
      <c r="O40">
        <v>0</v>
      </c>
      <c r="Q40" s="23">
        <v>44466</v>
      </c>
      <c r="R40">
        <v>81.816299000000001</v>
      </c>
      <c r="S40">
        <v>82.386002000000005</v>
      </c>
      <c r="T40">
        <v>81.480002999999996</v>
      </c>
      <c r="U40">
        <v>82.055999999999997</v>
      </c>
      <c r="V40">
        <v>82.055999999999997</v>
      </c>
      <c r="W40">
        <v>0</v>
      </c>
      <c r="Y40" s="23">
        <v>44466</v>
      </c>
      <c r="Z40">
        <v>0.54053799999999996</v>
      </c>
      <c r="AA40">
        <v>0.54769999999999996</v>
      </c>
      <c r="AB40">
        <v>0.53837999999999997</v>
      </c>
      <c r="AC40">
        <v>0.54281199999999996</v>
      </c>
      <c r="AD40">
        <v>0.54281199999999996</v>
      </c>
      <c r="AE40">
        <v>0</v>
      </c>
      <c r="AG40" s="23">
        <v>44466</v>
      </c>
      <c r="AH40">
        <v>1.01691</v>
      </c>
      <c r="AI40">
        <v>1.0231399999999999</v>
      </c>
      <c r="AJ40">
        <v>1.0087980000000001</v>
      </c>
      <c r="AK40">
        <v>1.0087980000000001</v>
      </c>
      <c r="AL40">
        <v>1.0087980000000001</v>
      </c>
      <c r="AM40">
        <v>0</v>
      </c>
      <c r="AO40" s="23">
        <v>44466</v>
      </c>
      <c r="AP40">
        <v>0.93466000000000005</v>
      </c>
      <c r="AQ40">
        <v>0.93794</v>
      </c>
      <c r="AR40">
        <v>0.93057000000000001</v>
      </c>
      <c r="AS40">
        <v>0.93226500000000001</v>
      </c>
      <c r="AT40">
        <v>0.93226500000000001</v>
      </c>
      <c r="AU40">
        <v>0</v>
      </c>
    </row>
    <row r="41" spans="1:47">
      <c r="A41" s="23">
        <v>44473</v>
      </c>
      <c r="B41">
        <v>0.73751699999999998</v>
      </c>
      <c r="C41">
        <v>0.73909800000000003</v>
      </c>
      <c r="D41">
        <v>0.73389099999999996</v>
      </c>
      <c r="E41">
        <v>0.73800699999999997</v>
      </c>
      <c r="F41">
        <v>0.73800699999999997</v>
      </c>
      <c r="G41">
        <v>0</v>
      </c>
      <c r="I41" s="23">
        <v>44473</v>
      </c>
      <c r="J41">
        <v>0.63512199999999996</v>
      </c>
      <c r="K41">
        <v>0.63841899999999996</v>
      </c>
      <c r="L41">
        <v>0.63335200000000003</v>
      </c>
      <c r="M41">
        <v>0.63743000000000005</v>
      </c>
      <c r="N41">
        <v>0.63743000000000005</v>
      </c>
      <c r="O41">
        <v>0</v>
      </c>
      <c r="Q41" s="23">
        <v>44473</v>
      </c>
      <c r="R41">
        <v>81.776497000000006</v>
      </c>
      <c r="S41">
        <v>82.851996999999997</v>
      </c>
      <c r="T41">
        <v>81.606300000000005</v>
      </c>
      <c r="U41">
        <v>82.222999999999999</v>
      </c>
      <c r="V41">
        <v>82.222999999999999</v>
      </c>
      <c r="W41">
        <v>0</v>
      </c>
      <c r="Y41" s="23">
        <v>44473</v>
      </c>
      <c r="Z41">
        <v>0.54320999999999997</v>
      </c>
      <c r="AA41">
        <v>0.54434000000000005</v>
      </c>
      <c r="AB41">
        <v>0.54013999999999995</v>
      </c>
      <c r="AC41">
        <v>0.54139800000000005</v>
      </c>
      <c r="AD41">
        <v>0.54139800000000005</v>
      </c>
      <c r="AE41">
        <v>0</v>
      </c>
      <c r="AG41" s="23">
        <v>44473</v>
      </c>
      <c r="AH41">
        <v>1.0131859999999999</v>
      </c>
      <c r="AI41">
        <v>1.0162500000000001</v>
      </c>
      <c r="AJ41">
        <v>1.0053700000000001</v>
      </c>
      <c r="AK41">
        <v>1.0094700000000001</v>
      </c>
      <c r="AL41">
        <v>1.0094700000000001</v>
      </c>
      <c r="AM41">
        <v>0</v>
      </c>
      <c r="AO41" s="23">
        <v>44473</v>
      </c>
      <c r="AP41">
        <v>0.93081999999999998</v>
      </c>
      <c r="AQ41">
        <v>0.93189999999999995</v>
      </c>
      <c r="AR41">
        <v>0.91951000000000005</v>
      </c>
      <c r="AS41">
        <v>0.91954999999999998</v>
      </c>
      <c r="AT41">
        <v>0.91954999999999998</v>
      </c>
      <c r="AU41">
        <v>0</v>
      </c>
    </row>
    <row r="42" spans="1:47">
      <c r="A42" s="23">
        <v>44480</v>
      </c>
      <c r="B42">
        <v>0.73787700000000001</v>
      </c>
      <c r="C42">
        <v>0.74250099999999997</v>
      </c>
      <c r="D42">
        <v>0.73653400000000002</v>
      </c>
      <c r="E42">
        <v>0.74203200000000002</v>
      </c>
      <c r="F42">
        <v>0.74203200000000002</v>
      </c>
      <c r="G42">
        <v>0</v>
      </c>
      <c r="I42" s="23">
        <v>44480</v>
      </c>
      <c r="J42">
        <v>0.63788900000000004</v>
      </c>
      <c r="K42">
        <v>0.63986900000000002</v>
      </c>
      <c r="L42">
        <v>0.63702400000000003</v>
      </c>
      <c r="M42">
        <v>0.63961100000000004</v>
      </c>
      <c r="N42">
        <v>0.63961100000000004</v>
      </c>
      <c r="O42">
        <v>0</v>
      </c>
      <c r="Q42" s="23">
        <v>44480</v>
      </c>
      <c r="R42">
        <v>82.800499000000002</v>
      </c>
      <c r="S42">
        <v>84.871002000000004</v>
      </c>
      <c r="T42">
        <v>82.800499000000002</v>
      </c>
      <c r="U42">
        <v>84.364699999999999</v>
      </c>
      <c r="V42">
        <v>84.364699999999999</v>
      </c>
      <c r="W42">
        <v>0</v>
      </c>
      <c r="Y42" s="23">
        <v>44480</v>
      </c>
      <c r="Z42">
        <v>0.54174999999999995</v>
      </c>
      <c r="AA42">
        <v>0.54301999999999995</v>
      </c>
      <c r="AB42">
        <v>0.53881000000000001</v>
      </c>
      <c r="AC42">
        <v>0.53925800000000002</v>
      </c>
      <c r="AD42">
        <v>0.53925800000000002</v>
      </c>
      <c r="AE42">
        <v>0</v>
      </c>
      <c r="AG42" s="23">
        <v>44480</v>
      </c>
      <c r="AH42">
        <v>1.01142</v>
      </c>
      <c r="AI42">
        <v>1.01142</v>
      </c>
      <c r="AJ42">
        <v>0.99393900000000002</v>
      </c>
      <c r="AK42">
        <v>0.99393900000000002</v>
      </c>
      <c r="AL42">
        <v>0.99393900000000002</v>
      </c>
      <c r="AM42">
        <v>0</v>
      </c>
      <c r="AO42" s="23">
        <v>44480</v>
      </c>
      <c r="AP42">
        <v>0.92115999999999998</v>
      </c>
      <c r="AQ42">
        <v>0.92235</v>
      </c>
      <c r="AR42">
        <v>0.91507000000000005</v>
      </c>
      <c r="AS42">
        <v>0.91739099999999996</v>
      </c>
      <c r="AT42">
        <v>0.91739099999999996</v>
      </c>
      <c r="AU42">
        <v>0</v>
      </c>
    </row>
    <row r="43" spans="1:47">
      <c r="A43" s="23">
        <v>44487</v>
      </c>
      <c r="B43">
        <v>0.74159200000000003</v>
      </c>
      <c r="C43">
        <v>0.74548999999999999</v>
      </c>
      <c r="D43">
        <v>0.73941000000000001</v>
      </c>
      <c r="E43">
        <v>0.74211499999999997</v>
      </c>
      <c r="F43">
        <v>0.74211499999999997</v>
      </c>
      <c r="G43">
        <v>0</v>
      </c>
      <c r="I43" s="23">
        <v>44487</v>
      </c>
      <c r="J43">
        <v>0.6391</v>
      </c>
      <c r="K43">
        <v>0.64005299999999998</v>
      </c>
      <c r="L43">
        <v>0.63624199999999997</v>
      </c>
      <c r="M43">
        <v>0.63624199999999997</v>
      </c>
      <c r="N43">
        <v>0.63624199999999997</v>
      </c>
      <c r="O43">
        <v>0</v>
      </c>
      <c r="Q43" s="23">
        <v>44487</v>
      </c>
      <c r="R43">
        <v>84.760002</v>
      </c>
      <c r="S43">
        <v>85.274001999999996</v>
      </c>
      <c r="T43">
        <v>83.930999999999997</v>
      </c>
      <c r="U43">
        <v>84.527000000000001</v>
      </c>
      <c r="V43">
        <v>84.527000000000001</v>
      </c>
      <c r="W43">
        <v>0</v>
      </c>
      <c r="Y43" s="23">
        <v>44487</v>
      </c>
      <c r="Z43">
        <v>0.53886999999999996</v>
      </c>
      <c r="AA43">
        <v>0.54081999999999997</v>
      </c>
      <c r="AB43">
        <v>0.53747999999999996</v>
      </c>
      <c r="AC43">
        <v>0.53842500000000004</v>
      </c>
      <c r="AD43">
        <v>0.53842500000000004</v>
      </c>
      <c r="AE43">
        <v>0</v>
      </c>
      <c r="AG43" s="23">
        <v>44487</v>
      </c>
      <c r="AH43">
        <v>0.99868000000000001</v>
      </c>
      <c r="AI43">
        <v>1.00359</v>
      </c>
      <c r="AJ43">
        <v>0.98734</v>
      </c>
      <c r="AK43">
        <v>0.99277199999999999</v>
      </c>
      <c r="AL43">
        <v>0.99277199999999999</v>
      </c>
      <c r="AM43">
        <v>0</v>
      </c>
      <c r="AO43" s="23">
        <v>44487</v>
      </c>
      <c r="AP43">
        <v>0.91756000000000004</v>
      </c>
      <c r="AQ43">
        <v>0.91988000000000003</v>
      </c>
      <c r="AR43">
        <v>0.91417000000000004</v>
      </c>
      <c r="AS43">
        <v>0.91666899999999996</v>
      </c>
      <c r="AT43">
        <v>0.91666899999999996</v>
      </c>
      <c r="AU43">
        <v>0</v>
      </c>
    </row>
    <row r="44" spans="1:47">
      <c r="A44" s="23">
        <v>44494</v>
      </c>
      <c r="B44">
        <v>0.74189499999999997</v>
      </c>
      <c r="C44">
        <v>0.74465700000000001</v>
      </c>
      <c r="D44">
        <v>0.74063599999999996</v>
      </c>
      <c r="E44">
        <v>0.74188399999999999</v>
      </c>
      <c r="F44">
        <v>0.74188399999999999</v>
      </c>
      <c r="G44">
        <v>0</v>
      </c>
      <c r="I44" s="23">
        <v>44494</v>
      </c>
      <c r="J44">
        <v>0.63697000000000004</v>
      </c>
      <c r="K44">
        <v>0.64212100000000005</v>
      </c>
      <c r="L44">
        <v>0.63605100000000003</v>
      </c>
      <c r="M44">
        <v>0.636683</v>
      </c>
      <c r="N44">
        <v>0.636683</v>
      </c>
      <c r="O44">
        <v>0</v>
      </c>
      <c r="Q44" s="23">
        <v>44494</v>
      </c>
      <c r="R44">
        <v>84.265998999999994</v>
      </c>
      <c r="S44">
        <v>84.877998000000005</v>
      </c>
      <c r="T44">
        <v>84.116600000000005</v>
      </c>
      <c r="U44">
        <v>84.511002000000005</v>
      </c>
      <c r="V44">
        <v>84.511002000000005</v>
      </c>
      <c r="W44">
        <v>0</v>
      </c>
      <c r="Y44" s="23">
        <v>44494</v>
      </c>
      <c r="Z44">
        <v>0.53864000000000001</v>
      </c>
      <c r="AA44">
        <v>0.54161999999999999</v>
      </c>
      <c r="AB44">
        <v>0.53711500000000001</v>
      </c>
      <c r="AC44">
        <v>0.54125699999999999</v>
      </c>
      <c r="AD44">
        <v>0.54125699999999999</v>
      </c>
      <c r="AE44">
        <v>0</v>
      </c>
      <c r="AG44" s="23">
        <v>44494</v>
      </c>
      <c r="AH44">
        <v>0.99265999999999999</v>
      </c>
      <c r="AI44">
        <v>0.99421000000000004</v>
      </c>
      <c r="AJ44">
        <v>0.98480000000000001</v>
      </c>
      <c r="AK44">
        <v>0.98512299999999997</v>
      </c>
      <c r="AL44">
        <v>0.98512299999999997</v>
      </c>
      <c r="AM44">
        <v>0</v>
      </c>
      <c r="AO44" s="23">
        <v>44494</v>
      </c>
      <c r="AP44">
        <v>0.91722000000000004</v>
      </c>
      <c r="AQ44">
        <v>0.92174999999999996</v>
      </c>
      <c r="AR44">
        <v>0.91278999999999999</v>
      </c>
      <c r="AS44">
        <v>0.918628</v>
      </c>
      <c r="AT44">
        <v>0.918628</v>
      </c>
      <c r="AU44">
        <v>0</v>
      </c>
    </row>
    <row r="45" spans="1:47">
      <c r="A45" s="23">
        <v>44501</v>
      </c>
      <c r="B45">
        <v>0.74121800000000004</v>
      </c>
      <c r="C45">
        <v>0.74288699999999996</v>
      </c>
      <c r="D45">
        <v>0.73830200000000001</v>
      </c>
      <c r="E45">
        <v>0.74068599999999996</v>
      </c>
      <c r="F45">
        <v>0.74068599999999996</v>
      </c>
      <c r="G45">
        <v>0</v>
      </c>
      <c r="I45" s="23">
        <v>44501</v>
      </c>
      <c r="J45">
        <v>0.64110999999999996</v>
      </c>
      <c r="K45">
        <v>0.64198900000000003</v>
      </c>
      <c r="L45">
        <v>0.63836599999999999</v>
      </c>
      <c r="M45">
        <v>0.64091100000000001</v>
      </c>
      <c r="N45">
        <v>0.64091100000000001</v>
      </c>
      <c r="O45">
        <v>0</v>
      </c>
      <c r="Q45" s="23">
        <v>44501</v>
      </c>
      <c r="R45">
        <v>84.648003000000003</v>
      </c>
      <c r="S45">
        <v>84.728995999999995</v>
      </c>
      <c r="T45">
        <v>82.339995999999999</v>
      </c>
      <c r="U45">
        <v>84.304001</v>
      </c>
      <c r="V45">
        <v>84.304001</v>
      </c>
      <c r="W45">
        <v>0</v>
      </c>
      <c r="Y45" s="23">
        <v>44501</v>
      </c>
      <c r="Z45">
        <v>0.54149000000000003</v>
      </c>
      <c r="AA45">
        <v>0.55020999999999998</v>
      </c>
      <c r="AB45">
        <v>0.541184</v>
      </c>
      <c r="AC45">
        <v>0.54830599999999996</v>
      </c>
      <c r="AD45">
        <v>0.54830599999999996</v>
      </c>
      <c r="AE45">
        <v>0</v>
      </c>
      <c r="AG45" s="23">
        <v>44501</v>
      </c>
      <c r="AH45">
        <v>0.98540000000000005</v>
      </c>
      <c r="AI45">
        <v>1.00318</v>
      </c>
      <c r="AJ45">
        <v>0.98429999999999995</v>
      </c>
      <c r="AK45">
        <v>1.0006409999999999</v>
      </c>
      <c r="AL45">
        <v>1.0006409999999999</v>
      </c>
      <c r="AM45">
        <v>0</v>
      </c>
      <c r="AO45" s="23">
        <v>44501</v>
      </c>
      <c r="AP45">
        <v>0.91746000000000005</v>
      </c>
      <c r="AQ45">
        <v>0.92251000000000005</v>
      </c>
      <c r="AR45">
        <v>0.91574</v>
      </c>
      <c r="AS45">
        <v>0.92223900000000003</v>
      </c>
      <c r="AT45">
        <v>0.92223900000000003</v>
      </c>
      <c r="AU45">
        <v>0</v>
      </c>
    </row>
    <row r="46" spans="1:47">
      <c r="A46" s="23">
        <v>44508</v>
      </c>
      <c r="B46">
        <v>0.74073</v>
      </c>
      <c r="C46">
        <v>0.74355000000000004</v>
      </c>
      <c r="D46">
        <v>0.737066</v>
      </c>
      <c r="E46">
        <v>0.73974899999999999</v>
      </c>
      <c r="F46">
        <v>0.73974899999999999</v>
      </c>
      <c r="G46">
        <v>0</v>
      </c>
      <c r="I46" s="23">
        <v>44508</v>
      </c>
      <c r="J46">
        <v>0.64020900000000003</v>
      </c>
      <c r="K46">
        <v>0.64639199999999997</v>
      </c>
      <c r="L46">
        <v>0.63954999999999995</v>
      </c>
      <c r="M46">
        <v>0.64499099999999998</v>
      </c>
      <c r="N46">
        <v>0.64499099999999998</v>
      </c>
      <c r="O46">
        <v>0</v>
      </c>
      <c r="Q46" s="23">
        <v>44508</v>
      </c>
      <c r="R46">
        <v>84.032996999999995</v>
      </c>
      <c r="S46">
        <v>84.360000999999997</v>
      </c>
      <c r="T46">
        <v>83.663498000000004</v>
      </c>
      <c r="U46">
        <v>84.207001000000005</v>
      </c>
      <c r="V46">
        <v>84.207001000000005</v>
      </c>
      <c r="W46">
        <v>0</v>
      </c>
      <c r="Y46" s="23">
        <v>44508</v>
      </c>
      <c r="Z46">
        <v>0.54903000000000002</v>
      </c>
      <c r="AA46">
        <v>0.55252000000000001</v>
      </c>
      <c r="AB46">
        <v>0.54618999999999995</v>
      </c>
      <c r="AC46">
        <v>0.55091900000000005</v>
      </c>
      <c r="AD46">
        <v>0.55091900000000005</v>
      </c>
      <c r="AE46">
        <v>0</v>
      </c>
      <c r="AG46" s="23">
        <v>44508</v>
      </c>
      <c r="AH46">
        <v>1.0015099999999999</v>
      </c>
      <c r="AI46">
        <v>1.01366</v>
      </c>
      <c r="AJ46">
        <v>0.99897000000000002</v>
      </c>
      <c r="AK46">
        <v>1.0083819999999999</v>
      </c>
      <c r="AL46">
        <v>1.0083819999999999</v>
      </c>
      <c r="AM46">
        <v>0</v>
      </c>
      <c r="AO46" s="23">
        <v>44508</v>
      </c>
      <c r="AP46">
        <v>0.92212000000000005</v>
      </c>
      <c r="AQ46">
        <v>0.93091000000000002</v>
      </c>
      <c r="AR46">
        <v>0.91876999999999998</v>
      </c>
      <c r="AS46">
        <v>0.92800800000000006</v>
      </c>
      <c r="AT46">
        <v>0.92800800000000006</v>
      </c>
      <c r="AU46">
        <v>0</v>
      </c>
    </row>
    <row r="47" spans="1:47">
      <c r="A47" s="23">
        <v>44515</v>
      </c>
      <c r="B47">
        <v>0.73958500000000005</v>
      </c>
      <c r="C47">
        <v>0.74090500000000004</v>
      </c>
      <c r="D47">
        <v>0.734155</v>
      </c>
      <c r="E47">
        <v>0.73521300000000001</v>
      </c>
      <c r="F47">
        <v>0.73521300000000001</v>
      </c>
      <c r="G47">
        <v>0</v>
      </c>
      <c r="I47" s="23">
        <v>44515</v>
      </c>
      <c r="J47">
        <v>0.64627000000000001</v>
      </c>
      <c r="K47">
        <v>0.65243499999999999</v>
      </c>
      <c r="L47">
        <v>0.64507800000000004</v>
      </c>
      <c r="M47">
        <v>0.64844999999999997</v>
      </c>
      <c r="N47">
        <v>0.64844999999999997</v>
      </c>
      <c r="O47">
        <v>0</v>
      </c>
      <c r="Q47" s="23">
        <v>44515</v>
      </c>
      <c r="R47">
        <v>84.293998999999999</v>
      </c>
      <c r="S47">
        <v>84.695999</v>
      </c>
      <c r="T47">
        <v>83.458397000000005</v>
      </c>
      <c r="U47">
        <v>84.215598999999997</v>
      </c>
      <c r="V47">
        <v>84.215598999999997</v>
      </c>
      <c r="W47">
        <v>0</v>
      </c>
      <c r="Y47" s="23">
        <v>44515</v>
      </c>
      <c r="Z47">
        <v>0.55115999999999998</v>
      </c>
      <c r="AA47">
        <v>0.55181000000000002</v>
      </c>
      <c r="AB47">
        <v>0.544929</v>
      </c>
      <c r="AC47">
        <v>0.54577699999999996</v>
      </c>
      <c r="AD47">
        <v>0.54577699999999996</v>
      </c>
      <c r="AE47">
        <v>0</v>
      </c>
      <c r="AG47" s="23">
        <v>44515</v>
      </c>
      <c r="AH47">
        <v>1.0084599999999999</v>
      </c>
      <c r="AI47">
        <v>1.0164200000000001</v>
      </c>
      <c r="AJ47">
        <v>1.00359</v>
      </c>
      <c r="AK47">
        <v>1.009736</v>
      </c>
      <c r="AL47">
        <v>1.009736</v>
      </c>
      <c r="AM47">
        <v>0</v>
      </c>
      <c r="AO47" s="23">
        <v>44515</v>
      </c>
      <c r="AP47">
        <v>0.92774599999999996</v>
      </c>
      <c r="AQ47">
        <v>0.93093800000000004</v>
      </c>
      <c r="AR47">
        <v>0.9234</v>
      </c>
      <c r="AS47">
        <v>0.92862299999999998</v>
      </c>
      <c r="AT47">
        <v>0.92862299999999998</v>
      </c>
      <c r="AU47">
        <v>0</v>
      </c>
    </row>
    <row r="48" spans="1:47">
      <c r="A48" s="23">
        <v>44522</v>
      </c>
      <c r="B48">
        <v>0.73412299999999997</v>
      </c>
      <c r="C48">
        <v>0.73518600000000001</v>
      </c>
      <c r="D48">
        <v>0.72762700000000002</v>
      </c>
      <c r="E48">
        <v>0.72993200000000003</v>
      </c>
      <c r="F48">
        <v>0.72993200000000003</v>
      </c>
      <c r="G48">
        <v>0</v>
      </c>
      <c r="I48" s="23">
        <v>44522</v>
      </c>
      <c r="J48">
        <v>0.65097799999999995</v>
      </c>
      <c r="K48">
        <v>0.65305299999999999</v>
      </c>
      <c r="L48">
        <v>0.63941899999999996</v>
      </c>
      <c r="M48">
        <v>0.64624999999999999</v>
      </c>
      <c r="N48">
        <v>0.64624999999999999</v>
      </c>
      <c r="O48">
        <v>0</v>
      </c>
      <c r="Q48" s="23">
        <v>44522</v>
      </c>
      <c r="R48">
        <v>83.781998000000002</v>
      </c>
      <c r="S48">
        <v>84.403998999999999</v>
      </c>
      <c r="T48">
        <v>81.893996999999999</v>
      </c>
      <c r="U48">
        <v>82.997001999999995</v>
      </c>
      <c r="V48">
        <v>82.997001999999995</v>
      </c>
      <c r="W48">
        <v>0</v>
      </c>
      <c r="Y48" s="23">
        <v>44522</v>
      </c>
      <c r="Z48">
        <v>0.54639400000000005</v>
      </c>
      <c r="AA48">
        <v>0.54947000000000001</v>
      </c>
      <c r="AB48">
        <v>0.54584999999999995</v>
      </c>
      <c r="AC48">
        <v>0.54705000000000004</v>
      </c>
      <c r="AD48">
        <v>0.54705000000000004</v>
      </c>
      <c r="AE48">
        <v>0</v>
      </c>
      <c r="AG48" s="23">
        <v>44522</v>
      </c>
      <c r="AH48">
        <v>1.01501</v>
      </c>
      <c r="AI48">
        <v>1.02501</v>
      </c>
      <c r="AJ48">
        <v>1.01007</v>
      </c>
      <c r="AK48">
        <v>1.0217099999999999</v>
      </c>
      <c r="AL48">
        <v>1.0217099999999999</v>
      </c>
      <c r="AM48">
        <v>0</v>
      </c>
      <c r="AO48" s="23">
        <v>44522</v>
      </c>
      <c r="AP48">
        <v>0.92881999999999998</v>
      </c>
      <c r="AQ48">
        <v>0.93318999999999996</v>
      </c>
      <c r="AR48">
        <v>0.92396999999999996</v>
      </c>
      <c r="AS48">
        <v>0.92867999999999995</v>
      </c>
      <c r="AT48">
        <v>0.92867999999999995</v>
      </c>
      <c r="AU48">
        <v>0</v>
      </c>
    </row>
    <row r="49" spans="1:47">
      <c r="A49" s="23">
        <v>44529</v>
      </c>
      <c r="B49">
        <v>0.72995900000000002</v>
      </c>
      <c r="C49">
        <v>0.73464099999999999</v>
      </c>
      <c r="D49">
        <v>0.72844900000000001</v>
      </c>
      <c r="E49">
        <v>0.72971900000000001</v>
      </c>
      <c r="F49">
        <v>0.72971900000000001</v>
      </c>
      <c r="G49">
        <v>0</v>
      </c>
      <c r="I49" s="23">
        <v>44529</v>
      </c>
      <c r="J49">
        <v>0.64639599999999997</v>
      </c>
      <c r="K49">
        <v>0.64844999999999997</v>
      </c>
      <c r="L49">
        <v>0.64333499999999999</v>
      </c>
      <c r="M49">
        <v>0.64304099999999997</v>
      </c>
      <c r="N49">
        <v>0.64304099999999997</v>
      </c>
      <c r="O49">
        <v>0</v>
      </c>
      <c r="Q49" s="23">
        <v>44529</v>
      </c>
      <c r="R49">
        <v>82.987999000000002</v>
      </c>
      <c r="S49">
        <v>83.346999999999994</v>
      </c>
      <c r="T49">
        <v>81.730002999999996</v>
      </c>
      <c r="U49">
        <v>82.533996999999999</v>
      </c>
      <c r="V49">
        <v>82.533996999999999</v>
      </c>
      <c r="W49">
        <v>0</v>
      </c>
      <c r="Y49" s="23">
        <v>44529</v>
      </c>
      <c r="Z49">
        <v>0.54713999999999996</v>
      </c>
      <c r="AA49">
        <v>0.55193999999999999</v>
      </c>
      <c r="AB49">
        <v>0.546956</v>
      </c>
      <c r="AC49">
        <v>0.55010000000000003</v>
      </c>
      <c r="AD49">
        <v>0.55010000000000003</v>
      </c>
      <c r="AE49">
        <v>0</v>
      </c>
      <c r="AG49" s="23">
        <v>44529</v>
      </c>
      <c r="AH49">
        <v>1.02193</v>
      </c>
      <c r="AI49">
        <v>1.0413969999999999</v>
      </c>
      <c r="AJ49">
        <v>1.0209900000000001</v>
      </c>
      <c r="AK49">
        <v>1.0413969999999999</v>
      </c>
      <c r="AL49">
        <v>1.0413969999999999</v>
      </c>
      <c r="AM49">
        <v>0</v>
      </c>
      <c r="AO49" s="23">
        <v>44529</v>
      </c>
      <c r="AP49">
        <v>0.92850999999999995</v>
      </c>
      <c r="AQ49">
        <v>0.93952999999999998</v>
      </c>
      <c r="AR49">
        <v>0.92850999999999995</v>
      </c>
      <c r="AS49">
        <v>0.936052</v>
      </c>
      <c r="AT49">
        <v>0.936052</v>
      </c>
      <c r="AU49">
        <v>0</v>
      </c>
    </row>
    <row r="50" spans="1:47">
      <c r="A50" s="23">
        <v>44536</v>
      </c>
      <c r="B50">
        <v>0.72948500000000005</v>
      </c>
      <c r="C50">
        <v>0.73475400000000002</v>
      </c>
      <c r="D50">
        <v>0.72913399999999995</v>
      </c>
      <c r="E50">
        <v>0.73346599999999995</v>
      </c>
      <c r="F50">
        <v>0.73346599999999995</v>
      </c>
      <c r="G50">
        <v>0</v>
      </c>
      <c r="I50" s="23">
        <v>44536</v>
      </c>
      <c r="J50">
        <v>0.64532</v>
      </c>
      <c r="K50">
        <v>0.65093100000000004</v>
      </c>
      <c r="L50">
        <v>0.64507800000000004</v>
      </c>
      <c r="M50">
        <v>0.64775199999999999</v>
      </c>
      <c r="N50">
        <v>0.64775199999999999</v>
      </c>
      <c r="O50">
        <v>0</v>
      </c>
      <c r="Q50" s="23">
        <v>44536</v>
      </c>
      <c r="R50">
        <v>82.429001</v>
      </c>
      <c r="S50">
        <v>83.613997999999995</v>
      </c>
      <c r="T50">
        <v>82.290001000000004</v>
      </c>
      <c r="U50">
        <v>83.115996999999993</v>
      </c>
      <c r="V50">
        <v>83.115996999999993</v>
      </c>
      <c r="W50">
        <v>0</v>
      </c>
      <c r="Y50" s="23">
        <v>44536</v>
      </c>
      <c r="Z50">
        <v>0.55118</v>
      </c>
      <c r="AA50">
        <v>0.55639000000000005</v>
      </c>
      <c r="AB50">
        <v>0.54979</v>
      </c>
      <c r="AC50">
        <v>0.55220199999999997</v>
      </c>
      <c r="AD50">
        <v>0.55220199999999997</v>
      </c>
      <c r="AE50">
        <v>0</v>
      </c>
      <c r="AG50" s="23">
        <v>44536</v>
      </c>
      <c r="AH50">
        <v>1.0395000000000001</v>
      </c>
      <c r="AI50">
        <v>1.04098</v>
      </c>
      <c r="AJ50">
        <v>1.02108</v>
      </c>
      <c r="AK50">
        <v>1.0220670000000001</v>
      </c>
      <c r="AL50">
        <v>1.0220670000000001</v>
      </c>
      <c r="AM50">
        <v>0</v>
      </c>
      <c r="AO50" s="23">
        <v>44536</v>
      </c>
      <c r="AP50">
        <v>0.93503999999999998</v>
      </c>
      <c r="AQ50">
        <v>0.93696999999999997</v>
      </c>
      <c r="AR50">
        <v>0.92432999999999998</v>
      </c>
      <c r="AS50">
        <v>0.93282799999999999</v>
      </c>
      <c r="AT50">
        <v>0.93282799999999999</v>
      </c>
      <c r="AU50">
        <v>0</v>
      </c>
    </row>
    <row r="51" spans="1:47">
      <c r="A51" s="23">
        <v>44543</v>
      </c>
      <c r="B51">
        <v>0.73322900000000002</v>
      </c>
      <c r="C51">
        <v>0.73405299999999996</v>
      </c>
      <c r="D51">
        <v>0.72986300000000004</v>
      </c>
      <c r="E51">
        <v>0.73176399999999997</v>
      </c>
      <c r="F51">
        <v>0.73176399999999997</v>
      </c>
      <c r="G51">
        <v>0</v>
      </c>
      <c r="I51" s="23">
        <v>44543</v>
      </c>
      <c r="J51">
        <v>0.64804600000000001</v>
      </c>
      <c r="K51">
        <v>0.65032199999999996</v>
      </c>
      <c r="L51">
        <v>0.64041000000000003</v>
      </c>
      <c r="M51">
        <v>0.65032199999999996</v>
      </c>
      <c r="N51">
        <v>0.65032199999999996</v>
      </c>
      <c r="O51">
        <v>0</v>
      </c>
      <c r="Q51" s="23">
        <v>44543</v>
      </c>
      <c r="R51">
        <v>83.204002000000003</v>
      </c>
      <c r="S51">
        <v>83.737999000000002</v>
      </c>
      <c r="T51">
        <v>82.771004000000005</v>
      </c>
      <c r="U51">
        <v>83.360000999999997</v>
      </c>
      <c r="V51">
        <v>83.360000999999997</v>
      </c>
      <c r="W51">
        <v>0</v>
      </c>
      <c r="Y51" s="23">
        <v>44543</v>
      </c>
      <c r="Z51">
        <v>0.55288000000000004</v>
      </c>
      <c r="AA51">
        <v>0.55379</v>
      </c>
      <c r="AB51">
        <v>0.5484</v>
      </c>
      <c r="AC51">
        <v>0.55173899999999998</v>
      </c>
      <c r="AD51">
        <v>0.55173899999999998</v>
      </c>
      <c r="AE51">
        <v>0</v>
      </c>
      <c r="AG51" s="23">
        <v>44543</v>
      </c>
      <c r="AH51">
        <v>1.0228999999999999</v>
      </c>
      <c r="AI51">
        <v>1.03017</v>
      </c>
      <c r="AJ51">
        <v>1.01552</v>
      </c>
      <c r="AK51">
        <v>1.0261880000000001</v>
      </c>
      <c r="AL51">
        <v>1.0261880000000001</v>
      </c>
      <c r="AM51">
        <v>0</v>
      </c>
      <c r="AO51" s="23">
        <v>44543</v>
      </c>
      <c r="AP51">
        <v>0.93240000000000001</v>
      </c>
      <c r="AQ51">
        <v>0.94347000000000003</v>
      </c>
      <c r="AR51">
        <v>0.93071499999999996</v>
      </c>
      <c r="AS51">
        <v>0.94290600000000002</v>
      </c>
      <c r="AT51">
        <v>0.94290600000000002</v>
      </c>
      <c r="AU51">
        <v>0</v>
      </c>
    </row>
    <row r="52" spans="1:47">
      <c r="A52" s="23">
        <v>44550</v>
      </c>
      <c r="B52">
        <v>0.73148100000000005</v>
      </c>
      <c r="C52">
        <v>0.73817100000000002</v>
      </c>
      <c r="D52">
        <v>0.73055599999999998</v>
      </c>
      <c r="E52">
        <v>0.73605200000000004</v>
      </c>
      <c r="F52">
        <v>0.73605200000000004</v>
      </c>
      <c r="G52">
        <v>0</v>
      </c>
      <c r="I52" s="23">
        <v>44550</v>
      </c>
      <c r="J52">
        <v>0.65054599999999996</v>
      </c>
      <c r="K52">
        <v>0.65177600000000002</v>
      </c>
      <c r="L52">
        <v>0.64580700000000002</v>
      </c>
      <c r="M52">
        <v>0.64970899999999998</v>
      </c>
      <c r="N52">
        <v>0.64970899999999998</v>
      </c>
      <c r="O52">
        <v>0</v>
      </c>
      <c r="Q52" s="23">
        <v>44550</v>
      </c>
      <c r="R52">
        <v>83.031998000000002</v>
      </c>
      <c r="S52">
        <v>84.375</v>
      </c>
      <c r="T52">
        <v>82.792998999999995</v>
      </c>
      <c r="U52">
        <v>84.221198999999999</v>
      </c>
      <c r="V52">
        <v>84.221198999999999</v>
      </c>
      <c r="W52">
        <v>0</v>
      </c>
      <c r="Y52" s="23">
        <v>44550</v>
      </c>
      <c r="Z52">
        <v>0.55281000000000002</v>
      </c>
      <c r="AA52">
        <v>0.55461000000000005</v>
      </c>
      <c r="AB52">
        <v>0.54737000000000002</v>
      </c>
      <c r="AC52">
        <v>0.54893800000000004</v>
      </c>
      <c r="AD52">
        <v>0.54893800000000004</v>
      </c>
      <c r="AE52">
        <v>0</v>
      </c>
      <c r="AG52" s="23">
        <v>44550</v>
      </c>
      <c r="AH52">
        <v>1.02721</v>
      </c>
      <c r="AI52">
        <v>1.0316700000000001</v>
      </c>
      <c r="AJ52">
        <v>1.01525</v>
      </c>
      <c r="AK52">
        <v>1.0181290000000001</v>
      </c>
      <c r="AL52">
        <v>1.0181290000000001</v>
      </c>
      <c r="AM52">
        <v>0</v>
      </c>
      <c r="AO52" s="23">
        <v>44550</v>
      </c>
      <c r="AP52">
        <v>0.94323000000000001</v>
      </c>
      <c r="AQ52">
        <v>0.94872999999999996</v>
      </c>
      <c r="AR52">
        <v>0.94144000000000005</v>
      </c>
      <c r="AS52">
        <v>0.94269000000000003</v>
      </c>
      <c r="AT52">
        <v>0.94269000000000003</v>
      </c>
      <c r="AU52">
        <v>0</v>
      </c>
    </row>
    <row r="53" spans="1:47">
      <c r="A53" s="23">
        <v>44557</v>
      </c>
      <c r="B53">
        <v>0.73655099999999996</v>
      </c>
      <c r="C53">
        <v>0.74222500000000002</v>
      </c>
      <c r="D53">
        <v>0.73631199999999997</v>
      </c>
      <c r="E53">
        <v>0.74173</v>
      </c>
      <c r="F53">
        <v>0.74173</v>
      </c>
      <c r="G53">
        <v>0</v>
      </c>
      <c r="I53" s="23">
        <v>44557</v>
      </c>
      <c r="J53">
        <v>0.65019499999999997</v>
      </c>
      <c r="K53">
        <v>0.65516600000000003</v>
      </c>
      <c r="L53">
        <v>0.65002599999999999</v>
      </c>
      <c r="M53">
        <v>0.65312000000000003</v>
      </c>
      <c r="N53">
        <v>0.65312000000000003</v>
      </c>
      <c r="O53">
        <v>0</v>
      </c>
      <c r="Q53" s="23">
        <v>44557</v>
      </c>
      <c r="R53">
        <v>84.183998000000003</v>
      </c>
      <c r="S53">
        <v>85.438004000000006</v>
      </c>
      <c r="T53">
        <v>84.161002999999994</v>
      </c>
      <c r="U53">
        <v>85.093001999999998</v>
      </c>
      <c r="V53">
        <v>85.093001999999998</v>
      </c>
      <c r="W53">
        <v>0</v>
      </c>
      <c r="Y53" s="23">
        <v>44557</v>
      </c>
      <c r="Z53">
        <v>0.549257</v>
      </c>
      <c r="AA53">
        <v>0.55064000000000002</v>
      </c>
      <c r="AB53">
        <v>0.54705000000000004</v>
      </c>
      <c r="AC53">
        <v>0.54809200000000002</v>
      </c>
      <c r="AD53">
        <v>0.54809200000000002</v>
      </c>
      <c r="AE53">
        <v>0</v>
      </c>
      <c r="AG53" s="23">
        <v>44557</v>
      </c>
      <c r="AH53">
        <v>1.01833</v>
      </c>
      <c r="AI53">
        <v>1.02369</v>
      </c>
      <c r="AJ53">
        <v>1.016559</v>
      </c>
      <c r="AK53">
        <v>1.019784</v>
      </c>
      <c r="AL53">
        <v>1.019784</v>
      </c>
      <c r="AM53">
        <v>0</v>
      </c>
      <c r="AO53" s="23">
        <v>44557</v>
      </c>
      <c r="AP53">
        <v>0.94354000000000005</v>
      </c>
      <c r="AQ53">
        <v>0.94777999999999996</v>
      </c>
      <c r="AR53">
        <v>0.93595399999999995</v>
      </c>
      <c r="AS53">
        <v>0.93595399999999995</v>
      </c>
      <c r="AT53">
        <v>0.93595399999999995</v>
      </c>
      <c r="AU53">
        <v>0</v>
      </c>
    </row>
    <row r="54" spans="1:47">
      <c r="A54" s="23">
        <v>44564</v>
      </c>
      <c r="B54">
        <v>0.74171299999999996</v>
      </c>
      <c r="C54">
        <v>0.74211499999999997</v>
      </c>
      <c r="D54">
        <v>0.73454900000000001</v>
      </c>
      <c r="E54">
        <v>0.73830200000000001</v>
      </c>
      <c r="F54">
        <v>0.73830200000000001</v>
      </c>
      <c r="G54">
        <v>0</v>
      </c>
      <c r="I54" s="23">
        <v>44564</v>
      </c>
      <c r="J54">
        <v>0.65203100000000003</v>
      </c>
      <c r="K54">
        <v>0.65463000000000005</v>
      </c>
      <c r="L54">
        <v>0.64871900000000005</v>
      </c>
      <c r="M54">
        <v>0.64892899999999998</v>
      </c>
      <c r="N54">
        <v>0.64892899999999998</v>
      </c>
      <c r="O54">
        <v>0</v>
      </c>
      <c r="Q54" s="23">
        <v>44564</v>
      </c>
      <c r="R54">
        <v>85.385002</v>
      </c>
      <c r="S54">
        <v>85.764999000000003</v>
      </c>
      <c r="T54">
        <v>84.973999000000006</v>
      </c>
      <c r="U54">
        <v>85.128997999999996</v>
      </c>
      <c r="V54">
        <v>85.128997999999996</v>
      </c>
      <c r="W54">
        <v>0</v>
      </c>
      <c r="Y54" s="23">
        <v>44564</v>
      </c>
      <c r="Z54">
        <v>0.54842999999999997</v>
      </c>
      <c r="AA54">
        <v>0.54981000000000002</v>
      </c>
      <c r="AB54">
        <v>0.54189100000000001</v>
      </c>
      <c r="AC54">
        <v>0.54189100000000001</v>
      </c>
      <c r="AD54">
        <v>0.54189100000000001</v>
      </c>
      <c r="AE54">
        <v>0</v>
      </c>
      <c r="AG54" s="23">
        <v>44564</v>
      </c>
      <c r="AH54">
        <v>1.0203</v>
      </c>
      <c r="AI54">
        <v>1.03098</v>
      </c>
      <c r="AJ54">
        <v>1.01579</v>
      </c>
      <c r="AK54">
        <v>1.0269109999999999</v>
      </c>
      <c r="AL54">
        <v>1.0269109999999999</v>
      </c>
      <c r="AM54">
        <v>0</v>
      </c>
      <c r="AO54" s="23">
        <v>44564</v>
      </c>
      <c r="AP54">
        <v>0.93864999999999998</v>
      </c>
      <c r="AQ54">
        <v>0.94413000000000002</v>
      </c>
      <c r="AR54">
        <v>0.93218999999999996</v>
      </c>
      <c r="AS54">
        <v>0.93257599999999996</v>
      </c>
      <c r="AT54">
        <v>0.93257599999999996</v>
      </c>
      <c r="AU54">
        <v>0</v>
      </c>
    </row>
    <row r="55" spans="1:47">
      <c r="A55" s="23">
        <v>44571</v>
      </c>
      <c r="B55">
        <v>0.73731599999999997</v>
      </c>
      <c r="C55">
        <v>0.74277700000000002</v>
      </c>
      <c r="D55">
        <v>0.73645799999999995</v>
      </c>
      <c r="E55">
        <v>0.74038999999999999</v>
      </c>
      <c r="F55">
        <v>0.74038999999999999</v>
      </c>
      <c r="G55">
        <v>0</v>
      </c>
      <c r="I55" s="23">
        <v>44571</v>
      </c>
      <c r="J55">
        <v>0.64934999999999998</v>
      </c>
      <c r="K55">
        <v>0.65254100000000004</v>
      </c>
      <c r="L55">
        <v>0.64909799999999995</v>
      </c>
      <c r="M55">
        <v>0.65131700000000003</v>
      </c>
      <c r="N55">
        <v>0.65131700000000003</v>
      </c>
      <c r="O55">
        <v>0</v>
      </c>
      <c r="Q55" s="23">
        <v>44571</v>
      </c>
      <c r="R55">
        <v>85.239998</v>
      </c>
      <c r="S55">
        <v>85.509003000000007</v>
      </c>
      <c r="T55">
        <v>84.787002999999999</v>
      </c>
      <c r="U55">
        <v>85.386002000000005</v>
      </c>
      <c r="V55">
        <v>85.386002000000005</v>
      </c>
      <c r="W55">
        <v>0</v>
      </c>
      <c r="Y55" s="23">
        <v>44571</v>
      </c>
      <c r="Z55">
        <v>0.54246000000000005</v>
      </c>
      <c r="AA55">
        <v>0.54442999999999997</v>
      </c>
      <c r="AB55">
        <v>0.54165300000000005</v>
      </c>
      <c r="AC55">
        <v>0.54300999999999999</v>
      </c>
      <c r="AD55">
        <v>0.54300999999999999</v>
      </c>
      <c r="AE55">
        <v>0</v>
      </c>
      <c r="AG55" s="23">
        <v>44571</v>
      </c>
      <c r="AH55">
        <v>1.0269699999999999</v>
      </c>
      <c r="AI55">
        <v>1.03176</v>
      </c>
      <c r="AJ55">
        <v>1.01972</v>
      </c>
      <c r="AK55">
        <v>1.0267599999999999</v>
      </c>
      <c r="AL55">
        <v>1.0267599999999999</v>
      </c>
      <c r="AM55">
        <v>0</v>
      </c>
      <c r="AO55" s="23">
        <v>44571</v>
      </c>
      <c r="AP55">
        <v>0.93227000000000004</v>
      </c>
      <c r="AQ55">
        <v>0.93518000000000001</v>
      </c>
      <c r="AR55">
        <v>0.92734499999999997</v>
      </c>
      <c r="AS55">
        <v>0.93110000000000004</v>
      </c>
      <c r="AT55">
        <v>0.93110000000000004</v>
      </c>
      <c r="AU55">
        <v>0</v>
      </c>
    </row>
    <row r="56" spans="1:47">
      <c r="A56" s="23">
        <v>44574</v>
      </c>
      <c r="B56">
        <v>0.74310799999999999</v>
      </c>
      <c r="C56">
        <v>0.74377099999999996</v>
      </c>
      <c r="D56">
        <v>0.742479</v>
      </c>
      <c r="E56">
        <v>0.74370499999999995</v>
      </c>
      <c r="F56">
        <v>0.74370499999999995</v>
      </c>
      <c r="G56">
        <v>0</v>
      </c>
      <c r="I56" s="23">
        <v>44574</v>
      </c>
      <c r="J56">
        <v>0.64875000000000005</v>
      </c>
      <c r="K56">
        <v>0.64922000000000002</v>
      </c>
      <c r="L56">
        <v>0.64776999999999996</v>
      </c>
      <c r="M56">
        <v>0.64814000000000005</v>
      </c>
      <c r="N56">
        <v>0.64814000000000005</v>
      </c>
      <c r="O56">
        <v>0</v>
      </c>
      <c r="Q56" s="23">
        <v>44574</v>
      </c>
      <c r="R56">
        <v>85.067001000000005</v>
      </c>
      <c r="S56">
        <v>85.202003000000005</v>
      </c>
      <c r="T56">
        <v>85.001998999999998</v>
      </c>
      <c r="U56">
        <v>85.091003000000001</v>
      </c>
      <c r="V56">
        <v>85.091003000000001</v>
      </c>
      <c r="W56">
        <v>0</v>
      </c>
      <c r="Y56" s="23">
        <v>44574</v>
      </c>
      <c r="Z56">
        <v>0.54149000000000003</v>
      </c>
      <c r="AA56">
        <v>0.54185000000000005</v>
      </c>
      <c r="AB56">
        <v>0.54086000000000001</v>
      </c>
      <c r="AC56">
        <v>0.54086999999999996</v>
      </c>
      <c r="AD56">
        <v>0.54086999999999996</v>
      </c>
      <c r="AE56">
        <v>0</v>
      </c>
      <c r="AG56" s="23">
        <v>44574</v>
      </c>
      <c r="AH56">
        <v>1.0192600000000001</v>
      </c>
      <c r="AI56">
        <v>1.0206200000000001</v>
      </c>
      <c r="AJ56">
        <v>1.0166200000000001</v>
      </c>
      <c r="AK56">
        <v>1.01715</v>
      </c>
      <c r="AL56">
        <v>1.01715</v>
      </c>
      <c r="AM56">
        <v>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E444-2BFC-4957-A887-B503FF303DD4}">
  <sheetPr codeName="Sheet35">
    <tabColor rgb="FF5C5CE6"/>
  </sheetPr>
  <dimension ref="A1:AC208"/>
  <sheetViews>
    <sheetView zoomScale="85" zoomScaleNormal="85" workbookViewId="0">
      <selection activeCell="G13" sqref="G13"/>
    </sheetView>
  </sheetViews>
  <sheetFormatPr defaultRowHeight="14.5"/>
  <cols>
    <col min="1" max="1" width="10.7265625" customWidth="1"/>
    <col min="2" max="2" width="16.7265625" bestFit="1" customWidth="1"/>
    <col min="3" max="3" width="20.26953125" bestFit="1" customWidth="1"/>
    <col min="4" max="4" width="20.1796875" bestFit="1" customWidth="1"/>
    <col min="5" max="5" width="15" bestFit="1" customWidth="1"/>
    <col min="6" max="6" width="13.1796875" bestFit="1" customWidth="1"/>
    <col min="7" max="7" width="13.1796875" customWidth="1"/>
    <col min="8" max="8" width="11.81640625" customWidth="1"/>
    <col min="9" max="9" width="13.26953125" customWidth="1"/>
    <col min="10" max="10" width="11" customWidth="1"/>
    <col min="11" max="11" width="22.26953125" customWidth="1"/>
    <col min="12" max="12" width="11.1796875" customWidth="1"/>
    <col min="13" max="13" width="11.81640625" customWidth="1"/>
    <col min="14" max="14" width="14.1796875" bestFit="1" customWidth="1"/>
    <col min="15" max="15" width="15" bestFit="1" customWidth="1"/>
    <col min="16" max="16" width="11.1796875" bestFit="1" customWidth="1"/>
    <col min="17" max="17" width="12.1796875" customWidth="1"/>
    <col min="18" max="18" width="11" bestFit="1" customWidth="1"/>
    <col min="19" max="19" width="10.453125" bestFit="1" customWidth="1"/>
    <col min="20" max="22" width="11" bestFit="1" customWidth="1"/>
    <col min="23" max="23" width="10.81640625" bestFit="1" customWidth="1"/>
    <col min="24" max="24" width="11.453125" customWidth="1"/>
    <col min="26" max="26" width="15.1796875" customWidth="1"/>
    <col min="28" max="28" width="25.1796875" bestFit="1" customWidth="1"/>
    <col min="29" max="29" width="27.81640625" bestFit="1" customWidth="1"/>
    <col min="30" max="30" width="28.1796875" bestFit="1" customWidth="1"/>
  </cols>
  <sheetData>
    <row r="1" spans="1:27">
      <c r="A1" s="138"/>
      <c r="B1" s="759" t="s">
        <v>152</v>
      </c>
      <c r="C1" s="504"/>
      <c r="D1" s="504"/>
      <c r="E1" s="504"/>
      <c r="F1" s="504"/>
      <c r="G1" s="504"/>
      <c r="H1" s="504"/>
      <c r="I1" s="504"/>
      <c r="J1" s="504"/>
      <c r="K1" s="504"/>
      <c r="L1" s="504"/>
      <c r="M1" s="504"/>
      <c r="N1" s="504"/>
      <c r="O1" s="504"/>
      <c r="P1" s="504"/>
      <c r="Q1" s="504"/>
      <c r="R1" s="504"/>
      <c r="S1" s="504"/>
      <c r="T1" s="504"/>
      <c r="U1" s="504"/>
      <c r="V1" s="504"/>
      <c r="W1" s="504"/>
      <c r="X1" s="504"/>
      <c r="Y1" s="504"/>
      <c r="Z1" s="504"/>
      <c r="AA1" s="504"/>
    </row>
    <row r="2" spans="1:27">
      <c r="A2" s="139"/>
      <c r="B2" s="760"/>
      <c r="C2" s="504"/>
      <c r="D2" s="504"/>
      <c r="E2" s="504"/>
      <c r="F2" s="504"/>
      <c r="G2" s="504"/>
      <c r="H2" s="504"/>
      <c r="I2" s="504"/>
      <c r="J2" s="504"/>
      <c r="K2" s="504"/>
      <c r="L2" s="504"/>
      <c r="M2" s="504"/>
      <c r="N2" s="504"/>
      <c r="O2" s="504"/>
      <c r="P2" s="504"/>
      <c r="Q2" s="504"/>
      <c r="R2" s="504"/>
      <c r="S2" s="504"/>
      <c r="T2" s="504"/>
      <c r="U2" s="504"/>
      <c r="V2" s="504"/>
      <c r="W2" s="504"/>
      <c r="X2" s="504"/>
      <c r="Y2" s="504"/>
      <c r="Z2" s="504"/>
      <c r="AA2" s="504"/>
    </row>
    <row r="3" spans="1:27">
      <c r="A3" s="139"/>
      <c r="B3" s="760"/>
      <c r="C3" t="s">
        <v>1041</v>
      </c>
      <c r="D3" s="445" t="s">
        <v>704</v>
      </c>
      <c r="E3" t="str">
        <f>_xlfn.XLOOKUP(D3,Country,Abbreviation)</f>
        <v>SGD</v>
      </c>
    </row>
    <row r="4" spans="1:27">
      <c r="A4" s="139"/>
      <c r="B4" s="760"/>
    </row>
    <row r="5" spans="1:27">
      <c r="A5" s="139"/>
      <c r="B5" s="140"/>
      <c r="C5" t="s">
        <v>1042</v>
      </c>
      <c r="D5" s="465" t="s">
        <v>1043</v>
      </c>
      <c r="E5" s="465" t="s">
        <v>1044</v>
      </c>
      <c r="F5" s="466" t="s">
        <v>1045</v>
      </c>
      <c r="G5" t="s">
        <v>1046</v>
      </c>
    </row>
    <row r="6" spans="1:27">
      <c r="A6" s="139"/>
      <c r="B6" s="140"/>
      <c r="C6" s="176">
        <v>1</v>
      </c>
      <c r="D6" s="445" t="s">
        <v>1047</v>
      </c>
      <c r="E6" t="s">
        <v>916</v>
      </c>
      <c r="F6" t="str">
        <f>_xlfn.CONCAT($E$3,"/",E6)</f>
        <v>SGD/AMD</v>
      </c>
      <c r="G6" t="str">
        <f>_xlfn.XLOOKUP(D6,Country,Abbreviation)</f>
        <v>USD</v>
      </c>
    </row>
    <row r="7" spans="1:27" ht="18.5">
      <c r="A7" s="690" t="s">
        <v>38</v>
      </c>
      <c r="B7" s="738"/>
      <c r="C7" s="176">
        <v>2</v>
      </c>
      <c r="D7" s="445" t="s">
        <v>1048</v>
      </c>
      <c r="E7" t="s">
        <v>440</v>
      </c>
      <c r="F7" t="str">
        <f>_xlfn.CONCAT($E$3,"/",E7)</f>
        <v>SGD/AUD</v>
      </c>
      <c r="G7" t="str">
        <f>_xlfn.XLOOKUP(D7,Country,Abbreviation)</f>
        <v>CNY</v>
      </c>
    </row>
    <row r="8" spans="1:27">
      <c r="A8" s="139"/>
      <c r="B8" s="140"/>
      <c r="C8" s="176">
        <v>3</v>
      </c>
      <c r="D8" s="445" t="s">
        <v>1049</v>
      </c>
      <c r="E8" t="s">
        <v>709</v>
      </c>
      <c r="F8" t="str">
        <f>_xlfn.CONCAT($E$3,"/",E8)</f>
        <v>SGD/JPY</v>
      </c>
      <c r="G8" t="str">
        <f>_xlfn.XLOOKUP(D8,Country,Abbreviation)</f>
        <v>JPY</v>
      </c>
    </row>
    <row r="9" spans="1:27">
      <c r="A9" s="139"/>
      <c r="B9" s="140"/>
      <c r="C9" s="176">
        <v>4</v>
      </c>
      <c r="D9" s="445"/>
      <c r="E9" t="s">
        <v>697</v>
      </c>
      <c r="F9" t="str">
        <f>_xlfn.CONCAT($E$3,"/",E9)</f>
        <v>SGD/GBP</v>
      </c>
      <c r="G9" t="e">
        <f>_xlfn.XLOOKUP(D9,Country,Abbreviation)</f>
        <v>#N/A</v>
      </c>
    </row>
    <row r="10" spans="1:27">
      <c r="A10" s="139"/>
      <c r="B10" s="140"/>
      <c r="C10" s="176">
        <v>5</v>
      </c>
      <c r="D10" s="445"/>
      <c r="E10" t="s">
        <v>695</v>
      </c>
      <c r="F10" t="str">
        <f>_xlfn.CONCAT($E$3,"/",E10)</f>
        <v>SGD/EUR</v>
      </c>
      <c r="G10" t="e">
        <f>_xlfn.XLOOKUP(D10,Country,Abbreviation)</f>
        <v>#N/A</v>
      </c>
    </row>
    <row r="11" spans="1:27">
      <c r="A11" s="139"/>
      <c r="B11" s="140"/>
    </row>
    <row r="12" spans="1:27" ht="30.65" customHeight="1">
      <c r="A12" s="139"/>
      <c r="B12" s="140"/>
      <c r="C12" s="467" t="s">
        <v>1050</v>
      </c>
      <c r="D12" s="445">
        <v>90</v>
      </c>
      <c r="E12" t="s">
        <v>1051</v>
      </c>
    </row>
    <row r="13" spans="1:27" ht="29">
      <c r="A13" s="139"/>
      <c r="B13" s="140"/>
      <c r="C13" s="467" t="s">
        <v>1052</v>
      </c>
      <c r="D13" s="445">
        <v>7</v>
      </c>
      <c r="E13" s="23">
        <f ca="1">DATE(YEAR(TODAY()),MONTH(TODAY()),DAY(TODAY())-D12)</f>
        <v>44496</v>
      </c>
    </row>
    <row r="14" spans="1:27">
      <c r="A14" s="139"/>
      <c r="B14" s="140"/>
      <c r="C14" s="467" t="s">
        <v>1053</v>
      </c>
      <c r="D14">
        <f>ROUND(D12/D13,0)</f>
        <v>13</v>
      </c>
      <c r="F14" s="23"/>
    </row>
    <row r="15" spans="1:27" s="23" customFormat="1">
      <c r="A15" s="139"/>
      <c r="B15" s="140"/>
      <c r="C15" s="23" t="s">
        <v>1041</v>
      </c>
      <c r="D15" s="23" t="s">
        <v>1054</v>
      </c>
      <c r="E15" s="23" t="s">
        <v>1045</v>
      </c>
      <c r="F15" s="23" t="s">
        <v>1055</v>
      </c>
      <c r="G15" s="23" t="s">
        <v>1056</v>
      </c>
      <c r="H15" s="23" t="s">
        <v>571</v>
      </c>
      <c r="I15" s="23" t="s">
        <v>1038</v>
      </c>
      <c r="J15" s="23" t="s">
        <v>1057</v>
      </c>
      <c r="K15" s="23" t="s">
        <v>485</v>
      </c>
      <c r="L15" s="23" cm="1">
        <f t="array" aca="1" ref="L15:X15" ca="1">_xlfn.SEQUENCE(1,D14,E13,D13)</f>
        <v>44496</v>
      </c>
      <c r="M15" s="23">
        <f ca="1"/>
        <v>44503</v>
      </c>
      <c r="N15" s="23">
        <f ca="1"/>
        <v>44510</v>
      </c>
      <c r="O15" s="23">
        <f ca="1"/>
        <v>44517</v>
      </c>
      <c r="P15" s="23">
        <f ca="1"/>
        <v>44524</v>
      </c>
      <c r="Q15" s="23">
        <f ca="1"/>
        <v>44531</v>
      </c>
      <c r="R15" s="23">
        <f ca="1"/>
        <v>44538</v>
      </c>
      <c r="S15" s="23">
        <f ca="1"/>
        <v>44545</v>
      </c>
      <c r="T15" s="23">
        <f ca="1"/>
        <v>44552</v>
      </c>
      <c r="U15" s="23">
        <f ca="1"/>
        <v>44559</v>
      </c>
      <c r="V15" s="23">
        <f ca="1"/>
        <v>44566</v>
      </c>
      <c r="W15" s="23">
        <f ca="1"/>
        <v>44573</v>
      </c>
      <c r="X15" s="23">
        <f ca="1"/>
        <v>44580</v>
      </c>
    </row>
    <row r="16" spans="1:27">
      <c r="A16" s="139"/>
      <c r="B16" s="140"/>
      <c r="C16" t="s">
        <v>694</v>
      </c>
      <c r="D16" t="s">
        <v>692</v>
      </c>
      <c r="E16" t="e" vm="1436">
        <v>#VALUE!</v>
      </c>
      <c r="F16" s="441" cm="1">
        <f t="array" ref="F16">_FV(E16,"Low")</f>
        <v>0.74270000000000003</v>
      </c>
      <c r="G16" s="441" cm="1">
        <f t="array" ref="G16">_FV(E16,"High")</f>
        <v>0.74480000000000002</v>
      </c>
      <c r="H16" s="505" cm="1">
        <f t="array" ref="H16">_FV(E16,"Open")</f>
        <v>0.74280000000000002</v>
      </c>
      <c r="I16" s="505" cm="1">
        <f t="array" ref="I16">_FV(E16,"Previous close",TRUE)</f>
        <v>0.7429</v>
      </c>
      <c r="J16" s="506" cm="1">
        <f t="array" ref="J16">_FV(E16,"Change (%)",TRUE)</f>
        <v>8.0760000000000001E-4</v>
      </c>
      <c r="K16" s="507"/>
      <c r="L16" s="508" cm="1" vm="1437">
        <f t="array" aca="1" ref="L16:X21" ca="1">_xlfn.STOCKHISTORY(E16:E21,_xlfn.ANCHORARRAY(L15),,,0,1)</f>
        <v>0.74160000000000004</v>
      </c>
      <c r="M16" s="508" vm="1438">
        <f ca="1"/>
        <v>0.74180000000000001</v>
      </c>
      <c r="N16" s="507" vm="1439">
        <f ca="1"/>
        <v>0.7389</v>
      </c>
      <c r="O16" s="507" vm="1440">
        <f ca="1"/>
        <v>0.73750000000000004</v>
      </c>
      <c r="P16" s="507" vm="1441">
        <f ca="1"/>
        <v>0.73080000000000001</v>
      </c>
      <c r="Q16" s="507" vm="1442">
        <f ca="1"/>
        <v>0.73219999999999996</v>
      </c>
      <c r="R16" s="507" vm="1443">
        <f ca="1"/>
        <v>0.73470000000000002</v>
      </c>
      <c r="S16" vm="1444">
        <f ca="1"/>
        <v>0.73240000000000005</v>
      </c>
      <c r="T16" vm="1445">
        <f ca="1"/>
        <v>0.73409999999999997</v>
      </c>
      <c r="U16" vm="1446">
        <f ca="1"/>
        <v>0.73929999999999996</v>
      </c>
      <c r="V16" vm="1447">
        <f ca="1"/>
        <v>0.73640000000000005</v>
      </c>
      <c r="W16" vm="1448">
        <f ca="1"/>
        <v>0.74299999999999999</v>
      </c>
      <c r="X16" vm="1437">
        <f ca="1"/>
        <v>0.74160000000000004</v>
      </c>
    </row>
    <row r="17" spans="1:29">
      <c r="A17" s="139"/>
      <c r="B17" s="140"/>
      <c r="C17" t="s">
        <v>694</v>
      </c>
      <c r="D17" t="s">
        <v>440</v>
      </c>
      <c r="E17" t="e" vm="1449">
        <v>#VALUE!</v>
      </c>
      <c r="F17" s="441" cm="1">
        <f t="array" ref="F17">_FV(E17,"Low")</f>
        <v>1.0383</v>
      </c>
      <c r="G17" s="441" cm="1">
        <f t="array" ref="G17">_FV(E17,"High")</f>
        <v>1.0438000000000001</v>
      </c>
      <c r="H17" s="505" cm="1">
        <f t="array" ref="H17">_FV(E17,"Open")</f>
        <v>1.04</v>
      </c>
      <c r="I17" s="505" cm="1">
        <f t="array" ref="I17">_FV(E17,"Previous close",TRUE)</f>
        <v>1.0402</v>
      </c>
      <c r="J17" s="506" cm="1">
        <f t="array" ref="J17">_FV(E17,"Change (%)",TRUE)</f>
        <v>9.6140000000000006E-4</v>
      </c>
      <c r="K17" s="507"/>
      <c r="L17" s="508" vm="1450">
        <f ca="1"/>
        <v>0.98609999999999998</v>
      </c>
      <c r="M17" s="508" vm="1451">
        <f ca="1"/>
        <v>0.99609999999999999</v>
      </c>
      <c r="N17" s="507" vm="1452">
        <f ca="1"/>
        <v>1.0084</v>
      </c>
      <c r="O17" s="507" vm="1453">
        <f ca="1"/>
        <v>1.0146999999999999</v>
      </c>
      <c r="P17" s="507" vm="1454">
        <f ca="1"/>
        <v>1.0153000000000001</v>
      </c>
      <c r="Q17" s="507" vm="1455">
        <f ca="1"/>
        <v>1.0301</v>
      </c>
      <c r="R17" s="507" vm="1456">
        <f ca="1"/>
        <v>1.0243</v>
      </c>
      <c r="S17" vm="1457">
        <f ca="1"/>
        <v>1.0216000000000001</v>
      </c>
      <c r="T17" vm="1458">
        <f ca="1"/>
        <v>1.0174000000000001</v>
      </c>
      <c r="U17" vm="1459">
        <f ca="1"/>
        <v>1.0192000000000001</v>
      </c>
      <c r="V17" vm="1460">
        <f ca="1"/>
        <v>1.0198</v>
      </c>
      <c r="W17" vm="1460">
        <f ca="1"/>
        <v>1.0198</v>
      </c>
      <c r="X17" vm="1461">
        <f ca="1"/>
        <v>1.0282</v>
      </c>
    </row>
    <row r="18" spans="1:29">
      <c r="A18" s="139"/>
      <c r="B18" s="140"/>
      <c r="C18" t="s">
        <v>694</v>
      </c>
      <c r="D18" t="s">
        <v>709</v>
      </c>
      <c r="E18" t="e" vm="1462">
        <v>#VALUE!</v>
      </c>
      <c r="F18" s="505" cm="1">
        <f t="array" ref="F18">_FV(E18,"Low")</f>
        <v>84.609700000000004</v>
      </c>
      <c r="G18" s="505" cm="1">
        <f t="array" ref="G18">_FV(E18,"High")</f>
        <v>84.918400000000005</v>
      </c>
      <c r="H18" s="505" cm="1">
        <f t="array" ref="H18">_FV(E18,"Open")</f>
        <v>84.623400000000004</v>
      </c>
      <c r="I18" s="505" cm="1">
        <f t="array" ref="I18">_FV(E18,"Previous close",TRUE)</f>
        <v>84.6297</v>
      </c>
      <c r="J18" s="506" cm="1">
        <f t="array" ref="J18">_FV(E18,"Change (%)",TRUE)</f>
        <v>9.0509999999999994E-4</v>
      </c>
      <c r="K18" s="507"/>
      <c r="L18" s="508" vm="1463">
        <f ca="1"/>
        <v>84.397499999999994</v>
      </c>
      <c r="M18" s="508" vm="1464">
        <f ca="1"/>
        <v>84.548599999999993</v>
      </c>
      <c r="N18" s="507" vm="1465">
        <f ca="1"/>
        <v>84.164599999999993</v>
      </c>
      <c r="O18" s="507" vm="1466">
        <f ca="1"/>
        <v>84.122399999999999</v>
      </c>
      <c r="P18" s="507" vm="1467">
        <f ca="1"/>
        <v>84.352800000000002</v>
      </c>
      <c r="Q18" s="507" vm="1468">
        <f ca="1"/>
        <v>82.552400000000006</v>
      </c>
      <c r="R18" s="507" vm="1469">
        <f ca="1"/>
        <v>83.506</v>
      </c>
      <c r="S18" vm="1470">
        <f ca="1"/>
        <v>83.506699999999995</v>
      </c>
      <c r="T18" vm="1471">
        <f ca="1"/>
        <v>83.740700000000004</v>
      </c>
      <c r="U18" vm="1472">
        <f ca="1"/>
        <v>84.977099999999993</v>
      </c>
      <c r="V18" vm="1473">
        <f ca="1"/>
        <v>85.499700000000004</v>
      </c>
      <c r="W18" vm="1474">
        <f ca="1"/>
        <v>85.169799999999995</v>
      </c>
      <c r="X18" vm="1475">
        <f ca="1"/>
        <v>84.775700000000001</v>
      </c>
    </row>
    <row r="19" spans="1:29">
      <c r="A19" s="139"/>
      <c r="B19" s="140"/>
      <c r="C19" t="s">
        <v>694</v>
      </c>
      <c r="D19" t="s">
        <v>697</v>
      </c>
      <c r="E19" t="e" vm="1476">
        <v>#VALUE!</v>
      </c>
      <c r="F19" s="505" cm="1">
        <f t="array" ref="F19">_FV(E19,"Low")</f>
        <v>0.55059999999999998</v>
      </c>
      <c r="G19" s="505" cm="1">
        <f t="array" ref="G19">_FV(E19,"High")</f>
        <v>0.55330000000000001</v>
      </c>
      <c r="H19" s="505" cm="1">
        <f t="array" ref="H19">_FV(E19,"Open")</f>
        <v>0.55069999999999997</v>
      </c>
      <c r="I19" s="505" cm="1">
        <f t="array" ref="I19">_FV(E19,"Previous close",TRUE)</f>
        <v>0.55069999999999997</v>
      </c>
      <c r="J19" s="506" cm="1">
        <f t="array" ref="J19">_FV(E19,"Change (%)",TRUE)</f>
        <v>1.707E-3</v>
      </c>
      <c r="K19" s="507"/>
      <c r="L19" s="508" vm="1477">
        <f ca="1"/>
        <v>0.5393</v>
      </c>
      <c r="M19" s="508" vm="1478">
        <f ca="1"/>
        <v>0.54190000000000005</v>
      </c>
      <c r="N19" s="507" vm="1479">
        <f ca="1"/>
        <v>0.55120000000000002</v>
      </c>
      <c r="O19" s="507" vm="1480">
        <f ca="1"/>
        <v>0.54690000000000005</v>
      </c>
      <c r="P19" s="507" vm="1481">
        <f ca="1"/>
        <v>0.54820000000000002</v>
      </c>
      <c r="Q19" s="507" vm="1482">
        <f ca="1"/>
        <v>0.55130000000000001</v>
      </c>
      <c r="R19" s="507" vm="1483">
        <f ca="1"/>
        <v>0.55600000000000005</v>
      </c>
      <c r="S19" vm="1484">
        <f ca="1"/>
        <v>0.55210000000000004</v>
      </c>
      <c r="T19" vm="1485">
        <f ca="1"/>
        <v>0.54969999999999997</v>
      </c>
      <c r="U19" vm="1486">
        <f ca="1"/>
        <v>0.54800000000000004</v>
      </c>
      <c r="V19" vm="1487">
        <f ca="1"/>
        <v>0.54320000000000002</v>
      </c>
      <c r="W19" vm="1488">
        <f ca="1"/>
        <v>0.54210000000000003</v>
      </c>
      <c r="X19" vm="1489">
        <f ca="1"/>
        <v>0.54490000000000005</v>
      </c>
    </row>
    <row r="20" spans="1:29">
      <c r="A20" s="139"/>
      <c r="B20" s="140"/>
      <c r="C20" t="s">
        <v>694</v>
      </c>
      <c r="D20" t="s">
        <v>711</v>
      </c>
      <c r="E20" t="e" vm="1490">
        <v>#VALUE!</v>
      </c>
      <c r="F20" s="509" cm="1">
        <f t="array" ref="F20">_FV(E20,"Low")</f>
        <v>4.7022000000000004</v>
      </c>
      <c r="G20" s="505" cm="1">
        <f t="array" ref="G20">_FV(E20,"High")</f>
        <v>4.7149999999999999</v>
      </c>
      <c r="H20" s="505" cm="1">
        <f t="array" ref="H20">_FV(E20,"Open")</f>
        <v>4.7023999999999999</v>
      </c>
      <c r="I20" s="505" cm="1">
        <f t="array" ref="I20">_FV(E20,"Previous close",TRUE)</f>
        <v>4.7027999999999999</v>
      </c>
      <c r="J20" s="506" cm="1">
        <f t="array" ref="J20">_FV(E20,"Change (%)",TRUE)</f>
        <v>5.5289999999999994E-4</v>
      </c>
      <c r="K20" s="507"/>
      <c r="L20" s="508" vm="1491">
        <f ca="1"/>
        <v>4.7397</v>
      </c>
      <c r="M20" s="508" vm="1492">
        <f ca="1"/>
        <v>4.7519</v>
      </c>
      <c r="N20" s="507" vm="1493">
        <f ca="1"/>
        <v>4.7205000000000004</v>
      </c>
      <c r="O20" s="507" vm="1494">
        <f ca="1"/>
        <v>4.7031999999999998</v>
      </c>
      <c r="P20" s="507" vm="1495">
        <f ca="1"/>
        <v>4.6712999999999996</v>
      </c>
      <c r="Q20" s="507" vm="1496">
        <f ca="1"/>
        <v>4.6619999999999999</v>
      </c>
      <c r="R20" s="507" vm="1497">
        <f ca="1"/>
        <v>4.6605999999999996</v>
      </c>
      <c r="S20" vm="1498">
        <f ca="1"/>
        <v>4.6632999999999996</v>
      </c>
      <c r="T20" vm="1499">
        <f ca="1"/>
        <v>4.6755000000000004</v>
      </c>
      <c r="U20" vm="1500">
        <f ca="1"/>
        <v>4.7080000000000002</v>
      </c>
      <c r="V20" vm="1501">
        <f ca="1"/>
        <v>4.6866000000000003</v>
      </c>
      <c r="W20" vm="1502">
        <f ca="1"/>
        <v>4.7240000000000002</v>
      </c>
      <c r="X20" vm="1503">
        <f ca="1"/>
        <v>4.7050000000000001</v>
      </c>
    </row>
    <row r="21" spans="1:29">
      <c r="A21" s="139"/>
      <c r="B21" s="140"/>
      <c r="C21" t="s">
        <v>694</v>
      </c>
      <c r="D21" t="s">
        <v>695</v>
      </c>
      <c r="E21" t="e" vm="1504">
        <v>#VALUE!</v>
      </c>
      <c r="F21" s="505" cm="1">
        <f t="array" ref="F21">_FV(E21,"Low")</f>
        <v>0.65580000000000005</v>
      </c>
      <c r="G21" s="505" cm="1">
        <f t="array" ref="G21">_FV(E21,"High")</f>
        <v>0.66020000000000001</v>
      </c>
      <c r="H21" s="505" cm="1">
        <f t="array" ref="H21">_FV(E21,"Open")</f>
        <v>0.65600000000000003</v>
      </c>
      <c r="I21" s="505" cm="1">
        <f t="array" ref="I21">_FV(E21,"Previous close",TRUE)</f>
        <v>0.65590000000000004</v>
      </c>
      <c r="J21" s="506" cm="1">
        <f t="array" ref="J21">_FV(E21,"Change (%)",TRUE)</f>
        <v>5.4890000000000008E-3</v>
      </c>
      <c r="K21" s="507"/>
      <c r="L21" s="508" vm="1505">
        <f ca="1"/>
        <v>0.63880000000000003</v>
      </c>
      <c r="M21" s="508" vm="1506">
        <f ca="1"/>
        <v>0.63870000000000005</v>
      </c>
      <c r="N21" s="507" vm="1507">
        <f ca="1"/>
        <v>0.64359999999999995</v>
      </c>
      <c r="O21" s="507" vm="1508">
        <f ca="1"/>
        <v>0.65149999999999997</v>
      </c>
      <c r="P21" s="507" vm="1509">
        <f ca="1"/>
        <v>0.65249999999999997</v>
      </c>
      <c r="Q21" s="507" vm="1510">
        <f ca="1"/>
        <v>0.64670000000000005</v>
      </c>
      <c r="R21" s="507" vm="1511">
        <f ca="1"/>
        <v>0.64770000000000005</v>
      </c>
      <c r="S21" vm="1512">
        <f ca="1"/>
        <v>0.64880000000000004</v>
      </c>
      <c r="T21" vm="1513">
        <f ca="1"/>
        <v>0.64800000000000002</v>
      </c>
      <c r="U21" vm="1514">
        <f ca="1"/>
        <v>0.65129999999999999</v>
      </c>
      <c r="V21" vm="1515">
        <f ca="1"/>
        <v>0.65069999999999995</v>
      </c>
      <c r="W21" vm="1516">
        <f ca="1"/>
        <v>0.64910000000000001</v>
      </c>
      <c r="X21" vm="1517">
        <f ca="1"/>
        <v>0.65369999999999995</v>
      </c>
    </row>
    <row r="22" spans="1:29">
      <c r="A22" s="139"/>
      <c r="B22" s="140"/>
      <c r="H22" s="121"/>
      <c r="I22" s="121"/>
      <c r="J22" s="121"/>
      <c r="K22" s="121"/>
      <c r="L22" s="121"/>
    </row>
    <row r="23" spans="1:29">
      <c r="A23" s="139"/>
      <c r="B23" s="140"/>
      <c r="H23" s="121"/>
      <c r="I23" s="121"/>
      <c r="J23" s="121"/>
      <c r="K23" s="121"/>
      <c r="L23" s="121"/>
    </row>
    <row r="24" spans="1:29">
      <c r="A24" s="139"/>
      <c r="B24" s="140"/>
      <c r="H24" s="121"/>
      <c r="I24" s="121"/>
      <c r="J24" s="121"/>
      <c r="K24" s="121"/>
      <c r="L24" s="121"/>
    </row>
    <row r="25" spans="1:29">
      <c r="A25" s="139"/>
      <c r="B25" s="140"/>
      <c r="H25" s="121"/>
      <c r="I25" s="121"/>
      <c r="J25" s="121"/>
      <c r="K25" s="121"/>
      <c r="L25" s="121"/>
    </row>
    <row r="26" spans="1:29">
      <c r="A26" s="139"/>
      <c r="B26" s="140"/>
      <c r="H26" s="121"/>
      <c r="I26" s="121"/>
      <c r="J26" s="121"/>
      <c r="K26" s="121"/>
      <c r="L26" s="121"/>
    </row>
    <row r="27" spans="1:29">
      <c r="A27" s="139"/>
      <c r="B27" s="140"/>
      <c r="H27" s="121"/>
      <c r="I27" s="121"/>
      <c r="J27" s="121"/>
      <c r="K27" s="121"/>
      <c r="L27" s="121"/>
    </row>
    <row r="28" spans="1:29">
      <c r="A28" s="139"/>
      <c r="B28" s="140"/>
      <c r="H28" s="121"/>
      <c r="I28" s="121"/>
      <c r="J28" s="121"/>
      <c r="K28" s="121"/>
      <c r="L28" s="121"/>
    </row>
    <row r="29" spans="1:29">
      <c r="A29" s="139"/>
      <c r="B29" s="140"/>
      <c r="H29" s="121"/>
      <c r="I29" s="121"/>
      <c r="J29" s="121"/>
      <c r="K29" s="121"/>
      <c r="L29" s="121"/>
    </row>
    <row r="30" spans="1:29">
      <c r="A30" s="684"/>
      <c r="B30" s="753"/>
      <c r="H30" s="121"/>
      <c r="I30" s="121"/>
      <c r="J30" s="121"/>
      <c r="K30" s="121"/>
      <c r="L30" s="121"/>
      <c r="X30" s="510"/>
    </row>
    <row r="31" spans="1:29">
      <c r="A31" s="684"/>
      <c r="B31" s="753"/>
      <c r="H31" s="121"/>
      <c r="I31" s="121"/>
      <c r="J31" s="121"/>
      <c r="K31" s="121"/>
      <c r="L31" s="121"/>
      <c r="AB31" t="s">
        <v>1058</v>
      </c>
      <c r="AC31" t="s">
        <v>1059</v>
      </c>
    </row>
    <row r="32" spans="1:29">
      <c r="A32" s="684"/>
      <c r="B32" s="753"/>
      <c r="H32" s="121"/>
      <c r="I32" s="121"/>
      <c r="J32" s="121"/>
      <c r="K32" s="121"/>
      <c r="L32" s="121"/>
      <c r="X32" t="str" cm="1">
        <f t="array" ref="X32">$Y$32:INDEX(Y32:Y208,COUNTIF(Y32:Y208,"?*"))</f>
        <v>Singapore Dollar</v>
      </c>
      <c r="Y32" t="str">
        <f>IFERROR(INDEX($AB$32:$AB$208,MATCH(ROWS($Z$32:Z32),$Z$32:$Z$208,0)),"")</f>
        <v>Singapore Dollar</v>
      </c>
      <c r="Z32" t="str">
        <f>IF(AA32=1,COUNTIF($AA$32:AA32,1),"")</f>
        <v/>
      </c>
      <c r="AA32">
        <f>--ISNUMBER(IFERROR(SEARCH($D$3,AB32,1),""))</f>
        <v>0</v>
      </c>
      <c r="AB32" t="s">
        <v>1060</v>
      </c>
      <c r="AC32" t="s">
        <v>440</v>
      </c>
    </row>
    <row r="33" spans="1:29">
      <c r="A33" s="684"/>
      <c r="B33" s="753"/>
      <c r="H33" s="121"/>
      <c r="I33" s="121"/>
      <c r="J33" s="121"/>
      <c r="K33" s="121"/>
      <c r="L33" s="121"/>
      <c r="Y33" t="str">
        <f>IFERROR(INDEX($AB$32:$AB$208,MATCH(ROWS($Z$32:Z33),$Z$32:$Z$208,0)),"")</f>
        <v/>
      </c>
      <c r="Z33" t="str">
        <f>IF(AA33=1,COUNTIF($AA$32:AA33,1),"")</f>
        <v/>
      </c>
      <c r="AA33">
        <f t="shared" ref="AA33:AA96" si="0">--ISNUMBER(IFERROR(SEARCH($D$3,AB33,1),""))</f>
        <v>0</v>
      </c>
      <c r="AB33" t="s">
        <v>1061</v>
      </c>
      <c r="AC33" t="s">
        <v>697</v>
      </c>
    </row>
    <row r="34" spans="1:29">
      <c r="H34" s="121"/>
      <c r="I34" s="121"/>
      <c r="J34" s="121"/>
      <c r="K34" s="121"/>
      <c r="L34" s="121"/>
      <c r="Y34" t="str">
        <f>IFERROR(INDEX($AB$32:$AB$208,MATCH(ROWS($Z$32:Z34),$Z$32:$Z$208,0)),"")</f>
        <v/>
      </c>
      <c r="Z34" t="str">
        <f>IF(AA34=1,COUNTIF($AA$32:AA34,1),"")</f>
        <v/>
      </c>
      <c r="AA34">
        <f t="shared" si="0"/>
        <v>0</v>
      </c>
      <c r="AB34" t="s">
        <v>696</v>
      </c>
      <c r="AC34" t="s">
        <v>695</v>
      </c>
    </row>
    <row r="35" spans="1:29">
      <c r="H35" s="121"/>
      <c r="I35" s="121"/>
      <c r="J35" s="121"/>
      <c r="K35" s="121"/>
      <c r="L35" s="121"/>
      <c r="Y35" t="str">
        <f>IFERROR(INDEX($AB$32:$AB$208,MATCH(ROWS($Z$32:Z35),$Z$32:$Z$208,0)),"")</f>
        <v/>
      </c>
      <c r="Z35" t="str">
        <f>IF(AA35=1,COUNTIF($AA$32:AA35,1),"")</f>
        <v/>
      </c>
      <c r="AA35">
        <f t="shared" si="0"/>
        <v>0</v>
      </c>
      <c r="AB35" t="s">
        <v>1049</v>
      </c>
      <c r="AC35" t="s">
        <v>709</v>
      </c>
    </row>
    <row r="36" spans="1:29">
      <c r="H36" s="121"/>
      <c r="I36" s="121"/>
      <c r="J36" s="121"/>
      <c r="K36" s="121"/>
      <c r="L36" s="121"/>
      <c r="Y36" t="str">
        <f>IFERROR(INDEX($AB$32:$AB$208,MATCH(ROWS($Z$32:Z36),$Z$32:$Z$208,0)),"")</f>
        <v/>
      </c>
      <c r="Z36" t="str">
        <f>IF(AA36=1,COUNTIF($AA$32:AA36,1),"")</f>
        <v/>
      </c>
      <c r="AA36">
        <f t="shared" si="0"/>
        <v>0</v>
      </c>
      <c r="AB36" t="s">
        <v>1062</v>
      </c>
      <c r="AC36" t="s">
        <v>705</v>
      </c>
    </row>
    <row r="37" spans="1:29">
      <c r="H37" s="121"/>
      <c r="I37" s="121"/>
      <c r="J37" s="121"/>
      <c r="K37" s="121"/>
      <c r="L37" s="121"/>
      <c r="Y37" t="str">
        <f>IFERROR(INDEX($AB$32:$AB$208,MATCH(ROWS($Z$32:Z37),$Z$32:$Z$208,0)),"")</f>
        <v/>
      </c>
      <c r="Z37" t="str">
        <f>IF(AA37=1,COUNTIF($AA$32:AA37,1),"")</f>
        <v/>
      </c>
      <c r="AA37">
        <f t="shared" si="0"/>
        <v>0</v>
      </c>
      <c r="AB37" t="s">
        <v>1047</v>
      </c>
      <c r="AC37" t="s">
        <v>692</v>
      </c>
    </row>
    <row r="38" spans="1:29">
      <c r="H38" s="121"/>
      <c r="I38" s="121"/>
      <c r="J38" s="121"/>
      <c r="K38" s="121"/>
      <c r="Y38" t="str">
        <f>IFERROR(INDEX($AB$32:$AB$208,MATCH(ROWS($Z$32:Z38),$Z$32:$Z$208,0)),"")</f>
        <v/>
      </c>
      <c r="Z38" t="str">
        <f>IF(AA38=1,COUNTIF($AA$32:AA38,1),"")</f>
        <v/>
      </c>
      <c r="AA38">
        <f t="shared" si="0"/>
        <v>0</v>
      </c>
      <c r="AB38" t="s">
        <v>1063</v>
      </c>
      <c r="AC38" t="s">
        <v>846</v>
      </c>
    </row>
    <row r="39" spans="1:29">
      <c r="H39" s="121"/>
      <c r="I39" s="121"/>
      <c r="J39" s="121"/>
      <c r="Y39" t="str">
        <f>IFERROR(INDEX($AB$32:$AB$208,MATCH(ROWS($Z$32:Z39),$Z$32:$Z$208,0)),"")</f>
        <v/>
      </c>
      <c r="Z39" t="str">
        <f>IF(AA39=1,COUNTIF($AA$32:AA39,1),"")</f>
        <v/>
      </c>
      <c r="AA39">
        <f t="shared" si="0"/>
        <v>0</v>
      </c>
      <c r="AB39" t="s">
        <v>1064</v>
      </c>
      <c r="AC39" t="s">
        <v>856</v>
      </c>
    </row>
    <row r="40" spans="1:29">
      <c r="H40" s="121"/>
      <c r="I40" s="121"/>
      <c r="J40" s="121"/>
      <c r="Y40" t="str">
        <f>IFERROR(INDEX($AB$32:$AB$208,MATCH(ROWS($Z$32:Z40),$Z$32:$Z$208,0)),"")</f>
        <v/>
      </c>
      <c r="Z40" t="str">
        <f>IF(AA40=1,COUNTIF($AA$32:AA40,1),"")</f>
        <v/>
      </c>
      <c r="AA40">
        <f t="shared" si="0"/>
        <v>0</v>
      </c>
      <c r="AB40" t="s">
        <v>1065</v>
      </c>
      <c r="AC40" t="s">
        <v>820</v>
      </c>
    </row>
    <row r="41" spans="1:29">
      <c r="Y41" t="str">
        <f>IFERROR(INDEX($AB$32:$AB$208,MATCH(ROWS($Z$32:Z41),$Z$32:$Z$208,0)),"")</f>
        <v/>
      </c>
      <c r="Z41" t="str">
        <f>IF(AA41=1,COUNTIF($AA$32:AA41,1),"")</f>
        <v/>
      </c>
      <c r="AA41">
        <f t="shared" si="0"/>
        <v>0</v>
      </c>
      <c r="AB41" t="s">
        <v>1066</v>
      </c>
      <c r="AC41" t="s">
        <v>842</v>
      </c>
    </row>
    <row r="42" spans="1:29">
      <c r="Y42" t="str">
        <f>IFERROR(INDEX($AB$32:$AB$208,MATCH(ROWS($Z$32:Z42),$Z$32:$Z$208,0)),"")</f>
        <v/>
      </c>
      <c r="Z42" t="str">
        <f>IF(AA42=1,COUNTIF($AA$32:AA42,1),"")</f>
        <v/>
      </c>
      <c r="AA42">
        <f t="shared" si="0"/>
        <v>0</v>
      </c>
      <c r="AB42" t="s">
        <v>1067</v>
      </c>
      <c r="AC42" t="s">
        <v>773</v>
      </c>
    </row>
    <row r="43" spans="1:29">
      <c r="Y43" t="str">
        <f>IFERROR(INDEX($AB$32:$AB$208,MATCH(ROWS($Z$32:Z43),$Z$32:$Z$208,0)),"")</f>
        <v/>
      </c>
      <c r="Z43" t="str">
        <f>IF(AA43=1,COUNTIF($AA$32:AA43,1),"")</f>
        <v/>
      </c>
      <c r="AA43">
        <f t="shared" si="0"/>
        <v>0</v>
      </c>
      <c r="AB43" t="s">
        <v>1068</v>
      </c>
      <c r="AC43" t="s">
        <v>916</v>
      </c>
    </row>
    <row r="44" spans="1:29">
      <c r="Y44" t="str">
        <f>IFERROR(INDEX($AB$32:$AB$208,MATCH(ROWS($Z$32:Z44),$Z$32:$Z$208,0)),"")</f>
        <v/>
      </c>
      <c r="Z44" t="str">
        <f>IF(AA44=1,COUNTIF($AA$32:AA44,1),"")</f>
        <v/>
      </c>
      <c r="AA44">
        <f t="shared" si="0"/>
        <v>0</v>
      </c>
      <c r="AB44" t="s">
        <v>1069</v>
      </c>
      <c r="AC44" t="s">
        <v>994</v>
      </c>
    </row>
    <row r="45" spans="1:29">
      <c r="Y45" t="str">
        <f>IFERROR(INDEX($AB$32:$AB$208,MATCH(ROWS($Z$32:Z45),$Z$32:$Z$208,0)),"")</f>
        <v/>
      </c>
      <c r="Z45" t="str">
        <f>IF(AA45=1,COUNTIF($AA$32:AA45,1),"")</f>
        <v/>
      </c>
      <c r="AA45">
        <f t="shared" si="0"/>
        <v>0</v>
      </c>
      <c r="AB45" t="s">
        <v>1060</v>
      </c>
      <c r="AC45" t="s">
        <v>440</v>
      </c>
    </row>
    <row r="46" spans="1:29">
      <c r="Y46" t="str">
        <f>IFERROR(INDEX($AB$32:$AB$208,MATCH(ROWS($Z$32:Z46),$Z$32:$Z$208,0)),"")</f>
        <v/>
      </c>
      <c r="Z46" t="str">
        <f>IF(AA46=1,COUNTIF($AA$32:AA46,1),"")</f>
        <v/>
      </c>
      <c r="AA46">
        <f t="shared" si="0"/>
        <v>0</v>
      </c>
      <c r="AB46" t="s">
        <v>1070</v>
      </c>
      <c r="AC46" t="s">
        <v>1071</v>
      </c>
    </row>
    <row r="47" spans="1:29">
      <c r="Y47" t="str">
        <f>IFERROR(INDEX($AB$32:$AB$208,MATCH(ROWS($Z$32:Z47),$Z$32:$Z$208,0)),"")</f>
        <v/>
      </c>
      <c r="Z47" t="str">
        <f>IF(AA47=1,COUNTIF($AA$32:AA47,1),"")</f>
        <v/>
      </c>
      <c r="AA47">
        <f t="shared" si="0"/>
        <v>0</v>
      </c>
      <c r="AB47" t="s">
        <v>1072</v>
      </c>
      <c r="AC47" t="s">
        <v>1073</v>
      </c>
    </row>
    <row r="48" spans="1:29">
      <c r="Y48" t="str">
        <f>IFERROR(INDEX($AB$32:$AB$208,MATCH(ROWS($Z$32:Z48),$Z$32:$Z$208,0)),"")</f>
        <v/>
      </c>
      <c r="Z48" t="str">
        <f>IF(AA48=1,COUNTIF($AA$32:AA48,1),"")</f>
        <v/>
      </c>
      <c r="AA48">
        <f t="shared" si="0"/>
        <v>0</v>
      </c>
      <c r="AB48" t="s">
        <v>1074</v>
      </c>
      <c r="AC48" t="s">
        <v>918</v>
      </c>
    </row>
    <row r="49" spans="25:29">
      <c r="Y49" t="str">
        <f>IFERROR(INDEX($AB$32:$AB$208,MATCH(ROWS($Z$32:Z49),$Z$32:$Z$208,0)),"")</f>
        <v/>
      </c>
      <c r="Z49" t="str">
        <f>IF(AA49=1,COUNTIF($AA$32:AA49,1),"")</f>
        <v/>
      </c>
      <c r="AA49">
        <f t="shared" si="0"/>
        <v>0</v>
      </c>
      <c r="AB49" t="s">
        <v>1075</v>
      </c>
      <c r="AC49" t="s">
        <v>988</v>
      </c>
    </row>
    <row r="50" spans="25:29">
      <c r="Y50" t="str">
        <f>IFERROR(INDEX($AB$32:$AB$208,MATCH(ROWS($Z$32:Z50),$Z$32:$Z$208,0)),"")</f>
        <v/>
      </c>
      <c r="Z50" t="str">
        <f>IF(AA50=1,COUNTIF($AA$32:AA50,1),"")</f>
        <v/>
      </c>
      <c r="AA50">
        <f t="shared" si="0"/>
        <v>0</v>
      </c>
      <c r="AB50" t="s">
        <v>1076</v>
      </c>
      <c r="AC50" t="s">
        <v>783</v>
      </c>
    </row>
    <row r="51" spans="25:29">
      <c r="Y51" t="str">
        <f>IFERROR(INDEX($AB$32:$AB$208,MATCH(ROWS($Z$32:Z51),$Z$32:$Z$208,0)),"")</f>
        <v/>
      </c>
      <c r="Z51" t="str">
        <f>IF(AA51=1,COUNTIF($AA$32:AA51,1),"")</f>
        <v/>
      </c>
      <c r="AA51">
        <f t="shared" si="0"/>
        <v>0</v>
      </c>
      <c r="AB51" t="s">
        <v>1077</v>
      </c>
      <c r="AC51" t="s">
        <v>799</v>
      </c>
    </row>
    <row r="52" spans="25:29">
      <c r="Y52" t="str">
        <f>IFERROR(INDEX($AB$32:$AB$208,MATCH(ROWS($Z$32:Z52),$Z$32:$Z$208,0)),"")</f>
        <v/>
      </c>
      <c r="Z52" t="str">
        <f>IF(AA52=1,COUNTIF($AA$32:AA52,1),"")</f>
        <v/>
      </c>
      <c r="AA52">
        <f t="shared" si="0"/>
        <v>0</v>
      </c>
      <c r="AB52" t="s">
        <v>1078</v>
      </c>
      <c r="AC52" t="s">
        <v>868</v>
      </c>
    </row>
    <row r="53" spans="25:29">
      <c r="Y53" t="str">
        <f>IFERROR(INDEX($AB$32:$AB$208,MATCH(ROWS($Z$32:Z53),$Z$32:$Z$208,0)),"")</f>
        <v/>
      </c>
      <c r="Z53" t="str">
        <f>IF(AA53=1,COUNTIF($AA$32:AA53,1),"")</f>
        <v/>
      </c>
      <c r="AA53">
        <f t="shared" si="0"/>
        <v>0</v>
      </c>
      <c r="AB53" t="s">
        <v>1079</v>
      </c>
      <c r="AC53" t="s">
        <v>1080</v>
      </c>
    </row>
    <row r="54" spans="25:29">
      <c r="Y54" t="str">
        <f>IFERROR(INDEX($AB$32:$AB$208,MATCH(ROWS($Z$32:Z54),$Z$32:$Z$208,0)),"")</f>
        <v/>
      </c>
      <c r="Z54" t="str">
        <f>IF(AA54=1,COUNTIF($AA$32:AA54,1),"")</f>
        <v/>
      </c>
      <c r="AA54">
        <f t="shared" si="0"/>
        <v>0</v>
      </c>
      <c r="AB54" t="s">
        <v>1081</v>
      </c>
      <c r="AC54" t="s">
        <v>926</v>
      </c>
    </row>
    <row r="55" spans="25:29">
      <c r="Y55" t="str">
        <f>IFERROR(INDEX($AB$32:$AB$208,MATCH(ROWS($Z$32:Z55),$Z$32:$Z$208,0)),"")</f>
        <v/>
      </c>
      <c r="Z55" t="str">
        <f>IF(AA55=1,COUNTIF($AA$32:AA55,1),"")</f>
        <v/>
      </c>
      <c r="AA55">
        <f t="shared" si="0"/>
        <v>0</v>
      </c>
      <c r="AB55" t="s">
        <v>1082</v>
      </c>
      <c r="AC55" t="s">
        <v>892</v>
      </c>
    </row>
    <row r="56" spans="25:29">
      <c r="Y56" t="str">
        <f>IFERROR(INDEX($AB$32:$AB$208,MATCH(ROWS($Z$32:Z56),$Z$32:$Z$208,0)),"")</f>
        <v/>
      </c>
      <c r="Z56" t="str">
        <f>IF(AA56=1,COUNTIF($AA$32:AA56,1),"")</f>
        <v/>
      </c>
      <c r="AA56">
        <f t="shared" si="0"/>
        <v>0</v>
      </c>
      <c r="AB56" t="s">
        <v>1083</v>
      </c>
      <c r="AC56" t="s">
        <v>996</v>
      </c>
    </row>
    <row r="57" spans="25:29">
      <c r="Y57" t="str">
        <f>IFERROR(INDEX($AB$32:$AB$208,MATCH(ROWS($Z$32:Z57),$Z$32:$Z$208,0)),"")</f>
        <v/>
      </c>
      <c r="Z57" t="str">
        <f>IF(AA57=1,COUNTIF($AA$32:AA57,1),"")</f>
        <v/>
      </c>
      <c r="AA57">
        <f t="shared" si="0"/>
        <v>0</v>
      </c>
      <c r="AB57" t="s">
        <v>1084</v>
      </c>
      <c r="AC57" t="s">
        <v>864</v>
      </c>
    </row>
    <row r="58" spans="25:29">
      <c r="Y58" t="str">
        <f>IFERROR(INDEX($AB$32:$AB$208,MATCH(ROWS($Z$32:Z58),$Z$32:$Z$208,0)),"")</f>
        <v/>
      </c>
      <c r="Z58" t="str">
        <f>IF(AA58=1,COUNTIF($AA$32:AA58,1),"")</f>
        <v/>
      </c>
      <c r="AA58">
        <f t="shared" si="0"/>
        <v>0</v>
      </c>
      <c r="AB58" t="s">
        <v>1085</v>
      </c>
      <c r="AC58" t="s">
        <v>896</v>
      </c>
    </row>
    <row r="59" spans="25:29">
      <c r="Y59" t="str">
        <f>IFERROR(INDEX($AB$32:$AB$208,MATCH(ROWS($Z$32:Z59),$Z$32:$Z$208,0)),"")</f>
        <v/>
      </c>
      <c r="Z59" t="str">
        <f>IF(AA59=1,COUNTIF($AA$32:AA59,1),"")</f>
        <v/>
      </c>
      <c r="AA59">
        <f t="shared" si="0"/>
        <v>0</v>
      </c>
      <c r="AB59" t="s">
        <v>877</v>
      </c>
      <c r="AC59" t="s">
        <v>876</v>
      </c>
    </row>
    <row r="60" spans="25:29">
      <c r="Y60" t="str">
        <f>IFERROR(INDEX($AB$32:$AB$208,MATCH(ROWS($Z$32:Z60),$Z$32:$Z$208,0)),"")</f>
        <v/>
      </c>
      <c r="Z60" t="str">
        <f>IF(AA60=1,COUNTIF($AA$32:AA60,1),"")</f>
        <v/>
      </c>
      <c r="AA60">
        <f t="shared" si="0"/>
        <v>0</v>
      </c>
      <c r="AB60" t="s">
        <v>1086</v>
      </c>
      <c r="AC60" t="s">
        <v>733</v>
      </c>
    </row>
    <row r="61" spans="25:29">
      <c r="Y61" t="str">
        <f>IFERROR(INDEX($AB$32:$AB$208,MATCH(ROWS($Z$32:Z61),$Z$32:$Z$208,0)),"")</f>
        <v/>
      </c>
      <c r="Z61" t="str">
        <f>IF(AA61=1,COUNTIF($AA$32:AA61,1),"")</f>
        <v/>
      </c>
      <c r="AA61">
        <f t="shared" si="0"/>
        <v>0</v>
      </c>
      <c r="AB61" t="s">
        <v>1061</v>
      </c>
      <c r="AC61" t="s">
        <v>697</v>
      </c>
    </row>
    <row r="62" spans="25:29">
      <c r="Y62" t="str">
        <f>IFERROR(INDEX($AB$32:$AB$208,MATCH(ROWS($Z$32:Z62),$Z$32:$Z$208,0)),"")</f>
        <v/>
      </c>
      <c r="Z62" t="str">
        <f>IF(AA62=1,COUNTIF($AA$32:AA62,1),"")</f>
        <v/>
      </c>
      <c r="AA62">
        <f t="shared" si="0"/>
        <v>0</v>
      </c>
      <c r="AB62" t="s">
        <v>1087</v>
      </c>
      <c r="AC62" t="s">
        <v>874</v>
      </c>
    </row>
    <row r="63" spans="25:29">
      <c r="Y63" t="str">
        <f>IFERROR(INDEX($AB$32:$AB$208,MATCH(ROWS($Z$32:Z63),$Z$32:$Z$208,0)),"")</f>
        <v/>
      </c>
      <c r="Z63" t="str">
        <f>IF(AA63=1,COUNTIF($AA$32:AA63,1),"")</f>
        <v/>
      </c>
      <c r="AA63">
        <f t="shared" si="0"/>
        <v>0</v>
      </c>
      <c r="AB63" t="s">
        <v>1088</v>
      </c>
      <c r="AC63" t="s">
        <v>818</v>
      </c>
    </row>
    <row r="64" spans="25:29">
      <c r="Y64" t="str">
        <f>IFERROR(INDEX($AB$32:$AB$208,MATCH(ROWS($Z$32:Z64),$Z$32:$Z$208,0)),"")</f>
        <v/>
      </c>
      <c r="Z64" t="str">
        <f>IF(AA64=1,COUNTIF($AA$32:AA64,1),"")</f>
        <v/>
      </c>
      <c r="AA64">
        <f t="shared" si="0"/>
        <v>0</v>
      </c>
      <c r="AB64" t="s">
        <v>1089</v>
      </c>
      <c r="AC64" t="s">
        <v>932</v>
      </c>
    </row>
    <row r="65" spans="25:29">
      <c r="Y65" t="str">
        <f>IFERROR(INDEX($AB$32:$AB$208,MATCH(ROWS($Z$32:Z65),$Z$32:$Z$208,0)),"")</f>
        <v/>
      </c>
      <c r="Z65" t="str">
        <f>IF(AA65=1,COUNTIF($AA$32:AA65,1),"")</f>
        <v/>
      </c>
      <c r="AA65">
        <f t="shared" si="0"/>
        <v>0</v>
      </c>
      <c r="AB65" t="s">
        <v>1090</v>
      </c>
      <c r="AC65" t="s">
        <v>785</v>
      </c>
    </row>
    <row r="66" spans="25:29">
      <c r="Y66" t="str">
        <f>IFERROR(INDEX($AB$32:$AB$208,MATCH(ROWS($Z$32:Z66),$Z$32:$Z$208,0)),"")</f>
        <v/>
      </c>
      <c r="Z66" t="str">
        <f>IF(AA66=1,COUNTIF($AA$32:AA66,1),"")</f>
        <v/>
      </c>
      <c r="AA66">
        <f t="shared" si="0"/>
        <v>0</v>
      </c>
      <c r="AB66" t="s">
        <v>1091</v>
      </c>
      <c r="AC66" t="s">
        <v>805</v>
      </c>
    </row>
    <row r="67" spans="25:29">
      <c r="Y67" t="str">
        <f>IFERROR(INDEX($AB$32:$AB$208,MATCH(ROWS($Z$32:Z67),$Z$32:$Z$208,0)),"")</f>
        <v/>
      </c>
      <c r="Z67" t="str">
        <f>IF(AA67=1,COUNTIF($AA$32:AA67,1),"")</f>
        <v/>
      </c>
      <c r="AA67">
        <f t="shared" si="0"/>
        <v>0</v>
      </c>
      <c r="AB67" t="s">
        <v>851</v>
      </c>
      <c r="AC67" t="s">
        <v>850</v>
      </c>
    </row>
    <row r="68" spans="25:29">
      <c r="Y68" t="str">
        <f>IFERROR(INDEX($AB$32:$AB$208,MATCH(ROWS($Z$32:Z68),$Z$32:$Z$208,0)),"")</f>
        <v/>
      </c>
      <c r="Z68" t="str">
        <f>IF(AA68=1,COUNTIF($AA$32:AA68,1),"")</f>
        <v/>
      </c>
      <c r="AA68">
        <f t="shared" si="0"/>
        <v>0</v>
      </c>
      <c r="AB68" t="s">
        <v>1092</v>
      </c>
      <c r="AC68" t="s">
        <v>968</v>
      </c>
    </row>
    <row r="69" spans="25:29">
      <c r="Y69" t="str">
        <f>IFERROR(INDEX($AB$32:$AB$208,MATCH(ROWS($Z$32:Z69),$Z$32:$Z$208,0)),"")</f>
        <v/>
      </c>
      <c r="Z69" t="str">
        <f>IF(AA69=1,COUNTIF($AA$32:AA69,1),"")</f>
        <v/>
      </c>
      <c r="AA69">
        <f t="shared" si="0"/>
        <v>0</v>
      </c>
      <c r="AB69" t="s">
        <v>1093</v>
      </c>
      <c r="AC69" t="s">
        <v>702</v>
      </c>
    </row>
    <row r="70" spans="25:29">
      <c r="Y70" t="str">
        <f>IFERROR(INDEX($AB$32:$AB$208,MATCH(ROWS($Z$32:Z70),$Z$32:$Z$208,0)),"")</f>
        <v/>
      </c>
      <c r="Z70" t="str">
        <f>IF(AA70=1,COUNTIF($AA$32:AA70,1),"")</f>
        <v/>
      </c>
      <c r="AA70">
        <f t="shared" si="0"/>
        <v>0</v>
      </c>
      <c r="AB70" t="s">
        <v>1094</v>
      </c>
      <c r="AC70" t="s">
        <v>980</v>
      </c>
    </row>
    <row r="71" spans="25:29">
      <c r="Y71" t="str">
        <f>IFERROR(INDEX($AB$32:$AB$208,MATCH(ROWS($Z$32:Z71),$Z$32:$Z$208,0)),"")</f>
        <v/>
      </c>
      <c r="Z71" t="str">
        <f>IF(AA71=1,COUNTIF($AA$32:AA71,1),"")</f>
        <v/>
      </c>
      <c r="AA71">
        <f t="shared" si="0"/>
        <v>0</v>
      </c>
      <c r="AB71" t="s">
        <v>1095</v>
      </c>
      <c r="AC71" t="s">
        <v>908</v>
      </c>
    </row>
    <row r="72" spans="25:29">
      <c r="Y72" t="str">
        <f>IFERROR(INDEX($AB$32:$AB$208,MATCH(ROWS($Z$32:Z72),$Z$32:$Z$208,0)),"")</f>
        <v/>
      </c>
      <c r="Z72" t="str">
        <f>IF(AA72=1,COUNTIF($AA$32:AA72,1),"")</f>
        <v/>
      </c>
      <c r="AA72">
        <f t="shared" si="0"/>
        <v>0</v>
      </c>
      <c r="AB72" t="s">
        <v>1096</v>
      </c>
      <c r="AC72" t="s">
        <v>769</v>
      </c>
    </row>
    <row r="73" spans="25:29">
      <c r="Y73" t="str">
        <f>IFERROR(INDEX($AB$32:$AB$208,MATCH(ROWS($Z$32:Z73),$Z$32:$Z$208,0)),"")</f>
        <v/>
      </c>
      <c r="Z73" t="str">
        <f>IF(AA73=1,COUNTIF($AA$32:AA73,1),"")</f>
        <v/>
      </c>
      <c r="AA73">
        <f t="shared" si="0"/>
        <v>0</v>
      </c>
      <c r="AB73" t="s">
        <v>1048</v>
      </c>
      <c r="AC73" t="s">
        <v>711</v>
      </c>
    </row>
    <row r="74" spans="25:29">
      <c r="Y74" t="str">
        <f>IFERROR(INDEX($AB$32:$AB$208,MATCH(ROWS($Z$32:Z74),$Z$32:$Z$208,0)),"")</f>
        <v/>
      </c>
      <c r="Z74" t="str">
        <f>IF(AA74=1,COUNTIF($AA$32:AA74,1),"")</f>
        <v/>
      </c>
      <c r="AA74">
        <f t="shared" si="0"/>
        <v>0</v>
      </c>
      <c r="AB74" t="s">
        <v>1097</v>
      </c>
      <c r="AC74" t="s">
        <v>767</v>
      </c>
    </row>
    <row r="75" spans="25:29">
      <c r="Y75" t="str">
        <f>IFERROR(INDEX($AB$32:$AB$208,MATCH(ROWS($Z$32:Z75),$Z$32:$Z$208,0)),"")</f>
        <v/>
      </c>
      <c r="Z75" t="str">
        <f>IF(AA75=1,COUNTIF($AA$32:AA75,1),"")</f>
        <v/>
      </c>
      <c r="AA75">
        <f t="shared" si="0"/>
        <v>0</v>
      </c>
      <c r="AB75" t="s">
        <v>1098</v>
      </c>
      <c r="AC75" t="s">
        <v>1000</v>
      </c>
    </row>
    <row r="76" spans="25:29">
      <c r="Y76" t="str">
        <f>IFERROR(INDEX($AB$32:$AB$208,MATCH(ROWS($Z$32:Z76),$Z$32:$Z$208,0)),"")</f>
        <v/>
      </c>
      <c r="Z76" t="str">
        <f>IF(AA76=1,COUNTIF($AA$32:AA76,1),"")</f>
        <v/>
      </c>
      <c r="AA76">
        <f t="shared" si="0"/>
        <v>0</v>
      </c>
      <c r="AB76" t="s">
        <v>1099</v>
      </c>
      <c r="AC76" t="s">
        <v>944</v>
      </c>
    </row>
    <row r="77" spans="25:29">
      <c r="Y77" t="str">
        <f>IFERROR(INDEX($AB$32:$AB$208,MATCH(ROWS($Z$32:Z77),$Z$32:$Z$208,0)),"")</f>
        <v/>
      </c>
      <c r="Z77" t="str">
        <f>IF(AA77=1,COUNTIF($AA$32:AA77,1),"")</f>
        <v/>
      </c>
      <c r="AA77">
        <f t="shared" si="0"/>
        <v>0</v>
      </c>
      <c r="AB77" t="s">
        <v>1100</v>
      </c>
      <c r="AC77" t="s">
        <v>828</v>
      </c>
    </row>
    <row r="78" spans="25:29">
      <c r="Y78" t="str">
        <f>IFERROR(INDEX($AB$32:$AB$208,MATCH(ROWS($Z$32:Z78),$Z$32:$Z$208,0)),"")</f>
        <v/>
      </c>
      <c r="Z78" t="str">
        <f>IF(AA78=1,COUNTIF($AA$32:AA78,1),"")</f>
        <v/>
      </c>
      <c r="AA78">
        <f t="shared" si="0"/>
        <v>0</v>
      </c>
      <c r="AB78" t="s">
        <v>1101</v>
      </c>
      <c r="AC78" t="s">
        <v>814</v>
      </c>
    </row>
    <row r="79" spans="25:29">
      <c r="Y79" t="str">
        <f>IFERROR(INDEX($AB$32:$AB$208,MATCH(ROWS($Z$32:Z79),$Z$32:$Z$208,0)),"")</f>
        <v/>
      </c>
      <c r="Z79" t="str">
        <f>IF(AA79=1,COUNTIF($AA$32:AA79,1),"")</f>
        <v/>
      </c>
      <c r="AA79">
        <f t="shared" si="0"/>
        <v>0</v>
      </c>
      <c r="AB79" t="s">
        <v>1102</v>
      </c>
      <c r="AC79" t="s">
        <v>870</v>
      </c>
    </row>
    <row r="80" spans="25:29">
      <c r="Y80" t="str">
        <f>IFERROR(INDEX($AB$32:$AB$208,MATCH(ROWS($Z$32:Z80),$Z$32:$Z$208,0)),"")</f>
        <v/>
      </c>
      <c r="Z80" t="str">
        <f>IF(AA80=1,COUNTIF($AA$32:AA80,1),"")</f>
        <v/>
      </c>
      <c r="AA80">
        <f t="shared" si="0"/>
        <v>0</v>
      </c>
      <c r="AB80" t="s">
        <v>1103</v>
      </c>
      <c r="AC80" t="s">
        <v>966</v>
      </c>
    </row>
    <row r="81" spans="25:29">
      <c r="Y81" t="str">
        <f>IFERROR(INDEX($AB$32:$AB$208,MATCH(ROWS($Z$32:Z81),$Z$32:$Z$208,0)),"")</f>
        <v/>
      </c>
      <c r="Z81" t="str">
        <f>IF(AA81=1,COUNTIF($AA$32:AA81,1),"")</f>
        <v/>
      </c>
      <c r="AA81">
        <f t="shared" si="0"/>
        <v>0</v>
      </c>
      <c r="AB81" t="s">
        <v>1104</v>
      </c>
      <c r="AC81" t="s">
        <v>1105</v>
      </c>
    </row>
    <row r="82" spans="25:29">
      <c r="Y82" t="str">
        <f>IFERROR(INDEX($AB$32:$AB$208,MATCH(ROWS($Z$32:Z82),$Z$32:$Z$208,0)),"")</f>
        <v/>
      </c>
      <c r="Z82" t="str">
        <f>IF(AA82=1,COUNTIF($AA$32:AA82,1),"")</f>
        <v/>
      </c>
      <c r="AA82">
        <f t="shared" si="0"/>
        <v>0</v>
      </c>
      <c r="AB82" t="s">
        <v>776</v>
      </c>
      <c r="AC82" t="s">
        <v>775</v>
      </c>
    </row>
    <row r="83" spans="25:29">
      <c r="Y83" t="str">
        <f>IFERROR(INDEX($AB$32:$AB$208,MATCH(ROWS($Z$32:Z83),$Z$32:$Z$208,0)),"")</f>
        <v/>
      </c>
      <c r="Z83" t="str">
        <f>IF(AA83=1,COUNTIF($AA$32:AA83,1),"")</f>
        <v/>
      </c>
      <c r="AA83">
        <f t="shared" si="0"/>
        <v>0</v>
      </c>
      <c r="AB83" t="s">
        <v>1106</v>
      </c>
      <c r="AC83" t="s">
        <v>753</v>
      </c>
    </row>
    <row r="84" spans="25:29">
      <c r="Y84" t="str">
        <f>IFERROR(INDEX($AB$32:$AB$208,MATCH(ROWS($Z$32:Z84),$Z$32:$Z$208,0)),"")</f>
        <v/>
      </c>
      <c r="Z84" t="str">
        <f>IF(AA84=1,COUNTIF($AA$32:AA84,1),"")</f>
        <v/>
      </c>
      <c r="AA84">
        <f t="shared" si="0"/>
        <v>0</v>
      </c>
      <c r="AB84" t="s">
        <v>1107</v>
      </c>
      <c r="AC84" t="s">
        <v>998</v>
      </c>
    </row>
    <row r="85" spans="25:29">
      <c r="Y85" t="str">
        <f>IFERROR(INDEX($AB$32:$AB$208,MATCH(ROWS($Z$32:Z85),$Z$32:$Z$208,0)),"")</f>
        <v/>
      </c>
      <c r="Z85" t="str">
        <f>IF(AA85=1,COUNTIF($AA$32:AA85,1),"")</f>
        <v/>
      </c>
      <c r="AA85">
        <f t="shared" si="0"/>
        <v>0</v>
      </c>
      <c r="AB85" t="s">
        <v>1108</v>
      </c>
      <c r="AC85" t="s">
        <v>824</v>
      </c>
    </row>
    <row r="86" spans="25:29">
      <c r="Y86" t="str">
        <f>IFERROR(INDEX($AB$32:$AB$208,MATCH(ROWS($Z$32:Z86),$Z$32:$Z$208,0)),"")</f>
        <v/>
      </c>
      <c r="Z86" t="str">
        <f>IF(AA86=1,COUNTIF($AA$32:AA86,1),"")</f>
        <v/>
      </c>
      <c r="AA86">
        <f t="shared" si="0"/>
        <v>0</v>
      </c>
      <c r="AB86" t="s">
        <v>859</v>
      </c>
      <c r="AC86" t="s">
        <v>858</v>
      </c>
    </row>
    <row r="87" spans="25:29">
      <c r="Y87" t="str">
        <f>IFERROR(INDEX($AB$32:$AB$208,MATCH(ROWS($Z$32:Z87),$Z$32:$Z$208,0)),"")</f>
        <v/>
      </c>
      <c r="Z87" t="str">
        <f>IF(AA87=1,COUNTIF($AA$32:AA87,1),"")</f>
        <v/>
      </c>
      <c r="AA87">
        <f t="shared" si="0"/>
        <v>0</v>
      </c>
      <c r="AB87" t="s">
        <v>1109</v>
      </c>
      <c r="AC87" t="s">
        <v>743</v>
      </c>
    </row>
    <row r="88" spans="25:29">
      <c r="Y88" t="str">
        <f>IFERROR(INDEX($AB$32:$AB$208,MATCH(ROWS($Z$32:Z88),$Z$32:$Z$208,0)),"")</f>
        <v/>
      </c>
      <c r="Z88" t="str">
        <f>IF(AA88=1,COUNTIF($AA$32:AA88,1),"")</f>
        <v/>
      </c>
      <c r="AA88">
        <f t="shared" si="0"/>
        <v>0</v>
      </c>
      <c r="AB88" t="s">
        <v>1110</v>
      </c>
      <c r="AC88" t="s">
        <v>984</v>
      </c>
    </row>
    <row r="89" spans="25:29">
      <c r="Y89" t="str">
        <f>IFERROR(INDEX($AB$32:$AB$208,MATCH(ROWS($Z$32:Z89),$Z$32:$Z$208,0)),"")</f>
        <v/>
      </c>
      <c r="Z89" t="str">
        <f>IF(AA89=1,COUNTIF($AA$32:AA89,1),"")</f>
        <v/>
      </c>
      <c r="AA89">
        <f t="shared" si="0"/>
        <v>0</v>
      </c>
      <c r="AB89" t="s">
        <v>1111</v>
      </c>
      <c r="AC89" t="s">
        <v>1112</v>
      </c>
    </row>
    <row r="90" spans="25:29">
      <c r="Y90" t="str">
        <f>IFERROR(INDEX($AB$32:$AB$208,MATCH(ROWS($Z$32:Z90),$Z$32:$Z$208,0)),"")</f>
        <v/>
      </c>
      <c r="Z90" t="str">
        <f>IF(AA90=1,COUNTIF($AA$32:AA90,1),"")</f>
        <v/>
      </c>
      <c r="AA90">
        <f t="shared" si="0"/>
        <v>0</v>
      </c>
      <c r="AB90" t="s">
        <v>1113</v>
      </c>
      <c r="AC90" t="s">
        <v>882</v>
      </c>
    </row>
    <row r="91" spans="25:29">
      <c r="Y91" t="str">
        <f>IFERROR(INDEX($AB$32:$AB$208,MATCH(ROWS($Z$32:Z91),$Z$32:$Z$208,0)),"")</f>
        <v/>
      </c>
      <c r="Z91" t="str">
        <f>IF(AA91=1,COUNTIF($AA$32:AA91,1),"")</f>
        <v/>
      </c>
      <c r="AA91">
        <f t="shared" si="0"/>
        <v>0</v>
      </c>
      <c r="AB91" t="s">
        <v>696</v>
      </c>
      <c r="AC91" t="s">
        <v>695</v>
      </c>
    </row>
    <row r="92" spans="25:29">
      <c r="Y92" t="str">
        <f>IFERROR(INDEX($AB$32:$AB$208,MATCH(ROWS($Z$32:Z92),$Z$32:$Z$208,0)),"")</f>
        <v/>
      </c>
      <c r="Z92" t="str">
        <f>IF(AA92=1,COUNTIF($AA$32:AA92,1),"")</f>
        <v/>
      </c>
      <c r="AA92">
        <f t="shared" si="0"/>
        <v>0</v>
      </c>
      <c r="AB92" t="s">
        <v>1114</v>
      </c>
      <c r="AC92" t="s">
        <v>1004</v>
      </c>
    </row>
    <row r="93" spans="25:29">
      <c r="Y93" t="str">
        <f>IFERROR(INDEX($AB$32:$AB$208,MATCH(ROWS($Z$32:Z93),$Z$32:$Z$208,0)),"")</f>
        <v/>
      </c>
      <c r="Z93" t="str">
        <f>IF(AA93=1,COUNTIF($AA$32:AA93,1),"")</f>
        <v/>
      </c>
      <c r="AA93">
        <f t="shared" si="0"/>
        <v>0</v>
      </c>
      <c r="AB93" t="s">
        <v>1115</v>
      </c>
      <c r="AC93" t="s">
        <v>1116</v>
      </c>
    </row>
    <row r="94" spans="25:29">
      <c r="Y94" t="str">
        <f>IFERROR(INDEX($AB$32:$AB$208,MATCH(ROWS($Z$32:Z94),$Z$32:$Z$208,0)),"")</f>
        <v/>
      </c>
      <c r="Z94" t="str">
        <f>IF(AA94=1,COUNTIF($AA$32:AA94,1),"")</f>
        <v/>
      </c>
      <c r="AA94">
        <f t="shared" si="0"/>
        <v>0</v>
      </c>
      <c r="AB94" t="s">
        <v>1117</v>
      </c>
      <c r="AC94" t="s">
        <v>807</v>
      </c>
    </row>
    <row r="95" spans="25:29">
      <c r="Y95" t="str">
        <f>IFERROR(INDEX($AB$32:$AB$208,MATCH(ROWS($Z$32:Z95),$Z$32:$Z$208,0)),"")</f>
        <v/>
      </c>
      <c r="Z95" t="str">
        <f>IF(AA95=1,COUNTIF($AA$32:AA95,1),"")</f>
        <v/>
      </c>
      <c r="AA95">
        <f t="shared" si="0"/>
        <v>0</v>
      </c>
      <c r="AB95" t="s">
        <v>1118</v>
      </c>
      <c r="AC95" t="s">
        <v>928</v>
      </c>
    </row>
    <row r="96" spans="25:29">
      <c r="Y96" t="str">
        <f>IFERROR(INDEX($AB$32:$AB$208,MATCH(ROWS($Z$32:Z96),$Z$32:$Z$208,0)),"")</f>
        <v/>
      </c>
      <c r="Z96" t="str">
        <f>IF(AA96=1,COUNTIF($AA$32:AA96,1),"")</f>
        <v/>
      </c>
      <c r="AA96">
        <f t="shared" si="0"/>
        <v>0</v>
      </c>
      <c r="AB96" t="s">
        <v>1119</v>
      </c>
      <c r="AC96" t="s">
        <v>803</v>
      </c>
    </row>
    <row r="97" spans="25:29">
      <c r="Y97" t="str">
        <f>IFERROR(INDEX($AB$32:$AB$208,MATCH(ROWS($Z$32:Z97),$Z$32:$Z$208,0)),"")</f>
        <v/>
      </c>
      <c r="Z97" t="str">
        <f>IF(AA97=1,COUNTIF($AA$32:AA97,1),"")</f>
        <v/>
      </c>
      <c r="AA97">
        <f t="shared" ref="AA97:AA160" si="1">--ISNUMBER(IFERROR(SEARCH($D$3,AB97,1),""))</f>
        <v>0</v>
      </c>
      <c r="AB97" t="s">
        <v>1120</v>
      </c>
      <c r="AC97" t="s">
        <v>1121</v>
      </c>
    </row>
    <row r="98" spans="25:29">
      <c r="Y98" t="str">
        <f>IFERROR(INDEX($AB$32:$AB$208,MATCH(ROWS($Z$32:Z98),$Z$32:$Z$208,0)),"")</f>
        <v/>
      </c>
      <c r="Z98" t="str">
        <f>IF(AA98=1,COUNTIF($AA$32:AA98,1),"")</f>
        <v/>
      </c>
      <c r="AA98">
        <f t="shared" si="1"/>
        <v>0</v>
      </c>
      <c r="AB98" t="s">
        <v>1122</v>
      </c>
      <c r="AC98" t="s">
        <v>838</v>
      </c>
    </row>
    <row r="99" spans="25:29">
      <c r="Y99" t="str">
        <f>IFERROR(INDEX($AB$32:$AB$208,MATCH(ROWS($Z$32:Z99),$Z$32:$Z$208,0)),"")</f>
        <v/>
      </c>
      <c r="Z99" t="str">
        <f>IF(AA99=1,COUNTIF($AA$32:AA99,1),"")</f>
        <v/>
      </c>
      <c r="AA99">
        <f t="shared" si="1"/>
        <v>0</v>
      </c>
      <c r="AB99" t="s">
        <v>961</v>
      </c>
      <c r="AC99" t="s">
        <v>960</v>
      </c>
    </row>
    <row r="100" spans="25:29">
      <c r="Y100" t="str">
        <f>IFERROR(INDEX($AB$32:$AB$208,MATCH(ROWS($Z$32:Z100),$Z$32:$Z$208,0)),"")</f>
        <v/>
      </c>
      <c r="Z100" t="str">
        <f>IF(AA100=1,COUNTIF($AA$32:AA100,1),"")</f>
        <v/>
      </c>
      <c r="AA100">
        <f t="shared" si="1"/>
        <v>0</v>
      </c>
      <c r="AB100" t="s">
        <v>1123</v>
      </c>
      <c r="AC100" t="s">
        <v>1124</v>
      </c>
    </row>
    <row r="101" spans="25:29">
      <c r="Y101" t="str">
        <f>IFERROR(INDEX($AB$32:$AB$208,MATCH(ROWS($Z$32:Z101),$Z$32:$Z$208,0)),"")</f>
        <v/>
      </c>
      <c r="Z101" t="str">
        <f>IF(AA101=1,COUNTIF($AA$32:AA101,1),"")</f>
        <v/>
      </c>
      <c r="AA101">
        <f t="shared" si="1"/>
        <v>0</v>
      </c>
      <c r="AB101" t="s">
        <v>1125</v>
      </c>
      <c r="AC101" t="s">
        <v>860</v>
      </c>
    </row>
    <row r="102" spans="25:29">
      <c r="Y102" t="str">
        <f>IFERROR(INDEX($AB$32:$AB$208,MATCH(ROWS($Z$32:Z102),$Z$32:$Z$208,0)),"")</f>
        <v/>
      </c>
      <c r="Z102" t="str">
        <f>IF(AA102=1,COUNTIF($AA$32:AA102,1),"")</f>
        <v/>
      </c>
      <c r="AA102">
        <f t="shared" si="1"/>
        <v>0</v>
      </c>
      <c r="AB102" t="s">
        <v>1126</v>
      </c>
      <c r="AC102" t="s">
        <v>938</v>
      </c>
    </row>
    <row r="103" spans="25:29">
      <c r="Y103" t="str">
        <f>IFERROR(INDEX($AB$32:$AB$208,MATCH(ROWS($Z$32:Z103),$Z$32:$Z$208,0)),"")</f>
        <v/>
      </c>
      <c r="Z103" t="str">
        <f>IF(AA103=1,COUNTIF($AA$32:AA103,1),"")</f>
        <v/>
      </c>
      <c r="AA103">
        <f t="shared" si="1"/>
        <v>0</v>
      </c>
      <c r="AB103" t="s">
        <v>1127</v>
      </c>
      <c r="AC103" t="s">
        <v>902</v>
      </c>
    </row>
    <row r="104" spans="25:29">
      <c r="Y104" t="str">
        <f>IFERROR(INDEX($AB$32:$AB$208,MATCH(ROWS($Z$32:Z104),$Z$32:$Z$208,0)),"")</f>
        <v/>
      </c>
      <c r="Z104" t="str">
        <f>IF(AA104=1,COUNTIF($AA$32:AA104,1),"")</f>
        <v/>
      </c>
      <c r="AA104">
        <f t="shared" si="1"/>
        <v>0</v>
      </c>
      <c r="AB104" t="s">
        <v>1128</v>
      </c>
      <c r="AC104" t="s">
        <v>934</v>
      </c>
    </row>
    <row r="105" spans="25:29">
      <c r="Y105" t="str">
        <f>IFERROR(INDEX($AB$32:$AB$208,MATCH(ROWS($Z$32:Z105),$Z$32:$Z$208,0)),"")</f>
        <v/>
      </c>
      <c r="Z105" t="str">
        <f>IF(AA105=1,COUNTIF($AA$32:AA105,1),"")</f>
        <v/>
      </c>
      <c r="AA105">
        <f t="shared" si="1"/>
        <v>0</v>
      </c>
      <c r="AB105" t="s">
        <v>1129</v>
      </c>
      <c r="AC105" t="s">
        <v>878</v>
      </c>
    </row>
    <row r="106" spans="25:29">
      <c r="Y106" t="str">
        <f>IFERROR(INDEX($AB$32:$AB$208,MATCH(ROWS($Z$32:Z106),$Z$32:$Z$208,0)),"")</f>
        <v/>
      </c>
      <c r="Z106" t="str">
        <f>IF(AA106=1,COUNTIF($AA$32:AA106,1),"")</f>
        <v/>
      </c>
      <c r="AA106">
        <f t="shared" si="1"/>
        <v>0</v>
      </c>
      <c r="AB106" t="s">
        <v>722</v>
      </c>
      <c r="AC106" t="s">
        <v>721</v>
      </c>
    </row>
    <row r="107" spans="25:29">
      <c r="Y107" t="str">
        <f>IFERROR(INDEX($AB$32:$AB$208,MATCH(ROWS($Z$32:Z107),$Z$32:$Z$208,0)),"")</f>
        <v/>
      </c>
      <c r="Z107" t="str">
        <f>IF(AA107=1,COUNTIF($AA$32:AA107,1),"")</f>
        <v/>
      </c>
      <c r="AA107">
        <f t="shared" si="1"/>
        <v>0</v>
      </c>
      <c r="AB107" t="s">
        <v>1130</v>
      </c>
      <c r="AC107" t="s">
        <v>717</v>
      </c>
    </row>
    <row r="108" spans="25:29">
      <c r="Y108" t="str">
        <f>IFERROR(INDEX($AB$32:$AB$208,MATCH(ROWS($Z$32:Z108),$Z$32:$Z$208,0)),"")</f>
        <v/>
      </c>
      <c r="Z108" t="str">
        <f>IF(AA108=1,COUNTIF($AA$32:AA108,1),"")</f>
        <v/>
      </c>
      <c r="AA108">
        <f t="shared" si="1"/>
        <v>0</v>
      </c>
      <c r="AB108" t="s">
        <v>1131</v>
      </c>
      <c r="AC108" t="s">
        <v>826</v>
      </c>
    </row>
    <row r="109" spans="25:29">
      <c r="Y109" t="str">
        <f>IFERROR(INDEX($AB$32:$AB$208,MATCH(ROWS($Z$32:Z109),$Z$32:$Z$208,0)),"")</f>
        <v/>
      </c>
      <c r="Z109" t="str">
        <f>IF(AA109=1,COUNTIF($AA$32:AA109,1),"")</f>
        <v/>
      </c>
      <c r="AA109">
        <f t="shared" si="1"/>
        <v>0</v>
      </c>
      <c r="AB109" t="s">
        <v>1132</v>
      </c>
      <c r="AC109" t="s">
        <v>699</v>
      </c>
    </row>
    <row r="110" spans="25:29">
      <c r="Y110" t="str">
        <f>IFERROR(INDEX($AB$32:$AB$208,MATCH(ROWS($Z$32:Z110),$Z$32:$Z$208,0)),"")</f>
        <v/>
      </c>
      <c r="Z110" t="str">
        <f>IF(AA110=1,COUNTIF($AA$32:AA110,1),"")</f>
        <v/>
      </c>
      <c r="AA110">
        <f t="shared" si="1"/>
        <v>0</v>
      </c>
      <c r="AB110" t="s">
        <v>1133</v>
      </c>
      <c r="AC110" t="s">
        <v>731</v>
      </c>
    </row>
    <row r="111" spans="25:29">
      <c r="Y111" t="str">
        <f>IFERROR(INDEX($AB$32:$AB$208,MATCH(ROWS($Z$32:Z111),$Z$32:$Z$208,0)),"")</f>
        <v/>
      </c>
      <c r="Z111" t="str">
        <f>IF(AA111=1,COUNTIF($AA$32:AA111,1),"")</f>
        <v/>
      </c>
      <c r="AA111">
        <f t="shared" si="1"/>
        <v>0</v>
      </c>
      <c r="AB111" t="s">
        <v>1134</v>
      </c>
      <c r="AC111" t="s">
        <v>822</v>
      </c>
    </row>
    <row r="112" spans="25:29">
      <c r="Y112" t="str">
        <f>IFERROR(INDEX($AB$32:$AB$208,MATCH(ROWS($Z$32:Z112),$Z$32:$Z$208,0)),"")</f>
        <v/>
      </c>
      <c r="Z112" t="str">
        <f>IF(AA112=1,COUNTIF($AA$32:AA112,1),"")</f>
        <v/>
      </c>
      <c r="AA112">
        <f t="shared" si="1"/>
        <v>0</v>
      </c>
      <c r="AB112" t="s">
        <v>1135</v>
      </c>
      <c r="AC112" t="s">
        <v>745</v>
      </c>
    </row>
    <row r="113" spans="25:29">
      <c r="Y113" t="str">
        <f>IFERROR(INDEX($AB$32:$AB$208,MATCH(ROWS($Z$32:Z113),$Z$32:$Z$208,0)),"")</f>
        <v/>
      </c>
      <c r="Z113" t="str">
        <f>IF(AA113=1,COUNTIF($AA$32:AA113,1),"")</f>
        <v/>
      </c>
      <c r="AA113">
        <f t="shared" si="1"/>
        <v>0</v>
      </c>
      <c r="AB113" t="s">
        <v>1136</v>
      </c>
      <c r="AC113" t="s">
        <v>1137</v>
      </c>
    </row>
    <row r="114" spans="25:29">
      <c r="Y114" t="str">
        <f>IFERROR(INDEX($AB$32:$AB$208,MATCH(ROWS($Z$32:Z114),$Z$32:$Z$208,0)),"")</f>
        <v/>
      </c>
      <c r="Z114" t="str">
        <f>IF(AA114=1,COUNTIF($AA$32:AA114,1),"")</f>
        <v/>
      </c>
      <c r="AA114">
        <f t="shared" si="1"/>
        <v>0</v>
      </c>
      <c r="AB114" t="s">
        <v>1138</v>
      </c>
      <c r="AC114" t="s">
        <v>757</v>
      </c>
    </row>
    <row r="115" spans="25:29">
      <c r="Y115" t="str">
        <f>IFERROR(INDEX($AB$32:$AB$208,MATCH(ROWS($Z$32:Z115),$Z$32:$Z$208,0)),"")</f>
        <v/>
      </c>
      <c r="Z115" t="str">
        <f>IF(AA115=1,COUNTIF($AA$32:AA115,1),"")</f>
        <v/>
      </c>
      <c r="AA115">
        <f t="shared" si="1"/>
        <v>0</v>
      </c>
      <c r="AB115" t="s">
        <v>1139</v>
      </c>
      <c r="AC115" t="s">
        <v>1140</v>
      </c>
    </row>
    <row r="116" spans="25:29">
      <c r="Y116" t="str">
        <f>IFERROR(INDEX($AB$32:$AB$208,MATCH(ROWS($Z$32:Z116),$Z$32:$Z$208,0)),"")</f>
        <v/>
      </c>
      <c r="Z116" t="str">
        <f>IF(AA116=1,COUNTIF($AA$32:AA116,1),"")</f>
        <v/>
      </c>
      <c r="AA116">
        <f t="shared" si="1"/>
        <v>0</v>
      </c>
      <c r="AB116" t="s">
        <v>1141</v>
      </c>
      <c r="AC116" t="s">
        <v>834</v>
      </c>
    </row>
    <row r="117" spans="25:29">
      <c r="Y117" t="str">
        <f>IFERROR(INDEX($AB$32:$AB$208,MATCH(ROWS($Z$32:Z117),$Z$32:$Z$208,0)),"")</f>
        <v/>
      </c>
      <c r="Z117" t="str">
        <f>IF(AA117=1,COUNTIF($AA$32:AA117,1),"")</f>
        <v/>
      </c>
      <c r="AA117">
        <f t="shared" si="1"/>
        <v>0</v>
      </c>
      <c r="AB117" t="s">
        <v>1049</v>
      </c>
      <c r="AC117" t="s">
        <v>709</v>
      </c>
    </row>
    <row r="118" spans="25:29">
      <c r="Y118" t="str">
        <f>IFERROR(INDEX($AB$32:$AB$208,MATCH(ROWS($Z$32:Z118),$Z$32:$Z$208,0)),"")</f>
        <v/>
      </c>
      <c r="Z118" t="str">
        <f>IF(AA118=1,COUNTIF($AA$32:AA118,1),"")</f>
        <v/>
      </c>
      <c r="AA118">
        <f t="shared" si="1"/>
        <v>0</v>
      </c>
      <c r="AB118" t="s">
        <v>1142</v>
      </c>
      <c r="AC118" t="s">
        <v>781</v>
      </c>
    </row>
    <row r="119" spans="25:29">
      <c r="Y119" t="str">
        <f>IFERROR(INDEX($AB$32:$AB$208,MATCH(ROWS($Z$32:Z119),$Z$32:$Z$208,0)),"")</f>
        <v/>
      </c>
      <c r="Z119" t="str">
        <f>IF(AA119=1,COUNTIF($AA$32:AA119,1),"")</f>
        <v/>
      </c>
      <c r="AA119">
        <f t="shared" si="1"/>
        <v>0</v>
      </c>
      <c r="AB119" t="s">
        <v>1143</v>
      </c>
      <c r="AC119" t="s">
        <v>898</v>
      </c>
    </row>
    <row r="120" spans="25:29">
      <c r="Y120" t="str">
        <f>IFERROR(INDEX($AB$32:$AB$208,MATCH(ROWS($Z$32:Z120),$Z$32:$Z$208,0)),"")</f>
        <v/>
      </c>
      <c r="Z120" t="str">
        <f>IF(AA120=1,COUNTIF($AA$32:AA120,1),"")</f>
        <v/>
      </c>
      <c r="AA120">
        <f t="shared" si="1"/>
        <v>0</v>
      </c>
      <c r="AB120" t="s">
        <v>1144</v>
      </c>
      <c r="AC120" t="s">
        <v>739</v>
      </c>
    </row>
    <row r="121" spans="25:29">
      <c r="Y121" t="str">
        <f>IFERROR(INDEX($AB$32:$AB$208,MATCH(ROWS($Z$32:Z121),$Z$32:$Z$208,0)),"")</f>
        <v/>
      </c>
      <c r="Z121" t="str">
        <f>IF(AA121=1,COUNTIF($AA$32:AA121,1),"")</f>
        <v/>
      </c>
      <c r="AA121">
        <f t="shared" si="1"/>
        <v>0</v>
      </c>
      <c r="AB121" t="s">
        <v>1145</v>
      </c>
      <c r="AC121" t="s">
        <v>749</v>
      </c>
    </row>
    <row r="122" spans="25:29">
      <c r="Y122" t="str">
        <f>IFERROR(INDEX($AB$32:$AB$208,MATCH(ROWS($Z$32:Z122),$Z$32:$Z$208,0)),"")</f>
        <v/>
      </c>
      <c r="Z122" t="str">
        <f>IF(AA122=1,COUNTIF($AA$32:AA122,1),"")</f>
        <v/>
      </c>
      <c r="AA122">
        <f t="shared" si="1"/>
        <v>0</v>
      </c>
      <c r="AB122" t="s">
        <v>1146</v>
      </c>
      <c r="AC122" t="s">
        <v>952</v>
      </c>
    </row>
    <row r="123" spans="25:29">
      <c r="Y123" t="str">
        <f>IFERROR(INDEX($AB$32:$AB$208,MATCH(ROWS($Z$32:Z123),$Z$32:$Z$208,0)),"")</f>
        <v/>
      </c>
      <c r="Z123" t="str">
        <f>IF(AA123=1,COUNTIF($AA$32:AA123,1),"")</f>
        <v/>
      </c>
      <c r="AA123">
        <f t="shared" si="1"/>
        <v>0</v>
      </c>
      <c r="AB123" t="s">
        <v>1147</v>
      </c>
      <c r="AC123" t="s">
        <v>872</v>
      </c>
    </row>
    <row r="124" spans="25:29">
      <c r="Y124" t="str">
        <f>IFERROR(INDEX($AB$32:$AB$208,MATCH(ROWS($Z$32:Z124),$Z$32:$Z$208,0)),"")</f>
        <v/>
      </c>
      <c r="Z124" t="str">
        <f>IF(AA124=1,COUNTIF($AA$32:AA124,1),"")</f>
        <v/>
      </c>
      <c r="AA124">
        <f t="shared" si="1"/>
        <v>0</v>
      </c>
      <c r="AB124" t="s">
        <v>1148</v>
      </c>
      <c r="AC124" t="s">
        <v>1149</v>
      </c>
    </row>
    <row r="125" spans="25:29">
      <c r="Y125" t="str">
        <f>IFERROR(INDEX($AB$32:$AB$208,MATCH(ROWS($Z$32:Z125),$Z$32:$Z$208,0)),"")</f>
        <v/>
      </c>
      <c r="Z125" t="str">
        <f>IF(AA125=1,COUNTIF($AA$32:AA125,1),"")</f>
        <v/>
      </c>
      <c r="AA125">
        <f t="shared" si="1"/>
        <v>0</v>
      </c>
      <c r="AB125" t="s">
        <v>1150</v>
      </c>
      <c r="AC125" t="s">
        <v>848</v>
      </c>
    </row>
    <row r="126" spans="25:29">
      <c r="Y126" t="str">
        <f>IFERROR(INDEX($AB$32:$AB$208,MATCH(ROWS($Z$32:Z126),$Z$32:$Z$208,0)),"")</f>
        <v/>
      </c>
      <c r="Z126" t="str">
        <f>IF(AA126=1,COUNTIF($AA$32:AA126,1),"")</f>
        <v/>
      </c>
      <c r="AA126">
        <f t="shared" si="1"/>
        <v>0</v>
      </c>
      <c r="AB126" t="s">
        <v>1151</v>
      </c>
      <c r="AC126" t="s">
        <v>956</v>
      </c>
    </row>
    <row r="127" spans="25:29">
      <c r="Y127" t="str">
        <f>IFERROR(INDEX($AB$32:$AB$208,MATCH(ROWS($Z$32:Z127),$Z$32:$Z$208,0)),"")</f>
        <v/>
      </c>
      <c r="Z127" t="str">
        <f>IF(AA127=1,COUNTIF($AA$32:AA127,1),"")</f>
        <v/>
      </c>
      <c r="AA127">
        <f t="shared" si="1"/>
        <v>0</v>
      </c>
      <c r="AB127" t="s">
        <v>1152</v>
      </c>
      <c r="AC127" t="s">
        <v>954</v>
      </c>
    </row>
    <row r="128" spans="25:29">
      <c r="Y128" t="str">
        <f>IFERROR(INDEX($AB$32:$AB$208,MATCH(ROWS($Z$32:Z128),$Z$32:$Z$208,0)),"")</f>
        <v/>
      </c>
      <c r="Z128" t="str">
        <f>IF(AA128=1,COUNTIF($AA$32:AA128,1),"")</f>
        <v/>
      </c>
      <c r="AA128">
        <f t="shared" si="1"/>
        <v>0</v>
      </c>
      <c r="AB128" t="s">
        <v>1153</v>
      </c>
      <c r="AC128" t="s">
        <v>836</v>
      </c>
    </row>
    <row r="129" spans="25:29">
      <c r="Y129" t="str">
        <f>IFERROR(INDEX($AB$32:$AB$208,MATCH(ROWS($Z$32:Z129),$Z$32:$Z$208,0)),"")</f>
        <v/>
      </c>
      <c r="Z129" t="str">
        <f>IF(AA129=1,COUNTIF($AA$32:AA129,1),"")</f>
        <v/>
      </c>
      <c r="AA129">
        <f t="shared" si="1"/>
        <v>0</v>
      </c>
      <c r="AB129" t="s">
        <v>1154</v>
      </c>
      <c r="AC129" t="s">
        <v>1155</v>
      </c>
    </row>
    <row r="130" spans="25:29">
      <c r="Y130" t="str">
        <f>IFERROR(INDEX($AB$32:$AB$208,MATCH(ROWS($Z$32:Z130),$Z$32:$Z$208,0)),"")</f>
        <v/>
      </c>
      <c r="Z130" t="str">
        <f>IF(AA130=1,COUNTIF($AA$32:AA130,1),"")</f>
        <v/>
      </c>
      <c r="AA130">
        <f t="shared" si="1"/>
        <v>0</v>
      </c>
      <c r="AB130" t="s">
        <v>1156</v>
      </c>
      <c r="AC130" t="s">
        <v>1157</v>
      </c>
    </row>
    <row r="131" spans="25:29">
      <c r="Y131" t="str">
        <f>IFERROR(INDEX($AB$32:$AB$208,MATCH(ROWS($Z$32:Z131),$Z$32:$Z$208,0)),"")</f>
        <v/>
      </c>
      <c r="Z131" t="str">
        <f>IF(AA131=1,COUNTIF($AA$32:AA131,1),"")</f>
        <v/>
      </c>
      <c r="AA131">
        <f t="shared" si="1"/>
        <v>0</v>
      </c>
      <c r="AB131" t="s">
        <v>891</v>
      </c>
      <c r="AC131" t="s">
        <v>890</v>
      </c>
    </row>
    <row r="132" spans="25:29">
      <c r="Y132" t="str">
        <f>IFERROR(INDEX($AB$32:$AB$208,MATCH(ROWS($Z$32:Z132),$Z$32:$Z$208,0)),"")</f>
        <v/>
      </c>
      <c r="Z132" t="str">
        <f>IF(AA132=1,COUNTIF($AA$32:AA132,1),"")</f>
        <v/>
      </c>
      <c r="AA132">
        <f t="shared" si="1"/>
        <v>0</v>
      </c>
      <c r="AB132" t="s">
        <v>1158</v>
      </c>
      <c r="AC132" t="s">
        <v>970</v>
      </c>
    </row>
    <row r="133" spans="25:29">
      <c r="Y133" t="str">
        <f>IFERROR(INDEX($AB$32:$AB$208,MATCH(ROWS($Z$32:Z133),$Z$32:$Z$208,0)),"")</f>
        <v/>
      </c>
      <c r="Z133" t="str">
        <f>IF(AA133=1,COUNTIF($AA$32:AA133,1),"")</f>
        <v/>
      </c>
      <c r="AA133">
        <f t="shared" si="1"/>
        <v>0</v>
      </c>
      <c r="AB133" t="s">
        <v>907</v>
      </c>
      <c r="AC133" t="s">
        <v>906</v>
      </c>
    </row>
    <row r="134" spans="25:29">
      <c r="Y134" t="str">
        <f>IFERROR(INDEX($AB$32:$AB$208,MATCH(ROWS($Z$32:Z134),$Z$32:$Z$208,0)),"")</f>
        <v/>
      </c>
      <c r="Z134" t="str">
        <f>IF(AA134=1,COUNTIF($AA$32:AA134,1),"")</f>
        <v/>
      </c>
      <c r="AA134">
        <f t="shared" si="1"/>
        <v>0</v>
      </c>
      <c r="AB134" t="s">
        <v>1159</v>
      </c>
      <c r="AC134" t="s">
        <v>930</v>
      </c>
    </row>
    <row r="135" spans="25:29">
      <c r="Y135" t="str">
        <f>IFERROR(INDEX($AB$32:$AB$208,MATCH(ROWS($Z$32:Z135),$Z$32:$Z$208,0)),"")</f>
        <v/>
      </c>
      <c r="Z135" t="str">
        <f>IF(AA135=1,COUNTIF($AA$32:AA135,1),"")</f>
        <v/>
      </c>
      <c r="AA135">
        <f t="shared" si="1"/>
        <v>0</v>
      </c>
      <c r="AB135" t="s">
        <v>1160</v>
      </c>
      <c r="AC135" t="s">
        <v>707</v>
      </c>
    </row>
    <row r="136" spans="25:29">
      <c r="Y136" t="str">
        <f>IFERROR(INDEX($AB$32:$AB$208,MATCH(ROWS($Z$32:Z136),$Z$32:$Z$208,0)),"")</f>
        <v/>
      </c>
      <c r="Z136" t="str">
        <f>IF(AA136=1,COUNTIF($AA$32:AA136,1),"")</f>
        <v/>
      </c>
      <c r="AA136">
        <f t="shared" si="1"/>
        <v>0</v>
      </c>
      <c r="AB136" t="s">
        <v>1161</v>
      </c>
      <c r="AC136" t="s">
        <v>942</v>
      </c>
    </row>
    <row r="137" spans="25:29">
      <c r="Y137" t="str">
        <f>IFERROR(INDEX($AB$32:$AB$208,MATCH(ROWS($Z$32:Z137),$Z$32:$Z$208,0)),"")</f>
        <v/>
      </c>
      <c r="Z137" t="str">
        <f>IF(AA137=1,COUNTIF($AA$32:AA137,1),"")</f>
        <v/>
      </c>
      <c r="AA137">
        <f t="shared" si="1"/>
        <v>0</v>
      </c>
      <c r="AB137" t="s">
        <v>1162</v>
      </c>
      <c r="AC137" t="s">
        <v>1163</v>
      </c>
    </row>
    <row r="138" spans="25:29">
      <c r="Y138" t="str">
        <f>IFERROR(INDEX($AB$32:$AB$208,MATCH(ROWS($Z$32:Z138),$Z$32:$Z$208,0)),"")</f>
        <v/>
      </c>
      <c r="Z138" t="str">
        <f>IF(AA138=1,COUNTIF($AA$32:AA138,1),"")</f>
        <v/>
      </c>
      <c r="AA138">
        <f t="shared" si="1"/>
        <v>0</v>
      </c>
      <c r="AB138" t="s">
        <v>1164</v>
      </c>
      <c r="AC138" t="s">
        <v>1165</v>
      </c>
    </row>
    <row r="139" spans="25:29">
      <c r="Y139" t="str">
        <f>IFERROR(INDEX($AB$32:$AB$208,MATCH(ROWS($Z$32:Z139),$Z$32:$Z$208,0)),"")</f>
        <v/>
      </c>
      <c r="Z139" t="str">
        <f>IF(AA139=1,COUNTIF($AA$32:AA139,1),"")</f>
        <v/>
      </c>
      <c r="AA139">
        <f t="shared" si="1"/>
        <v>0</v>
      </c>
      <c r="AB139" t="s">
        <v>1166</v>
      </c>
      <c r="AC139" t="s">
        <v>840</v>
      </c>
    </row>
    <row r="140" spans="25:29">
      <c r="Y140" t="str">
        <f>IFERROR(INDEX($AB$32:$AB$208,MATCH(ROWS($Z$32:Z140),$Z$32:$Z$208,0)),"")</f>
        <v/>
      </c>
      <c r="Z140" t="str">
        <f>IF(AA140=1,COUNTIF($AA$32:AA140,1),"")</f>
        <v/>
      </c>
      <c r="AA140">
        <f t="shared" si="1"/>
        <v>0</v>
      </c>
      <c r="AB140" t="s">
        <v>1167</v>
      </c>
      <c r="AC140" t="s">
        <v>723</v>
      </c>
    </row>
    <row r="141" spans="25:29">
      <c r="Y141" t="str">
        <f>IFERROR(INDEX($AB$32:$AB$208,MATCH(ROWS($Z$32:Z141),$Z$32:$Z$208,0)),"")</f>
        <v/>
      </c>
      <c r="Z141" t="str">
        <f>IF(AA141=1,COUNTIF($AA$32:AA141,1),"")</f>
        <v/>
      </c>
      <c r="AA141">
        <f t="shared" si="1"/>
        <v>0</v>
      </c>
      <c r="AB141" t="s">
        <v>1168</v>
      </c>
      <c r="AC141" t="s">
        <v>964</v>
      </c>
    </row>
    <row r="142" spans="25:29">
      <c r="Y142" t="str">
        <f>IFERROR(INDEX($AB$32:$AB$208,MATCH(ROWS($Z$32:Z142),$Z$32:$Z$208,0)),"")</f>
        <v/>
      </c>
      <c r="Z142" t="str">
        <f>IF(AA142=1,COUNTIF($AA$32:AA142,1),"")</f>
        <v/>
      </c>
      <c r="AA142">
        <f t="shared" si="1"/>
        <v>0</v>
      </c>
      <c r="AB142" t="s">
        <v>1169</v>
      </c>
      <c r="AC142" t="s">
        <v>940</v>
      </c>
    </row>
    <row r="143" spans="25:29">
      <c r="Y143" t="str">
        <f>IFERROR(INDEX($AB$32:$AB$208,MATCH(ROWS($Z$32:Z143),$Z$32:$Z$208,0)),"")</f>
        <v/>
      </c>
      <c r="Z143" t="str">
        <f>IF(AA143=1,COUNTIF($AA$32:AA143,1),"")</f>
        <v/>
      </c>
      <c r="AA143">
        <f t="shared" si="1"/>
        <v>0</v>
      </c>
      <c r="AB143" t="s">
        <v>1170</v>
      </c>
      <c r="AC143" t="s">
        <v>779</v>
      </c>
    </row>
    <row r="144" spans="25:29">
      <c r="Y144" t="str">
        <f>IFERROR(INDEX($AB$32:$AB$208,MATCH(ROWS($Z$32:Z144),$Z$32:$Z$208,0)),"")</f>
        <v/>
      </c>
      <c r="Z144" t="str">
        <f>IF(AA144=1,COUNTIF($AA$32:AA144,1),"")</f>
        <v/>
      </c>
      <c r="AA144">
        <f t="shared" si="1"/>
        <v>0</v>
      </c>
      <c r="AB144" t="s">
        <v>1171</v>
      </c>
      <c r="AC144" t="s">
        <v>910</v>
      </c>
    </row>
    <row r="145" spans="25:29">
      <c r="Y145" t="str">
        <f>IFERROR(INDEX($AB$32:$AB$208,MATCH(ROWS($Z$32:Z145),$Z$32:$Z$208,0)),"")</f>
        <v/>
      </c>
      <c r="Z145" t="str">
        <f>IF(AA145=1,COUNTIF($AA$32:AA145,1),"")</f>
        <v/>
      </c>
      <c r="AA145">
        <f t="shared" si="1"/>
        <v>0</v>
      </c>
      <c r="AB145" t="s">
        <v>1172</v>
      </c>
      <c r="AC145" t="s">
        <v>958</v>
      </c>
    </row>
    <row r="146" spans="25:29">
      <c r="Y146" t="str">
        <f>IFERROR(INDEX($AB$32:$AB$208,MATCH(ROWS($Z$32:Z146),$Z$32:$Z$208,0)),"")</f>
        <v/>
      </c>
      <c r="Z146" t="str">
        <f>IF(AA146=1,COUNTIF($AA$32:AA146,1),"")</f>
        <v/>
      </c>
      <c r="AA146">
        <f t="shared" si="1"/>
        <v>0</v>
      </c>
      <c r="AB146" t="s">
        <v>1173</v>
      </c>
      <c r="AC146" t="s">
        <v>974</v>
      </c>
    </row>
    <row r="147" spans="25:29">
      <c r="Y147" t="str">
        <f>IFERROR(INDEX($AB$32:$AB$208,MATCH(ROWS($Z$32:Z147),$Z$32:$Z$208,0)),"")</f>
        <v/>
      </c>
      <c r="Z147" t="str">
        <f>IF(AA147=1,COUNTIF($AA$32:AA147,1),"")</f>
        <v/>
      </c>
      <c r="AA147">
        <f t="shared" si="1"/>
        <v>0</v>
      </c>
      <c r="AB147" t="s">
        <v>1174</v>
      </c>
      <c r="AC147" t="s">
        <v>884</v>
      </c>
    </row>
    <row r="148" spans="25:29">
      <c r="Y148" t="str">
        <f>IFERROR(INDEX($AB$32:$AB$208,MATCH(ROWS($Z$32:Z148),$Z$32:$Z$208,0)),"")</f>
        <v/>
      </c>
      <c r="Z148" t="str">
        <f>IF(AA148=1,COUNTIF($AA$32:AA148,1),"")</f>
        <v/>
      </c>
      <c r="AA148">
        <f t="shared" si="1"/>
        <v>0</v>
      </c>
      <c r="AB148" t="s">
        <v>1175</v>
      </c>
      <c r="AC148" t="s">
        <v>862</v>
      </c>
    </row>
    <row r="149" spans="25:29">
      <c r="Y149" t="str">
        <f>IFERROR(INDEX($AB$32:$AB$208,MATCH(ROWS($Z$32:Z149),$Z$32:$Z$208,0)),"")</f>
        <v/>
      </c>
      <c r="Z149" t="str">
        <f>IF(AA149=1,COUNTIF($AA$32:AA149,1),"")</f>
        <v/>
      </c>
      <c r="AA149">
        <f t="shared" si="1"/>
        <v>0</v>
      </c>
      <c r="AB149" t="s">
        <v>1176</v>
      </c>
      <c r="AC149" t="s">
        <v>1177</v>
      </c>
    </row>
    <row r="150" spans="25:29">
      <c r="Y150" t="str">
        <f>IFERROR(INDEX($AB$32:$AB$208,MATCH(ROWS($Z$32:Z150),$Z$32:$Z$208,0)),"")</f>
        <v/>
      </c>
      <c r="Z150" t="str">
        <f>IF(AA150=1,COUNTIF($AA$32:AA150,1),"")</f>
        <v/>
      </c>
      <c r="AA150">
        <f t="shared" si="1"/>
        <v>0</v>
      </c>
      <c r="AB150" t="s">
        <v>714</v>
      </c>
      <c r="AC150" t="s">
        <v>713</v>
      </c>
    </row>
    <row r="151" spans="25:29">
      <c r="Y151" t="str">
        <f>IFERROR(INDEX($AB$32:$AB$208,MATCH(ROWS($Z$32:Z151),$Z$32:$Z$208,0)),"")</f>
        <v/>
      </c>
      <c r="Z151" t="str">
        <f>IF(AA151=1,COUNTIF($AA$32:AA151,1),"")</f>
        <v/>
      </c>
      <c r="AA151">
        <f t="shared" si="1"/>
        <v>0</v>
      </c>
      <c r="AB151" t="s">
        <v>1178</v>
      </c>
      <c r="AC151" t="s">
        <v>894</v>
      </c>
    </row>
    <row r="152" spans="25:29">
      <c r="Y152" t="str">
        <f>IFERROR(INDEX($AB$32:$AB$208,MATCH(ROWS($Z$32:Z152),$Z$32:$Z$208,0)),"")</f>
        <v/>
      </c>
      <c r="Z152" t="str">
        <f>IF(AA152=1,COUNTIF($AA$32:AA152,1),"")</f>
        <v/>
      </c>
      <c r="AA152">
        <f t="shared" si="1"/>
        <v>0</v>
      </c>
      <c r="AB152" t="s">
        <v>1179</v>
      </c>
      <c r="AC152" t="s">
        <v>791</v>
      </c>
    </row>
    <row r="153" spans="25:29">
      <c r="Y153" t="str">
        <f>IFERROR(INDEX($AB$32:$AB$208,MATCH(ROWS($Z$32:Z153),$Z$32:$Z$208,0)),"")</f>
        <v/>
      </c>
      <c r="Z153" t="str">
        <f>IF(AA153=1,COUNTIF($AA$32:AA153,1),"")</f>
        <v/>
      </c>
      <c r="AA153">
        <f t="shared" si="1"/>
        <v>0</v>
      </c>
      <c r="AB153" t="s">
        <v>1180</v>
      </c>
      <c r="AC153" t="s">
        <v>950</v>
      </c>
    </row>
    <row r="154" spans="25:29">
      <c r="Y154" t="str">
        <f>IFERROR(INDEX($AB$32:$AB$208,MATCH(ROWS($Z$32:Z154),$Z$32:$Z$208,0)),"")</f>
        <v/>
      </c>
      <c r="Z154" t="str">
        <f>IF(AA154=1,COUNTIF($AA$32:AA154,1),"")</f>
        <v/>
      </c>
      <c r="AA154">
        <f t="shared" si="1"/>
        <v>0</v>
      </c>
      <c r="AB154" t="s">
        <v>1181</v>
      </c>
      <c r="AC154" t="s">
        <v>747</v>
      </c>
    </row>
    <row r="155" spans="25:29">
      <c r="Y155" t="str">
        <f>IFERROR(INDEX($AB$32:$AB$208,MATCH(ROWS($Z$32:Z155),$Z$32:$Z$208,0)),"")</f>
        <v/>
      </c>
      <c r="Z155" t="str">
        <f>IF(AA155=1,COUNTIF($AA$32:AA155,1),"")</f>
        <v/>
      </c>
      <c r="AA155">
        <f t="shared" si="1"/>
        <v>0</v>
      </c>
      <c r="AB155" t="s">
        <v>1182</v>
      </c>
      <c r="AC155" t="s">
        <v>765</v>
      </c>
    </row>
    <row r="156" spans="25:29">
      <c r="Y156" t="str">
        <f>IFERROR(INDEX($AB$32:$AB$208,MATCH(ROWS($Z$32:Z156),$Z$32:$Z$208,0)),"")</f>
        <v/>
      </c>
      <c r="Z156" t="str">
        <f>IF(AA156=1,COUNTIF($AA$32:AA156,1),"")</f>
        <v/>
      </c>
      <c r="AA156">
        <f t="shared" si="1"/>
        <v>0</v>
      </c>
      <c r="AB156" t="s">
        <v>1183</v>
      </c>
      <c r="AC156" t="s">
        <v>755</v>
      </c>
    </row>
    <row r="157" spans="25:29">
      <c r="Y157" t="str">
        <f>IFERROR(INDEX($AB$32:$AB$208,MATCH(ROWS($Z$32:Z157),$Z$32:$Z$208,0)),"")</f>
        <v/>
      </c>
      <c r="Z157" t="str">
        <f>IF(AA157=1,COUNTIF($AA$32:AA157,1),"")</f>
        <v/>
      </c>
      <c r="AA157">
        <f t="shared" si="1"/>
        <v>0</v>
      </c>
      <c r="AB157" t="s">
        <v>1184</v>
      </c>
      <c r="AC157" t="s">
        <v>900</v>
      </c>
    </row>
    <row r="158" spans="25:29">
      <c r="Y158" t="str">
        <f>IFERROR(INDEX($AB$32:$AB$208,MATCH(ROWS($Z$32:Z158),$Z$32:$Z$208,0)),"")</f>
        <v/>
      </c>
      <c r="Z158" t="str">
        <f>IF(AA158=1,COUNTIF($AA$32:AA158,1),"")</f>
        <v/>
      </c>
      <c r="AA158">
        <f t="shared" si="1"/>
        <v>0</v>
      </c>
      <c r="AB158" t="s">
        <v>1185</v>
      </c>
      <c r="AC158" t="s">
        <v>886</v>
      </c>
    </row>
    <row r="159" spans="25:29">
      <c r="Y159" t="str">
        <f>IFERROR(INDEX($AB$32:$AB$208,MATCH(ROWS($Z$32:Z159),$Z$32:$Z$208,0)),"")</f>
        <v/>
      </c>
      <c r="Z159" t="str">
        <f>IF(AA159=1,COUNTIF($AA$32:AA159,1),"")</f>
        <v/>
      </c>
      <c r="AA159">
        <f t="shared" si="1"/>
        <v>0</v>
      </c>
      <c r="AB159" t="s">
        <v>1186</v>
      </c>
      <c r="AC159" t="s">
        <v>880</v>
      </c>
    </row>
    <row r="160" spans="25:29">
      <c r="Y160" t="str">
        <f>IFERROR(INDEX($AB$32:$AB$208,MATCH(ROWS($Z$32:Z160),$Z$32:$Z$208,0)),"")</f>
        <v/>
      </c>
      <c r="Z160" t="str">
        <f>IF(AA160=1,COUNTIF($AA$32:AA160,1),"")</f>
        <v/>
      </c>
      <c r="AA160">
        <f t="shared" si="1"/>
        <v>0</v>
      </c>
      <c r="AB160" t="s">
        <v>1187</v>
      </c>
      <c r="AC160" t="s">
        <v>801</v>
      </c>
    </row>
    <row r="161" spans="25:29">
      <c r="Y161" t="str">
        <f>IFERROR(INDEX($AB$32:$AB$208,MATCH(ROWS($Z$32:Z161),$Z$32:$Z$208,0)),"")</f>
        <v/>
      </c>
      <c r="Z161" t="str">
        <f>IF(AA161=1,COUNTIF($AA$32:AA161,1),"")</f>
        <v/>
      </c>
      <c r="AA161">
        <f t="shared" ref="AA161:AA208" si="2">--ISNUMBER(IFERROR(SEARCH($D$3,AB161,1),""))</f>
        <v>0</v>
      </c>
      <c r="AB161" t="s">
        <v>1188</v>
      </c>
      <c r="AC161" t="s">
        <v>727</v>
      </c>
    </row>
    <row r="162" spans="25:29">
      <c r="Y162" t="str">
        <f>IFERROR(INDEX($AB$32:$AB$208,MATCH(ROWS($Z$32:Z162),$Z$32:$Z$208,0)),"")</f>
        <v/>
      </c>
      <c r="Z162" t="str">
        <f>IF(AA162=1,COUNTIF($AA$32:AA162,1),"")</f>
        <v/>
      </c>
      <c r="AA162">
        <f t="shared" si="2"/>
        <v>0</v>
      </c>
      <c r="AB162" t="s">
        <v>1189</v>
      </c>
      <c r="AC162" t="s">
        <v>759</v>
      </c>
    </row>
    <row r="163" spans="25:29">
      <c r="Y163" t="str">
        <f>IFERROR(INDEX($AB$32:$AB$208,MATCH(ROWS($Z$32:Z163),$Z$32:$Z$208,0)),"")</f>
        <v/>
      </c>
      <c r="Z163" t="str">
        <f>IF(AA163=1,COUNTIF($AA$32:AA163,1),"")</f>
        <v/>
      </c>
      <c r="AA163">
        <f t="shared" si="2"/>
        <v>0</v>
      </c>
      <c r="AB163" t="s">
        <v>1190</v>
      </c>
      <c r="AC163" t="s">
        <v>1191</v>
      </c>
    </row>
    <row r="164" spans="25:29">
      <c r="Y164" t="str">
        <f>IFERROR(INDEX($AB$32:$AB$208,MATCH(ROWS($Z$32:Z164),$Z$32:$Z$208,0)),"")</f>
        <v/>
      </c>
      <c r="Z164" t="str">
        <f>IF(AA164=1,COUNTIF($AA$32:AA164,1),"")</f>
        <v/>
      </c>
      <c r="AA164">
        <f t="shared" si="2"/>
        <v>0</v>
      </c>
      <c r="AB164" t="s">
        <v>1192</v>
      </c>
      <c r="AC164" t="s">
        <v>761</v>
      </c>
    </row>
    <row r="165" spans="25:29">
      <c r="Y165" t="str">
        <f>IFERROR(INDEX($AB$32:$AB$208,MATCH(ROWS($Z$32:Z165),$Z$32:$Z$208,0)),"")</f>
        <v/>
      </c>
      <c r="Z165" t="str">
        <f>IF(AA165=1,COUNTIF($AA$32:AA165,1),"")</f>
        <v/>
      </c>
      <c r="AA165">
        <f t="shared" si="2"/>
        <v>0</v>
      </c>
      <c r="AB165" t="s">
        <v>1193</v>
      </c>
      <c r="AC165" t="s">
        <v>797</v>
      </c>
    </row>
    <row r="166" spans="25:29">
      <c r="Y166" t="str">
        <f>IFERROR(INDEX($AB$32:$AB$208,MATCH(ROWS($Z$32:Z166),$Z$32:$Z$208,0)),"")</f>
        <v/>
      </c>
      <c r="Z166" t="str">
        <f>IF(AA166=1,COUNTIF($AA$32:AA166,1),"")</f>
        <v/>
      </c>
      <c r="AA166">
        <f t="shared" si="2"/>
        <v>0</v>
      </c>
      <c r="AB166" t="s">
        <v>1194</v>
      </c>
      <c r="AC166" t="s">
        <v>751</v>
      </c>
    </row>
    <row r="167" spans="25:29">
      <c r="Y167" t="str">
        <f>IFERROR(INDEX($AB$32:$AB$208,MATCH(ROWS($Z$32:Z167),$Z$32:$Z$208,0)),"")</f>
        <v/>
      </c>
      <c r="Z167" t="str">
        <f>IF(AA167=1,COUNTIF($AA$32:AA167,1),"")</f>
        <v/>
      </c>
      <c r="AA167">
        <f t="shared" si="2"/>
        <v>0</v>
      </c>
      <c r="AB167" t="s">
        <v>1195</v>
      </c>
      <c r="AC167" t="s">
        <v>992</v>
      </c>
    </row>
    <row r="168" spans="25:29">
      <c r="Y168" t="str">
        <f>IFERROR(INDEX($AB$32:$AB$208,MATCH(ROWS($Z$32:Z168),$Z$32:$Z$208,0)),"")</f>
        <v/>
      </c>
      <c r="Z168" t="str">
        <f>IF(AA168=1,COUNTIF($AA$32:AA168,1),"")</f>
        <v/>
      </c>
      <c r="AA168">
        <f t="shared" si="2"/>
        <v>0</v>
      </c>
      <c r="AB168" t="s">
        <v>1196</v>
      </c>
      <c r="AC168" t="s">
        <v>1010</v>
      </c>
    </row>
    <row r="169" spans="25:29">
      <c r="Y169" t="str">
        <f>IFERROR(INDEX($AB$32:$AB$208,MATCH(ROWS($Z$32:Z169),$Z$32:$Z$208,0)),"")</f>
        <v/>
      </c>
      <c r="Z169" t="str">
        <f>IF(AA169=1,COUNTIF($AA$32:AA169,1),"")</f>
        <v/>
      </c>
      <c r="AA169">
        <f t="shared" si="2"/>
        <v>0</v>
      </c>
      <c r="AB169" t="s">
        <v>1197</v>
      </c>
      <c r="AC169" t="s">
        <v>1198</v>
      </c>
    </row>
    <row r="170" spans="25:29">
      <c r="Y170" t="str">
        <f>IFERROR(INDEX($AB$32:$AB$208,MATCH(ROWS($Z$32:Z170),$Z$32:$Z$208,0)),"")</f>
        <v/>
      </c>
      <c r="Z170" t="str">
        <f>IF(AA170=1,COUNTIF($AA$32:AA170,1),"")</f>
        <v/>
      </c>
      <c r="AA170">
        <f t="shared" si="2"/>
        <v>0</v>
      </c>
      <c r="AB170" t="s">
        <v>1199</v>
      </c>
      <c r="AC170" t="s">
        <v>735</v>
      </c>
    </row>
    <row r="171" spans="25:29">
      <c r="Y171" t="str">
        <f>IFERROR(INDEX($AB$32:$AB$208,MATCH(ROWS($Z$32:Z171),$Z$32:$Z$208,0)),"")</f>
        <v/>
      </c>
      <c r="Z171" t="str">
        <f>IF(AA171=1,COUNTIF($AA$32:AA171,1),"")</f>
        <v/>
      </c>
      <c r="AA171">
        <f t="shared" si="2"/>
        <v>0</v>
      </c>
      <c r="AB171" t="s">
        <v>1200</v>
      </c>
      <c r="AC171" t="s">
        <v>912</v>
      </c>
    </row>
    <row r="172" spans="25:29">
      <c r="Y172" t="str">
        <f>IFERROR(INDEX($AB$32:$AB$208,MATCH(ROWS($Z$32:Z172),$Z$32:$Z$208,0)),"")</f>
        <v/>
      </c>
      <c r="Z172" t="str">
        <f>IF(AA172=1,COUNTIF($AA$32:AA172,1),"")</f>
        <v/>
      </c>
      <c r="AA172">
        <f t="shared" si="2"/>
        <v>0</v>
      </c>
      <c r="AB172" t="s">
        <v>1201</v>
      </c>
      <c r="AC172" t="s">
        <v>914</v>
      </c>
    </row>
    <row r="173" spans="25:29">
      <c r="Y173" t="str">
        <f>IFERROR(INDEX($AB$32:$AB$208,MATCH(ROWS($Z$32:Z173),$Z$32:$Z$208,0)),"")</f>
        <v/>
      </c>
      <c r="Z173" t="str">
        <f>IF(AA173=1,COUNTIF($AA$32:AA173,1),"")</f>
        <v/>
      </c>
      <c r="AA173">
        <f t="shared" si="2"/>
        <v>0</v>
      </c>
      <c r="AB173" t="s">
        <v>1202</v>
      </c>
      <c r="AC173" t="s">
        <v>922</v>
      </c>
    </row>
    <row r="174" spans="25:29">
      <c r="Y174" t="str">
        <f>IFERROR(INDEX($AB$32:$AB$208,MATCH(ROWS($Z$32:Z174),$Z$32:$Z$208,0)),"")</f>
        <v/>
      </c>
      <c r="Z174">
        <f>IF(AA174=1,COUNTIF($AA$32:AA174,1),"")</f>
        <v>1</v>
      </c>
      <c r="AA174">
        <f t="shared" si="2"/>
        <v>1</v>
      </c>
      <c r="AB174" t="s">
        <v>704</v>
      </c>
      <c r="AC174" t="s">
        <v>694</v>
      </c>
    </row>
    <row r="175" spans="25:29">
      <c r="Y175" t="str">
        <f>IFERROR(INDEX($AB$32:$AB$208,MATCH(ROWS($Z$32:Z175),$Z$32:$Z$208,0)),"")</f>
        <v/>
      </c>
      <c r="Z175" t="str">
        <f>IF(AA175=1,COUNTIF($AA$32:AA175,1),"")</f>
        <v/>
      </c>
      <c r="AA175">
        <f t="shared" si="2"/>
        <v>0</v>
      </c>
      <c r="AB175" t="s">
        <v>1203</v>
      </c>
      <c r="AC175" t="s">
        <v>1204</v>
      </c>
    </row>
    <row r="176" spans="25:29">
      <c r="Y176" t="str">
        <f>IFERROR(INDEX($AB$32:$AB$208,MATCH(ROWS($Z$32:Z176),$Z$32:$Z$208,0)),"")</f>
        <v/>
      </c>
      <c r="Z176" t="str">
        <f>IF(AA176=1,COUNTIF($AA$32:AA176,1),"")</f>
        <v/>
      </c>
      <c r="AA176">
        <f t="shared" si="2"/>
        <v>0</v>
      </c>
      <c r="AB176" t="s">
        <v>1205</v>
      </c>
      <c r="AC176" t="s">
        <v>1206</v>
      </c>
    </row>
    <row r="177" spans="25:29">
      <c r="Y177" t="str">
        <f>IFERROR(INDEX($AB$32:$AB$208,MATCH(ROWS($Z$32:Z177),$Z$32:$Z$208,0)),"")</f>
        <v/>
      </c>
      <c r="Z177" t="str">
        <f>IF(AA177=1,COUNTIF($AA$32:AA177,1),"")</f>
        <v/>
      </c>
      <c r="AA177">
        <f t="shared" si="2"/>
        <v>0</v>
      </c>
      <c r="AB177" t="s">
        <v>1207</v>
      </c>
      <c r="AC177" t="s">
        <v>920</v>
      </c>
    </row>
    <row r="178" spans="25:29">
      <c r="Y178" t="str">
        <f>IFERROR(INDEX($AB$32:$AB$208,MATCH(ROWS($Z$32:Z178),$Z$32:$Z$208,0)),"")</f>
        <v/>
      </c>
      <c r="Z178" t="str">
        <f>IF(AA178=1,COUNTIF($AA$32:AA178,1),"")</f>
        <v/>
      </c>
      <c r="AA178">
        <f t="shared" si="2"/>
        <v>0</v>
      </c>
      <c r="AB178" t="s">
        <v>937</v>
      </c>
      <c r="AC178" t="s">
        <v>936</v>
      </c>
    </row>
    <row r="179" spans="25:29">
      <c r="Y179" t="str">
        <f>IFERROR(INDEX($AB$32:$AB$208,MATCH(ROWS($Z$32:Z179),$Z$32:$Z$208,0)),"")</f>
        <v/>
      </c>
      <c r="Z179" t="str">
        <f>IF(AA179=1,COUNTIF($AA$32:AA179,1),"")</f>
        <v/>
      </c>
      <c r="AA179">
        <f t="shared" si="2"/>
        <v>0</v>
      </c>
      <c r="AB179" t="s">
        <v>1208</v>
      </c>
      <c r="AC179" t="s">
        <v>725</v>
      </c>
    </row>
    <row r="180" spans="25:29">
      <c r="Y180" t="str">
        <f>IFERROR(INDEX($AB$32:$AB$208,MATCH(ROWS($Z$32:Z180),$Z$32:$Z$208,0)),"")</f>
        <v/>
      </c>
      <c r="Z180" t="str">
        <f>IF(AA180=1,COUNTIF($AA$32:AA180,1),"")</f>
        <v/>
      </c>
      <c r="AA180">
        <f t="shared" si="2"/>
        <v>0</v>
      </c>
      <c r="AB180" t="s">
        <v>1209</v>
      </c>
      <c r="AC180" t="s">
        <v>741</v>
      </c>
    </row>
    <row r="181" spans="25:29">
      <c r="Y181" t="str">
        <f>IFERROR(INDEX($AB$32:$AB$208,MATCH(ROWS($Z$32:Z181),$Z$32:$Z$208,0)),"")</f>
        <v/>
      </c>
      <c r="Z181" t="str">
        <f>IF(AA181=1,COUNTIF($AA$32:AA181,1),"")</f>
        <v/>
      </c>
      <c r="AA181">
        <f t="shared" si="2"/>
        <v>0</v>
      </c>
      <c r="AB181" t="s">
        <v>1210</v>
      </c>
      <c r="AC181" t="s">
        <v>1211</v>
      </c>
    </row>
    <row r="182" spans="25:29">
      <c r="Y182" t="str">
        <f>IFERROR(INDEX($AB$32:$AB$208,MATCH(ROWS($Z$32:Z182),$Z$32:$Z$208,0)),"")</f>
        <v/>
      </c>
      <c r="Z182" t="str">
        <f>IF(AA182=1,COUNTIF($AA$32:AA182,1),"")</f>
        <v/>
      </c>
      <c r="AA182">
        <f t="shared" si="2"/>
        <v>0</v>
      </c>
      <c r="AB182" t="s">
        <v>1212</v>
      </c>
      <c r="AC182" t="s">
        <v>787</v>
      </c>
    </row>
    <row r="183" spans="25:29">
      <c r="Y183" t="str">
        <f>IFERROR(INDEX($AB$32:$AB$208,MATCH(ROWS($Z$32:Z183),$Z$32:$Z$208,0)),"")</f>
        <v/>
      </c>
      <c r="Z183" t="str">
        <f>IF(AA183=1,COUNTIF($AA$32:AA183,1),"")</f>
        <v/>
      </c>
      <c r="AA183">
        <f t="shared" si="2"/>
        <v>0</v>
      </c>
      <c r="AB183" t="s">
        <v>1213</v>
      </c>
      <c r="AC183" t="s">
        <v>1006</v>
      </c>
    </row>
    <row r="184" spans="25:29">
      <c r="Y184" t="str">
        <f>IFERROR(INDEX($AB$32:$AB$208,MATCH(ROWS($Z$32:Z184),$Z$32:$Z$208,0)),"")</f>
        <v/>
      </c>
      <c r="Z184" t="str">
        <f>IF(AA184=1,COUNTIF($AA$32:AA184,1),"")</f>
        <v/>
      </c>
      <c r="AA184">
        <f t="shared" si="2"/>
        <v>0</v>
      </c>
      <c r="AB184" t="s">
        <v>1214</v>
      </c>
      <c r="AC184" t="s">
        <v>888</v>
      </c>
    </row>
    <row r="185" spans="25:29">
      <c r="Y185" t="str">
        <f>IFERROR(INDEX($AB$32:$AB$208,MATCH(ROWS($Z$32:Z185),$Z$32:$Z$208,0)),"")</f>
        <v/>
      </c>
      <c r="Z185" t="str">
        <f>IF(AA185=1,COUNTIF($AA$32:AA185,1),"")</f>
        <v/>
      </c>
      <c r="AA185">
        <f t="shared" si="2"/>
        <v>0</v>
      </c>
      <c r="AB185" t="s">
        <v>1215</v>
      </c>
      <c r="AC185" t="s">
        <v>982</v>
      </c>
    </row>
    <row r="186" spans="25:29">
      <c r="Y186" t="str">
        <f>IFERROR(INDEX($AB$32:$AB$208,MATCH(ROWS($Z$32:Z186),$Z$32:$Z$208,0)),"")</f>
        <v/>
      </c>
      <c r="Z186" t="str">
        <f>IF(AA186=1,COUNTIF($AA$32:AA186,1),"")</f>
        <v/>
      </c>
      <c r="AA186">
        <f t="shared" si="2"/>
        <v>0</v>
      </c>
      <c r="AB186" t="s">
        <v>1216</v>
      </c>
      <c r="AC186" t="s">
        <v>978</v>
      </c>
    </row>
    <row r="187" spans="25:29">
      <c r="Y187" t="str">
        <f>IFERROR(INDEX($AB$32:$AB$208,MATCH(ROWS($Z$32:Z187),$Z$32:$Z$208,0)),"")</f>
        <v/>
      </c>
      <c r="Z187" t="str">
        <f>IF(AA187=1,COUNTIF($AA$32:AA187,1),"")</f>
        <v/>
      </c>
      <c r="AA187">
        <f t="shared" si="2"/>
        <v>0</v>
      </c>
      <c r="AB187" t="s">
        <v>1217</v>
      </c>
      <c r="AC187" t="s">
        <v>729</v>
      </c>
    </row>
    <row r="188" spans="25:29">
      <c r="Y188" t="str">
        <f>IFERROR(INDEX($AB$32:$AB$208,MATCH(ROWS($Z$32:Z188),$Z$32:$Z$208,0)),"")</f>
        <v/>
      </c>
      <c r="Z188" t="str">
        <f>IF(AA188=1,COUNTIF($AA$32:AA188,1),"")</f>
        <v/>
      </c>
      <c r="AA188">
        <f t="shared" si="2"/>
        <v>0</v>
      </c>
      <c r="AB188" t="s">
        <v>1062</v>
      </c>
      <c r="AC188" t="s">
        <v>705</v>
      </c>
    </row>
    <row r="189" spans="25:29">
      <c r="Y189" t="str">
        <f>IFERROR(INDEX($AB$32:$AB$208,MATCH(ROWS($Z$32:Z189),$Z$32:$Z$208,0)),"")</f>
        <v/>
      </c>
      <c r="Z189" t="str">
        <f>IF(AA189=1,COUNTIF($AA$32:AA189,1),"")</f>
        <v/>
      </c>
      <c r="AA189">
        <f t="shared" si="2"/>
        <v>0</v>
      </c>
      <c r="AB189" t="s">
        <v>1218</v>
      </c>
      <c r="AC189" t="s">
        <v>832</v>
      </c>
    </row>
    <row r="190" spans="25:29">
      <c r="Y190" t="str">
        <f>IFERROR(INDEX($AB$32:$AB$208,MATCH(ROWS($Z$32:Z190),$Z$32:$Z$208,0)),"")</f>
        <v/>
      </c>
      <c r="Z190" t="str">
        <f>IF(AA190=1,COUNTIF($AA$32:AA190,1),"")</f>
        <v/>
      </c>
      <c r="AA190">
        <f t="shared" si="2"/>
        <v>0</v>
      </c>
      <c r="AB190" t="s">
        <v>1219</v>
      </c>
      <c r="AC190" t="s">
        <v>771</v>
      </c>
    </row>
    <row r="191" spans="25:29">
      <c r="Y191" t="str">
        <f>IFERROR(INDEX($AB$32:$AB$208,MATCH(ROWS($Z$32:Z191),$Z$32:$Z$208,0)),"")</f>
        <v/>
      </c>
      <c r="Z191" t="str">
        <f>IF(AA191=1,COUNTIF($AA$32:AA191,1),"")</f>
        <v/>
      </c>
      <c r="AA191">
        <f t="shared" si="2"/>
        <v>0</v>
      </c>
      <c r="AB191" t="s">
        <v>1220</v>
      </c>
      <c r="AC191" t="s">
        <v>854</v>
      </c>
    </row>
    <row r="192" spans="25:29">
      <c r="Y192" t="str">
        <f>IFERROR(INDEX($AB$32:$AB$208,MATCH(ROWS($Z$32:Z192),$Z$32:$Z$208,0)),"")</f>
        <v/>
      </c>
      <c r="Z192" t="str">
        <f>IF(AA192=1,COUNTIF($AA$32:AA192,1),"")</f>
        <v/>
      </c>
      <c r="AA192">
        <f t="shared" si="2"/>
        <v>0</v>
      </c>
      <c r="AB192" t="s">
        <v>1221</v>
      </c>
      <c r="AC192" t="s">
        <v>715</v>
      </c>
    </row>
    <row r="193" spans="25:29">
      <c r="Y193" t="str">
        <f>IFERROR(INDEX($AB$32:$AB$208,MATCH(ROWS($Z$32:Z193),$Z$32:$Z$208,0)),"")</f>
        <v/>
      </c>
      <c r="Z193" t="str">
        <f>IF(AA193=1,COUNTIF($AA$32:AA193,1),"")</f>
        <v/>
      </c>
      <c r="AA193">
        <f t="shared" si="2"/>
        <v>0</v>
      </c>
      <c r="AB193" t="s">
        <v>1222</v>
      </c>
      <c r="AC193" t="s">
        <v>924</v>
      </c>
    </row>
    <row r="194" spans="25:29">
      <c r="Y194" t="str">
        <f>IFERROR(INDEX($AB$32:$AB$208,MATCH(ROWS($Z$32:Z194),$Z$32:$Z$208,0)),"")</f>
        <v/>
      </c>
      <c r="Z194" t="str">
        <f>IF(AA194=1,COUNTIF($AA$32:AA194,1),"")</f>
        <v/>
      </c>
      <c r="AA194">
        <f t="shared" si="2"/>
        <v>0</v>
      </c>
      <c r="AB194" t="s">
        <v>1223</v>
      </c>
      <c r="AC194" t="s">
        <v>852</v>
      </c>
    </row>
    <row r="195" spans="25:29">
      <c r="Y195" t="str">
        <f>IFERROR(INDEX($AB$32:$AB$208,MATCH(ROWS($Z$32:Z195),$Z$32:$Z$208,0)),"")</f>
        <v/>
      </c>
      <c r="Z195" t="str">
        <f>IF(AA195=1,COUNTIF($AA$32:AA195,1),"")</f>
        <v/>
      </c>
      <c r="AA195">
        <f t="shared" si="2"/>
        <v>0</v>
      </c>
      <c r="AB195" t="s">
        <v>1224</v>
      </c>
      <c r="AC195" t="s">
        <v>793</v>
      </c>
    </row>
    <row r="196" spans="25:29">
      <c r="Y196" t="str">
        <f>IFERROR(INDEX($AB$32:$AB$208,MATCH(ROWS($Z$32:Z196),$Z$32:$Z$208,0)),"")</f>
        <v/>
      </c>
      <c r="Z196" t="str">
        <f>IF(AA196=1,COUNTIF($AA$32:AA196,1),"")</f>
        <v/>
      </c>
      <c r="AA196">
        <f t="shared" si="2"/>
        <v>0</v>
      </c>
      <c r="AB196" t="s">
        <v>1225</v>
      </c>
      <c r="AC196" t="s">
        <v>737</v>
      </c>
    </row>
    <row r="197" spans="25:29">
      <c r="Y197" t="str">
        <f>IFERROR(INDEX($AB$32:$AB$208,MATCH(ROWS($Z$32:Z197),$Z$32:$Z$208,0)),"")</f>
        <v/>
      </c>
      <c r="Z197" t="str">
        <f>IF(AA197=1,COUNTIF($AA$32:AA197,1),"")</f>
        <v/>
      </c>
      <c r="AA197">
        <f t="shared" si="2"/>
        <v>0</v>
      </c>
      <c r="AB197" t="s">
        <v>1226</v>
      </c>
      <c r="AC197" t="s">
        <v>1227</v>
      </c>
    </row>
    <row r="198" spans="25:29">
      <c r="Y198" t="str">
        <f>IFERROR(INDEX($AB$32:$AB$208,MATCH(ROWS($Z$32:Z198),$Z$32:$Z$208,0)),"")</f>
        <v/>
      </c>
      <c r="Z198" t="str">
        <f>IF(AA198=1,COUNTIF($AA$32:AA198,1),"")</f>
        <v/>
      </c>
      <c r="AA198">
        <f t="shared" si="2"/>
        <v>0</v>
      </c>
      <c r="AB198" t="s">
        <v>1047</v>
      </c>
      <c r="AC198" t="s">
        <v>692</v>
      </c>
    </row>
    <row r="199" spans="25:29">
      <c r="Y199" t="str">
        <f>IFERROR(INDEX($AB$32:$AB$208,MATCH(ROWS($Z$32:Z199),$Z$32:$Z$208,0)),"")</f>
        <v/>
      </c>
      <c r="Z199" t="str">
        <f>IF(AA199=1,COUNTIF($AA$32:AA199,1),"")</f>
        <v/>
      </c>
      <c r="AA199">
        <f t="shared" si="2"/>
        <v>0</v>
      </c>
      <c r="AB199" t="s">
        <v>1228</v>
      </c>
      <c r="AC199" t="s">
        <v>795</v>
      </c>
    </row>
    <row r="200" spans="25:29">
      <c r="Y200" t="str">
        <f>IFERROR(INDEX($AB$32:$AB$208,MATCH(ROWS($Z$32:Z200),$Z$32:$Z$208,0)),"")</f>
        <v/>
      </c>
      <c r="Z200" t="str">
        <f>IF(AA200=1,COUNTIF($AA$32:AA200,1),"")</f>
        <v/>
      </c>
      <c r="AA200">
        <f t="shared" si="2"/>
        <v>0</v>
      </c>
      <c r="AB200" t="s">
        <v>1229</v>
      </c>
      <c r="AC200" t="s">
        <v>789</v>
      </c>
    </row>
    <row r="201" spans="25:29">
      <c r="Y201" t="str">
        <f>IFERROR(INDEX($AB$32:$AB$208,MATCH(ROWS($Z$32:Z201),$Z$32:$Z$208,0)),"")</f>
        <v/>
      </c>
      <c r="Z201" t="str">
        <f>IF(AA201=1,COUNTIF($AA$32:AA201,1),"")</f>
        <v/>
      </c>
      <c r="AA201">
        <f t="shared" si="2"/>
        <v>0</v>
      </c>
      <c r="AB201" t="s">
        <v>1230</v>
      </c>
      <c r="AC201" t="s">
        <v>844</v>
      </c>
    </row>
    <row r="202" spans="25:29">
      <c r="Y202" t="str">
        <f>IFERROR(INDEX($AB$32:$AB$208,MATCH(ROWS($Z$32:Z202),$Z$32:$Z$208,0)),"")</f>
        <v/>
      </c>
      <c r="Z202" t="str">
        <f>IF(AA202=1,COUNTIF($AA$32:AA202,1),"")</f>
        <v/>
      </c>
      <c r="AA202">
        <f t="shared" si="2"/>
        <v>0</v>
      </c>
      <c r="AB202" t="s">
        <v>1231</v>
      </c>
      <c r="AC202" t="s">
        <v>719</v>
      </c>
    </row>
    <row r="203" spans="25:29">
      <c r="Y203" t="str">
        <f>IFERROR(INDEX($AB$32:$AB$208,MATCH(ROWS($Z$32:Z203),$Z$32:$Z$208,0)),"")</f>
        <v/>
      </c>
      <c r="Z203" t="str">
        <f>IF(AA203=1,COUNTIF($AA$32:AA203,1),"")</f>
        <v/>
      </c>
      <c r="AA203">
        <f t="shared" si="2"/>
        <v>0</v>
      </c>
      <c r="AB203" t="s">
        <v>1232</v>
      </c>
      <c r="AC203" t="s">
        <v>972</v>
      </c>
    </row>
    <row r="204" spans="25:29">
      <c r="Y204" t="str">
        <f>IFERROR(INDEX($AB$32:$AB$208,MATCH(ROWS($Z$32:Z204),$Z$32:$Z$208,0)),"")</f>
        <v/>
      </c>
      <c r="Z204" t="str">
        <f>IF(AA204=1,COUNTIF($AA$32:AA204,1),"")</f>
        <v/>
      </c>
      <c r="AA204">
        <f t="shared" si="2"/>
        <v>0</v>
      </c>
      <c r="AB204" t="s">
        <v>1233</v>
      </c>
      <c r="AC204" t="s">
        <v>1234</v>
      </c>
    </row>
    <row r="205" spans="25:29">
      <c r="Y205" t="str">
        <f>IFERROR(INDEX($AB$32:$AB$208,MATCH(ROWS($Z$32:Z205),$Z$32:$Z$208,0)),"")</f>
        <v/>
      </c>
      <c r="Z205" t="str">
        <f>IF(AA205=1,COUNTIF($AA$32:AA205,1),"")</f>
        <v/>
      </c>
      <c r="AA205">
        <f t="shared" si="2"/>
        <v>0</v>
      </c>
      <c r="AB205" t="s">
        <v>1235</v>
      </c>
      <c r="AC205" t="s">
        <v>777</v>
      </c>
    </row>
    <row r="206" spans="25:29">
      <c r="Y206" t="str">
        <f>IFERROR(INDEX($AB$32:$AB$208,MATCH(ROWS($Z$32:Z206),$Z$32:$Z$208,0)),"")</f>
        <v/>
      </c>
      <c r="Z206" t="str">
        <f>IF(AA206=1,COUNTIF($AA$32:AA206,1),"")</f>
        <v/>
      </c>
      <c r="AA206">
        <f t="shared" si="2"/>
        <v>0</v>
      </c>
      <c r="AB206" t="s">
        <v>1236</v>
      </c>
      <c r="AC206" t="s">
        <v>904</v>
      </c>
    </row>
    <row r="207" spans="25:29">
      <c r="Y207" t="str">
        <f>IFERROR(INDEX($AB$32:$AB$208,MATCH(ROWS($Z$32:Z207),$Z$32:$Z$208,0)),"")</f>
        <v/>
      </c>
      <c r="Z207" t="str">
        <f>IF(AA207=1,COUNTIF($AA$32:AA207,1),"")</f>
        <v/>
      </c>
      <c r="AA207">
        <f t="shared" si="2"/>
        <v>0</v>
      </c>
      <c r="AB207" t="s">
        <v>1237</v>
      </c>
      <c r="AC207" t="s">
        <v>1238</v>
      </c>
    </row>
    <row r="208" spans="25:29">
      <c r="Y208" t="str">
        <f>IFERROR(INDEX($AB$32:$AB$208,MATCH(ROWS($Z$32:Z208),$Z$32:$Z$208,0)),"")</f>
        <v/>
      </c>
      <c r="Z208" t="str">
        <f>IF(AA208=1,COUNTIF($AA$32:AA208,1),"")</f>
        <v/>
      </c>
      <c r="AA208">
        <f t="shared" si="2"/>
        <v>0</v>
      </c>
      <c r="AB208" t="s">
        <v>1239</v>
      </c>
      <c r="AC208" t="s">
        <v>866</v>
      </c>
    </row>
  </sheetData>
  <mergeCells count="3">
    <mergeCell ref="B1:B4"/>
    <mergeCell ref="A7:B7"/>
    <mergeCell ref="A30:B33"/>
  </mergeCells>
  <conditionalFormatting sqref="H16:I16">
    <cfRule type="colorScale" priority="6">
      <colorScale>
        <cfvo type="min"/>
        <cfvo type="percentile" val="50"/>
        <cfvo type="max"/>
        <color rgb="FFF8696B"/>
        <color rgb="FFFCFCFF"/>
        <color rgb="FF63BE7B"/>
      </colorScale>
    </cfRule>
  </conditionalFormatting>
  <conditionalFormatting sqref="H17:I17">
    <cfRule type="colorScale" priority="5">
      <colorScale>
        <cfvo type="min"/>
        <cfvo type="percentile" val="50"/>
        <cfvo type="max"/>
        <color rgb="FFF8696B"/>
        <color rgb="FFFCFCFF"/>
        <color rgb="FF63BE7B"/>
      </colorScale>
    </cfRule>
  </conditionalFormatting>
  <conditionalFormatting sqref="H18:I18">
    <cfRule type="colorScale" priority="4">
      <colorScale>
        <cfvo type="min"/>
        <cfvo type="percentile" val="50"/>
        <cfvo type="max"/>
        <color rgb="FFF8696B"/>
        <color rgb="FFFCFCFF"/>
        <color rgb="FF63BE7B"/>
      </colorScale>
    </cfRule>
  </conditionalFormatting>
  <conditionalFormatting sqref="H19:I20">
    <cfRule type="colorScale" priority="3">
      <colorScale>
        <cfvo type="min"/>
        <cfvo type="percentile" val="50"/>
        <cfvo type="max"/>
        <color rgb="FFF8696B"/>
        <color rgb="FFFCFCFF"/>
        <color rgb="FF63BE7B"/>
      </colorScale>
    </cfRule>
  </conditionalFormatting>
  <conditionalFormatting sqref="H21:I21">
    <cfRule type="colorScale" priority="2">
      <colorScale>
        <cfvo type="min"/>
        <cfvo type="percentile" val="50"/>
        <cfvo type="max"/>
        <color rgb="FFF8696B"/>
        <color rgb="FFFCFCFF"/>
        <color rgb="FF63BE7B"/>
      </colorScale>
    </cfRule>
  </conditionalFormatting>
  <conditionalFormatting sqref="K16:K21">
    <cfRule type="cellIs" dxfId="2" priority="1" operator="greaterThan">
      <formula>0</formula>
    </cfRule>
  </conditionalFormatting>
  <hyperlinks>
    <hyperlink ref="A7:B7" location="'Home'!A1" display="Home" xr:uid="{F27C946E-BB1F-418D-8F97-03B7EAE92725}"/>
  </hyperlink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01" r:id="rId4" name="ComboBox1">
          <controlPr defaultSize="0" autoLine="0" linkedCell="D3" r:id="rId5">
            <anchor moveWithCells="1">
              <from>
                <xdr:col>3</xdr:col>
                <xdr:colOff>0</xdr:colOff>
                <xdr:row>2</xdr:row>
                <xdr:rowOff>0</xdr:rowOff>
              </from>
              <to>
                <xdr:col>4</xdr:col>
                <xdr:colOff>12700</xdr:colOff>
                <xdr:row>3</xdr:row>
                <xdr:rowOff>38100</xdr:rowOff>
              </to>
            </anchor>
          </controlPr>
        </control>
      </mc:Choice>
      <mc:Fallback>
        <control shapeId="51201" r:id="rId4" name="ComboBox1"/>
      </mc:Fallback>
    </mc:AlternateContent>
  </controls>
  <tableParts count="1">
    <tablePart r:id="rId6"/>
  </tableParts>
  <extLst>
    <ext xmlns:x14="http://schemas.microsoft.com/office/spreadsheetml/2009/9/main" uri="{05C60535-1F16-4fd2-B633-F4F36F0B64E0}">
      <x14:sparklineGroups xmlns:xm="http://schemas.microsoft.com/office/excel/2006/main">
        <x14:sparklineGroup manualMax="0" manualMin="0" displayEmptyCellsAs="gap" xr2:uid="{6B2B73AB-207D-4B53-993F-D5A965AAEDBF}">
          <x14:colorSeries rgb="FF376092"/>
          <x14:colorNegative rgb="FFD00000"/>
          <x14:colorAxis rgb="FF000000"/>
          <x14:colorMarkers rgb="FFD00000"/>
          <x14:colorFirst rgb="FFD00000"/>
          <x14:colorLast rgb="FFD00000"/>
          <x14:colorHigh rgb="FFD00000"/>
          <x14:colorLow rgb="FFD00000"/>
          <x14:sparklines>
            <x14:sparkline>
              <xm:f>'Popular Currency'!L16:X16</xm:f>
              <xm:sqref>K16</xm:sqref>
            </x14:sparkline>
            <x14:sparkline>
              <xm:f>'Popular Currency'!L17:X17</xm:f>
              <xm:sqref>K17</xm:sqref>
            </x14:sparkline>
            <x14:sparkline>
              <xm:f>'Popular Currency'!L18:X18</xm:f>
              <xm:sqref>K18</xm:sqref>
            </x14:sparkline>
            <x14:sparkline>
              <xm:f>'Popular Currency'!L19:X19</xm:f>
              <xm:sqref>K19</xm:sqref>
            </x14:sparkline>
            <x14:sparkline>
              <xm:f>'Popular Currency'!L20:X20</xm:f>
              <xm:sqref>K20</xm:sqref>
            </x14:sparkline>
            <x14:sparkline>
              <xm:f>'Popular Currency'!L21:X21</xm:f>
              <xm:sqref>K21</xm:sqref>
            </x14:sparkline>
          </x14:sparklines>
        </x14:sparklineGroup>
      </x14:sparklineGroup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2564A-3F58-4DB2-8B1B-8AD16A6CD3F8}">
  <sheetPr>
    <pageSetUpPr fitToPage="1"/>
  </sheetPr>
  <dimension ref="B1:J40"/>
  <sheetViews>
    <sheetView showGridLines="0" showZeros="0" zoomScale="85" zoomScaleNormal="85" workbookViewId="0">
      <selection activeCell="N9" sqref="N9"/>
    </sheetView>
  </sheetViews>
  <sheetFormatPr defaultRowHeight="14.5"/>
  <cols>
    <col min="1" max="1" width="1.81640625" customWidth="1"/>
    <col min="2" max="2" width="5.81640625" customWidth="1"/>
    <col min="3" max="3" width="13" customWidth="1"/>
    <col min="4" max="4" width="21.26953125" customWidth="1"/>
    <col min="5" max="5" width="12.7265625" customWidth="1"/>
    <col min="6" max="6" width="7.7265625" customWidth="1"/>
    <col min="7" max="7" width="46.81640625" customWidth="1"/>
    <col min="8" max="8" width="51.1796875" customWidth="1"/>
  </cols>
  <sheetData>
    <row r="1" spans="2:10" ht="9.75" customHeight="1">
      <c r="B1" s="535"/>
      <c r="C1" s="535"/>
      <c r="D1" s="535"/>
      <c r="E1" s="535"/>
      <c r="F1" s="535"/>
      <c r="I1" s="535"/>
    </row>
    <row r="2" spans="2:10" ht="33.75" customHeight="1">
      <c r="B2" s="789" t="e" vm="1518">
        <v>#VALUE!</v>
      </c>
      <c r="C2" s="790"/>
      <c r="D2" s="790"/>
      <c r="E2" s="790"/>
      <c r="F2" s="790"/>
      <c r="G2" s="790"/>
      <c r="H2" s="551" cm="1">
        <f t="array" ref="H2">IFERROR(_FV(I_SYM,"Last trade time",TRUE)+(I2/24),"")</f>
        <v>44586.319444444445</v>
      </c>
      <c r="I2" s="550">
        <v>-7</v>
      </c>
      <c r="J2" s="121" t="s">
        <v>1240</v>
      </c>
    </row>
    <row r="3" spans="2:10" ht="26">
      <c r="B3" s="536"/>
      <c r="C3" s="549" cm="1">
        <f t="array" ref="C3">_FV(I_SYM,"Price",TRUE)</f>
        <v>1.3442000000000001</v>
      </c>
      <c r="D3" s="548" t="str" cm="1">
        <f t="array" ref="D3">ROUND(_xlfn.FIELDVALUE(I_SYM,"Change"),2) &amp;" ("&amp;ROUND(_xlfn.FIELDVALUE(I_SYM,"Change (%)"),2)&amp;"%)"</f>
        <v>0 (0%)</v>
      </c>
      <c r="E3" s="547" t="str">
        <f>"1 "&amp; E5 &amp;" is worth "&amp;C3&amp;" "&amp;G5</f>
        <v>1 USD is worth 1.3442 SGD</v>
      </c>
      <c r="H3" cm="1">
        <f t="array" aca="1" ref="H3" ca="1">IFERROR(INDIRECT(E5),INDIRECT("OTH"))</f>
        <v>0</v>
      </c>
      <c r="I3" s="531"/>
    </row>
    <row r="4" spans="2:10">
      <c r="B4" s="536"/>
      <c r="C4" s="546"/>
      <c r="D4" s="545"/>
      <c r="I4" s="531"/>
    </row>
    <row r="5" spans="2:10" ht="18" customHeight="1">
      <c r="B5" s="536"/>
      <c r="C5" s="791" t="str" cm="1">
        <f t="array" ref="C5">_FV(I_SYM,"Name",TRUE)</f>
        <v>US Dollar/Singapore Dollar FX Spot Rate</v>
      </c>
      <c r="D5" s="791"/>
      <c r="E5" s="544" t="str" cm="1">
        <f t="array" ref="E5">_FV(I_SYM,"From currency",TRUE)</f>
        <v>USD</v>
      </c>
      <c r="F5" s="543" t="s">
        <v>1241</v>
      </c>
      <c r="G5" s="542" t="str" cm="1">
        <f t="array" ref="G5">_FV(I_SYM,"Currency",TRUE)</f>
        <v>SGD</v>
      </c>
      <c r="I5" s="531"/>
    </row>
    <row r="6" spans="2:10" ht="14.25" customHeight="1">
      <c r="B6" s="536"/>
      <c r="C6" s="791"/>
      <c r="D6" s="791"/>
      <c r="E6" s="541" t="str">
        <f>IFERROR(IF(MATCH(CHART!$E$5,Flags!$C$4:$C$11,0)&gt;0,CHART!$E$5,"OTH"),"OTH")</f>
        <v>USD</v>
      </c>
      <c r="G6" t="str">
        <f>IFERROR(IF(MATCH(CHART!$G$5,Flags!$C$4:$C$11,0)&gt;0,CHART!$G$5,"OTH"),"OTH")</f>
        <v>OTH</v>
      </c>
      <c r="I6" s="531"/>
    </row>
    <row r="7" spans="2:10">
      <c r="B7" s="536"/>
      <c r="F7" s="535"/>
      <c r="I7" s="531"/>
    </row>
    <row r="8" spans="2:10">
      <c r="B8" s="536"/>
      <c r="F8" s="535"/>
      <c r="I8" s="531"/>
    </row>
    <row r="9" spans="2:10">
      <c r="B9" s="536"/>
      <c r="F9" s="535"/>
      <c r="I9" s="531"/>
    </row>
    <row r="10" spans="2:10">
      <c r="B10" s="536"/>
      <c r="F10" s="535"/>
      <c r="I10" s="531"/>
    </row>
    <row r="11" spans="2:10">
      <c r="B11" s="536"/>
      <c r="F11" s="535"/>
      <c r="I11" s="531"/>
    </row>
    <row r="12" spans="2:10">
      <c r="B12" s="536"/>
      <c r="F12" s="535"/>
      <c r="I12" s="531"/>
    </row>
    <row r="13" spans="2:10">
      <c r="B13" s="536"/>
      <c r="F13" s="535"/>
      <c r="I13" s="531"/>
    </row>
    <row r="14" spans="2:10">
      <c r="B14" s="536"/>
      <c r="F14" s="535"/>
      <c r="I14" s="531"/>
    </row>
    <row r="15" spans="2:10">
      <c r="B15" s="536"/>
      <c r="F15" s="535"/>
      <c r="I15" s="531"/>
    </row>
    <row r="16" spans="2:10">
      <c r="B16" s="536"/>
      <c r="F16" s="535"/>
      <c r="I16" s="531"/>
    </row>
    <row r="17" spans="2:9">
      <c r="B17" s="536"/>
      <c r="F17" s="535"/>
      <c r="I17" s="531"/>
    </row>
    <row r="18" spans="2:9" ht="15.5">
      <c r="B18" s="536"/>
      <c r="E18" s="540"/>
      <c r="F18" s="535"/>
      <c r="I18" s="531"/>
    </row>
    <row r="19" spans="2:9" ht="15.5">
      <c r="B19" s="536"/>
      <c r="E19" s="540"/>
      <c r="F19" s="535"/>
      <c r="I19" s="531"/>
    </row>
    <row r="20" spans="2:9" ht="15.5">
      <c r="B20" s="536"/>
      <c r="E20" s="539"/>
      <c r="F20" s="535"/>
      <c r="I20" s="531"/>
    </row>
    <row r="21" spans="2:9">
      <c r="B21" s="536"/>
      <c r="F21" s="535"/>
      <c r="I21" s="531"/>
    </row>
    <row r="22" spans="2:9">
      <c r="B22" s="536"/>
      <c r="F22" s="535"/>
      <c r="I22" s="531"/>
    </row>
    <row r="23" spans="2:9">
      <c r="B23" s="536"/>
      <c r="F23" s="535"/>
      <c r="I23" s="531"/>
    </row>
    <row r="24" spans="2:9" ht="15.5">
      <c r="B24" s="536"/>
      <c r="E24" s="538"/>
      <c r="F24" s="535"/>
      <c r="I24" s="531"/>
    </row>
    <row r="25" spans="2:9" ht="15.5">
      <c r="B25" s="536"/>
      <c r="E25" s="538"/>
      <c r="F25" s="535"/>
      <c r="I25" s="531"/>
    </row>
    <row r="26" spans="2:9" ht="15.5">
      <c r="B26" s="536"/>
      <c r="E26" s="538"/>
      <c r="F26" s="535"/>
      <c r="I26" s="531"/>
    </row>
    <row r="27" spans="2:9">
      <c r="B27" s="536"/>
      <c r="E27" s="537"/>
      <c r="F27" s="535"/>
      <c r="I27" s="531"/>
    </row>
    <row r="28" spans="2:9" ht="15.5">
      <c r="B28" s="536"/>
      <c r="E28" s="538"/>
      <c r="F28" s="535"/>
      <c r="I28" s="531"/>
    </row>
    <row r="29" spans="2:9">
      <c r="B29" s="536"/>
      <c r="E29" s="537"/>
      <c r="F29" s="535"/>
      <c r="I29" s="531"/>
    </row>
    <row r="30" spans="2:9" ht="15" customHeight="1">
      <c r="B30" s="536"/>
      <c r="E30" s="534"/>
      <c r="F30" s="535"/>
      <c r="I30" s="531"/>
    </row>
    <row r="31" spans="2:9">
      <c r="B31" s="536"/>
      <c r="E31" s="534"/>
      <c r="F31" s="535"/>
      <c r="I31" s="531"/>
    </row>
    <row r="32" spans="2:9">
      <c r="B32" s="532"/>
      <c r="E32" s="534"/>
      <c r="I32" s="531"/>
    </row>
    <row r="33" spans="2:9">
      <c r="B33" s="532"/>
      <c r="E33" s="534"/>
      <c r="F33" s="533"/>
      <c r="I33" s="531"/>
    </row>
    <row r="34" spans="2:9">
      <c r="B34" s="532"/>
      <c r="E34" s="534"/>
      <c r="F34" s="533"/>
      <c r="I34" s="531"/>
    </row>
    <row r="35" spans="2:9">
      <c r="B35" s="532"/>
      <c r="E35" s="534"/>
      <c r="F35" s="533"/>
      <c r="I35" s="531"/>
    </row>
    <row r="36" spans="2:9">
      <c r="B36" s="532"/>
      <c r="F36" s="533"/>
      <c r="I36" s="531"/>
    </row>
    <row r="37" spans="2:9">
      <c r="B37" s="532"/>
      <c r="F37" s="533"/>
      <c r="I37" s="531"/>
    </row>
    <row r="38" spans="2:9">
      <c r="B38" s="532"/>
      <c r="F38" s="533"/>
      <c r="I38" s="531"/>
    </row>
    <row r="39" spans="2:9">
      <c r="B39" s="532"/>
      <c r="I39" s="531"/>
    </row>
    <row r="40" spans="2:9">
      <c r="B40" s="530"/>
      <c r="C40" s="529"/>
      <c r="D40" s="529"/>
      <c r="E40" s="529"/>
      <c r="F40" s="529"/>
      <c r="G40" s="529"/>
      <c r="H40" s="529"/>
      <c r="I40" s="528"/>
    </row>
  </sheetData>
  <sheetProtection algorithmName="SHA-512" hashValue="J8dOf+NE2W9vNd0dSfry5XCRQAcjmmSfV+tmcSvMkt4mV+EGJmdiQD69Gk5kB3CZ3l6EoFzeY49O+3s/p57rYg==" saltValue="jCZ4NnsJ5UzZw11Qqu6Lfw==" spinCount="100000" sheet="1" scenarios="1" formatCells="0" formatColumns="0" formatRows="0" pivotTables="0"/>
  <mergeCells count="2">
    <mergeCell ref="B2:G2"/>
    <mergeCell ref="C5:D6"/>
  </mergeCells>
  <conditionalFormatting sqref="D3">
    <cfRule type="expression" dxfId="1" priority="1">
      <formula>_xlfn.FIELDVALUE(I_SYM,"Change")&lt;0</formula>
    </cfRule>
    <cfRule type="expression" dxfId="0" priority="2">
      <formula>_xlfn.FIELDVALUE(I_SYM,"Change")&gt;0</formula>
    </cfRule>
  </conditionalFormatting>
  <pageMargins left="0.25" right="0.25" top="0.75" bottom="0.75" header="0.3" footer="0.3"/>
  <pageSetup scale="67" orientation="landscape" r:id="rId1"/>
  <drawing r:id="rId2"/>
  <legacyDrawing r:id="rId3"/>
  <extLst>
    <ext xmlns:x14="http://schemas.microsoft.com/office/spreadsheetml/2009/9/main" uri="{A8765BA9-456A-4dab-B4F3-ACF838C121DE}">
      <x14:slicerList>
        <x14:slicer r:id="rId4"/>
      </x14:slicerList>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6B3D1-FEF8-4D42-BB29-F347F52A3589}">
  <dimension ref="A1:Q1503"/>
  <sheetViews>
    <sheetView showGridLines="0" zoomScaleNormal="100" workbookViewId="0">
      <selection activeCell="C34" sqref="C34"/>
    </sheetView>
  </sheetViews>
  <sheetFormatPr defaultRowHeight="14.5"/>
  <cols>
    <col min="1" max="1" width="22.54296875" bestFit="1" customWidth="1"/>
    <col min="2" max="2" width="8.26953125" customWidth="1"/>
    <col min="3" max="3" width="10.7265625" customWidth="1"/>
    <col min="4" max="4" width="13.7265625" customWidth="1"/>
    <col min="8" max="8" width="11.81640625" customWidth="1"/>
    <col min="9" max="10" width="4.453125" customWidth="1"/>
    <col min="11" max="12" width="11.81640625" customWidth="1"/>
    <col min="14" max="17" width="11.81640625" customWidth="1"/>
    <col min="18" max="18" width="12.1796875" customWidth="1"/>
    <col min="19" max="19" width="11.1796875" customWidth="1"/>
    <col min="21" max="21" width="14.26953125" bestFit="1" customWidth="1"/>
    <col min="22" max="22" width="14" bestFit="1" customWidth="1"/>
    <col min="23" max="23" width="10.81640625" customWidth="1"/>
  </cols>
  <sheetData>
    <row r="1" spans="1:17">
      <c r="A1" s="522" t="s">
        <v>1242</v>
      </c>
    </row>
    <row r="2" spans="1:17">
      <c r="A2" t="s">
        <v>1243</v>
      </c>
      <c r="C2" s="527" t="s">
        <v>1244</v>
      </c>
      <c r="D2" s="527"/>
      <c r="E2" s="527"/>
      <c r="F2" s="527"/>
      <c r="G2" s="527"/>
      <c r="H2" s="527"/>
      <c r="L2" s="792" t="s">
        <v>1245</v>
      </c>
      <c r="M2" s="792"/>
      <c r="N2" s="792"/>
      <c r="O2" s="792"/>
      <c r="P2" s="792"/>
      <c r="Q2" s="792"/>
    </row>
    <row r="3" spans="1:17" ht="18" customHeight="1">
      <c r="A3" s="521">
        <f ca="1">A5-1830</f>
        <v>42756</v>
      </c>
      <c r="B3" s="23"/>
      <c r="C3" s="526" t="str" cm="1">
        <f t="array" aca="1" ref="C3:H1307" ca="1">IFERROR(_xlfn.STOCKHISTORY(I_SYM,C_ST_DT,C_END_DT,C_INTERVAL,1,0,5,2,3,4,1),{0,0})</f>
        <v>Date</v>
      </c>
      <c r="D3" s="525" t="str">
        <f ca="1"/>
        <v>Volume</v>
      </c>
      <c r="E3" s="525" t="str">
        <f ca="1"/>
        <v>Open</v>
      </c>
      <c r="F3" s="525" t="str">
        <f ca="1"/>
        <v>High</v>
      </c>
      <c r="G3" s="525" t="str">
        <f ca="1"/>
        <v>Low</v>
      </c>
      <c r="H3" s="525" t="str">
        <f ca="1"/>
        <v>Close</v>
      </c>
      <c r="I3" s="443"/>
      <c r="J3" s="443"/>
      <c r="K3" s="443" t="s">
        <v>1246</v>
      </c>
      <c r="L3" s="443" t="s">
        <v>1247</v>
      </c>
      <c r="M3" s="443" t="s">
        <v>571</v>
      </c>
      <c r="N3" s="443" t="s">
        <v>1036</v>
      </c>
      <c r="O3" s="443" t="s">
        <v>1037</v>
      </c>
      <c r="P3" s="443" t="s">
        <v>1038</v>
      </c>
      <c r="Q3" s="443" t="s">
        <v>1248</v>
      </c>
    </row>
    <row r="4" spans="1:17">
      <c r="A4" t="s">
        <v>1249</v>
      </c>
      <c r="C4" vm="1519">
        <f ca="1"/>
        <v>42758</v>
      </c>
      <c r="D4">
        <f ca="1"/>
        <v>0</v>
      </c>
      <c r="E4" vm="1520">
        <f ca="1"/>
        <v>1.4247000000000001</v>
      </c>
      <c r="F4" vm="1521">
        <f ca="1"/>
        <v>1.4261999999999999</v>
      </c>
      <c r="G4" vm="1522">
        <f ca="1"/>
        <v>1.4169</v>
      </c>
      <c r="H4" vm="1523">
        <f ca="1"/>
        <v>1.4175</v>
      </c>
      <c r="K4">
        <f ca="1">IF(ROW(T_CALC[[#This Row],[DAY]])-ROW(T_CALC[[#Headers],[DAY]])&gt;C_N_TRADING_DAYS,"",ROW(T_CALC[[#This Row],[DAY]])-ROW(T_CALC[[#Headers],[DAY]]))</f>
        <v>1</v>
      </c>
      <c r="L4" cm="1" vm="1519">
        <f t="array" aca="1" ref="L4" ca="1">IFERROR(INDEX(_xlfn.ANCHORARRAY($C$3),T_CALC[[#This Row],[DAY]]+1,1),NA())</f>
        <v>42758</v>
      </c>
      <c r="M4" cm="1" vm="1520">
        <f t="array" aca="1" ref="M4" ca="1">IFERROR(INDEX(_xlfn.ANCHORARRAY($C$3),T_CALC[[#This Row],[DAY]]+1,3),NA())</f>
        <v>1.4247000000000001</v>
      </c>
      <c r="N4" cm="1" vm="1521">
        <f t="array" aca="1" ref="N4" ca="1">IFERROR(INDEX(_xlfn.ANCHORARRAY($C$3),T_CALC[[#This Row],[DAY]]+1,4),NA())</f>
        <v>1.4261999999999999</v>
      </c>
      <c r="O4" cm="1" vm="1522">
        <f t="array" aca="1" ref="O4" ca="1">IFERROR(INDEX(_xlfn.ANCHORARRAY($C$3),T_CALC[[#This Row],[DAY]]+1,5),NA())</f>
        <v>1.4169</v>
      </c>
      <c r="P4" cm="1" vm="1523">
        <f t="array" aca="1" ref="P4" ca="1">IFERROR(INDEX(_xlfn.ANCHORARRAY($C$3),T_CALC[[#This Row],[DAY]]+1,6),NA())</f>
        <v>1.4175</v>
      </c>
      <c r="Q4" cm="1">
        <f t="array" aca="1" ref="Q4" ca="1">IFERROR(INDEX(_xlfn.ANCHORARRAY($C$3),T_CALC[[#This Row],[DAY]]+1,2),NA())</f>
        <v>0</v>
      </c>
    </row>
    <row r="5" spans="1:17">
      <c r="A5" s="521">
        <f ca="1">TODAY()</f>
        <v>44586</v>
      </c>
      <c r="C5" vm="1524">
        <f ca="1"/>
        <v>42759</v>
      </c>
      <c r="D5">
        <f ca="1"/>
        <v>0</v>
      </c>
      <c r="E5" vm="1525">
        <f ca="1"/>
        <v>1.4172</v>
      </c>
      <c r="F5" vm="1526">
        <f ca="1"/>
        <v>1.4216</v>
      </c>
      <c r="G5" vm="1527">
        <f ca="1"/>
        <v>1.4144000000000001</v>
      </c>
      <c r="H5" vm="1528">
        <f ca="1"/>
        <v>1.421</v>
      </c>
      <c r="K5">
        <f ca="1">IF(ROW(T_CALC[[#This Row],[DAY]])-ROW(T_CALC[[#Headers],[DAY]])&gt;C_N_TRADING_DAYS,"",ROW(T_CALC[[#This Row],[DAY]])-ROW(T_CALC[[#Headers],[DAY]]))</f>
        <v>2</v>
      </c>
      <c r="L5" cm="1" vm="1524">
        <f t="array" aca="1" ref="L5" ca="1">IFERROR(INDEX(_xlfn.ANCHORARRAY($C$3),T_CALC[[#This Row],[DAY]]+1,1),NA())</f>
        <v>42759</v>
      </c>
      <c r="M5" cm="1" vm="1525">
        <f t="array" aca="1" ref="M5" ca="1">IFERROR(INDEX(_xlfn.ANCHORARRAY($C$3),T_CALC[[#This Row],[DAY]]+1,3),NA())</f>
        <v>1.4172</v>
      </c>
      <c r="N5" cm="1" vm="1526">
        <f t="array" aca="1" ref="N5" ca="1">IFERROR(INDEX(_xlfn.ANCHORARRAY($C$3),T_CALC[[#This Row],[DAY]]+1,4),NA())</f>
        <v>1.4216</v>
      </c>
      <c r="O5" cm="1" vm="1527">
        <f t="array" aca="1" ref="O5" ca="1">IFERROR(INDEX(_xlfn.ANCHORARRAY($C$3),T_CALC[[#This Row],[DAY]]+1,5),NA())</f>
        <v>1.4144000000000001</v>
      </c>
      <c r="P5" cm="1" vm="1528">
        <f t="array" aca="1" ref="P5" ca="1">IFERROR(INDEX(_xlfn.ANCHORARRAY($C$3),T_CALC[[#This Row],[DAY]]+1,6),NA())</f>
        <v>1.421</v>
      </c>
      <c r="Q5" cm="1">
        <f t="array" aca="1" ref="Q5" ca="1">IFERROR(INDEX(_xlfn.ANCHORARRAY($C$3),T_CALC[[#This Row],[DAY]]+1,2),NA())</f>
        <v>0</v>
      </c>
    </row>
    <row r="6" spans="1:17">
      <c r="C6" vm="1529">
        <f ca="1"/>
        <v>42760</v>
      </c>
      <c r="D6">
        <f ca="1"/>
        <v>0</v>
      </c>
      <c r="E6" vm="1530">
        <f ca="1"/>
        <v>1.4211</v>
      </c>
      <c r="F6" vm="1531">
        <f ca="1"/>
        <v>1.4215</v>
      </c>
      <c r="G6" vm="1532">
        <f ca="1"/>
        <v>1.4117</v>
      </c>
      <c r="H6" vm="1533">
        <f ca="1"/>
        <v>1.4129</v>
      </c>
      <c r="K6">
        <f ca="1">IF(ROW(T_CALC[[#This Row],[DAY]])-ROW(T_CALC[[#Headers],[DAY]])&gt;C_N_TRADING_DAYS,"",ROW(T_CALC[[#This Row],[DAY]])-ROW(T_CALC[[#Headers],[DAY]]))</f>
        <v>3</v>
      </c>
      <c r="L6" cm="1" vm="1529">
        <f t="array" aca="1" ref="L6" ca="1">IFERROR(INDEX(_xlfn.ANCHORARRAY($C$3),T_CALC[[#This Row],[DAY]]+1,1),NA())</f>
        <v>42760</v>
      </c>
      <c r="M6" cm="1" vm="1530">
        <f t="array" aca="1" ref="M6" ca="1">IFERROR(INDEX(_xlfn.ANCHORARRAY($C$3),T_CALC[[#This Row],[DAY]]+1,3),NA())</f>
        <v>1.4211</v>
      </c>
      <c r="N6" cm="1" vm="1531">
        <f t="array" aca="1" ref="N6" ca="1">IFERROR(INDEX(_xlfn.ANCHORARRAY($C$3),T_CALC[[#This Row],[DAY]]+1,4),NA())</f>
        <v>1.4215</v>
      </c>
      <c r="O6" cm="1" vm="1532">
        <f t="array" aca="1" ref="O6" ca="1">IFERROR(INDEX(_xlfn.ANCHORARRAY($C$3),T_CALC[[#This Row],[DAY]]+1,5),NA())</f>
        <v>1.4117</v>
      </c>
      <c r="P6" cm="1" vm="1533">
        <f t="array" aca="1" ref="P6" ca="1">IFERROR(INDEX(_xlfn.ANCHORARRAY($C$3),T_CALC[[#This Row],[DAY]]+1,6),NA())</f>
        <v>1.4129</v>
      </c>
      <c r="Q6" cm="1">
        <f t="array" aca="1" ref="Q6" ca="1">IFERROR(INDEX(_xlfn.ANCHORARRAY($C$3),T_CALC[[#This Row],[DAY]]+1,2),NA())</f>
        <v>0</v>
      </c>
    </row>
    <row r="7" spans="1:17">
      <c r="A7" s="522" t="s">
        <v>1250</v>
      </c>
      <c r="C7" vm="1534">
        <f ca="1"/>
        <v>42761</v>
      </c>
      <c r="D7">
        <f ca="1"/>
        <v>0</v>
      </c>
      <c r="E7" vm="1535">
        <f ca="1"/>
        <v>1.4128000000000001</v>
      </c>
      <c r="F7" vm="1536">
        <f ca="1"/>
        <v>1.4280999999999999</v>
      </c>
      <c r="G7" vm="1537">
        <f ca="1"/>
        <v>1.4108000000000001</v>
      </c>
      <c r="H7" vm="1538">
        <f ca="1"/>
        <v>1.4263999999999999</v>
      </c>
      <c r="K7">
        <f ca="1">IF(ROW(T_CALC[[#This Row],[DAY]])-ROW(T_CALC[[#Headers],[DAY]])&gt;C_N_TRADING_DAYS,"",ROW(T_CALC[[#This Row],[DAY]])-ROW(T_CALC[[#Headers],[DAY]]))</f>
        <v>4</v>
      </c>
      <c r="L7" cm="1" vm="1534">
        <f t="array" aca="1" ref="L7" ca="1">IFERROR(INDEX(_xlfn.ANCHORARRAY($C$3),T_CALC[[#This Row],[DAY]]+1,1),NA())</f>
        <v>42761</v>
      </c>
      <c r="M7" cm="1" vm="1535">
        <f t="array" aca="1" ref="M7" ca="1">IFERROR(INDEX(_xlfn.ANCHORARRAY($C$3),T_CALC[[#This Row],[DAY]]+1,3),NA())</f>
        <v>1.4128000000000001</v>
      </c>
      <c r="N7" cm="1" vm="1536">
        <f t="array" aca="1" ref="N7" ca="1">IFERROR(INDEX(_xlfn.ANCHORARRAY($C$3),T_CALC[[#This Row],[DAY]]+1,4),NA())</f>
        <v>1.4280999999999999</v>
      </c>
      <c r="O7" cm="1" vm="1537">
        <f t="array" aca="1" ref="O7" ca="1">IFERROR(INDEX(_xlfn.ANCHORARRAY($C$3),T_CALC[[#This Row],[DAY]]+1,5),NA())</f>
        <v>1.4108000000000001</v>
      </c>
      <c r="P7" cm="1" vm="1538">
        <f t="array" aca="1" ref="P7" ca="1">IFERROR(INDEX(_xlfn.ANCHORARRAY($C$3),T_CALC[[#This Row],[DAY]]+1,6),NA())</f>
        <v>1.4263999999999999</v>
      </c>
      <c r="Q7" cm="1">
        <f t="array" aca="1" ref="Q7" ca="1">IFERROR(INDEX(_xlfn.ANCHORARRAY($C$3),T_CALC[[#This Row],[DAY]]+1,2),NA())</f>
        <v>0</v>
      </c>
    </row>
    <row r="8" spans="1:17">
      <c r="A8" t="s">
        <v>1251</v>
      </c>
      <c r="C8" vm="1539">
        <f ca="1"/>
        <v>42762</v>
      </c>
      <c r="D8">
        <f ca="1"/>
        <v>0</v>
      </c>
      <c r="E8" vm="1540">
        <f ca="1"/>
        <v>1.4265000000000001</v>
      </c>
      <c r="F8" vm="1541">
        <f ca="1"/>
        <v>1.4326000000000001</v>
      </c>
      <c r="G8" vm="1542">
        <f ca="1"/>
        <v>1.4238999999999999</v>
      </c>
      <c r="H8" vm="1543">
        <f ca="1"/>
        <v>1.4313</v>
      </c>
      <c r="K8">
        <f ca="1">IF(ROW(T_CALC[[#This Row],[DAY]])-ROW(T_CALC[[#Headers],[DAY]])&gt;C_N_TRADING_DAYS,"",ROW(T_CALC[[#This Row],[DAY]])-ROW(T_CALC[[#Headers],[DAY]]))</f>
        <v>5</v>
      </c>
      <c r="L8" cm="1" vm="1539">
        <f t="array" aca="1" ref="L8" ca="1">IFERROR(INDEX(_xlfn.ANCHORARRAY($C$3),T_CALC[[#This Row],[DAY]]+1,1),NA())</f>
        <v>42762</v>
      </c>
      <c r="M8" cm="1" vm="1540">
        <f t="array" aca="1" ref="M8" ca="1">IFERROR(INDEX(_xlfn.ANCHORARRAY($C$3),T_CALC[[#This Row],[DAY]]+1,3),NA())</f>
        <v>1.4265000000000001</v>
      </c>
      <c r="N8" cm="1" vm="1541">
        <f t="array" aca="1" ref="N8" ca="1">IFERROR(INDEX(_xlfn.ANCHORARRAY($C$3),T_CALC[[#This Row],[DAY]]+1,4),NA())</f>
        <v>1.4326000000000001</v>
      </c>
      <c r="O8" cm="1" vm="1542">
        <f t="array" aca="1" ref="O8" ca="1">IFERROR(INDEX(_xlfn.ANCHORARRAY($C$3),T_CALC[[#This Row],[DAY]]+1,5),NA())</f>
        <v>1.4238999999999999</v>
      </c>
      <c r="P8" cm="1" vm="1543">
        <f t="array" aca="1" ref="P8" ca="1">IFERROR(INDEX(_xlfn.ANCHORARRAY($C$3),T_CALC[[#This Row],[DAY]]+1,6),NA())</f>
        <v>1.4313</v>
      </c>
      <c r="Q8" cm="1">
        <f t="array" aca="1" ref="Q8" ca="1">IFERROR(INDEX(_xlfn.ANCHORARRAY($C$3),T_CALC[[#This Row],[DAY]]+1,2),NA())</f>
        <v>0</v>
      </c>
    </row>
    <row r="9" spans="1:17">
      <c r="A9" s="466">
        <f>IF(I_INTERVAL="Daily",0,IF(I_INTERVAL="Weekly",1,2))</f>
        <v>0</v>
      </c>
      <c r="C9" vm="1544">
        <f ca="1"/>
        <v>42765</v>
      </c>
      <c r="D9">
        <f ca="1"/>
        <v>0</v>
      </c>
      <c r="E9" vm="1545">
        <f ca="1"/>
        <v>1.4314</v>
      </c>
      <c r="F9" vm="1546">
        <f ca="1"/>
        <v>1.4315</v>
      </c>
      <c r="G9" vm="1547">
        <f ca="1"/>
        <v>1.4187000000000001</v>
      </c>
      <c r="H9" vm="1548">
        <f ca="1"/>
        <v>1.4206000000000001</v>
      </c>
      <c r="K9">
        <f ca="1">IF(ROW(T_CALC[[#This Row],[DAY]])-ROW(T_CALC[[#Headers],[DAY]])&gt;C_N_TRADING_DAYS,"",ROW(T_CALC[[#This Row],[DAY]])-ROW(T_CALC[[#Headers],[DAY]]))</f>
        <v>6</v>
      </c>
      <c r="L9" cm="1" vm="1544">
        <f t="array" aca="1" ref="L9" ca="1">IFERROR(INDEX(_xlfn.ANCHORARRAY($C$3),T_CALC[[#This Row],[DAY]]+1,1),NA())</f>
        <v>42765</v>
      </c>
      <c r="M9" cm="1" vm="1545">
        <f t="array" aca="1" ref="M9" ca="1">IFERROR(INDEX(_xlfn.ANCHORARRAY($C$3),T_CALC[[#This Row],[DAY]]+1,3),NA())</f>
        <v>1.4314</v>
      </c>
      <c r="N9" cm="1" vm="1546">
        <f t="array" aca="1" ref="N9" ca="1">IFERROR(INDEX(_xlfn.ANCHORARRAY($C$3),T_CALC[[#This Row],[DAY]]+1,4),NA())</f>
        <v>1.4315</v>
      </c>
      <c r="O9" cm="1" vm="1547">
        <f t="array" aca="1" ref="O9" ca="1">IFERROR(INDEX(_xlfn.ANCHORARRAY($C$3),T_CALC[[#This Row],[DAY]]+1,5),NA())</f>
        <v>1.4187000000000001</v>
      </c>
      <c r="P9" cm="1" vm="1548">
        <f t="array" aca="1" ref="P9" ca="1">IFERROR(INDEX(_xlfn.ANCHORARRAY($C$3),T_CALC[[#This Row],[DAY]]+1,6),NA())</f>
        <v>1.4206000000000001</v>
      </c>
      <c r="Q9" cm="1">
        <f t="array" aca="1" ref="Q9" ca="1">IFERROR(INDEX(_xlfn.ANCHORARRAY($C$3),T_CALC[[#This Row],[DAY]]+1,2),NA())</f>
        <v>0</v>
      </c>
    </row>
    <row r="10" spans="1:17">
      <c r="A10" s="524" t="s">
        <v>1252</v>
      </c>
      <c r="C10" vm="1549">
        <f ca="1"/>
        <v>42766</v>
      </c>
      <c r="D10">
        <f ca="1"/>
        <v>0</v>
      </c>
      <c r="E10" vm="1550">
        <f ca="1"/>
        <v>1.4209000000000001</v>
      </c>
      <c r="F10" vm="1530">
        <f ca="1"/>
        <v>1.4211</v>
      </c>
      <c r="G10" vm="1551">
        <f ca="1"/>
        <v>1.4066000000000001</v>
      </c>
      <c r="H10" vm="1552">
        <f ca="1"/>
        <v>1.4097</v>
      </c>
      <c r="K10">
        <f ca="1">IF(ROW(T_CALC[[#This Row],[DAY]])-ROW(T_CALC[[#Headers],[DAY]])&gt;C_N_TRADING_DAYS,"",ROW(T_CALC[[#This Row],[DAY]])-ROW(T_CALC[[#Headers],[DAY]]))</f>
        <v>7</v>
      </c>
      <c r="L10" cm="1" vm="1549">
        <f t="array" aca="1" ref="L10" ca="1">IFERROR(INDEX(_xlfn.ANCHORARRAY($C$3),T_CALC[[#This Row],[DAY]]+1,1),NA())</f>
        <v>42766</v>
      </c>
      <c r="M10" cm="1" vm="1550">
        <f t="array" aca="1" ref="M10" ca="1">IFERROR(INDEX(_xlfn.ANCHORARRAY($C$3),T_CALC[[#This Row],[DAY]]+1,3),NA())</f>
        <v>1.4209000000000001</v>
      </c>
      <c r="N10" cm="1" vm="1530">
        <f t="array" aca="1" ref="N10" ca="1">IFERROR(INDEX(_xlfn.ANCHORARRAY($C$3),T_CALC[[#This Row],[DAY]]+1,4),NA())</f>
        <v>1.4211</v>
      </c>
      <c r="O10" cm="1" vm="1551">
        <f t="array" aca="1" ref="O10" ca="1">IFERROR(INDEX(_xlfn.ANCHORARRAY($C$3),T_CALC[[#This Row],[DAY]]+1,5),NA())</f>
        <v>1.4066000000000001</v>
      </c>
      <c r="P10" cm="1" vm="1552">
        <f t="array" aca="1" ref="P10" ca="1">IFERROR(INDEX(_xlfn.ANCHORARRAY($C$3),T_CALC[[#This Row],[DAY]]+1,6),NA())</f>
        <v>1.4097</v>
      </c>
      <c r="Q10" cm="1">
        <f t="array" aca="1" ref="Q10" ca="1">IFERROR(INDEX(_xlfn.ANCHORARRAY($C$3),T_CALC[[#This Row],[DAY]]+1,2),NA())</f>
        <v>0</v>
      </c>
    </row>
    <row r="11" spans="1:17">
      <c r="C11" vm="1553">
        <f ca="1"/>
        <v>42767</v>
      </c>
      <c r="D11">
        <f ca="1"/>
        <v>0</v>
      </c>
      <c r="E11" vm="1554">
        <f ca="1"/>
        <v>1.4084000000000001</v>
      </c>
      <c r="F11" vm="1555">
        <f ca="1"/>
        <v>1.4168000000000001</v>
      </c>
      <c r="G11" vm="1556">
        <f ca="1"/>
        <v>1.4081999999999999</v>
      </c>
      <c r="H11" vm="1557">
        <f ca="1"/>
        <v>1.4123000000000001</v>
      </c>
      <c r="K11">
        <f ca="1">IF(ROW(T_CALC[[#This Row],[DAY]])-ROW(T_CALC[[#Headers],[DAY]])&gt;C_N_TRADING_DAYS,"",ROW(T_CALC[[#This Row],[DAY]])-ROW(T_CALC[[#Headers],[DAY]]))</f>
        <v>8</v>
      </c>
      <c r="L11" cm="1" vm="1553">
        <f t="array" aca="1" ref="L11" ca="1">IFERROR(INDEX(_xlfn.ANCHORARRAY($C$3),T_CALC[[#This Row],[DAY]]+1,1),NA())</f>
        <v>42767</v>
      </c>
      <c r="M11" cm="1" vm="1554">
        <f t="array" aca="1" ref="M11" ca="1">IFERROR(INDEX(_xlfn.ANCHORARRAY($C$3),T_CALC[[#This Row],[DAY]]+1,3),NA())</f>
        <v>1.4084000000000001</v>
      </c>
      <c r="N11" cm="1" vm="1555">
        <f t="array" aca="1" ref="N11" ca="1">IFERROR(INDEX(_xlfn.ANCHORARRAY($C$3),T_CALC[[#This Row],[DAY]]+1,4),NA())</f>
        <v>1.4168000000000001</v>
      </c>
      <c r="O11" cm="1" vm="1556">
        <f t="array" aca="1" ref="O11" ca="1">IFERROR(INDEX(_xlfn.ANCHORARRAY($C$3),T_CALC[[#This Row],[DAY]]+1,5),NA())</f>
        <v>1.4081999999999999</v>
      </c>
      <c r="P11" cm="1" vm="1557">
        <f t="array" aca="1" ref="P11" ca="1">IFERROR(INDEX(_xlfn.ANCHORARRAY($C$3),T_CALC[[#This Row],[DAY]]+1,6),NA())</f>
        <v>1.4123000000000001</v>
      </c>
      <c r="Q11" cm="1">
        <f t="array" aca="1" ref="Q11" ca="1">IFERROR(INDEX(_xlfn.ANCHORARRAY($C$3),T_CALC[[#This Row],[DAY]]+1,2),NA())</f>
        <v>0</v>
      </c>
    </row>
    <row r="12" spans="1:17">
      <c r="A12" s="522" t="s">
        <v>1253</v>
      </c>
      <c r="C12" vm="1558">
        <f ca="1"/>
        <v>42768</v>
      </c>
      <c r="D12">
        <f ca="1"/>
        <v>0</v>
      </c>
      <c r="E12" vm="1559">
        <f ca="1"/>
        <v>1.4126000000000001</v>
      </c>
      <c r="F12" vm="1560">
        <f ca="1"/>
        <v>1.4133</v>
      </c>
      <c r="G12" vm="1561">
        <f ca="1"/>
        <v>1.4074</v>
      </c>
      <c r="H12" vm="1537">
        <f ca="1"/>
        <v>1.4108000000000001</v>
      </c>
      <c r="K12">
        <f ca="1">IF(ROW(T_CALC[[#This Row],[DAY]])-ROW(T_CALC[[#Headers],[DAY]])&gt;C_N_TRADING_DAYS,"",ROW(T_CALC[[#This Row],[DAY]])-ROW(T_CALC[[#Headers],[DAY]]))</f>
        <v>9</v>
      </c>
      <c r="L12" cm="1" vm="1558">
        <f t="array" aca="1" ref="L12" ca="1">IFERROR(INDEX(_xlfn.ANCHORARRAY($C$3),T_CALC[[#This Row],[DAY]]+1,1),NA())</f>
        <v>42768</v>
      </c>
      <c r="M12" cm="1" vm="1559">
        <f t="array" aca="1" ref="M12" ca="1">IFERROR(INDEX(_xlfn.ANCHORARRAY($C$3),T_CALC[[#This Row],[DAY]]+1,3),NA())</f>
        <v>1.4126000000000001</v>
      </c>
      <c r="N12" cm="1" vm="1560">
        <f t="array" aca="1" ref="N12" ca="1">IFERROR(INDEX(_xlfn.ANCHORARRAY($C$3),T_CALC[[#This Row],[DAY]]+1,4),NA())</f>
        <v>1.4133</v>
      </c>
      <c r="O12" cm="1" vm="1561">
        <f t="array" aca="1" ref="O12" ca="1">IFERROR(INDEX(_xlfn.ANCHORARRAY($C$3),T_CALC[[#This Row],[DAY]]+1,5),NA())</f>
        <v>1.4074</v>
      </c>
      <c r="P12" cm="1" vm="1537">
        <f t="array" aca="1" ref="P12" ca="1">IFERROR(INDEX(_xlfn.ANCHORARRAY($C$3),T_CALC[[#This Row],[DAY]]+1,6),NA())</f>
        <v>1.4108000000000001</v>
      </c>
      <c r="Q12" cm="1">
        <f t="array" aca="1" ref="Q12" ca="1">IFERROR(INDEX(_xlfn.ANCHORARRAY($C$3),T_CALC[[#This Row],[DAY]]+1,2),NA())</f>
        <v>0</v>
      </c>
    </row>
    <row r="13" spans="1:17">
      <c r="A13" t="s">
        <v>1254</v>
      </c>
      <c r="C13" vm="1562">
        <f ca="1"/>
        <v>42769</v>
      </c>
      <c r="D13">
        <f ca="1"/>
        <v>0</v>
      </c>
      <c r="E13" vm="1563">
        <f ca="1"/>
        <v>1.4111</v>
      </c>
      <c r="F13" vm="1564">
        <f ca="1"/>
        <v>1.4152</v>
      </c>
      <c r="G13" vm="1565">
        <f ca="1"/>
        <v>1.405</v>
      </c>
      <c r="H13" vm="1566">
        <f ca="1"/>
        <v>1.407</v>
      </c>
      <c r="K13">
        <f ca="1">IF(ROW(T_CALC[[#This Row],[DAY]])-ROW(T_CALC[[#Headers],[DAY]])&gt;C_N_TRADING_DAYS,"",ROW(T_CALC[[#This Row],[DAY]])-ROW(T_CALC[[#Headers],[DAY]]))</f>
        <v>10</v>
      </c>
      <c r="L13" cm="1" vm="1562">
        <f t="array" aca="1" ref="L13" ca="1">IFERROR(INDEX(_xlfn.ANCHORARRAY($C$3),T_CALC[[#This Row],[DAY]]+1,1),NA())</f>
        <v>42769</v>
      </c>
      <c r="M13" cm="1" vm="1563">
        <f t="array" aca="1" ref="M13" ca="1">IFERROR(INDEX(_xlfn.ANCHORARRAY($C$3),T_CALC[[#This Row],[DAY]]+1,3),NA())</f>
        <v>1.4111</v>
      </c>
      <c r="N13" cm="1" vm="1564">
        <f t="array" aca="1" ref="N13" ca="1">IFERROR(INDEX(_xlfn.ANCHORARRAY($C$3),T_CALC[[#This Row],[DAY]]+1,4),NA())</f>
        <v>1.4152</v>
      </c>
      <c r="O13" cm="1" vm="1565">
        <f t="array" aca="1" ref="O13" ca="1">IFERROR(INDEX(_xlfn.ANCHORARRAY($C$3),T_CALC[[#This Row],[DAY]]+1,5),NA())</f>
        <v>1.405</v>
      </c>
      <c r="P13" cm="1" vm="1566">
        <f t="array" aca="1" ref="P13" ca="1">IFERROR(INDEX(_xlfn.ANCHORARRAY($C$3),T_CALC[[#This Row],[DAY]]+1,6),NA())</f>
        <v>1.407</v>
      </c>
      <c r="Q13" cm="1">
        <f t="array" aca="1" ref="Q13" ca="1">IFERROR(INDEX(_xlfn.ANCHORARRAY($C$3),T_CALC[[#This Row],[DAY]]+1,2),NA())</f>
        <v>0</v>
      </c>
    </row>
    <row r="14" spans="1:17">
      <c r="A14" s="466">
        <f ca="1">IF(I_CHART_PER_SEL="5 D",C_N_TRADING_DAYS-4,
IF(I_CHART_PER_SEL="MTD",MATCH(EOMONTH(TODAY(),-1)+1,T_CALC[DATE],1),
IF(I_CHART_PER_SEL="1 M",MATCH(EDATE(TODAY(),-1),T_CALC[DATE],1),
IF(I_CHART_PER_SEL="3 M",MATCH(EDATE(TODAY(),-3),T_CALC[DATE],1),
IF(I_CHART_PER_SEL="6 M",MATCH(EDATE(TODAY(),-6),T_CALC[DATE],1),
IF(I_CHART_PER_SEL="YTD",MATCH(DATE(YEAR(TODAY()),1,1),T_CALC[DATE],1),
IF(I_CHART_PER_SEL="1 Y",MATCH(EDATE(TODAY(),-12),T_CALC[DATE],1),
IF(I_CHART_PER_SEL="5 Y",MATCH(EDATE(TODAY(),-60),T_CALC[DATE],1),
1))))))))</f>
        <v>1283</v>
      </c>
      <c r="C14" vm="1567">
        <f ca="1"/>
        <v>42772</v>
      </c>
      <c r="D14">
        <f ca="1"/>
        <v>0</v>
      </c>
      <c r="E14" vm="1568">
        <f ca="1"/>
        <v>1.4071</v>
      </c>
      <c r="F14" vm="1569">
        <f ca="1"/>
        <v>1.4127000000000001</v>
      </c>
      <c r="G14" vm="1570">
        <f ca="1"/>
        <v>1.4049</v>
      </c>
      <c r="H14" vm="1571">
        <f ca="1"/>
        <v>1.4079999999999999</v>
      </c>
      <c r="K14">
        <f ca="1">IF(ROW(T_CALC[[#This Row],[DAY]])-ROW(T_CALC[[#Headers],[DAY]])&gt;C_N_TRADING_DAYS,"",ROW(T_CALC[[#This Row],[DAY]])-ROW(T_CALC[[#Headers],[DAY]]))</f>
        <v>11</v>
      </c>
      <c r="L14" cm="1" vm="1567">
        <f t="array" aca="1" ref="L14" ca="1">IFERROR(INDEX(_xlfn.ANCHORARRAY($C$3),T_CALC[[#This Row],[DAY]]+1,1),NA())</f>
        <v>42772</v>
      </c>
      <c r="M14" cm="1" vm="1568">
        <f t="array" aca="1" ref="M14" ca="1">IFERROR(INDEX(_xlfn.ANCHORARRAY($C$3),T_CALC[[#This Row],[DAY]]+1,3),NA())</f>
        <v>1.4071</v>
      </c>
      <c r="N14" cm="1" vm="1569">
        <f t="array" aca="1" ref="N14" ca="1">IFERROR(INDEX(_xlfn.ANCHORARRAY($C$3),T_CALC[[#This Row],[DAY]]+1,4),NA())</f>
        <v>1.4127000000000001</v>
      </c>
      <c r="O14" cm="1" vm="1570">
        <f t="array" aca="1" ref="O14" ca="1">IFERROR(INDEX(_xlfn.ANCHORARRAY($C$3),T_CALC[[#This Row],[DAY]]+1,5),NA())</f>
        <v>1.4049</v>
      </c>
      <c r="P14" cm="1" vm="1571">
        <f t="array" aca="1" ref="P14" ca="1">IFERROR(INDEX(_xlfn.ANCHORARRAY($C$3),T_CALC[[#This Row],[DAY]]+1,6),NA())</f>
        <v>1.4079999999999999</v>
      </c>
      <c r="Q14" cm="1">
        <f t="array" aca="1" ref="Q14" ca="1">IFERROR(INDEX(_xlfn.ANCHORARRAY($C$3),T_CALC[[#This Row],[DAY]]+1,2),NA())</f>
        <v>0</v>
      </c>
    </row>
    <row r="15" spans="1:17">
      <c r="A15" t="s">
        <v>1255</v>
      </c>
      <c r="C15" vm="1572">
        <f ca="1"/>
        <v>42773</v>
      </c>
      <c r="D15">
        <f ca="1"/>
        <v>0</v>
      </c>
      <c r="E15" vm="1573">
        <f ca="1"/>
        <v>1.4077999999999999</v>
      </c>
      <c r="F15" vm="1574">
        <f ca="1"/>
        <v>1.4198</v>
      </c>
      <c r="G15" vm="1573">
        <f ca="1"/>
        <v>1.4077999999999999</v>
      </c>
      <c r="H15" vm="1575">
        <f ca="1"/>
        <v>1.4177999999999999</v>
      </c>
      <c r="K15">
        <f ca="1">IF(ROW(T_CALC[[#This Row],[DAY]])-ROW(T_CALC[[#Headers],[DAY]])&gt;C_N_TRADING_DAYS,"",ROW(T_CALC[[#This Row],[DAY]])-ROW(T_CALC[[#Headers],[DAY]]))</f>
        <v>12</v>
      </c>
      <c r="L15" cm="1" vm="1572">
        <f t="array" aca="1" ref="L15" ca="1">IFERROR(INDEX(_xlfn.ANCHORARRAY($C$3),T_CALC[[#This Row],[DAY]]+1,1),NA())</f>
        <v>42773</v>
      </c>
      <c r="M15" cm="1" vm="1573">
        <f t="array" aca="1" ref="M15" ca="1">IFERROR(INDEX(_xlfn.ANCHORARRAY($C$3),T_CALC[[#This Row],[DAY]]+1,3),NA())</f>
        <v>1.4077999999999999</v>
      </c>
      <c r="N15" cm="1" vm="1574">
        <f t="array" aca="1" ref="N15" ca="1">IFERROR(INDEX(_xlfn.ANCHORARRAY($C$3),T_CALC[[#This Row],[DAY]]+1,4),NA())</f>
        <v>1.4198</v>
      </c>
      <c r="O15" cm="1" vm="1573">
        <f t="array" aca="1" ref="O15" ca="1">IFERROR(INDEX(_xlfn.ANCHORARRAY($C$3),T_CALC[[#This Row],[DAY]]+1,5),NA())</f>
        <v>1.4077999999999999</v>
      </c>
      <c r="P15" cm="1" vm="1575">
        <f t="array" aca="1" ref="P15" ca="1">IFERROR(INDEX(_xlfn.ANCHORARRAY($C$3),T_CALC[[#This Row],[DAY]]+1,6),NA())</f>
        <v>1.4177999999999999</v>
      </c>
      <c r="Q15" cm="1">
        <f t="array" aca="1" ref="Q15" ca="1">IFERROR(INDEX(_xlfn.ANCHORARRAY($C$3),T_CALC[[#This Row],[DAY]]+1,2),NA())</f>
        <v>0</v>
      </c>
    </row>
    <row r="16" spans="1:17">
      <c r="A16" s="523">
        <f ca="1">(COUNTA(_xlfn.ANCHORARRAY($C$3))/6)-1</f>
        <v>1304</v>
      </c>
      <c r="C16" vm="1576">
        <f ca="1"/>
        <v>42774</v>
      </c>
      <c r="D16">
        <f ca="1"/>
        <v>0</v>
      </c>
      <c r="E16" vm="1577">
        <f ca="1"/>
        <v>1.4177</v>
      </c>
      <c r="F16" vm="1578">
        <f ca="1"/>
        <v>1.4196</v>
      </c>
      <c r="G16" vm="1579">
        <f ca="1"/>
        <v>1.4132</v>
      </c>
      <c r="H16" vm="1580">
        <f ca="1"/>
        <v>1.4162999999999999</v>
      </c>
      <c r="K16">
        <f ca="1">IF(ROW(T_CALC[[#This Row],[DAY]])-ROW(T_CALC[[#Headers],[DAY]])&gt;C_N_TRADING_DAYS,"",ROW(T_CALC[[#This Row],[DAY]])-ROW(T_CALC[[#Headers],[DAY]]))</f>
        <v>13</v>
      </c>
      <c r="L16" cm="1" vm="1576">
        <f t="array" aca="1" ref="L16" ca="1">IFERROR(INDEX(_xlfn.ANCHORARRAY($C$3),T_CALC[[#This Row],[DAY]]+1,1),NA())</f>
        <v>42774</v>
      </c>
      <c r="M16" cm="1" vm="1577">
        <f t="array" aca="1" ref="M16" ca="1">IFERROR(INDEX(_xlfn.ANCHORARRAY($C$3),T_CALC[[#This Row],[DAY]]+1,3),NA())</f>
        <v>1.4177</v>
      </c>
      <c r="N16" cm="1" vm="1578">
        <f t="array" aca="1" ref="N16" ca="1">IFERROR(INDEX(_xlfn.ANCHORARRAY($C$3),T_CALC[[#This Row],[DAY]]+1,4),NA())</f>
        <v>1.4196</v>
      </c>
      <c r="O16" cm="1" vm="1579">
        <f t="array" aca="1" ref="O16" ca="1">IFERROR(INDEX(_xlfn.ANCHORARRAY($C$3),T_CALC[[#This Row],[DAY]]+1,5),NA())</f>
        <v>1.4132</v>
      </c>
      <c r="P16" cm="1" vm="1580">
        <f t="array" aca="1" ref="P16" ca="1">IFERROR(INDEX(_xlfn.ANCHORARRAY($C$3),T_CALC[[#This Row],[DAY]]+1,6),NA())</f>
        <v>1.4162999999999999</v>
      </c>
      <c r="Q16" cm="1">
        <f t="array" aca="1" ref="Q16" ca="1">IFERROR(INDEX(_xlfn.ANCHORARRAY($C$3),T_CALC[[#This Row],[DAY]]+1,2),NA())</f>
        <v>0</v>
      </c>
    </row>
    <row r="17" spans="1:17">
      <c r="C17" vm="1581">
        <f ca="1"/>
        <v>42775</v>
      </c>
      <c r="D17">
        <f ca="1"/>
        <v>0</v>
      </c>
      <c r="E17" vm="1582">
        <f ca="1"/>
        <v>1.4160999999999999</v>
      </c>
      <c r="F17" vm="1583">
        <f ca="1"/>
        <v>1.4205000000000001</v>
      </c>
      <c r="G17" vm="1535">
        <f ca="1"/>
        <v>1.4128000000000001</v>
      </c>
      <c r="H17" vm="1584">
        <f ca="1"/>
        <v>1.4204000000000001</v>
      </c>
      <c r="K17">
        <f ca="1">IF(ROW(T_CALC[[#This Row],[DAY]])-ROW(T_CALC[[#Headers],[DAY]])&gt;C_N_TRADING_DAYS,"",ROW(T_CALC[[#This Row],[DAY]])-ROW(T_CALC[[#Headers],[DAY]]))</f>
        <v>14</v>
      </c>
      <c r="L17" cm="1" vm="1581">
        <f t="array" aca="1" ref="L17" ca="1">IFERROR(INDEX(_xlfn.ANCHORARRAY($C$3),T_CALC[[#This Row],[DAY]]+1,1),NA())</f>
        <v>42775</v>
      </c>
      <c r="M17" cm="1" vm="1582">
        <f t="array" aca="1" ref="M17" ca="1">IFERROR(INDEX(_xlfn.ANCHORARRAY($C$3),T_CALC[[#This Row],[DAY]]+1,3),NA())</f>
        <v>1.4160999999999999</v>
      </c>
      <c r="N17" cm="1" vm="1583">
        <f t="array" aca="1" ref="N17" ca="1">IFERROR(INDEX(_xlfn.ANCHORARRAY($C$3),T_CALC[[#This Row],[DAY]]+1,4),NA())</f>
        <v>1.4205000000000001</v>
      </c>
      <c r="O17" cm="1" vm="1535">
        <f t="array" aca="1" ref="O17" ca="1">IFERROR(INDEX(_xlfn.ANCHORARRAY($C$3),T_CALC[[#This Row],[DAY]]+1,5),NA())</f>
        <v>1.4128000000000001</v>
      </c>
      <c r="P17" cm="1" vm="1584">
        <f t="array" aca="1" ref="P17" ca="1">IFERROR(INDEX(_xlfn.ANCHORARRAY($C$3),T_CALC[[#This Row],[DAY]]+1,6),NA())</f>
        <v>1.4204000000000001</v>
      </c>
      <c r="Q17" cm="1">
        <f t="array" aca="1" ref="Q17" ca="1">IFERROR(INDEX(_xlfn.ANCHORARRAY($C$3),T_CALC[[#This Row],[DAY]]+1,2),NA())</f>
        <v>0</v>
      </c>
    </row>
    <row r="18" spans="1:17">
      <c r="A18" s="522" t="s">
        <v>1256</v>
      </c>
      <c r="C18" vm="1585">
        <f ca="1"/>
        <v>42776</v>
      </c>
      <c r="D18">
        <f ca="1"/>
        <v>0</v>
      </c>
      <c r="E18" vm="1586">
        <f ca="1"/>
        <v>1.4202999999999999</v>
      </c>
      <c r="F18" vm="1587">
        <f ca="1"/>
        <v>1.4229000000000001</v>
      </c>
      <c r="G18" vm="1588">
        <f ca="1"/>
        <v>1.4174</v>
      </c>
      <c r="H18" vm="1526">
        <f ca="1"/>
        <v>1.4216</v>
      </c>
      <c r="K18">
        <f ca="1">IF(ROW(T_CALC[[#This Row],[DAY]])-ROW(T_CALC[[#Headers],[DAY]])&gt;C_N_TRADING_DAYS,"",ROW(T_CALC[[#This Row],[DAY]])-ROW(T_CALC[[#Headers],[DAY]]))</f>
        <v>15</v>
      </c>
      <c r="L18" cm="1" vm="1585">
        <f t="array" aca="1" ref="L18" ca="1">IFERROR(INDEX(_xlfn.ANCHORARRAY($C$3),T_CALC[[#This Row],[DAY]]+1,1),NA())</f>
        <v>42776</v>
      </c>
      <c r="M18" cm="1" vm="1586">
        <f t="array" aca="1" ref="M18" ca="1">IFERROR(INDEX(_xlfn.ANCHORARRAY($C$3),T_CALC[[#This Row],[DAY]]+1,3),NA())</f>
        <v>1.4202999999999999</v>
      </c>
      <c r="N18" cm="1" vm="1587">
        <f t="array" aca="1" ref="N18" ca="1">IFERROR(INDEX(_xlfn.ANCHORARRAY($C$3),T_CALC[[#This Row],[DAY]]+1,4),NA())</f>
        <v>1.4229000000000001</v>
      </c>
      <c r="O18" cm="1" vm="1588">
        <f t="array" aca="1" ref="O18" ca="1">IFERROR(INDEX(_xlfn.ANCHORARRAY($C$3),T_CALC[[#This Row],[DAY]]+1,5),NA())</f>
        <v>1.4174</v>
      </c>
      <c r="P18" cm="1" vm="1526">
        <f t="array" aca="1" ref="P18" ca="1">IFERROR(INDEX(_xlfn.ANCHORARRAY($C$3),T_CALC[[#This Row],[DAY]]+1,6),NA())</f>
        <v>1.4216</v>
      </c>
      <c r="Q18" cm="1">
        <f t="array" aca="1" ref="Q18" ca="1">IFERROR(INDEX(_xlfn.ANCHORARRAY($C$3),T_CALC[[#This Row],[DAY]]+1,2),NA())</f>
        <v>0</v>
      </c>
    </row>
    <row r="19" spans="1:17">
      <c r="A19" t="s">
        <v>1257</v>
      </c>
      <c r="C19" vm="1589">
        <f ca="1"/>
        <v>42779</v>
      </c>
      <c r="D19">
        <f ca="1"/>
        <v>0</v>
      </c>
      <c r="E19" vm="1583">
        <f ca="1"/>
        <v>1.4205000000000001</v>
      </c>
      <c r="F19" vm="1590">
        <f ca="1"/>
        <v>1.4256</v>
      </c>
      <c r="G19" vm="1591">
        <f ca="1"/>
        <v>1.4193</v>
      </c>
      <c r="H19" vm="1592">
        <f ca="1"/>
        <v>1.4238</v>
      </c>
      <c r="K19">
        <f ca="1">IF(ROW(T_CALC[[#This Row],[DAY]])-ROW(T_CALC[[#Headers],[DAY]])&gt;C_N_TRADING_DAYS,"",ROW(T_CALC[[#This Row],[DAY]])-ROW(T_CALC[[#Headers],[DAY]]))</f>
        <v>16</v>
      </c>
      <c r="L19" cm="1" vm="1589">
        <f t="array" aca="1" ref="L19" ca="1">IFERROR(INDEX(_xlfn.ANCHORARRAY($C$3),T_CALC[[#This Row],[DAY]]+1,1),NA())</f>
        <v>42779</v>
      </c>
      <c r="M19" cm="1" vm="1583">
        <f t="array" aca="1" ref="M19" ca="1">IFERROR(INDEX(_xlfn.ANCHORARRAY($C$3),T_CALC[[#This Row],[DAY]]+1,3),NA())</f>
        <v>1.4205000000000001</v>
      </c>
      <c r="N19" cm="1" vm="1590">
        <f t="array" aca="1" ref="N19" ca="1">IFERROR(INDEX(_xlfn.ANCHORARRAY($C$3),T_CALC[[#This Row],[DAY]]+1,4),NA())</f>
        <v>1.4256</v>
      </c>
      <c r="O19" cm="1" vm="1591">
        <f t="array" aca="1" ref="O19" ca="1">IFERROR(INDEX(_xlfn.ANCHORARRAY($C$3),T_CALC[[#This Row],[DAY]]+1,5),NA())</f>
        <v>1.4193</v>
      </c>
      <c r="P19" cm="1" vm="1592">
        <f t="array" aca="1" ref="P19" ca="1">IFERROR(INDEX(_xlfn.ANCHORARRAY($C$3),T_CALC[[#This Row],[DAY]]+1,6),NA())</f>
        <v>1.4238</v>
      </c>
      <c r="Q19" cm="1">
        <f t="array" aca="1" ref="Q19" ca="1">IFERROR(INDEX(_xlfn.ANCHORARRAY($C$3),T_CALC[[#This Row],[DAY]]+1,2),NA())</f>
        <v>0</v>
      </c>
    </row>
    <row r="20" spans="1:17">
      <c r="A20" s="521">
        <f ca="1">_xlfn.MAXIFS(T_CALC[DATE],T_CALC[DATE],"&gt;0")</f>
        <v>44585</v>
      </c>
      <c r="C20" vm="1593">
        <f ca="1"/>
        <v>42780</v>
      </c>
      <c r="D20">
        <f ca="1"/>
        <v>0</v>
      </c>
      <c r="E20" vm="1594">
        <f ca="1"/>
        <v>1.4235</v>
      </c>
      <c r="F20" vm="1595">
        <f ca="1"/>
        <v>1.4242999999999999</v>
      </c>
      <c r="G20" vm="1596">
        <f ca="1"/>
        <v>1.415</v>
      </c>
      <c r="H20" vm="1583">
        <f ca="1"/>
        <v>1.4205000000000001</v>
      </c>
      <c r="K20">
        <f ca="1">IF(ROW(T_CALC[[#This Row],[DAY]])-ROW(T_CALC[[#Headers],[DAY]])&gt;C_N_TRADING_DAYS,"",ROW(T_CALC[[#This Row],[DAY]])-ROW(T_CALC[[#Headers],[DAY]]))</f>
        <v>17</v>
      </c>
      <c r="L20" cm="1" vm="1593">
        <f t="array" aca="1" ref="L20" ca="1">IFERROR(INDEX(_xlfn.ANCHORARRAY($C$3),T_CALC[[#This Row],[DAY]]+1,1),NA())</f>
        <v>42780</v>
      </c>
      <c r="M20" cm="1" vm="1594">
        <f t="array" aca="1" ref="M20" ca="1">IFERROR(INDEX(_xlfn.ANCHORARRAY($C$3),T_CALC[[#This Row],[DAY]]+1,3),NA())</f>
        <v>1.4235</v>
      </c>
      <c r="N20" cm="1" vm="1595">
        <f t="array" aca="1" ref="N20" ca="1">IFERROR(INDEX(_xlfn.ANCHORARRAY($C$3),T_CALC[[#This Row],[DAY]]+1,4),NA())</f>
        <v>1.4242999999999999</v>
      </c>
      <c r="O20" cm="1" vm="1596">
        <f t="array" aca="1" ref="O20" ca="1">IFERROR(INDEX(_xlfn.ANCHORARRAY($C$3),T_CALC[[#This Row],[DAY]]+1,5),NA())</f>
        <v>1.415</v>
      </c>
      <c r="P20" cm="1" vm="1583">
        <f t="array" aca="1" ref="P20" ca="1">IFERROR(INDEX(_xlfn.ANCHORARRAY($C$3),T_CALC[[#This Row],[DAY]]+1,6),NA())</f>
        <v>1.4205000000000001</v>
      </c>
      <c r="Q20" cm="1">
        <f t="array" aca="1" ref="Q20" ca="1">IFERROR(INDEX(_xlfn.ANCHORARRAY($C$3),T_CALC[[#This Row],[DAY]]+1,2),NA())</f>
        <v>0</v>
      </c>
    </row>
    <row r="21" spans="1:17">
      <c r="A21" t="s">
        <v>1258</v>
      </c>
      <c r="C21" vm="1597">
        <f ca="1"/>
        <v>42781</v>
      </c>
      <c r="D21">
        <f ca="1"/>
        <v>0</v>
      </c>
      <c r="E21" vm="1598">
        <f ca="1"/>
        <v>1.4208000000000001</v>
      </c>
      <c r="F21" vm="1540">
        <f ca="1"/>
        <v>1.4265000000000001</v>
      </c>
      <c r="G21" vm="1599">
        <f ca="1"/>
        <v>1.4176</v>
      </c>
      <c r="H21" vm="1600">
        <f ca="1"/>
        <v>1.4188000000000001</v>
      </c>
      <c r="K21">
        <f ca="1">IF(ROW(T_CALC[[#This Row],[DAY]])-ROW(T_CALC[[#Headers],[DAY]])&gt;C_N_TRADING_DAYS,"",ROW(T_CALC[[#This Row],[DAY]])-ROW(T_CALC[[#Headers],[DAY]]))</f>
        <v>18</v>
      </c>
      <c r="L21" cm="1" vm="1597">
        <f t="array" aca="1" ref="L21" ca="1">IFERROR(INDEX(_xlfn.ANCHORARRAY($C$3),T_CALC[[#This Row],[DAY]]+1,1),NA())</f>
        <v>42781</v>
      </c>
      <c r="M21" cm="1" vm="1598">
        <f t="array" aca="1" ref="M21" ca="1">IFERROR(INDEX(_xlfn.ANCHORARRAY($C$3),T_CALC[[#This Row],[DAY]]+1,3),NA())</f>
        <v>1.4208000000000001</v>
      </c>
      <c r="N21" cm="1" vm="1540">
        <f t="array" aca="1" ref="N21" ca="1">IFERROR(INDEX(_xlfn.ANCHORARRAY($C$3),T_CALC[[#This Row],[DAY]]+1,4),NA())</f>
        <v>1.4265000000000001</v>
      </c>
      <c r="O21" cm="1" vm="1599">
        <f t="array" aca="1" ref="O21" ca="1">IFERROR(INDEX(_xlfn.ANCHORARRAY($C$3),T_CALC[[#This Row],[DAY]]+1,5),NA())</f>
        <v>1.4176</v>
      </c>
      <c r="P21" cm="1" vm="1600">
        <f t="array" aca="1" ref="P21" ca="1">IFERROR(INDEX(_xlfn.ANCHORARRAY($C$3),T_CALC[[#This Row],[DAY]]+1,6),NA())</f>
        <v>1.4188000000000001</v>
      </c>
      <c r="Q21" cm="1">
        <f t="array" aca="1" ref="Q21" ca="1">IFERROR(INDEX(_xlfn.ANCHORARRAY($C$3),T_CALC[[#This Row],[DAY]]+1,2),NA())</f>
        <v>0</v>
      </c>
    </row>
    <row r="22" spans="1:17">
      <c r="A22" s="466" cm="1" vm="245">
        <f t="array" aca="1" ref="A22" ca="1">INDEX(T_CALC[DATE],C_CHART_ST_ROW)</f>
        <v>44554</v>
      </c>
      <c r="C22" vm="1601">
        <f ca="1"/>
        <v>42782</v>
      </c>
      <c r="D22">
        <f ca="1"/>
        <v>0</v>
      </c>
      <c r="E22" vm="1547">
        <f ca="1"/>
        <v>1.4187000000000001</v>
      </c>
      <c r="F22" vm="1586">
        <f ca="1"/>
        <v>1.4202999999999999</v>
      </c>
      <c r="G22" vm="1602">
        <f ca="1"/>
        <v>1.4157</v>
      </c>
      <c r="H22" vm="1603">
        <f ca="1"/>
        <v>1.4161999999999999</v>
      </c>
      <c r="K22">
        <f ca="1">IF(ROW(T_CALC[[#This Row],[DAY]])-ROW(T_CALC[[#Headers],[DAY]])&gt;C_N_TRADING_DAYS,"",ROW(T_CALC[[#This Row],[DAY]])-ROW(T_CALC[[#Headers],[DAY]]))</f>
        <v>19</v>
      </c>
      <c r="L22" cm="1" vm="1601">
        <f t="array" aca="1" ref="L22" ca="1">IFERROR(INDEX(_xlfn.ANCHORARRAY($C$3),T_CALC[[#This Row],[DAY]]+1,1),NA())</f>
        <v>42782</v>
      </c>
      <c r="M22" cm="1" vm="1547">
        <f t="array" aca="1" ref="M22" ca="1">IFERROR(INDEX(_xlfn.ANCHORARRAY($C$3),T_CALC[[#This Row],[DAY]]+1,3),NA())</f>
        <v>1.4187000000000001</v>
      </c>
      <c r="N22" cm="1" vm="1586">
        <f t="array" aca="1" ref="N22" ca="1">IFERROR(INDEX(_xlfn.ANCHORARRAY($C$3),T_CALC[[#This Row],[DAY]]+1,4),NA())</f>
        <v>1.4202999999999999</v>
      </c>
      <c r="O22" cm="1" vm="1602">
        <f t="array" aca="1" ref="O22" ca="1">IFERROR(INDEX(_xlfn.ANCHORARRAY($C$3),T_CALC[[#This Row],[DAY]]+1,5),NA())</f>
        <v>1.4157</v>
      </c>
      <c r="P22" cm="1" vm="1603">
        <f t="array" aca="1" ref="P22" ca="1">IFERROR(INDEX(_xlfn.ANCHORARRAY($C$3),T_CALC[[#This Row],[DAY]]+1,6),NA())</f>
        <v>1.4161999999999999</v>
      </c>
      <c r="Q22" cm="1">
        <f t="array" aca="1" ref="Q22" ca="1">IFERROR(INDEX(_xlfn.ANCHORARRAY($C$3),T_CALC[[#This Row],[DAY]]+1,2),NA())</f>
        <v>0</v>
      </c>
    </row>
    <row r="23" spans="1:17">
      <c r="A23" t="s">
        <v>1259</v>
      </c>
      <c r="C23" vm="1604">
        <f ca="1"/>
        <v>42783</v>
      </c>
      <c r="D23">
        <f ca="1"/>
        <v>0</v>
      </c>
      <c r="E23" vm="1603">
        <f ca="1"/>
        <v>1.4161999999999999</v>
      </c>
      <c r="F23" vm="1574">
        <f ca="1"/>
        <v>1.4198</v>
      </c>
      <c r="G23" vm="1527">
        <f ca="1"/>
        <v>1.4144000000000001</v>
      </c>
      <c r="H23" vm="1605">
        <f ca="1"/>
        <v>1.4185000000000001</v>
      </c>
      <c r="K23">
        <f ca="1">IF(ROW(T_CALC[[#This Row],[DAY]])-ROW(T_CALC[[#Headers],[DAY]])&gt;C_N_TRADING_DAYS,"",ROW(T_CALC[[#This Row],[DAY]])-ROW(T_CALC[[#Headers],[DAY]]))</f>
        <v>20</v>
      </c>
      <c r="L23" cm="1" vm="1604">
        <f t="array" aca="1" ref="L23" ca="1">IFERROR(INDEX(_xlfn.ANCHORARRAY($C$3),T_CALC[[#This Row],[DAY]]+1,1),NA())</f>
        <v>42783</v>
      </c>
      <c r="M23" cm="1" vm="1603">
        <f t="array" aca="1" ref="M23" ca="1">IFERROR(INDEX(_xlfn.ANCHORARRAY($C$3),T_CALC[[#This Row],[DAY]]+1,3),NA())</f>
        <v>1.4161999999999999</v>
      </c>
      <c r="N23" cm="1" vm="1574">
        <f t="array" aca="1" ref="N23" ca="1">IFERROR(INDEX(_xlfn.ANCHORARRAY($C$3),T_CALC[[#This Row],[DAY]]+1,4),NA())</f>
        <v>1.4198</v>
      </c>
      <c r="O23" cm="1" vm="1527">
        <f t="array" aca="1" ref="O23" ca="1">IFERROR(INDEX(_xlfn.ANCHORARRAY($C$3),T_CALC[[#This Row],[DAY]]+1,5),NA())</f>
        <v>1.4144000000000001</v>
      </c>
      <c r="P23" cm="1" vm="1605">
        <f t="array" aca="1" ref="P23" ca="1">IFERROR(INDEX(_xlfn.ANCHORARRAY($C$3),T_CALC[[#This Row],[DAY]]+1,6),NA())</f>
        <v>1.4185000000000001</v>
      </c>
      <c r="Q23" cm="1">
        <f t="array" aca="1" ref="Q23" ca="1">IFERROR(INDEX(_xlfn.ANCHORARRAY($C$3),T_CALC[[#This Row],[DAY]]+1,2),NA())</f>
        <v>0</v>
      </c>
    </row>
    <row r="24" spans="1:17">
      <c r="A24" s="466">
        <f ca="1">_xlfn.MAXIFS(T_CALC[Close],T_CALC[DATE],"&gt;="&amp;C_CHART_MIN_DT,T_CALC[DATE],"&lt;="&amp;C_CHART_MAX_DT,T_CALC[DATE],"&gt;0")</f>
        <v>1.3605</v>
      </c>
      <c r="C24" vm="1606">
        <f ca="1"/>
        <v>42786</v>
      </c>
      <c r="D24">
        <f ca="1"/>
        <v>0</v>
      </c>
      <c r="E24" vm="1607">
        <f ca="1"/>
        <v>1.4186000000000001</v>
      </c>
      <c r="F24" vm="1608">
        <f ca="1"/>
        <v>1.4191</v>
      </c>
      <c r="G24" vm="1609">
        <f ca="1"/>
        <v>1.4164000000000001</v>
      </c>
      <c r="H24" vm="1599">
        <f ca="1"/>
        <v>1.4176</v>
      </c>
      <c r="K24">
        <f ca="1">IF(ROW(T_CALC[[#This Row],[DAY]])-ROW(T_CALC[[#Headers],[DAY]])&gt;C_N_TRADING_DAYS,"",ROW(T_CALC[[#This Row],[DAY]])-ROW(T_CALC[[#Headers],[DAY]]))</f>
        <v>21</v>
      </c>
      <c r="L24" cm="1" vm="1606">
        <f t="array" aca="1" ref="L24" ca="1">IFERROR(INDEX(_xlfn.ANCHORARRAY($C$3),T_CALC[[#This Row],[DAY]]+1,1),NA())</f>
        <v>42786</v>
      </c>
      <c r="M24" cm="1" vm="1607">
        <f t="array" aca="1" ref="M24" ca="1">IFERROR(INDEX(_xlfn.ANCHORARRAY($C$3),T_CALC[[#This Row],[DAY]]+1,3),NA())</f>
        <v>1.4186000000000001</v>
      </c>
      <c r="N24" cm="1" vm="1608">
        <f t="array" aca="1" ref="N24" ca="1">IFERROR(INDEX(_xlfn.ANCHORARRAY($C$3),T_CALC[[#This Row],[DAY]]+1,4),NA())</f>
        <v>1.4191</v>
      </c>
      <c r="O24" cm="1" vm="1609">
        <f t="array" aca="1" ref="O24" ca="1">IFERROR(INDEX(_xlfn.ANCHORARRAY($C$3),T_CALC[[#This Row],[DAY]]+1,5),NA())</f>
        <v>1.4164000000000001</v>
      </c>
      <c r="P24" cm="1" vm="1599">
        <f t="array" aca="1" ref="P24" ca="1">IFERROR(INDEX(_xlfn.ANCHORARRAY($C$3),T_CALC[[#This Row],[DAY]]+1,6),NA())</f>
        <v>1.4176</v>
      </c>
      <c r="Q24" cm="1">
        <f t="array" aca="1" ref="Q24" ca="1">IFERROR(INDEX(_xlfn.ANCHORARRAY($C$3),T_CALC[[#This Row],[DAY]]+1,2),NA())</f>
        <v>0</v>
      </c>
    </row>
    <row r="25" spans="1:17">
      <c r="A25" t="s">
        <v>1260</v>
      </c>
      <c r="C25" vm="1610">
        <f ca="1"/>
        <v>42787</v>
      </c>
      <c r="D25">
        <f ca="1"/>
        <v>0</v>
      </c>
      <c r="E25" vm="1611">
        <f ca="1"/>
        <v>1.4181999999999999</v>
      </c>
      <c r="F25" vm="1612">
        <f ca="1"/>
        <v>1.4231</v>
      </c>
      <c r="G25" vm="1588">
        <f ca="1"/>
        <v>1.4174</v>
      </c>
      <c r="H25" vm="1613">
        <f ca="1"/>
        <v>1.4200999999999999</v>
      </c>
      <c r="K25">
        <f ca="1">IF(ROW(T_CALC[[#This Row],[DAY]])-ROW(T_CALC[[#Headers],[DAY]])&gt;C_N_TRADING_DAYS,"",ROW(T_CALC[[#This Row],[DAY]])-ROW(T_CALC[[#Headers],[DAY]]))</f>
        <v>22</v>
      </c>
      <c r="L25" cm="1" vm="1610">
        <f t="array" aca="1" ref="L25" ca="1">IFERROR(INDEX(_xlfn.ANCHORARRAY($C$3),T_CALC[[#This Row],[DAY]]+1,1),NA())</f>
        <v>42787</v>
      </c>
      <c r="M25" cm="1" vm="1611">
        <f t="array" aca="1" ref="M25" ca="1">IFERROR(INDEX(_xlfn.ANCHORARRAY($C$3),T_CALC[[#This Row],[DAY]]+1,3),NA())</f>
        <v>1.4181999999999999</v>
      </c>
      <c r="N25" cm="1" vm="1612">
        <f t="array" aca="1" ref="N25" ca="1">IFERROR(INDEX(_xlfn.ANCHORARRAY($C$3),T_CALC[[#This Row],[DAY]]+1,4),NA())</f>
        <v>1.4231</v>
      </c>
      <c r="O25" cm="1" vm="1588">
        <f t="array" aca="1" ref="O25" ca="1">IFERROR(INDEX(_xlfn.ANCHORARRAY($C$3),T_CALC[[#This Row],[DAY]]+1,5),NA())</f>
        <v>1.4174</v>
      </c>
      <c r="P25" cm="1" vm="1613">
        <f t="array" aca="1" ref="P25" ca="1">IFERROR(INDEX(_xlfn.ANCHORARRAY($C$3),T_CALC[[#This Row],[DAY]]+1,6),NA())</f>
        <v>1.4200999999999999</v>
      </c>
      <c r="Q25" cm="1">
        <f t="array" aca="1" ref="Q25" ca="1">IFERROR(INDEX(_xlfn.ANCHORARRAY($C$3),T_CALC[[#This Row],[DAY]]+1,2),NA())</f>
        <v>0</v>
      </c>
    </row>
    <row r="26" spans="1:17">
      <c r="A26" s="466">
        <f ca="1">_xlfn.MINIFS(T_CALC[Close],T_CALC[DATE],"&gt;="&amp;C_CHART_MIN_DT,T_CALC[DATE],"&lt;="&amp;C_CHART_MAX_DT,T_CALC[DATE],"&gt;0")</f>
        <v>1.3442000000000001</v>
      </c>
      <c r="C26" vm="1614">
        <f ca="1"/>
        <v>42788</v>
      </c>
      <c r="D26">
        <f ca="1"/>
        <v>0</v>
      </c>
      <c r="E26" vm="1615">
        <f ca="1"/>
        <v>1.4198999999999999</v>
      </c>
      <c r="F26" vm="1616">
        <f ca="1"/>
        <v>1.4212</v>
      </c>
      <c r="G26" vm="1617">
        <f ca="1"/>
        <v>1.4103000000000001</v>
      </c>
      <c r="H26" vm="1618">
        <f ca="1"/>
        <v>1.4119999999999999</v>
      </c>
      <c r="K26">
        <f ca="1">IF(ROW(T_CALC[[#This Row],[DAY]])-ROW(T_CALC[[#Headers],[DAY]])&gt;C_N_TRADING_DAYS,"",ROW(T_CALC[[#This Row],[DAY]])-ROW(T_CALC[[#Headers],[DAY]]))</f>
        <v>23</v>
      </c>
      <c r="L26" cm="1" vm="1614">
        <f t="array" aca="1" ref="L26" ca="1">IFERROR(INDEX(_xlfn.ANCHORARRAY($C$3),T_CALC[[#This Row],[DAY]]+1,1),NA())</f>
        <v>42788</v>
      </c>
      <c r="M26" cm="1" vm="1615">
        <f t="array" aca="1" ref="M26" ca="1">IFERROR(INDEX(_xlfn.ANCHORARRAY($C$3),T_CALC[[#This Row],[DAY]]+1,3),NA())</f>
        <v>1.4198999999999999</v>
      </c>
      <c r="N26" cm="1" vm="1616">
        <f t="array" aca="1" ref="N26" ca="1">IFERROR(INDEX(_xlfn.ANCHORARRAY($C$3),T_CALC[[#This Row],[DAY]]+1,4),NA())</f>
        <v>1.4212</v>
      </c>
      <c r="O26" cm="1" vm="1617">
        <f t="array" aca="1" ref="O26" ca="1">IFERROR(INDEX(_xlfn.ANCHORARRAY($C$3),T_CALC[[#This Row],[DAY]]+1,5),NA())</f>
        <v>1.4103000000000001</v>
      </c>
      <c r="P26" cm="1" vm="1618">
        <f t="array" aca="1" ref="P26" ca="1">IFERROR(INDEX(_xlfn.ANCHORARRAY($C$3),T_CALC[[#This Row],[DAY]]+1,6),NA())</f>
        <v>1.4119999999999999</v>
      </c>
      <c r="Q26" cm="1">
        <f t="array" aca="1" ref="Q26" ca="1">IFERROR(INDEX(_xlfn.ANCHORARRAY($C$3),T_CALC[[#This Row],[DAY]]+1,2),NA())</f>
        <v>0</v>
      </c>
    </row>
    <row r="27" spans="1:17">
      <c r="C27" vm="1619">
        <f ca="1"/>
        <v>42789</v>
      </c>
      <c r="D27">
        <f ca="1"/>
        <v>0</v>
      </c>
      <c r="E27" vm="1557">
        <f ca="1"/>
        <v>1.4123000000000001</v>
      </c>
      <c r="F27" vm="1582">
        <f ca="1"/>
        <v>1.4160999999999999</v>
      </c>
      <c r="G27" vm="1620">
        <f ca="1"/>
        <v>1.4045000000000001</v>
      </c>
      <c r="H27" vm="1621">
        <f ca="1"/>
        <v>1.4059999999999999</v>
      </c>
      <c r="K27">
        <f ca="1">IF(ROW(T_CALC[[#This Row],[DAY]])-ROW(T_CALC[[#Headers],[DAY]])&gt;C_N_TRADING_DAYS,"",ROW(T_CALC[[#This Row],[DAY]])-ROW(T_CALC[[#Headers],[DAY]]))</f>
        <v>24</v>
      </c>
      <c r="L27" cm="1" vm="1619">
        <f t="array" aca="1" ref="L27" ca="1">IFERROR(INDEX(_xlfn.ANCHORARRAY($C$3),T_CALC[[#This Row],[DAY]]+1,1),NA())</f>
        <v>42789</v>
      </c>
      <c r="M27" cm="1" vm="1557">
        <f t="array" aca="1" ref="M27" ca="1">IFERROR(INDEX(_xlfn.ANCHORARRAY($C$3),T_CALC[[#This Row],[DAY]]+1,3),NA())</f>
        <v>1.4123000000000001</v>
      </c>
      <c r="N27" cm="1" vm="1582">
        <f t="array" aca="1" ref="N27" ca="1">IFERROR(INDEX(_xlfn.ANCHORARRAY($C$3),T_CALC[[#This Row],[DAY]]+1,4),NA())</f>
        <v>1.4160999999999999</v>
      </c>
      <c r="O27" cm="1" vm="1620">
        <f t="array" aca="1" ref="O27" ca="1">IFERROR(INDEX(_xlfn.ANCHORARRAY($C$3),T_CALC[[#This Row],[DAY]]+1,5),NA())</f>
        <v>1.4045000000000001</v>
      </c>
      <c r="P27" cm="1" vm="1621">
        <f t="array" aca="1" ref="P27" ca="1">IFERROR(INDEX(_xlfn.ANCHORARRAY($C$3),T_CALC[[#This Row],[DAY]]+1,6),NA())</f>
        <v>1.4059999999999999</v>
      </c>
      <c r="Q27" cm="1">
        <f t="array" aca="1" ref="Q27" ca="1">IFERROR(INDEX(_xlfn.ANCHORARRAY($C$3),T_CALC[[#This Row],[DAY]]+1,2),NA())</f>
        <v>0</v>
      </c>
    </row>
    <row r="28" spans="1:17">
      <c r="C28" vm="1622">
        <f ca="1"/>
        <v>42790</v>
      </c>
      <c r="D28">
        <f ca="1"/>
        <v>0</v>
      </c>
      <c r="E28" vm="1623">
        <f ca="1"/>
        <v>1.4060999999999999</v>
      </c>
      <c r="F28" vm="1624">
        <f ca="1"/>
        <v>1.4092</v>
      </c>
      <c r="G28" vm="1625">
        <f ca="1"/>
        <v>1.4016999999999999</v>
      </c>
      <c r="H28" vm="1620">
        <f ca="1"/>
        <v>1.4045000000000001</v>
      </c>
      <c r="K28">
        <f ca="1">IF(ROW(T_CALC[[#This Row],[DAY]])-ROW(T_CALC[[#Headers],[DAY]])&gt;C_N_TRADING_DAYS,"",ROW(T_CALC[[#This Row],[DAY]])-ROW(T_CALC[[#Headers],[DAY]]))</f>
        <v>25</v>
      </c>
      <c r="L28" cm="1" vm="1622">
        <f t="array" aca="1" ref="L28" ca="1">IFERROR(INDEX(_xlfn.ANCHORARRAY($C$3),T_CALC[[#This Row],[DAY]]+1,1),NA())</f>
        <v>42790</v>
      </c>
      <c r="M28" cm="1" vm="1623">
        <f t="array" aca="1" ref="M28" ca="1">IFERROR(INDEX(_xlfn.ANCHORARRAY($C$3),T_CALC[[#This Row],[DAY]]+1,3),NA())</f>
        <v>1.4060999999999999</v>
      </c>
      <c r="N28" cm="1" vm="1624">
        <f t="array" aca="1" ref="N28" ca="1">IFERROR(INDEX(_xlfn.ANCHORARRAY($C$3),T_CALC[[#This Row],[DAY]]+1,4),NA())</f>
        <v>1.4092</v>
      </c>
      <c r="O28" cm="1" vm="1625">
        <f t="array" aca="1" ref="O28" ca="1">IFERROR(INDEX(_xlfn.ANCHORARRAY($C$3),T_CALC[[#This Row],[DAY]]+1,5),NA())</f>
        <v>1.4016999999999999</v>
      </c>
      <c r="P28" cm="1" vm="1620">
        <f t="array" aca="1" ref="P28" ca="1">IFERROR(INDEX(_xlfn.ANCHORARRAY($C$3),T_CALC[[#This Row],[DAY]]+1,6),NA())</f>
        <v>1.4045000000000001</v>
      </c>
      <c r="Q28" cm="1">
        <f t="array" aca="1" ref="Q28" ca="1">IFERROR(INDEX(_xlfn.ANCHORARRAY($C$3),T_CALC[[#This Row],[DAY]]+1,2),NA())</f>
        <v>0</v>
      </c>
    </row>
    <row r="29" spans="1:17">
      <c r="C29" vm="1626">
        <f ca="1"/>
        <v>42793</v>
      </c>
      <c r="D29">
        <f ca="1"/>
        <v>0</v>
      </c>
      <c r="E29" vm="1627">
        <f ca="1"/>
        <v>1.4048</v>
      </c>
      <c r="F29" vm="1628">
        <f ca="1"/>
        <v>1.4069</v>
      </c>
      <c r="G29" vm="1629">
        <f ca="1"/>
        <v>1.3995</v>
      </c>
      <c r="H29" vm="1630">
        <f ca="1"/>
        <v>1.4039999999999999</v>
      </c>
      <c r="K29">
        <f ca="1">IF(ROW(T_CALC[[#This Row],[DAY]])-ROW(T_CALC[[#Headers],[DAY]])&gt;C_N_TRADING_DAYS,"",ROW(T_CALC[[#This Row],[DAY]])-ROW(T_CALC[[#Headers],[DAY]]))</f>
        <v>26</v>
      </c>
      <c r="L29" cm="1" vm="1626">
        <f t="array" aca="1" ref="L29" ca="1">IFERROR(INDEX(_xlfn.ANCHORARRAY($C$3),T_CALC[[#This Row],[DAY]]+1,1),NA())</f>
        <v>42793</v>
      </c>
      <c r="M29" cm="1" vm="1627">
        <f t="array" aca="1" ref="M29" ca="1">IFERROR(INDEX(_xlfn.ANCHORARRAY($C$3),T_CALC[[#This Row],[DAY]]+1,3),NA())</f>
        <v>1.4048</v>
      </c>
      <c r="N29" cm="1" vm="1628">
        <f t="array" aca="1" ref="N29" ca="1">IFERROR(INDEX(_xlfn.ANCHORARRAY($C$3),T_CALC[[#This Row],[DAY]]+1,4),NA())</f>
        <v>1.4069</v>
      </c>
      <c r="O29" cm="1" vm="1629">
        <f t="array" aca="1" ref="O29" ca="1">IFERROR(INDEX(_xlfn.ANCHORARRAY($C$3),T_CALC[[#This Row],[DAY]]+1,5),NA())</f>
        <v>1.3995</v>
      </c>
      <c r="P29" cm="1" vm="1630">
        <f t="array" aca="1" ref="P29" ca="1">IFERROR(INDEX(_xlfn.ANCHORARRAY($C$3),T_CALC[[#This Row],[DAY]]+1,6),NA())</f>
        <v>1.4039999999999999</v>
      </c>
      <c r="Q29" cm="1">
        <f t="array" aca="1" ref="Q29" ca="1">IFERROR(INDEX(_xlfn.ANCHORARRAY($C$3),T_CALC[[#This Row],[DAY]]+1,2),NA())</f>
        <v>0</v>
      </c>
    </row>
    <row r="30" spans="1:17">
      <c r="C30" vm="1631">
        <f ca="1"/>
        <v>42794</v>
      </c>
      <c r="D30">
        <f ca="1"/>
        <v>0</v>
      </c>
      <c r="E30" vm="1630">
        <f ca="1"/>
        <v>1.4039999999999999</v>
      </c>
      <c r="F30" vm="1632">
        <f ca="1"/>
        <v>1.4064000000000001</v>
      </c>
      <c r="G30" vm="1633">
        <f ca="1"/>
        <v>1.3968</v>
      </c>
      <c r="H30" vm="1634">
        <f ca="1"/>
        <v>1.4029</v>
      </c>
      <c r="K30">
        <f ca="1">IF(ROW(T_CALC[[#This Row],[DAY]])-ROW(T_CALC[[#Headers],[DAY]])&gt;C_N_TRADING_DAYS,"",ROW(T_CALC[[#This Row],[DAY]])-ROW(T_CALC[[#Headers],[DAY]]))</f>
        <v>27</v>
      </c>
      <c r="L30" cm="1" vm="1631">
        <f t="array" aca="1" ref="L30" ca="1">IFERROR(INDEX(_xlfn.ANCHORARRAY($C$3),T_CALC[[#This Row],[DAY]]+1,1),NA())</f>
        <v>42794</v>
      </c>
      <c r="M30" cm="1" vm="1630">
        <f t="array" aca="1" ref="M30" ca="1">IFERROR(INDEX(_xlfn.ANCHORARRAY($C$3),T_CALC[[#This Row],[DAY]]+1,3),NA())</f>
        <v>1.4039999999999999</v>
      </c>
      <c r="N30" cm="1" vm="1632">
        <f t="array" aca="1" ref="N30" ca="1">IFERROR(INDEX(_xlfn.ANCHORARRAY($C$3),T_CALC[[#This Row],[DAY]]+1,4),NA())</f>
        <v>1.4064000000000001</v>
      </c>
      <c r="O30" cm="1" vm="1633">
        <f t="array" aca="1" ref="O30" ca="1">IFERROR(INDEX(_xlfn.ANCHORARRAY($C$3),T_CALC[[#This Row],[DAY]]+1,5),NA())</f>
        <v>1.3968</v>
      </c>
      <c r="P30" cm="1" vm="1634">
        <f t="array" aca="1" ref="P30" ca="1">IFERROR(INDEX(_xlfn.ANCHORARRAY($C$3),T_CALC[[#This Row],[DAY]]+1,6),NA())</f>
        <v>1.4029</v>
      </c>
      <c r="Q30" cm="1">
        <f t="array" aca="1" ref="Q30" ca="1">IFERROR(INDEX(_xlfn.ANCHORARRAY($C$3),T_CALC[[#This Row],[DAY]]+1,2),NA())</f>
        <v>0</v>
      </c>
    </row>
    <row r="31" spans="1:17">
      <c r="C31" vm="1635">
        <f ca="1"/>
        <v>42795</v>
      </c>
      <c r="D31">
        <f ca="1"/>
        <v>0</v>
      </c>
      <c r="E31" vm="1636">
        <f ca="1"/>
        <v>1.403</v>
      </c>
      <c r="F31" vm="1637">
        <f ca="1"/>
        <v>1.4114</v>
      </c>
      <c r="G31" vm="1638">
        <f ca="1"/>
        <v>1.4023000000000001</v>
      </c>
      <c r="H31" vm="1639">
        <f ca="1"/>
        <v>1.4087000000000001</v>
      </c>
      <c r="K31">
        <f ca="1">IF(ROW(T_CALC[[#This Row],[DAY]])-ROW(T_CALC[[#Headers],[DAY]])&gt;C_N_TRADING_DAYS,"",ROW(T_CALC[[#This Row],[DAY]])-ROW(T_CALC[[#Headers],[DAY]]))</f>
        <v>28</v>
      </c>
      <c r="L31" cm="1" vm="1635">
        <f t="array" aca="1" ref="L31" ca="1">IFERROR(INDEX(_xlfn.ANCHORARRAY($C$3),T_CALC[[#This Row],[DAY]]+1,1),NA())</f>
        <v>42795</v>
      </c>
      <c r="M31" cm="1" vm="1636">
        <f t="array" aca="1" ref="M31" ca="1">IFERROR(INDEX(_xlfn.ANCHORARRAY($C$3),T_CALC[[#This Row],[DAY]]+1,3),NA())</f>
        <v>1.403</v>
      </c>
      <c r="N31" cm="1" vm="1637">
        <f t="array" aca="1" ref="N31" ca="1">IFERROR(INDEX(_xlfn.ANCHORARRAY($C$3),T_CALC[[#This Row],[DAY]]+1,4),NA())</f>
        <v>1.4114</v>
      </c>
      <c r="O31" cm="1" vm="1638">
        <f t="array" aca="1" ref="O31" ca="1">IFERROR(INDEX(_xlfn.ANCHORARRAY($C$3),T_CALC[[#This Row],[DAY]]+1,5),NA())</f>
        <v>1.4023000000000001</v>
      </c>
      <c r="P31" cm="1" vm="1639">
        <f t="array" aca="1" ref="P31" ca="1">IFERROR(INDEX(_xlfn.ANCHORARRAY($C$3),T_CALC[[#This Row],[DAY]]+1,6),NA())</f>
        <v>1.4087000000000001</v>
      </c>
      <c r="Q31" cm="1">
        <f t="array" aca="1" ref="Q31" ca="1">IFERROR(INDEX(_xlfn.ANCHORARRAY($C$3),T_CALC[[#This Row],[DAY]]+1,2),NA())</f>
        <v>0</v>
      </c>
    </row>
    <row r="32" spans="1:17">
      <c r="C32" vm="1640">
        <f ca="1"/>
        <v>42796</v>
      </c>
      <c r="D32">
        <f ca="1"/>
        <v>0</v>
      </c>
      <c r="E32" vm="1554">
        <f ca="1"/>
        <v>1.4084000000000001</v>
      </c>
      <c r="F32" vm="1641">
        <f ca="1"/>
        <v>1.4141999999999999</v>
      </c>
      <c r="G32" vm="1642">
        <f ca="1"/>
        <v>1.4078999999999999</v>
      </c>
      <c r="H32" vm="1643">
        <f ca="1"/>
        <v>1.4124000000000001</v>
      </c>
      <c r="K32">
        <f ca="1">IF(ROW(T_CALC[[#This Row],[DAY]])-ROW(T_CALC[[#Headers],[DAY]])&gt;C_N_TRADING_DAYS,"",ROW(T_CALC[[#This Row],[DAY]])-ROW(T_CALC[[#Headers],[DAY]]))</f>
        <v>29</v>
      </c>
      <c r="L32" cm="1" vm="1640">
        <f t="array" aca="1" ref="L32" ca="1">IFERROR(INDEX(_xlfn.ANCHORARRAY($C$3),T_CALC[[#This Row],[DAY]]+1,1),NA())</f>
        <v>42796</v>
      </c>
      <c r="M32" cm="1" vm="1554">
        <f t="array" aca="1" ref="M32" ca="1">IFERROR(INDEX(_xlfn.ANCHORARRAY($C$3),T_CALC[[#This Row],[DAY]]+1,3),NA())</f>
        <v>1.4084000000000001</v>
      </c>
      <c r="N32" cm="1" vm="1641">
        <f t="array" aca="1" ref="N32" ca="1">IFERROR(INDEX(_xlfn.ANCHORARRAY($C$3),T_CALC[[#This Row],[DAY]]+1,4),NA())</f>
        <v>1.4141999999999999</v>
      </c>
      <c r="O32" cm="1" vm="1642">
        <f t="array" aca="1" ref="O32" ca="1">IFERROR(INDEX(_xlfn.ANCHORARRAY($C$3),T_CALC[[#This Row],[DAY]]+1,5),NA())</f>
        <v>1.4078999999999999</v>
      </c>
      <c r="P32" cm="1" vm="1643">
        <f t="array" aca="1" ref="P32" ca="1">IFERROR(INDEX(_xlfn.ANCHORARRAY($C$3),T_CALC[[#This Row],[DAY]]+1,6),NA())</f>
        <v>1.4124000000000001</v>
      </c>
      <c r="Q32" cm="1">
        <f t="array" aca="1" ref="Q32" ca="1">IFERROR(INDEX(_xlfn.ANCHORARRAY($C$3),T_CALC[[#This Row],[DAY]]+1,2),NA())</f>
        <v>0</v>
      </c>
    </row>
    <row r="33" spans="3:17">
      <c r="C33" vm="1644">
        <f ca="1"/>
        <v>42797</v>
      </c>
      <c r="D33">
        <f ca="1"/>
        <v>0</v>
      </c>
      <c r="E33" vm="1645">
        <f ca="1"/>
        <v>1.4121999999999999</v>
      </c>
      <c r="F33" vm="1555">
        <f ca="1"/>
        <v>1.4168000000000001</v>
      </c>
      <c r="G33" vm="1646">
        <f ca="1"/>
        <v>1.4089</v>
      </c>
      <c r="H33" vm="1647">
        <f ca="1"/>
        <v>1.4097999999999999</v>
      </c>
      <c r="K33">
        <f ca="1">IF(ROW(T_CALC[[#This Row],[DAY]])-ROW(T_CALC[[#Headers],[DAY]])&gt;C_N_TRADING_DAYS,"",ROW(T_CALC[[#This Row],[DAY]])-ROW(T_CALC[[#Headers],[DAY]]))</f>
        <v>30</v>
      </c>
      <c r="L33" cm="1" vm="1644">
        <f t="array" aca="1" ref="L33" ca="1">IFERROR(INDEX(_xlfn.ANCHORARRAY($C$3),T_CALC[[#This Row],[DAY]]+1,1),NA())</f>
        <v>42797</v>
      </c>
      <c r="M33" cm="1" vm="1645">
        <f t="array" aca="1" ref="M33" ca="1">IFERROR(INDEX(_xlfn.ANCHORARRAY($C$3),T_CALC[[#This Row],[DAY]]+1,3),NA())</f>
        <v>1.4121999999999999</v>
      </c>
      <c r="N33" cm="1" vm="1555">
        <f t="array" aca="1" ref="N33" ca="1">IFERROR(INDEX(_xlfn.ANCHORARRAY($C$3),T_CALC[[#This Row],[DAY]]+1,4),NA())</f>
        <v>1.4168000000000001</v>
      </c>
      <c r="O33" cm="1" vm="1646">
        <f t="array" aca="1" ref="O33" ca="1">IFERROR(INDEX(_xlfn.ANCHORARRAY($C$3),T_CALC[[#This Row],[DAY]]+1,5),NA())</f>
        <v>1.4089</v>
      </c>
      <c r="P33" cm="1" vm="1647">
        <f t="array" aca="1" ref="P33" ca="1">IFERROR(INDEX(_xlfn.ANCHORARRAY($C$3),T_CALC[[#This Row],[DAY]]+1,6),NA())</f>
        <v>1.4097999999999999</v>
      </c>
      <c r="Q33" cm="1">
        <f t="array" aca="1" ref="Q33" ca="1">IFERROR(INDEX(_xlfn.ANCHORARRAY($C$3),T_CALC[[#This Row],[DAY]]+1,2),NA())</f>
        <v>0</v>
      </c>
    </row>
    <row r="34" spans="3:17">
      <c r="C34" vm="1648">
        <f ca="1"/>
        <v>42800</v>
      </c>
      <c r="D34">
        <f ca="1"/>
        <v>0</v>
      </c>
      <c r="E34" vm="1649">
        <f ca="1"/>
        <v>1.41</v>
      </c>
      <c r="F34" vm="1533">
        <f ca="1"/>
        <v>1.4129</v>
      </c>
      <c r="G34" vm="1573">
        <f ca="1"/>
        <v>1.4077999999999999</v>
      </c>
      <c r="H34" vm="1618">
        <f ca="1"/>
        <v>1.4119999999999999</v>
      </c>
      <c r="K34">
        <f ca="1">IF(ROW(T_CALC[[#This Row],[DAY]])-ROW(T_CALC[[#Headers],[DAY]])&gt;C_N_TRADING_DAYS,"",ROW(T_CALC[[#This Row],[DAY]])-ROW(T_CALC[[#Headers],[DAY]]))</f>
        <v>31</v>
      </c>
      <c r="L34" cm="1" vm="1648">
        <f t="array" aca="1" ref="L34" ca="1">IFERROR(INDEX(_xlfn.ANCHORARRAY($C$3),T_CALC[[#This Row],[DAY]]+1,1),NA())</f>
        <v>42800</v>
      </c>
      <c r="M34" cm="1" vm="1649">
        <f t="array" aca="1" ref="M34" ca="1">IFERROR(INDEX(_xlfn.ANCHORARRAY($C$3),T_CALC[[#This Row],[DAY]]+1,3),NA())</f>
        <v>1.41</v>
      </c>
      <c r="N34" cm="1" vm="1533">
        <f t="array" aca="1" ref="N34" ca="1">IFERROR(INDEX(_xlfn.ANCHORARRAY($C$3),T_CALC[[#This Row],[DAY]]+1,4),NA())</f>
        <v>1.4129</v>
      </c>
      <c r="O34" cm="1" vm="1573">
        <f t="array" aca="1" ref="O34" ca="1">IFERROR(INDEX(_xlfn.ANCHORARRAY($C$3),T_CALC[[#This Row],[DAY]]+1,5),NA())</f>
        <v>1.4077999999999999</v>
      </c>
      <c r="P34" cm="1" vm="1618">
        <f t="array" aca="1" ref="P34" ca="1">IFERROR(INDEX(_xlfn.ANCHORARRAY($C$3),T_CALC[[#This Row],[DAY]]+1,6),NA())</f>
        <v>1.4119999999999999</v>
      </c>
      <c r="Q34" cm="1">
        <f t="array" aca="1" ref="Q34" ca="1">IFERROR(INDEX(_xlfn.ANCHORARRAY($C$3),T_CALC[[#This Row],[DAY]]+1,2),NA())</f>
        <v>0</v>
      </c>
    </row>
    <row r="35" spans="3:17">
      <c r="C35" vm="1650">
        <f ca="1"/>
        <v>42801</v>
      </c>
      <c r="D35">
        <f ca="1"/>
        <v>0</v>
      </c>
      <c r="E35" vm="1651">
        <f ca="1"/>
        <v>1.4116</v>
      </c>
      <c r="F35" vm="1579">
        <f ca="1"/>
        <v>1.4132</v>
      </c>
      <c r="G35" vm="1556">
        <f ca="1"/>
        <v>1.4081999999999999</v>
      </c>
      <c r="H35" vm="1652">
        <f ca="1"/>
        <v>1.4109</v>
      </c>
      <c r="K35">
        <f ca="1">IF(ROW(T_CALC[[#This Row],[DAY]])-ROW(T_CALC[[#Headers],[DAY]])&gt;C_N_TRADING_DAYS,"",ROW(T_CALC[[#This Row],[DAY]])-ROW(T_CALC[[#Headers],[DAY]]))</f>
        <v>32</v>
      </c>
      <c r="L35" cm="1" vm="1650">
        <f t="array" aca="1" ref="L35" ca="1">IFERROR(INDEX(_xlfn.ANCHORARRAY($C$3),T_CALC[[#This Row],[DAY]]+1,1),NA())</f>
        <v>42801</v>
      </c>
      <c r="M35" cm="1" vm="1651">
        <f t="array" aca="1" ref="M35" ca="1">IFERROR(INDEX(_xlfn.ANCHORARRAY($C$3),T_CALC[[#This Row],[DAY]]+1,3),NA())</f>
        <v>1.4116</v>
      </c>
      <c r="N35" cm="1" vm="1579">
        <f t="array" aca="1" ref="N35" ca="1">IFERROR(INDEX(_xlfn.ANCHORARRAY($C$3),T_CALC[[#This Row],[DAY]]+1,4),NA())</f>
        <v>1.4132</v>
      </c>
      <c r="O35" cm="1" vm="1556">
        <f t="array" aca="1" ref="O35" ca="1">IFERROR(INDEX(_xlfn.ANCHORARRAY($C$3),T_CALC[[#This Row],[DAY]]+1,5),NA())</f>
        <v>1.4081999999999999</v>
      </c>
      <c r="P35" cm="1" vm="1652">
        <f t="array" aca="1" ref="P35" ca="1">IFERROR(INDEX(_xlfn.ANCHORARRAY($C$3),T_CALC[[#This Row],[DAY]]+1,6),NA())</f>
        <v>1.4109</v>
      </c>
      <c r="Q35" cm="1">
        <f t="array" aca="1" ref="Q35" ca="1">IFERROR(INDEX(_xlfn.ANCHORARRAY($C$3),T_CALC[[#This Row],[DAY]]+1,2),NA())</f>
        <v>0</v>
      </c>
    </row>
    <row r="36" spans="3:17">
      <c r="C36" vm="1653">
        <f ca="1"/>
        <v>42802</v>
      </c>
      <c r="D36">
        <f ca="1"/>
        <v>0</v>
      </c>
      <c r="E36" vm="1652">
        <f ca="1"/>
        <v>1.4109</v>
      </c>
      <c r="F36" vm="1654">
        <f ca="1"/>
        <v>1.4184000000000001</v>
      </c>
      <c r="G36" vm="1655">
        <f ca="1"/>
        <v>1.4085000000000001</v>
      </c>
      <c r="H36" vm="1656">
        <f ca="1"/>
        <v>1.4179999999999999</v>
      </c>
      <c r="K36">
        <f ca="1">IF(ROW(T_CALC[[#This Row],[DAY]])-ROW(T_CALC[[#Headers],[DAY]])&gt;C_N_TRADING_DAYS,"",ROW(T_CALC[[#This Row],[DAY]])-ROW(T_CALC[[#Headers],[DAY]]))</f>
        <v>33</v>
      </c>
      <c r="L36" cm="1" vm="1653">
        <f t="array" aca="1" ref="L36" ca="1">IFERROR(INDEX(_xlfn.ANCHORARRAY($C$3),T_CALC[[#This Row],[DAY]]+1,1),NA())</f>
        <v>42802</v>
      </c>
      <c r="M36" cm="1" vm="1652">
        <f t="array" aca="1" ref="M36" ca="1">IFERROR(INDEX(_xlfn.ANCHORARRAY($C$3),T_CALC[[#This Row],[DAY]]+1,3),NA())</f>
        <v>1.4109</v>
      </c>
      <c r="N36" cm="1" vm="1654">
        <f t="array" aca="1" ref="N36" ca="1">IFERROR(INDEX(_xlfn.ANCHORARRAY($C$3),T_CALC[[#This Row],[DAY]]+1,4),NA())</f>
        <v>1.4184000000000001</v>
      </c>
      <c r="O36" cm="1" vm="1655">
        <f t="array" aca="1" ref="O36" ca="1">IFERROR(INDEX(_xlfn.ANCHORARRAY($C$3),T_CALC[[#This Row],[DAY]]+1,5),NA())</f>
        <v>1.4085000000000001</v>
      </c>
      <c r="P36" cm="1" vm="1656">
        <f t="array" aca="1" ref="P36" ca="1">IFERROR(INDEX(_xlfn.ANCHORARRAY($C$3),T_CALC[[#This Row],[DAY]]+1,6),NA())</f>
        <v>1.4179999999999999</v>
      </c>
      <c r="Q36" cm="1">
        <f t="array" aca="1" ref="Q36" ca="1">IFERROR(INDEX(_xlfn.ANCHORARRAY($C$3),T_CALC[[#This Row],[DAY]]+1,2),NA())</f>
        <v>0</v>
      </c>
    </row>
    <row r="37" spans="3:17">
      <c r="C37" vm="1657">
        <f ca="1"/>
        <v>42803</v>
      </c>
      <c r="D37">
        <f ca="1"/>
        <v>0</v>
      </c>
      <c r="E37" vm="1575">
        <f ca="1"/>
        <v>1.4177999999999999</v>
      </c>
      <c r="F37" vm="1658">
        <f ca="1"/>
        <v>1.4218999999999999</v>
      </c>
      <c r="G37" vm="1659">
        <f ca="1"/>
        <v>1.4165000000000001</v>
      </c>
      <c r="H37" vm="1586">
        <f ca="1"/>
        <v>1.4202999999999999</v>
      </c>
      <c r="K37">
        <f ca="1">IF(ROW(T_CALC[[#This Row],[DAY]])-ROW(T_CALC[[#Headers],[DAY]])&gt;C_N_TRADING_DAYS,"",ROW(T_CALC[[#This Row],[DAY]])-ROW(T_CALC[[#Headers],[DAY]]))</f>
        <v>34</v>
      </c>
      <c r="L37" cm="1" vm="1657">
        <f t="array" aca="1" ref="L37" ca="1">IFERROR(INDEX(_xlfn.ANCHORARRAY($C$3),T_CALC[[#This Row],[DAY]]+1,1),NA())</f>
        <v>42803</v>
      </c>
      <c r="M37" cm="1" vm="1575">
        <f t="array" aca="1" ref="M37" ca="1">IFERROR(INDEX(_xlfn.ANCHORARRAY($C$3),T_CALC[[#This Row],[DAY]]+1,3),NA())</f>
        <v>1.4177999999999999</v>
      </c>
      <c r="N37" cm="1" vm="1658">
        <f t="array" aca="1" ref="N37" ca="1">IFERROR(INDEX(_xlfn.ANCHORARRAY($C$3),T_CALC[[#This Row],[DAY]]+1,4),NA())</f>
        <v>1.4218999999999999</v>
      </c>
      <c r="O37" cm="1" vm="1659">
        <f t="array" aca="1" ref="O37" ca="1">IFERROR(INDEX(_xlfn.ANCHORARRAY($C$3),T_CALC[[#This Row],[DAY]]+1,5),NA())</f>
        <v>1.4165000000000001</v>
      </c>
      <c r="P37" cm="1" vm="1586">
        <f t="array" aca="1" ref="P37" ca="1">IFERROR(INDEX(_xlfn.ANCHORARRAY($C$3),T_CALC[[#This Row],[DAY]]+1,6),NA())</f>
        <v>1.4202999999999999</v>
      </c>
      <c r="Q37" cm="1">
        <f t="array" aca="1" ref="Q37" ca="1">IFERROR(INDEX(_xlfn.ANCHORARRAY($C$3),T_CALC[[#This Row],[DAY]]+1,2),NA())</f>
        <v>0</v>
      </c>
    </row>
    <row r="38" spans="3:17">
      <c r="C38" vm="1660">
        <f ca="1"/>
        <v>42804</v>
      </c>
      <c r="D38">
        <f ca="1"/>
        <v>0</v>
      </c>
      <c r="E38" vm="1661">
        <f ca="1"/>
        <v>1.4201999999999999</v>
      </c>
      <c r="F38" vm="1658">
        <f ca="1"/>
        <v>1.4218999999999999</v>
      </c>
      <c r="G38" vm="1662">
        <f ca="1"/>
        <v>1.4104000000000001</v>
      </c>
      <c r="H38" vm="1651">
        <f ca="1"/>
        <v>1.4116</v>
      </c>
      <c r="K38">
        <f ca="1">IF(ROW(T_CALC[[#This Row],[DAY]])-ROW(T_CALC[[#Headers],[DAY]])&gt;C_N_TRADING_DAYS,"",ROW(T_CALC[[#This Row],[DAY]])-ROW(T_CALC[[#Headers],[DAY]]))</f>
        <v>35</v>
      </c>
      <c r="L38" cm="1" vm="1660">
        <f t="array" aca="1" ref="L38" ca="1">IFERROR(INDEX(_xlfn.ANCHORARRAY($C$3),T_CALC[[#This Row],[DAY]]+1,1),NA())</f>
        <v>42804</v>
      </c>
      <c r="M38" cm="1" vm="1661">
        <f t="array" aca="1" ref="M38" ca="1">IFERROR(INDEX(_xlfn.ANCHORARRAY($C$3),T_CALC[[#This Row],[DAY]]+1,3),NA())</f>
        <v>1.4201999999999999</v>
      </c>
      <c r="N38" cm="1" vm="1658">
        <f t="array" aca="1" ref="N38" ca="1">IFERROR(INDEX(_xlfn.ANCHORARRAY($C$3),T_CALC[[#This Row],[DAY]]+1,4),NA())</f>
        <v>1.4218999999999999</v>
      </c>
      <c r="O38" cm="1" vm="1662">
        <f t="array" aca="1" ref="O38" ca="1">IFERROR(INDEX(_xlfn.ANCHORARRAY($C$3),T_CALC[[#This Row],[DAY]]+1,5),NA())</f>
        <v>1.4104000000000001</v>
      </c>
      <c r="P38" cm="1" vm="1651">
        <f t="array" aca="1" ref="P38" ca="1">IFERROR(INDEX(_xlfn.ANCHORARRAY($C$3),T_CALC[[#This Row],[DAY]]+1,6),NA())</f>
        <v>1.4116</v>
      </c>
      <c r="Q38" cm="1">
        <f t="array" aca="1" ref="Q38" ca="1">IFERROR(INDEX(_xlfn.ANCHORARRAY($C$3),T_CALC[[#This Row],[DAY]]+1,2),NA())</f>
        <v>0</v>
      </c>
    </row>
    <row r="39" spans="3:17">
      <c r="C39" vm="1663">
        <f ca="1"/>
        <v>42807</v>
      </c>
      <c r="D39">
        <f ca="1"/>
        <v>0</v>
      </c>
      <c r="E39" vm="1532">
        <f ca="1"/>
        <v>1.4117</v>
      </c>
      <c r="F39" vm="1664">
        <f ca="1"/>
        <v>1.4149</v>
      </c>
      <c r="G39" vm="1639">
        <f ca="1"/>
        <v>1.4087000000000001</v>
      </c>
      <c r="H39" vm="1665">
        <f ca="1"/>
        <v>1.4138999999999999</v>
      </c>
      <c r="K39">
        <f ca="1">IF(ROW(T_CALC[[#This Row],[DAY]])-ROW(T_CALC[[#Headers],[DAY]])&gt;C_N_TRADING_DAYS,"",ROW(T_CALC[[#This Row],[DAY]])-ROW(T_CALC[[#Headers],[DAY]]))</f>
        <v>36</v>
      </c>
      <c r="L39" cm="1" vm="1663">
        <f t="array" aca="1" ref="L39" ca="1">IFERROR(INDEX(_xlfn.ANCHORARRAY($C$3),T_CALC[[#This Row],[DAY]]+1,1),NA())</f>
        <v>42807</v>
      </c>
      <c r="M39" cm="1" vm="1532">
        <f t="array" aca="1" ref="M39" ca="1">IFERROR(INDEX(_xlfn.ANCHORARRAY($C$3),T_CALC[[#This Row],[DAY]]+1,3),NA())</f>
        <v>1.4117</v>
      </c>
      <c r="N39" cm="1" vm="1664">
        <f t="array" aca="1" ref="N39" ca="1">IFERROR(INDEX(_xlfn.ANCHORARRAY($C$3),T_CALC[[#This Row],[DAY]]+1,4),NA())</f>
        <v>1.4149</v>
      </c>
      <c r="O39" cm="1" vm="1639">
        <f t="array" aca="1" ref="O39" ca="1">IFERROR(INDEX(_xlfn.ANCHORARRAY($C$3),T_CALC[[#This Row],[DAY]]+1,5),NA())</f>
        <v>1.4087000000000001</v>
      </c>
      <c r="P39" cm="1" vm="1665">
        <f t="array" aca="1" ref="P39" ca="1">IFERROR(INDEX(_xlfn.ANCHORARRAY($C$3),T_CALC[[#This Row],[DAY]]+1,6),NA())</f>
        <v>1.4138999999999999</v>
      </c>
      <c r="Q39" cm="1">
        <f t="array" aca="1" ref="Q39" ca="1">IFERROR(INDEX(_xlfn.ANCHORARRAY($C$3),T_CALC[[#This Row],[DAY]]+1,2),NA())</f>
        <v>0</v>
      </c>
    </row>
    <row r="40" spans="3:17">
      <c r="C40" vm="1666">
        <f ca="1"/>
        <v>42808</v>
      </c>
      <c r="D40">
        <f ca="1"/>
        <v>0</v>
      </c>
      <c r="E40" vm="1667">
        <f ca="1"/>
        <v>1.4137</v>
      </c>
      <c r="F40" vm="1668">
        <f ca="1"/>
        <v>1.4159999999999999</v>
      </c>
      <c r="G40" vm="1569">
        <f ca="1"/>
        <v>1.4127000000000001</v>
      </c>
      <c r="H40" vm="1669">
        <f ca="1"/>
        <v>1.4153</v>
      </c>
      <c r="K40">
        <f ca="1">IF(ROW(T_CALC[[#This Row],[DAY]])-ROW(T_CALC[[#Headers],[DAY]])&gt;C_N_TRADING_DAYS,"",ROW(T_CALC[[#This Row],[DAY]])-ROW(T_CALC[[#Headers],[DAY]]))</f>
        <v>37</v>
      </c>
      <c r="L40" cm="1" vm="1666">
        <f t="array" aca="1" ref="L40" ca="1">IFERROR(INDEX(_xlfn.ANCHORARRAY($C$3),T_CALC[[#This Row],[DAY]]+1,1),NA())</f>
        <v>42808</v>
      </c>
      <c r="M40" cm="1" vm="1667">
        <f t="array" aca="1" ref="M40" ca="1">IFERROR(INDEX(_xlfn.ANCHORARRAY($C$3),T_CALC[[#This Row],[DAY]]+1,3),NA())</f>
        <v>1.4137</v>
      </c>
      <c r="N40" cm="1" vm="1668">
        <f t="array" aca="1" ref="N40" ca="1">IFERROR(INDEX(_xlfn.ANCHORARRAY($C$3),T_CALC[[#This Row],[DAY]]+1,4),NA())</f>
        <v>1.4159999999999999</v>
      </c>
      <c r="O40" cm="1" vm="1569">
        <f t="array" aca="1" ref="O40" ca="1">IFERROR(INDEX(_xlfn.ANCHORARRAY($C$3),T_CALC[[#This Row],[DAY]]+1,5),NA())</f>
        <v>1.4127000000000001</v>
      </c>
      <c r="P40" cm="1" vm="1669">
        <f t="array" aca="1" ref="P40" ca="1">IFERROR(INDEX(_xlfn.ANCHORARRAY($C$3),T_CALC[[#This Row],[DAY]]+1,6),NA())</f>
        <v>1.4153</v>
      </c>
      <c r="Q40" cm="1">
        <f t="array" aca="1" ref="Q40" ca="1">IFERROR(INDEX(_xlfn.ANCHORARRAY($C$3),T_CALC[[#This Row],[DAY]]+1,2),NA())</f>
        <v>0</v>
      </c>
    </row>
    <row r="41" spans="3:17">
      <c r="C41" vm="1670">
        <f ca="1"/>
        <v>42809</v>
      </c>
      <c r="D41">
        <f ca="1"/>
        <v>0</v>
      </c>
      <c r="E41" vm="1669">
        <f ca="1"/>
        <v>1.4153</v>
      </c>
      <c r="F41" vm="1671">
        <f ca="1"/>
        <v>1.4158999999999999</v>
      </c>
      <c r="G41" vm="1672">
        <f ca="1"/>
        <v>1.4004000000000001</v>
      </c>
      <c r="H41" vm="1673">
        <f ca="1"/>
        <v>1.4011</v>
      </c>
      <c r="K41">
        <f ca="1">IF(ROW(T_CALC[[#This Row],[DAY]])-ROW(T_CALC[[#Headers],[DAY]])&gt;C_N_TRADING_DAYS,"",ROW(T_CALC[[#This Row],[DAY]])-ROW(T_CALC[[#Headers],[DAY]]))</f>
        <v>38</v>
      </c>
      <c r="L41" cm="1" vm="1670">
        <f t="array" aca="1" ref="L41" ca="1">IFERROR(INDEX(_xlfn.ANCHORARRAY($C$3),T_CALC[[#This Row],[DAY]]+1,1),NA())</f>
        <v>42809</v>
      </c>
      <c r="M41" cm="1" vm="1669">
        <f t="array" aca="1" ref="M41" ca="1">IFERROR(INDEX(_xlfn.ANCHORARRAY($C$3),T_CALC[[#This Row],[DAY]]+1,3),NA())</f>
        <v>1.4153</v>
      </c>
      <c r="N41" cm="1" vm="1671">
        <f t="array" aca="1" ref="N41" ca="1">IFERROR(INDEX(_xlfn.ANCHORARRAY($C$3),T_CALC[[#This Row],[DAY]]+1,4),NA())</f>
        <v>1.4158999999999999</v>
      </c>
      <c r="O41" cm="1" vm="1672">
        <f t="array" aca="1" ref="O41" ca="1">IFERROR(INDEX(_xlfn.ANCHORARRAY($C$3),T_CALC[[#This Row],[DAY]]+1,5),NA())</f>
        <v>1.4004000000000001</v>
      </c>
      <c r="P41" cm="1" vm="1673">
        <f t="array" aca="1" ref="P41" ca="1">IFERROR(INDEX(_xlfn.ANCHORARRAY($C$3),T_CALC[[#This Row],[DAY]]+1,6),NA())</f>
        <v>1.4011</v>
      </c>
      <c r="Q41" cm="1">
        <f t="array" aca="1" ref="Q41" ca="1">IFERROR(INDEX(_xlfn.ANCHORARRAY($C$3),T_CALC[[#This Row],[DAY]]+1,2),NA())</f>
        <v>0</v>
      </c>
    </row>
    <row r="42" spans="3:17">
      <c r="C42" vm="1674">
        <f ca="1"/>
        <v>42810</v>
      </c>
      <c r="D42">
        <f ca="1"/>
        <v>0</v>
      </c>
      <c r="E42" vm="1675">
        <f ca="1"/>
        <v>1.4012</v>
      </c>
      <c r="F42" vm="1676">
        <f ca="1"/>
        <v>1.4063000000000001</v>
      </c>
      <c r="G42" vm="1677">
        <f ca="1"/>
        <v>1.4001999999999999</v>
      </c>
      <c r="H42" vm="1678">
        <f ca="1"/>
        <v>1.4007000000000001</v>
      </c>
      <c r="K42">
        <f ca="1">IF(ROW(T_CALC[[#This Row],[DAY]])-ROW(T_CALC[[#Headers],[DAY]])&gt;C_N_TRADING_DAYS,"",ROW(T_CALC[[#This Row],[DAY]])-ROW(T_CALC[[#Headers],[DAY]]))</f>
        <v>39</v>
      </c>
      <c r="L42" cm="1" vm="1674">
        <f t="array" aca="1" ref="L42" ca="1">IFERROR(INDEX(_xlfn.ANCHORARRAY($C$3),T_CALC[[#This Row],[DAY]]+1,1),NA())</f>
        <v>42810</v>
      </c>
      <c r="M42" cm="1" vm="1675">
        <f t="array" aca="1" ref="M42" ca="1">IFERROR(INDEX(_xlfn.ANCHORARRAY($C$3),T_CALC[[#This Row],[DAY]]+1,3),NA())</f>
        <v>1.4012</v>
      </c>
      <c r="N42" cm="1" vm="1676">
        <f t="array" aca="1" ref="N42" ca="1">IFERROR(INDEX(_xlfn.ANCHORARRAY($C$3),T_CALC[[#This Row],[DAY]]+1,4),NA())</f>
        <v>1.4063000000000001</v>
      </c>
      <c r="O42" cm="1" vm="1677">
        <f t="array" aca="1" ref="O42" ca="1">IFERROR(INDEX(_xlfn.ANCHORARRAY($C$3),T_CALC[[#This Row],[DAY]]+1,5),NA())</f>
        <v>1.4001999999999999</v>
      </c>
      <c r="P42" cm="1" vm="1678">
        <f t="array" aca="1" ref="P42" ca="1">IFERROR(INDEX(_xlfn.ANCHORARRAY($C$3),T_CALC[[#This Row],[DAY]]+1,6),NA())</f>
        <v>1.4007000000000001</v>
      </c>
      <c r="Q42" cm="1">
        <f t="array" aca="1" ref="Q42" ca="1">IFERROR(INDEX(_xlfn.ANCHORARRAY($C$3),T_CALC[[#This Row],[DAY]]+1,2),NA())</f>
        <v>0</v>
      </c>
    </row>
    <row r="43" spans="3:17">
      <c r="C43" vm="1679">
        <f ca="1"/>
        <v>42811</v>
      </c>
      <c r="D43">
        <f ca="1"/>
        <v>0</v>
      </c>
      <c r="E43" vm="1680">
        <f ca="1"/>
        <v>1.401</v>
      </c>
      <c r="F43" vm="1681">
        <f ca="1"/>
        <v>1.4037999999999999</v>
      </c>
      <c r="G43" vm="1682">
        <f ca="1"/>
        <v>1.3996</v>
      </c>
      <c r="H43" vm="1683">
        <f ca="1"/>
        <v>1.4017999999999999</v>
      </c>
      <c r="K43">
        <f ca="1">IF(ROW(T_CALC[[#This Row],[DAY]])-ROW(T_CALC[[#Headers],[DAY]])&gt;C_N_TRADING_DAYS,"",ROW(T_CALC[[#This Row],[DAY]])-ROW(T_CALC[[#Headers],[DAY]]))</f>
        <v>40</v>
      </c>
      <c r="L43" cm="1" vm="1679">
        <f t="array" aca="1" ref="L43" ca="1">IFERROR(INDEX(_xlfn.ANCHORARRAY($C$3),T_CALC[[#This Row],[DAY]]+1,1),NA())</f>
        <v>42811</v>
      </c>
      <c r="M43" cm="1" vm="1680">
        <f t="array" aca="1" ref="M43" ca="1">IFERROR(INDEX(_xlfn.ANCHORARRAY($C$3),T_CALC[[#This Row],[DAY]]+1,3),NA())</f>
        <v>1.401</v>
      </c>
      <c r="N43" cm="1" vm="1681">
        <f t="array" aca="1" ref="N43" ca="1">IFERROR(INDEX(_xlfn.ANCHORARRAY($C$3),T_CALC[[#This Row],[DAY]]+1,4),NA())</f>
        <v>1.4037999999999999</v>
      </c>
      <c r="O43" cm="1" vm="1682">
        <f t="array" aca="1" ref="O43" ca="1">IFERROR(INDEX(_xlfn.ANCHORARRAY($C$3),T_CALC[[#This Row],[DAY]]+1,5),NA())</f>
        <v>1.3996</v>
      </c>
      <c r="P43" cm="1" vm="1683">
        <f t="array" aca="1" ref="P43" ca="1">IFERROR(INDEX(_xlfn.ANCHORARRAY($C$3),T_CALC[[#This Row],[DAY]]+1,6),NA())</f>
        <v>1.4017999999999999</v>
      </c>
      <c r="Q43" cm="1">
        <f t="array" aca="1" ref="Q43" ca="1">IFERROR(INDEX(_xlfn.ANCHORARRAY($C$3),T_CALC[[#This Row],[DAY]]+1,2),NA())</f>
        <v>0</v>
      </c>
    </row>
    <row r="44" spans="3:17">
      <c r="C44" vm="1684">
        <f ca="1"/>
        <v>42814</v>
      </c>
      <c r="D44">
        <f ca="1"/>
        <v>0</v>
      </c>
      <c r="E44" vm="1625">
        <f ca="1"/>
        <v>1.4016999999999999</v>
      </c>
      <c r="F44" vm="1685">
        <f ca="1"/>
        <v>1.4020999999999999</v>
      </c>
      <c r="G44" vm="1686">
        <f ca="1"/>
        <v>1.395</v>
      </c>
      <c r="H44" vm="1687">
        <f ca="1"/>
        <v>1.3965000000000001</v>
      </c>
      <c r="K44">
        <f ca="1">IF(ROW(T_CALC[[#This Row],[DAY]])-ROW(T_CALC[[#Headers],[DAY]])&gt;C_N_TRADING_DAYS,"",ROW(T_CALC[[#This Row],[DAY]])-ROW(T_CALC[[#Headers],[DAY]]))</f>
        <v>41</v>
      </c>
      <c r="L44" cm="1" vm="1684">
        <f t="array" aca="1" ref="L44" ca="1">IFERROR(INDEX(_xlfn.ANCHORARRAY($C$3),T_CALC[[#This Row],[DAY]]+1,1),NA())</f>
        <v>42814</v>
      </c>
      <c r="M44" cm="1" vm="1625">
        <f t="array" aca="1" ref="M44" ca="1">IFERROR(INDEX(_xlfn.ANCHORARRAY($C$3),T_CALC[[#This Row],[DAY]]+1,3),NA())</f>
        <v>1.4016999999999999</v>
      </c>
      <c r="N44" cm="1" vm="1685">
        <f t="array" aca="1" ref="N44" ca="1">IFERROR(INDEX(_xlfn.ANCHORARRAY($C$3),T_CALC[[#This Row],[DAY]]+1,4),NA())</f>
        <v>1.4020999999999999</v>
      </c>
      <c r="O44" cm="1" vm="1686">
        <f t="array" aca="1" ref="O44" ca="1">IFERROR(INDEX(_xlfn.ANCHORARRAY($C$3),T_CALC[[#This Row],[DAY]]+1,5),NA())</f>
        <v>1.395</v>
      </c>
      <c r="P44" cm="1" vm="1687">
        <f t="array" aca="1" ref="P44" ca="1">IFERROR(INDEX(_xlfn.ANCHORARRAY($C$3),T_CALC[[#This Row],[DAY]]+1,6),NA())</f>
        <v>1.3965000000000001</v>
      </c>
      <c r="Q44" cm="1">
        <f t="array" aca="1" ref="Q44" ca="1">IFERROR(INDEX(_xlfn.ANCHORARRAY($C$3),T_CALC[[#This Row],[DAY]]+1,2),NA())</f>
        <v>0</v>
      </c>
    </row>
    <row r="45" spans="3:17">
      <c r="C45" vm="1688">
        <f ca="1"/>
        <v>42815</v>
      </c>
      <c r="D45">
        <f ca="1"/>
        <v>0</v>
      </c>
      <c r="E45" vm="1689">
        <f ca="1"/>
        <v>1.3967000000000001</v>
      </c>
      <c r="F45" vm="1690">
        <f ca="1"/>
        <v>1.4003000000000001</v>
      </c>
      <c r="G45" vm="1691">
        <f ca="1"/>
        <v>1.3949</v>
      </c>
      <c r="H45" vm="1692">
        <f ca="1"/>
        <v>1.3994</v>
      </c>
      <c r="K45">
        <f ca="1">IF(ROW(T_CALC[[#This Row],[DAY]])-ROW(T_CALC[[#Headers],[DAY]])&gt;C_N_TRADING_DAYS,"",ROW(T_CALC[[#This Row],[DAY]])-ROW(T_CALC[[#Headers],[DAY]]))</f>
        <v>42</v>
      </c>
      <c r="L45" cm="1" vm="1688">
        <f t="array" aca="1" ref="L45" ca="1">IFERROR(INDEX(_xlfn.ANCHORARRAY($C$3),T_CALC[[#This Row],[DAY]]+1,1),NA())</f>
        <v>42815</v>
      </c>
      <c r="M45" cm="1" vm="1689">
        <f t="array" aca="1" ref="M45" ca="1">IFERROR(INDEX(_xlfn.ANCHORARRAY($C$3),T_CALC[[#This Row],[DAY]]+1,3),NA())</f>
        <v>1.3967000000000001</v>
      </c>
      <c r="N45" cm="1" vm="1690">
        <f t="array" aca="1" ref="N45" ca="1">IFERROR(INDEX(_xlfn.ANCHORARRAY($C$3),T_CALC[[#This Row],[DAY]]+1,4),NA())</f>
        <v>1.4003000000000001</v>
      </c>
      <c r="O45" cm="1" vm="1691">
        <f t="array" aca="1" ref="O45" ca="1">IFERROR(INDEX(_xlfn.ANCHORARRAY($C$3),T_CALC[[#This Row],[DAY]]+1,5),NA())</f>
        <v>1.3949</v>
      </c>
      <c r="P45" cm="1" vm="1692">
        <f t="array" aca="1" ref="P45" ca="1">IFERROR(INDEX(_xlfn.ANCHORARRAY($C$3),T_CALC[[#This Row],[DAY]]+1,6),NA())</f>
        <v>1.3994</v>
      </c>
      <c r="Q45" cm="1">
        <f t="array" aca="1" ref="Q45" ca="1">IFERROR(INDEX(_xlfn.ANCHORARRAY($C$3),T_CALC[[#This Row],[DAY]]+1,2),NA())</f>
        <v>0</v>
      </c>
    </row>
    <row r="46" spans="3:17">
      <c r="C46" vm="1693">
        <f ca="1"/>
        <v>42816</v>
      </c>
      <c r="D46">
        <f ca="1"/>
        <v>0</v>
      </c>
      <c r="E46" vm="1692">
        <f ca="1"/>
        <v>1.3994</v>
      </c>
      <c r="F46" vm="1694">
        <f ca="1"/>
        <v>1.4028</v>
      </c>
      <c r="G46" vm="1695">
        <f ca="1"/>
        <v>1.3966000000000001</v>
      </c>
      <c r="H46" vm="1696">
        <f ca="1"/>
        <v>1.3974</v>
      </c>
      <c r="K46">
        <f ca="1">IF(ROW(T_CALC[[#This Row],[DAY]])-ROW(T_CALC[[#Headers],[DAY]])&gt;C_N_TRADING_DAYS,"",ROW(T_CALC[[#This Row],[DAY]])-ROW(T_CALC[[#Headers],[DAY]]))</f>
        <v>43</v>
      </c>
      <c r="L46" cm="1" vm="1693">
        <f t="array" aca="1" ref="L46" ca="1">IFERROR(INDEX(_xlfn.ANCHORARRAY($C$3),T_CALC[[#This Row],[DAY]]+1,1),NA())</f>
        <v>42816</v>
      </c>
      <c r="M46" cm="1" vm="1692">
        <f t="array" aca="1" ref="M46" ca="1">IFERROR(INDEX(_xlfn.ANCHORARRAY($C$3),T_CALC[[#This Row],[DAY]]+1,3),NA())</f>
        <v>1.3994</v>
      </c>
      <c r="N46" cm="1" vm="1694">
        <f t="array" aca="1" ref="N46" ca="1">IFERROR(INDEX(_xlfn.ANCHORARRAY($C$3),T_CALC[[#This Row],[DAY]]+1,4),NA())</f>
        <v>1.4028</v>
      </c>
      <c r="O46" cm="1" vm="1695">
        <f t="array" aca="1" ref="O46" ca="1">IFERROR(INDEX(_xlfn.ANCHORARRAY($C$3),T_CALC[[#This Row],[DAY]]+1,5),NA())</f>
        <v>1.3966000000000001</v>
      </c>
      <c r="P46" cm="1" vm="1696">
        <f t="array" aca="1" ref="P46" ca="1">IFERROR(INDEX(_xlfn.ANCHORARRAY($C$3),T_CALC[[#This Row],[DAY]]+1,6),NA())</f>
        <v>1.3974</v>
      </c>
      <c r="Q46" cm="1">
        <f t="array" aca="1" ref="Q46" ca="1">IFERROR(INDEX(_xlfn.ANCHORARRAY($C$3),T_CALC[[#This Row],[DAY]]+1,2),NA())</f>
        <v>0</v>
      </c>
    </row>
    <row r="47" spans="3:17">
      <c r="C47" vm="1697">
        <f ca="1"/>
        <v>42817</v>
      </c>
      <c r="D47">
        <f ca="1"/>
        <v>0</v>
      </c>
      <c r="E47" vm="1698">
        <f ca="1"/>
        <v>1.3976999999999999</v>
      </c>
      <c r="F47" vm="1680">
        <f ca="1"/>
        <v>1.401</v>
      </c>
      <c r="G47" vm="1699">
        <f ca="1"/>
        <v>1.397</v>
      </c>
      <c r="H47" vm="1700">
        <f ca="1"/>
        <v>1.3991</v>
      </c>
      <c r="K47">
        <f ca="1">IF(ROW(T_CALC[[#This Row],[DAY]])-ROW(T_CALC[[#Headers],[DAY]])&gt;C_N_TRADING_DAYS,"",ROW(T_CALC[[#This Row],[DAY]])-ROW(T_CALC[[#Headers],[DAY]]))</f>
        <v>44</v>
      </c>
      <c r="L47" cm="1" vm="1697">
        <f t="array" aca="1" ref="L47" ca="1">IFERROR(INDEX(_xlfn.ANCHORARRAY($C$3),T_CALC[[#This Row],[DAY]]+1,1),NA())</f>
        <v>42817</v>
      </c>
      <c r="M47" cm="1" vm="1698">
        <f t="array" aca="1" ref="M47" ca="1">IFERROR(INDEX(_xlfn.ANCHORARRAY($C$3),T_CALC[[#This Row],[DAY]]+1,3),NA())</f>
        <v>1.3976999999999999</v>
      </c>
      <c r="N47" cm="1" vm="1680">
        <f t="array" aca="1" ref="N47" ca="1">IFERROR(INDEX(_xlfn.ANCHORARRAY($C$3),T_CALC[[#This Row],[DAY]]+1,4),NA())</f>
        <v>1.401</v>
      </c>
      <c r="O47" cm="1" vm="1699">
        <f t="array" aca="1" ref="O47" ca="1">IFERROR(INDEX(_xlfn.ANCHORARRAY($C$3),T_CALC[[#This Row],[DAY]]+1,5),NA())</f>
        <v>1.397</v>
      </c>
      <c r="P47" cm="1" vm="1700">
        <f t="array" aca="1" ref="P47" ca="1">IFERROR(INDEX(_xlfn.ANCHORARRAY($C$3),T_CALC[[#This Row],[DAY]]+1,6),NA())</f>
        <v>1.3991</v>
      </c>
      <c r="Q47" cm="1">
        <f t="array" aca="1" ref="Q47" ca="1">IFERROR(INDEX(_xlfn.ANCHORARRAY($C$3),T_CALC[[#This Row],[DAY]]+1,2),NA())</f>
        <v>0</v>
      </c>
    </row>
    <row r="48" spans="3:17">
      <c r="C48" vm="1701">
        <f ca="1"/>
        <v>42818</v>
      </c>
      <c r="D48">
        <f ca="1"/>
        <v>0</v>
      </c>
      <c r="E48" vm="1702">
        <f ca="1"/>
        <v>1.3992</v>
      </c>
      <c r="F48" vm="1703">
        <f ca="1"/>
        <v>1.4018999999999999</v>
      </c>
      <c r="G48" vm="1704">
        <f ca="1"/>
        <v>1.3951</v>
      </c>
      <c r="H48" vm="1705">
        <f ca="1"/>
        <v>1.3987000000000001</v>
      </c>
      <c r="K48">
        <f ca="1">IF(ROW(T_CALC[[#This Row],[DAY]])-ROW(T_CALC[[#Headers],[DAY]])&gt;C_N_TRADING_DAYS,"",ROW(T_CALC[[#This Row],[DAY]])-ROW(T_CALC[[#Headers],[DAY]]))</f>
        <v>45</v>
      </c>
      <c r="L48" cm="1" vm="1701">
        <f t="array" aca="1" ref="L48" ca="1">IFERROR(INDEX(_xlfn.ANCHORARRAY($C$3),T_CALC[[#This Row],[DAY]]+1,1),NA())</f>
        <v>42818</v>
      </c>
      <c r="M48" cm="1" vm="1702">
        <f t="array" aca="1" ref="M48" ca="1">IFERROR(INDEX(_xlfn.ANCHORARRAY($C$3),T_CALC[[#This Row],[DAY]]+1,3),NA())</f>
        <v>1.3992</v>
      </c>
      <c r="N48" cm="1" vm="1703">
        <f t="array" aca="1" ref="N48" ca="1">IFERROR(INDEX(_xlfn.ANCHORARRAY($C$3),T_CALC[[#This Row],[DAY]]+1,4),NA())</f>
        <v>1.4018999999999999</v>
      </c>
      <c r="O48" cm="1" vm="1704">
        <f t="array" aca="1" ref="O48" ca="1">IFERROR(INDEX(_xlfn.ANCHORARRAY($C$3),T_CALC[[#This Row],[DAY]]+1,5),NA())</f>
        <v>1.3951</v>
      </c>
      <c r="P48" cm="1" vm="1705">
        <f t="array" aca="1" ref="P48" ca="1">IFERROR(INDEX(_xlfn.ANCHORARRAY($C$3),T_CALC[[#This Row],[DAY]]+1,6),NA())</f>
        <v>1.3987000000000001</v>
      </c>
      <c r="Q48" cm="1">
        <f t="array" aca="1" ref="Q48" ca="1">IFERROR(INDEX(_xlfn.ANCHORARRAY($C$3),T_CALC[[#This Row],[DAY]]+1,2),NA())</f>
        <v>0</v>
      </c>
    </row>
    <row r="49" spans="3:17">
      <c r="C49" vm="1706">
        <f ca="1"/>
        <v>42821</v>
      </c>
      <c r="D49">
        <f ca="1"/>
        <v>0</v>
      </c>
      <c r="E49" vm="1700">
        <f ca="1"/>
        <v>1.3991</v>
      </c>
      <c r="F49" vm="1700">
        <f ca="1"/>
        <v>1.3991</v>
      </c>
      <c r="G49" vm="1707">
        <f ca="1"/>
        <v>1.3902000000000001</v>
      </c>
      <c r="H49" vm="1708">
        <f ca="1"/>
        <v>1.3932</v>
      </c>
      <c r="K49">
        <f ca="1">IF(ROW(T_CALC[[#This Row],[DAY]])-ROW(T_CALC[[#Headers],[DAY]])&gt;C_N_TRADING_DAYS,"",ROW(T_CALC[[#This Row],[DAY]])-ROW(T_CALC[[#Headers],[DAY]]))</f>
        <v>46</v>
      </c>
      <c r="L49" cm="1" vm="1706">
        <f t="array" aca="1" ref="L49" ca="1">IFERROR(INDEX(_xlfn.ANCHORARRAY($C$3),T_CALC[[#This Row],[DAY]]+1,1),NA())</f>
        <v>42821</v>
      </c>
      <c r="M49" cm="1" vm="1700">
        <f t="array" aca="1" ref="M49" ca="1">IFERROR(INDEX(_xlfn.ANCHORARRAY($C$3),T_CALC[[#This Row],[DAY]]+1,3),NA())</f>
        <v>1.3991</v>
      </c>
      <c r="N49" cm="1" vm="1700">
        <f t="array" aca="1" ref="N49" ca="1">IFERROR(INDEX(_xlfn.ANCHORARRAY($C$3),T_CALC[[#This Row],[DAY]]+1,4),NA())</f>
        <v>1.3991</v>
      </c>
      <c r="O49" cm="1" vm="1707">
        <f t="array" aca="1" ref="O49" ca="1">IFERROR(INDEX(_xlfn.ANCHORARRAY($C$3),T_CALC[[#This Row],[DAY]]+1,5),NA())</f>
        <v>1.3902000000000001</v>
      </c>
      <c r="P49" cm="1" vm="1708">
        <f t="array" aca="1" ref="P49" ca="1">IFERROR(INDEX(_xlfn.ANCHORARRAY($C$3),T_CALC[[#This Row],[DAY]]+1,6),NA())</f>
        <v>1.3932</v>
      </c>
      <c r="Q49" cm="1">
        <f t="array" aca="1" ref="Q49" ca="1">IFERROR(INDEX(_xlfn.ANCHORARRAY($C$3),T_CALC[[#This Row],[DAY]]+1,2),NA())</f>
        <v>0</v>
      </c>
    </row>
    <row r="50" spans="3:17">
      <c r="C50" vm="1709">
        <f ca="1"/>
        <v>42822</v>
      </c>
      <c r="D50">
        <f ca="1"/>
        <v>0</v>
      </c>
      <c r="E50" vm="1708">
        <f ca="1"/>
        <v>1.3932</v>
      </c>
      <c r="F50" vm="1710">
        <f ca="1"/>
        <v>1.3978999999999999</v>
      </c>
      <c r="G50" vm="1711">
        <f ca="1"/>
        <v>1.3911</v>
      </c>
      <c r="H50" vm="1698">
        <f ca="1"/>
        <v>1.3976999999999999</v>
      </c>
      <c r="K50">
        <f ca="1">IF(ROW(T_CALC[[#This Row],[DAY]])-ROW(T_CALC[[#Headers],[DAY]])&gt;C_N_TRADING_DAYS,"",ROW(T_CALC[[#This Row],[DAY]])-ROW(T_CALC[[#Headers],[DAY]]))</f>
        <v>47</v>
      </c>
      <c r="L50" cm="1" vm="1709">
        <f t="array" aca="1" ref="L50" ca="1">IFERROR(INDEX(_xlfn.ANCHORARRAY($C$3),T_CALC[[#This Row],[DAY]]+1,1),NA())</f>
        <v>42822</v>
      </c>
      <c r="M50" cm="1" vm="1708">
        <f t="array" aca="1" ref="M50" ca="1">IFERROR(INDEX(_xlfn.ANCHORARRAY($C$3),T_CALC[[#This Row],[DAY]]+1,3),NA())</f>
        <v>1.3932</v>
      </c>
      <c r="N50" cm="1" vm="1710">
        <f t="array" aca="1" ref="N50" ca="1">IFERROR(INDEX(_xlfn.ANCHORARRAY($C$3),T_CALC[[#This Row],[DAY]]+1,4),NA())</f>
        <v>1.3978999999999999</v>
      </c>
      <c r="O50" cm="1" vm="1711">
        <f t="array" aca="1" ref="O50" ca="1">IFERROR(INDEX(_xlfn.ANCHORARRAY($C$3),T_CALC[[#This Row],[DAY]]+1,5),NA())</f>
        <v>1.3911</v>
      </c>
      <c r="P50" cm="1" vm="1698">
        <f t="array" aca="1" ref="P50" ca="1">IFERROR(INDEX(_xlfn.ANCHORARRAY($C$3),T_CALC[[#This Row],[DAY]]+1,6),NA())</f>
        <v>1.3976999999999999</v>
      </c>
      <c r="Q50" cm="1">
        <f t="array" aca="1" ref="Q50" ca="1">IFERROR(INDEX(_xlfn.ANCHORARRAY($C$3),T_CALC[[#This Row],[DAY]]+1,2),NA())</f>
        <v>0</v>
      </c>
    </row>
    <row r="51" spans="3:17">
      <c r="C51" vm="1712">
        <f ca="1"/>
        <v>42823</v>
      </c>
      <c r="D51">
        <f ca="1"/>
        <v>0</v>
      </c>
      <c r="E51" vm="1713">
        <f ca="1"/>
        <v>1.3975</v>
      </c>
      <c r="F51" vm="1714">
        <f ca="1"/>
        <v>1.3986000000000001</v>
      </c>
      <c r="G51" vm="1715">
        <f ca="1"/>
        <v>1.3929</v>
      </c>
      <c r="H51" vm="1716">
        <f ca="1"/>
        <v>1.3937999999999999</v>
      </c>
      <c r="K51">
        <f ca="1">IF(ROW(T_CALC[[#This Row],[DAY]])-ROW(T_CALC[[#Headers],[DAY]])&gt;C_N_TRADING_DAYS,"",ROW(T_CALC[[#This Row],[DAY]])-ROW(T_CALC[[#Headers],[DAY]]))</f>
        <v>48</v>
      </c>
      <c r="L51" cm="1" vm="1712">
        <f t="array" aca="1" ref="L51" ca="1">IFERROR(INDEX(_xlfn.ANCHORARRAY($C$3),T_CALC[[#This Row],[DAY]]+1,1),NA())</f>
        <v>42823</v>
      </c>
      <c r="M51" cm="1" vm="1713">
        <f t="array" aca="1" ref="M51" ca="1">IFERROR(INDEX(_xlfn.ANCHORARRAY($C$3),T_CALC[[#This Row],[DAY]]+1,3),NA())</f>
        <v>1.3975</v>
      </c>
      <c r="N51" cm="1" vm="1714">
        <f t="array" aca="1" ref="N51" ca="1">IFERROR(INDEX(_xlfn.ANCHORARRAY($C$3),T_CALC[[#This Row],[DAY]]+1,4),NA())</f>
        <v>1.3986000000000001</v>
      </c>
      <c r="O51" cm="1" vm="1715">
        <f t="array" aca="1" ref="O51" ca="1">IFERROR(INDEX(_xlfn.ANCHORARRAY($C$3),T_CALC[[#This Row],[DAY]]+1,5),NA())</f>
        <v>1.3929</v>
      </c>
      <c r="P51" cm="1" vm="1716">
        <f t="array" aca="1" ref="P51" ca="1">IFERROR(INDEX(_xlfn.ANCHORARRAY($C$3),T_CALC[[#This Row],[DAY]]+1,6),NA())</f>
        <v>1.3937999999999999</v>
      </c>
      <c r="Q51" cm="1">
        <f t="array" aca="1" ref="Q51" ca="1">IFERROR(INDEX(_xlfn.ANCHORARRAY($C$3),T_CALC[[#This Row],[DAY]]+1,2),NA())</f>
        <v>0</v>
      </c>
    </row>
    <row r="52" spans="3:17">
      <c r="C52" vm="1717">
        <f ca="1"/>
        <v>42824</v>
      </c>
      <c r="D52">
        <f ca="1"/>
        <v>0</v>
      </c>
      <c r="E52" vm="1716">
        <f ca="1"/>
        <v>1.3937999999999999</v>
      </c>
      <c r="F52" vm="1718">
        <f ca="1"/>
        <v>1.3980999999999999</v>
      </c>
      <c r="G52" vm="1719">
        <f ca="1"/>
        <v>1.3926000000000001</v>
      </c>
      <c r="H52" vm="1720">
        <f ca="1"/>
        <v>1.3979999999999999</v>
      </c>
      <c r="K52">
        <f ca="1">IF(ROW(T_CALC[[#This Row],[DAY]])-ROW(T_CALC[[#Headers],[DAY]])&gt;C_N_TRADING_DAYS,"",ROW(T_CALC[[#This Row],[DAY]])-ROW(T_CALC[[#Headers],[DAY]]))</f>
        <v>49</v>
      </c>
      <c r="L52" cm="1" vm="1717">
        <f t="array" aca="1" ref="L52" ca="1">IFERROR(INDEX(_xlfn.ANCHORARRAY($C$3),T_CALC[[#This Row],[DAY]]+1,1),NA())</f>
        <v>42824</v>
      </c>
      <c r="M52" cm="1" vm="1716">
        <f t="array" aca="1" ref="M52" ca="1">IFERROR(INDEX(_xlfn.ANCHORARRAY($C$3),T_CALC[[#This Row],[DAY]]+1,3),NA())</f>
        <v>1.3937999999999999</v>
      </c>
      <c r="N52" cm="1" vm="1718">
        <f t="array" aca="1" ref="N52" ca="1">IFERROR(INDEX(_xlfn.ANCHORARRAY($C$3),T_CALC[[#This Row],[DAY]]+1,4),NA())</f>
        <v>1.3980999999999999</v>
      </c>
      <c r="O52" cm="1" vm="1719">
        <f t="array" aca="1" ref="O52" ca="1">IFERROR(INDEX(_xlfn.ANCHORARRAY($C$3),T_CALC[[#This Row],[DAY]]+1,5),NA())</f>
        <v>1.3926000000000001</v>
      </c>
      <c r="P52" cm="1" vm="1720">
        <f t="array" aca="1" ref="P52" ca="1">IFERROR(INDEX(_xlfn.ANCHORARRAY($C$3),T_CALC[[#This Row],[DAY]]+1,6),NA())</f>
        <v>1.3979999999999999</v>
      </c>
      <c r="Q52" cm="1">
        <f t="array" aca="1" ref="Q52" ca="1">IFERROR(INDEX(_xlfn.ANCHORARRAY($C$3),T_CALC[[#This Row],[DAY]]+1,2),NA())</f>
        <v>0</v>
      </c>
    </row>
    <row r="53" spans="3:17">
      <c r="C53" vm="1721">
        <f ca="1"/>
        <v>42825</v>
      </c>
      <c r="D53">
        <f ca="1"/>
        <v>0</v>
      </c>
      <c r="E53" vm="1722">
        <f ca="1"/>
        <v>1.3977999999999999</v>
      </c>
      <c r="F53" vm="1723">
        <f ca="1"/>
        <v>1.3996999999999999</v>
      </c>
      <c r="G53" vm="1724">
        <f ca="1"/>
        <v>1.3952</v>
      </c>
      <c r="H53" vm="1689">
        <f ca="1"/>
        <v>1.3967000000000001</v>
      </c>
      <c r="K53">
        <f ca="1">IF(ROW(T_CALC[[#This Row],[DAY]])-ROW(T_CALC[[#Headers],[DAY]])&gt;C_N_TRADING_DAYS,"",ROW(T_CALC[[#This Row],[DAY]])-ROW(T_CALC[[#Headers],[DAY]]))</f>
        <v>50</v>
      </c>
      <c r="L53" cm="1" vm="1721">
        <f t="array" aca="1" ref="L53" ca="1">IFERROR(INDEX(_xlfn.ANCHORARRAY($C$3),T_CALC[[#This Row],[DAY]]+1,1),NA())</f>
        <v>42825</v>
      </c>
      <c r="M53" cm="1" vm="1722">
        <f t="array" aca="1" ref="M53" ca="1">IFERROR(INDEX(_xlfn.ANCHORARRAY($C$3),T_CALC[[#This Row],[DAY]]+1,3),NA())</f>
        <v>1.3977999999999999</v>
      </c>
      <c r="N53" cm="1" vm="1723">
        <f t="array" aca="1" ref="N53" ca="1">IFERROR(INDEX(_xlfn.ANCHORARRAY($C$3),T_CALC[[#This Row],[DAY]]+1,4),NA())</f>
        <v>1.3996999999999999</v>
      </c>
      <c r="O53" cm="1" vm="1724">
        <f t="array" aca="1" ref="O53" ca="1">IFERROR(INDEX(_xlfn.ANCHORARRAY($C$3),T_CALC[[#This Row],[DAY]]+1,5),NA())</f>
        <v>1.3952</v>
      </c>
      <c r="P53" cm="1" vm="1689">
        <f t="array" aca="1" ref="P53" ca="1">IFERROR(INDEX(_xlfn.ANCHORARRAY($C$3),T_CALC[[#This Row],[DAY]]+1,6),NA())</f>
        <v>1.3967000000000001</v>
      </c>
      <c r="Q53" cm="1">
        <f t="array" aca="1" ref="Q53" ca="1">IFERROR(INDEX(_xlfn.ANCHORARRAY($C$3),T_CALC[[#This Row],[DAY]]+1,2),NA())</f>
        <v>0</v>
      </c>
    </row>
    <row r="54" spans="3:17">
      <c r="C54" vm="1725">
        <f ca="1"/>
        <v>42828</v>
      </c>
      <c r="D54">
        <f ca="1"/>
        <v>0</v>
      </c>
      <c r="E54" vm="1726">
        <f ca="1"/>
        <v>1.3976</v>
      </c>
      <c r="F54" vm="1727">
        <f ca="1"/>
        <v>1.3982000000000001</v>
      </c>
      <c r="G54" vm="1728">
        <f ca="1"/>
        <v>1.3945000000000001</v>
      </c>
      <c r="H54" vm="1689">
        <f ca="1"/>
        <v>1.3967000000000001</v>
      </c>
      <c r="K54">
        <f ca="1">IF(ROW(T_CALC[[#This Row],[DAY]])-ROW(T_CALC[[#Headers],[DAY]])&gt;C_N_TRADING_DAYS,"",ROW(T_CALC[[#This Row],[DAY]])-ROW(T_CALC[[#Headers],[DAY]]))</f>
        <v>51</v>
      </c>
      <c r="L54" cm="1" vm="1725">
        <f t="array" aca="1" ref="L54" ca="1">IFERROR(INDEX(_xlfn.ANCHORARRAY($C$3),T_CALC[[#This Row],[DAY]]+1,1),NA())</f>
        <v>42828</v>
      </c>
      <c r="M54" cm="1" vm="1726">
        <f t="array" aca="1" ref="M54" ca="1">IFERROR(INDEX(_xlfn.ANCHORARRAY($C$3),T_CALC[[#This Row],[DAY]]+1,3),NA())</f>
        <v>1.3976</v>
      </c>
      <c r="N54" cm="1" vm="1727">
        <f t="array" aca="1" ref="N54" ca="1">IFERROR(INDEX(_xlfn.ANCHORARRAY($C$3),T_CALC[[#This Row],[DAY]]+1,4),NA())</f>
        <v>1.3982000000000001</v>
      </c>
      <c r="O54" cm="1" vm="1728">
        <f t="array" aca="1" ref="O54" ca="1">IFERROR(INDEX(_xlfn.ANCHORARRAY($C$3),T_CALC[[#This Row],[DAY]]+1,5),NA())</f>
        <v>1.3945000000000001</v>
      </c>
      <c r="P54" cm="1" vm="1689">
        <f t="array" aca="1" ref="P54" ca="1">IFERROR(INDEX(_xlfn.ANCHORARRAY($C$3),T_CALC[[#This Row],[DAY]]+1,6),NA())</f>
        <v>1.3967000000000001</v>
      </c>
      <c r="Q54" cm="1">
        <f t="array" aca="1" ref="Q54" ca="1">IFERROR(INDEX(_xlfn.ANCHORARRAY($C$3),T_CALC[[#This Row],[DAY]]+1,2),NA())</f>
        <v>0</v>
      </c>
    </row>
    <row r="55" spans="3:17">
      <c r="C55" vm="1729">
        <f ca="1"/>
        <v>42829</v>
      </c>
      <c r="D55">
        <f ca="1"/>
        <v>0</v>
      </c>
      <c r="E55" vm="1689">
        <f ca="1"/>
        <v>1.3967000000000001</v>
      </c>
      <c r="F55" vm="1730">
        <f ca="1"/>
        <v>1.4009</v>
      </c>
      <c r="G55" vm="1731">
        <f ca="1"/>
        <v>1.3953</v>
      </c>
      <c r="H55" vm="1710">
        <f ca="1"/>
        <v>1.3978999999999999</v>
      </c>
      <c r="K55">
        <f ca="1">IF(ROW(T_CALC[[#This Row],[DAY]])-ROW(T_CALC[[#Headers],[DAY]])&gt;C_N_TRADING_DAYS,"",ROW(T_CALC[[#This Row],[DAY]])-ROW(T_CALC[[#Headers],[DAY]]))</f>
        <v>52</v>
      </c>
      <c r="L55" cm="1" vm="1729">
        <f t="array" aca="1" ref="L55" ca="1">IFERROR(INDEX(_xlfn.ANCHORARRAY($C$3),T_CALC[[#This Row],[DAY]]+1,1),NA())</f>
        <v>42829</v>
      </c>
      <c r="M55" cm="1" vm="1689">
        <f t="array" aca="1" ref="M55" ca="1">IFERROR(INDEX(_xlfn.ANCHORARRAY($C$3),T_CALC[[#This Row],[DAY]]+1,3),NA())</f>
        <v>1.3967000000000001</v>
      </c>
      <c r="N55" cm="1" vm="1730">
        <f t="array" aca="1" ref="N55" ca="1">IFERROR(INDEX(_xlfn.ANCHORARRAY($C$3),T_CALC[[#This Row],[DAY]]+1,4),NA())</f>
        <v>1.4009</v>
      </c>
      <c r="O55" cm="1" vm="1731">
        <f t="array" aca="1" ref="O55" ca="1">IFERROR(INDEX(_xlfn.ANCHORARRAY($C$3),T_CALC[[#This Row],[DAY]]+1,5),NA())</f>
        <v>1.3953</v>
      </c>
      <c r="P55" cm="1" vm="1710">
        <f t="array" aca="1" ref="P55" ca="1">IFERROR(INDEX(_xlfn.ANCHORARRAY($C$3),T_CALC[[#This Row],[DAY]]+1,6),NA())</f>
        <v>1.3978999999999999</v>
      </c>
      <c r="Q55" cm="1">
        <f t="array" aca="1" ref="Q55" ca="1">IFERROR(INDEX(_xlfn.ANCHORARRAY($C$3),T_CALC[[#This Row],[DAY]]+1,2),NA())</f>
        <v>0</v>
      </c>
    </row>
    <row r="56" spans="3:17">
      <c r="C56" vm="1732">
        <f ca="1"/>
        <v>42830</v>
      </c>
      <c r="D56">
        <f ca="1"/>
        <v>0</v>
      </c>
      <c r="E56" vm="1727">
        <f ca="1"/>
        <v>1.3982000000000001</v>
      </c>
      <c r="F56" vm="1733">
        <f ca="1"/>
        <v>1.4021999999999999</v>
      </c>
      <c r="G56" vm="1633">
        <f ca="1"/>
        <v>1.3968</v>
      </c>
      <c r="H56" vm="1734">
        <f ca="1"/>
        <v>1.4006000000000001</v>
      </c>
      <c r="K56">
        <f ca="1">IF(ROW(T_CALC[[#This Row],[DAY]])-ROW(T_CALC[[#Headers],[DAY]])&gt;C_N_TRADING_DAYS,"",ROW(T_CALC[[#This Row],[DAY]])-ROW(T_CALC[[#Headers],[DAY]]))</f>
        <v>53</v>
      </c>
      <c r="L56" cm="1" vm="1732">
        <f t="array" aca="1" ref="L56" ca="1">IFERROR(INDEX(_xlfn.ANCHORARRAY($C$3),T_CALC[[#This Row],[DAY]]+1,1),NA())</f>
        <v>42830</v>
      </c>
      <c r="M56" cm="1" vm="1727">
        <f t="array" aca="1" ref="M56" ca="1">IFERROR(INDEX(_xlfn.ANCHORARRAY($C$3),T_CALC[[#This Row],[DAY]]+1,3),NA())</f>
        <v>1.3982000000000001</v>
      </c>
      <c r="N56" cm="1" vm="1733">
        <f t="array" aca="1" ref="N56" ca="1">IFERROR(INDEX(_xlfn.ANCHORARRAY($C$3),T_CALC[[#This Row],[DAY]]+1,4),NA())</f>
        <v>1.4021999999999999</v>
      </c>
      <c r="O56" cm="1" vm="1633">
        <f t="array" aca="1" ref="O56" ca="1">IFERROR(INDEX(_xlfn.ANCHORARRAY($C$3),T_CALC[[#This Row],[DAY]]+1,5),NA())</f>
        <v>1.3968</v>
      </c>
      <c r="P56" cm="1" vm="1734">
        <f t="array" aca="1" ref="P56" ca="1">IFERROR(INDEX(_xlfn.ANCHORARRAY($C$3),T_CALC[[#This Row],[DAY]]+1,6),NA())</f>
        <v>1.4006000000000001</v>
      </c>
      <c r="Q56" cm="1">
        <f t="array" aca="1" ref="Q56" ca="1">IFERROR(INDEX(_xlfn.ANCHORARRAY($C$3),T_CALC[[#This Row],[DAY]]+1,2),NA())</f>
        <v>0</v>
      </c>
    </row>
    <row r="57" spans="3:17">
      <c r="C57" vm="1735">
        <f ca="1"/>
        <v>42831</v>
      </c>
      <c r="D57">
        <f ca="1"/>
        <v>0</v>
      </c>
      <c r="E57" vm="1730">
        <f ca="1"/>
        <v>1.4009</v>
      </c>
      <c r="F57" vm="1636">
        <f ca="1"/>
        <v>1.403</v>
      </c>
      <c r="G57" vm="1714">
        <f ca="1"/>
        <v>1.3986000000000001</v>
      </c>
      <c r="H57" vm="1685">
        <f ca="1"/>
        <v>1.4020999999999999</v>
      </c>
      <c r="K57">
        <f ca="1">IF(ROW(T_CALC[[#This Row],[DAY]])-ROW(T_CALC[[#Headers],[DAY]])&gt;C_N_TRADING_DAYS,"",ROW(T_CALC[[#This Row],[DAY]])-ROW(T_CALC[[#Headers],[DAY]]))</f>
        <v>54</v>
      </c>
      <c r="L57" cm="1" vm="1735">
        <f t="array" aca="1" ref="L57" ca="1">IFERROR(INDEX(_xlfn.ANCHORARRAY($C$3),T_CALC[[#This Row],[DAY]]+1,1),NA())</f>
        <v>42831</v>
      </c>
      <c r="M57" cm="1" vm="1730">
        <f t="array" aca="1" ref="M57" ca="1">IFERROR(INDEX(_xlfn.ANCHORARRAY($C$3),T_CALC[[#This Row],[DAY]]+1,3),NA())</f>
        <v>1.4009</v>
      </c>
      <c r="N57" cm="1" vm="1636">
        <f t="array" aca="1" ref="N57" ca="1">IFERROR(INDEX(_xlfn.ANCHORARRAY($C$3),T_CALC[[#This Row],[DAY]]+1,4),NA())</f>
        <v>1.403</v>
      </c>
      <c r="O57" cm="1" vm="1714">
        <f t="array" aca="1" ref="O57" ca="1">IFERROR(INDEX(_xlfn.ANCHORARRAY($C$3),T_CALC[[#This Row],[DAY]]+1,5),NA())</f>
        <v>1.3986000000000001</v>
      </c>
      <c r="P57" cm="1" vm="1685">
        <f t="array" aca="1" ref="P57" ca="1">IFERROR(INDEX(_xlfn.ANCHORARRAY($C$3),T_CALC[[#This Row],[DAY]]+1,6),NA())</f>
        <v>1.4020999999999999</v>
      </c>
      <c r="Q57" cm="1">
        <f t="array" aca="1" ref="Q57" ca="1">IFERROR(INDEX(_xlfn.ANCHORARRAY($C$3),T_CALC[[#This Row],[DAY]]+1,2),NA())</f>
        <v>0</v>
      </c>
    </row>
    <row r="58" spans="3:17">
      <c r="C58" vm="1736">
        <f ca="1"/>
        <v>42832</v>
      </c>
      <c r="D58">
        <f ca="1"/>
        <v>0</v>
      </c>
      <c r="E58" vm="1737">
        <f ca="1"/>
        <v>1.4024000000000001</v>
      </c>
      <c r="F58" vm="1623">
        <f ca="1"/>
        <v>1.4060999999999999</v>
      </c>
      <c r="G58" vm="1718">
        <f ca="1"/>
        <v>1.3980999999999999</v>
      </c>
      <c r="H58" vm="1738">
        <f ca="1"/>
        <v>1.4043000000000001</v>
      </c>
      <c r="K58">
        <f ca="1">IF(ROW(T_CALC[[#This Row],[DAY]])-ROW(T_CALC[[#Headers],[DAY]])&gt;C_N_TRADING_DAYS,"",ROW(T_CALC[[#This Row],[DAY]])-ROW(T_CALC[[#Headers],[DAY]]))</f>
        <v>55</v>
      </c>
      <c r="L58" cm="1" vm="1736">
        <f t="array" aca="1" ref="L58" ca="1">IFERROR(INDEX(_xlfn.ANCHORARRAY($C$3),T_CALC[[#This Row],[DAY]]+1,1),NA())</f>
        <v>42832</v>
      </c>
      <c r="M58" cm="1" vm="1737">
        <f t="array" aca="1" ref="M58" ca="1">IFERROR(INDEX(_xlfn.ANCHORARRAY($C$3),T_CALC[[#This Row],[DAY]]+1,3),NA())</f>
        <v>1.4024000000000001</v>
      </c>
      <c r="N58" cm="1" vm="1623">
        <f t="array" aca="1" ref="N58" ca="1">IFERROR(INDEX(_xlfn.ANCHORARRAY($C$3),T_CALC[[#This Row],[DAY]]+1,4),NA())</f>
        <v>1.4060999999999999</v>
      </c>
      <c r="O58" cm="1" vm="1718">
        <f t="array" aca="1" ref="O58" ca="1">IFERROR(INDEX(_xlfn.ANCHORARRAY($C$3),T_CALC[[#This Row],[DAY]]+1,5),NA())</f>
        <v>1.3980999999999999</v>
      </c>
      <c r="P58" cm="1" vm="1738">
        <f t="array" aca="1" ref="P58" ca="1">IFERROR(INDEX(_xlfn.ANCHORARRAY($C$3),T_CALC[[#This Row],[DAY]]+1,6),NA())</f>
        <v>1.4043000000000001</v>
      </c>
      <c r="Q58" cm="1">
        <f t="array" aca="1" ref="Q58" ca="1">IFERROR(INDEX(_xlfn.ANCHORARRAY($C$3),T_CALC[[#This Row],[DAY]]+1,2),NA())</f>
        <v>0</v>
      </c>
    </row>
    <row r="59" spans="3:17">
      <c r="C59" vm="1739">
        <f ca="1"/>
        <v>42835</v>
      </c>
      <c r="D59">
        <f ca="1"/>
        <v>0</v>
      </c>
      <c r="E59" vm="1740">
        <f ca="1"/>
        <v>1.4046000000000001</v>
      </c>
      <c r="F59" vm="1741">
        <f ca="1"/>
        <v>1.4080999999999999</v>
      </c>
      <c r="G59" vm="1742">
        <f ca="1"/>
        <v>1.4036999999999999</v>
      </c>
      <c r="H59" vm="1570">
        <f ca="1"/>
        <v>1.4049</v>
      </c>
      <c r="K59">
        <f ca="1">IF(ROW(T_CALC[[#This Row],[DAY]])-ROW(T_CALC[[#Headers],[DAY]])&gt;C_N_TRADING_DAYS,"",ROW(T_CALC[[#This Row],[DAY]])-ROW(T_CALC[[#Headers],[DAY]]))</f>
        <v>56</v>
      </c>
      <c r="L59" cm="1" vm="1739">
        <f t="array" aca="1" ref="L59" ca="1">IFERROR(INDEX(_xlfn.ANCHORARRAY($C$3),T_CALC[[#This Row],[DAY]]+1,1),NA())</f>
        <v>42835</v>
      </c>
      <c r="M59" cm="1" vm="1740">
        <f t="array" aca="1" ref="M59" ca="1">IFERROR(INDEX(_xlfn.ANCHORARRAY($C$3),T_CALC[[#This Row],[DAY]]+1,3),NA())</f>
        <v>1.4046000000000001</v>
      </c>
      <c r="N59" cm="1" vm="1741">
        <f t="array" aca="1" ref="N59" ca="1">IFERROR(INDEX(_xlfn.ANCHORARRAY($C$3),T_CALC[[#This Row],[DAY]]+1,4),NA())</f>
        <v>1.4080999999999999</v>
      </c>
      <c r="O59" cm="1" vm="1742">
        <f t="array" aca="1" ref="O59" ca="1">IFERROR(INDEX(_xlfn.ANCHORARRAY($C$3),T_CALC[[#This Row],[DAY]]+1,5),NA())</f>
        <v>1.4036999999999999</v>
      </c>
      <c r="P59" cm="1" vm="1570">
        <f t="array" aca="1" ref="P59" ca="1">IFERROR(INDEX(_xlfn.ANCHORARRAY($C$3),T_CALC[[#This Row],[DAY]]+1,6),NA())</f>
        <v>1.4049</v>
      </c>
      <c r="Q59" cm="1">
        <f t="array" aca="1" ref="Q59" ca="1">IFERROR(INDEX(_xlfn.ANCHORARRAY($C$3),T_CALC[[#This Row],[DAY]]+1,2),NA())</f>
        <v>0</v>
      </c>
    </row>
    <row r="60" spans="3:17">
      <c r="C60" vm="1743">
        <f ca="1"/>
        <v>42836</v>
      </c>
      <c r="D60">
        <f ca="1"/>
        <v>0</v>
      </c>
      <c r="E60" vm="1744">
        <f ca="1"/>
        <v>1.4047000000000001</v>
      </c>
      <c r="F60" vm="1745">
        <f ca="1"/>
        <v>1.4077</v>
      </c>
      <c r="G60" vm="1683">
        <f ca="1"/>
        <v>1.4017999999999999</v>
      </c>
      <c r="H60" vm="1746">
        <f ca="1"/>
        <v>1.4033</v>
      </c>
      <c r="K60">
        <f ca="1">IF(ROW(T_CALC[[#This Row],[DAY]])-ROW(T_CALC[[#Headers],[DAY]])&gt;C_N_TRADING_DAYS,"",ROW(T_CALC[[#This Row],[DAY]])-ROW(T_CALC[[#Headers],[DAY]]))</f>
        <v>57</v>
      </c>
      <c r="L60" cm="1" vm="1743">
        <f t="array" aca="1" ref="L60" ca="1">IFERROR(INDEX(_xlfn.ANCHORARRAY($C$3),T_CALC[[#This Row],[DAY]]+1,1),NA())</f>
        <v>42836</v>
      </c>
      <c r="M60" cm="1" vm="1744">
        <f t="array" aca="1" ref="M60" ca="1">IFERROR(INDEX(_xlfn.ANCHORARRAY($C$3),T_CALC[[#This Row],[DAY]]+1,3),NA())</f>
        <v>1.4047000000000001</v>
      </c>
      <c r="N60" cm="1" vm="1745">
        <f t="array" aca="1" ref="N60" ca="1">IFERROR(INDEX(_xlfn.ANCHORARRAY($C$3),T_CALC[[#This Row],[DAY]]+1,4),NA())</f>
        <v>1.4077</v>
      </c>
      <c r="O60" cm="1" vm="1683">
        <f t="array" aca="1" ref="O60" ca="1">IFERROR(INDEX(_xlfn.ANCHORARRAY($C$3),T_CALC[[#This Row],[DAY]]+1,5),NA())</f>
        <v>1.4017999999999999</v>
      </c>
      <c r="P60" cm="1" vm="1746">
        <f t="array" aca="1" ref="P60" ca="1">IFERROR(INDEX(_xlfn.ANCHORARRAY($C$3),T_CALC[[#This Row],[DAY]]+1,6),NA())</f>
        <v>1.4033</v>
      </c>
      <c r="Q60" cm="1">
        <f t="array" aca="1" ref="Q60" ca="1">IFERROR(INDEX(_xlfn.ANCHORARRAY($C$3),T_CALC[[#This Row],[DAY]]+1,2),NA())</f>
        <v>0</v>
      </c>
    </row>
    <row r="61" spans="3:17">
      <c r="C61" vm="1747">
        <f ca="1"/>
        <v>42837</v>
      </c>
      <c r="D61">
        <f ca="1"/>
        <v>0</v>
      </c>
      <c r="E61" vm="1748">
        <f ca="1"/>
        <v>1.4036</v>
      </c>
      <c r="F61" vm="1749">
        <f ca="1"/>
        <v>1.4044000000000001</v>
      </c>
      <c r="G61" vm="1728">
        <f ca="1"/>
        <v>1.3945000000000001</v>
      </c>
      <c r="H61" vm="1750">
        <f ca="1"/>
        <v>1.3948</v>
      </c>
      <c r="K61">
        <f ca="1">IF(ROW(T_CALC[[#This Row],[DAY]])-ROW(T_CALC[[#Headers],[DAY]])&gt;C_N_TRADING_DAYS,"",ROW(T_CALC[[#This Row],[DAY]])-ROW(T_CALC[[#Headers],[DAY]]))</f>
        <v>58</v>
      </c>
      <c r="L61" cm="1" vm="1747">
        <f t="array" aca="1" ref="L61" ca="1">IFERROR(INDEX(_xlfn.ANCHORARRAY($C$3),T_CALC[[#This Row],[DAY]]+1,1),NA())</f>
        <v>42837</v>
      </c>
      <c r="M61" cm="1" vm="1748">
        <f t="array" aca="1" ref="M61" ca="1">IFERROR(INDEX(_xlfn.ANCHORARRAY($C$3),T_CALC[[#This Row],[DAY]]+1,3),NA())</f>
        <v>1.4036</v>
      </c>
      <c r="N61" cm="1" vm="1749">
        <f t="array" aca="1" ref="N61" ca="1">IFERROR(INDEX(_xlfn.ANCHORARRAY($C$3),T_CALC[[#This Row],[DAY]]+1,4),NA())</f>
        <v>1.4044000000000001</v>
      </c>
      <c r="O61" cm="1" vm="1728">
        <f t="array" aca="1" ref="O61" ca="1">IFERROR(INDEX(_xlfn.ANCHORARRAY($C$3),T_CALC[[#This Row],[DAY]]+1,5),NA())</f>
        <v>1.3945000000000001</v>
      </c>
      <c r="P61" cm="1" vm="1750">
        <f t="array" aca="1" ref="P61" ca="1">IFERROR(INDEX(_xlfn.ANCHORARRAY($C$3),T_CALC[[#This Row],[DAY]]+1,6),NA())</f>
        <v>1.3948</v>
      </c>
      <c r="Q61" cm="1">
        <f t="array" aca="1" ref="Q61" ca="1">IFERROR(INDEX(_xlfn.ANCHORARRAY($C$3),T_CALC[[#This Row],[DAY]]+1,2),NA())</f>
        <v>0</v>
      </c>
    </row>
    <row r="62" spans="3:17">
      <c r="C62" vm="1751">
        <f ca="1"/>
        <v>42838</v>
      </c>
      <c r="D62">
        <f ca="1"/>
        <v>0</v>
      </c>
      <c r="E62" vm="1691">
        <f ca="1"/>
        <v>1.3949</v>
      </c>
      <c r="F62" vm="1700">
        <f ca="1"/>
        <v>1.3991</v>
      </c>
      <c r="G62" vm="1752">
        <f ca="1"/>
        <v>1.3925000000000001</v>
      </c>
      <c r="H62" vm="1722">
        <f ca="1"/>
        <v>1.3977999999999999</v>
      </c>
      <c r="K62">
        <f ca="1">IF(ROW(T_CALC[[#This Row],[DAY]])-ROW(T_CALC[[#Headers],[DAY]])&gt;C_N_TRADING_DAYS,"",ROW(T_CALC[[#This Row],[DAY]])-ROW(T_CALC[[#Headers],[DAY]]))</f>
        <v>59</v>
      </c>
      <c r="L62" cm="1" vm="1751">
        <f t="array" aca="1" ref="L62" ca="1">IFERROR(INDEX(_xlfn.ANCHORARRAY($C$3),T_CALC[[#This Row],[DAY]]+1,1),NA())</f>
        <v>42838</v>
      </c>
      <c r="M62" cm="1" vm="1691">
        <f t="array" aca="1" ref="M62" ca="1">IFERROR(INDEX(_xlfn.ANCHORARRAY($C$3),T_CALC[[#This Row],[DAY]]+1,3),NA())</f>
        <v>1.3949</v>
      </c>
      <c r="N62" cm="1" vm="1700">
        <f t="array" aca="1" ref="N62" ca="1">IFERROR(INDEX(_xlfn.ANCHORARRAY($C$3),T_CALC[[#This Row],[DAY]]+1,4),NA())</f>
        <v>1.3991</v>
      </c>
      <c r="O62" cm="1" vm="1752">
        <f t="array" aca="1" ref="O62" ca="1">IFERROR(INDEX(_xlfn.ANCHORARRAY($C$3),T_CALC[[#This Row],[DAY]]+1,5),NA())</f>
        <v>1.3925000000000001</v>
      </c>
      <c r="P62" cm="1" vm="1722">
        <f t="array" aca="1" ref="P62" ca="1">IFERROR(INDEX(_xlfn.ANCHORARRAY($C$3),T_CALC[[#This Row],[DAY]]+1,6),NA())</f>
        <v>1.3977999999999999</v>
      </c>
      <c r="Q62" cm="1">
        <f t="array" aca="1" ref="Q62" ca="1">IFERROR(INDEX(_xlfn.ANCHORARRAY($C$3),T_CALC[[#This Row],[DAY]]+1,2),NA())</f>
        <v>0</v>
      </c>
    </row>
    <row r="63" spans="3:17">
      <c r="C63" vm="1753">
        <f ca="1"/>
        <v>42839</v>
      </c>
      <c r="D63">
        <f ca="1"/>
        <v>0</v>
      </c>
      <c r="E63" vm="1710">
        <f ca="1"/>
        <v>1.3978999999999999</v>
      </c>
      <c r="F63" vm="1754">
        <f ca="1"/>
        <v>1.3988</v>
      </c>
      <c r="G63" vm="1755">
        <f ca="1"/>
        <v>1.3958999999999999</v>
      </c>
      <c r="H63" vm="1756">
        <f ca="1"/>
        <v>1.3972</v>
      </c>
      <c r="K63">
        <f ca="1">IF(ROW(T_CALC[[#This Row],[DAY]])-ROW(T_CALC[[#Headers],[DAY]])&gt;C_N_TRADING_DAYS,"",ROW(T_CALC[[#This Row],[DAY]])-ROW(T_CALC[[#Headers],[DAY]]))</f>
        <v>60</v>
      </c>
      <c r="L63" cm="1" vm="1753">
        <f t="array" aca="1" ref="L63" ca="1">IFERROR(INDEX(_xlfn.ANCHORARRAY($C$3),T_CALC[[#This Row],[DAY]]+1,1),NA())</f>
        <v>42839</v>
      </c>
      <c r="M63" cm="1" vm="1710">
        <f t="array" aca="1" ref="M63" ca="1">IFERROR(INDEX(_xlfn.ANCHORARRAY($C$3),T_CALC[[#This Row],[DAY]]+1,3),NA())</f>
        <v>1.3978999999999999</v>
      </c>
      <c r="N63" cm="1" vm="1754">
        <f t="array" aca="1" ref="N63" ca="1">IFERROR(INDEX(_xlfn.ANCHORARRAY($C$3),T_CALC[[#This Row],[DAY]]+1,4),NA())</f>
        <v>1.3988</v>
      </c>
      <c r="O63" cm="1" vm="1755">
        <f t="array" aca="1" ref="O63" ca="1">IFERROR(INDEX(_xlfn.ANCHORARRAY($C$3),T_CALC[[#This Row],[DAY]]+1,5),NA())</f>
        <v>1.3958999999999999</v>
      </c>
      <c r="P63" cm="1" vm="1756">
        <f t="array" aca="1" ref="P63" ca="1">IFERROR(INDEX(_xlfn.ANCHORARRAY($C$3),T_CALC[[#This Row],[DAY]]+1,6),NA())</f>
        <v>1.3972</v>
      </c>
      <c r="Q63" cm="1">
        <f t="array" aca="1" ref="Q63" ca="1">IFERROR(INDEX(_xlfn.ANCHORARRAY($C$3),T_CALC[[#This Row],[DAY]]+1,2),NA())</f>
        <v>0</v>
      </c>
    </row>
    <row r="64" spans="3:17">
      <c r="C64" vm="1757">
        <f ca="1"/>
        <v>42842</v>
      </c>
      <c r="D64">
        <f ca="1"/>
        <v>0</v>
      </c>
      <c r="E64" vm="1699">
        <f ca="1"/>
        <v>1.397</v>
      </c>
      <c r="F64" vm="1718">
        <f ca="1"/>
        <v>1.3980999999999999</v>
      </c>
      <c r="G64" vm="1758">
        <f ca="1"/>
        <v>1.3928</v>
      </c>
      <c r="H64" vm="1710">
        <f ca="1"/>
        <v>1.3978999999999999</v>
      </c>
      <c r="K64">
        <f ca="1">IF(ROW(T_CALC[[#This Row],[DAY]])-ROW(T_CALC[[#Headers],[DAY]])&gt;C_N_TRADING_DAYS,"",ROW(T_CALC[[#This Row],[DAY]])-ROW(T_CALC[[#Headers],[DAY]]))</f>
        <v>61</v>
      </c>
      <c r="L64" cm="1" vm="1757">
        <f t="array" aca="1" ref="L64" ca="1">IFERROR(INDEX(_xlfn.ANCHORARRAY($C$3),T_CALC[[#This Row],[DAY]]+1,1),NA())</f>
        <v>42842</v>
      </c>
      <c r="M64" cm="1" vm="1699">
        <f t="array" aca="1" ref="M64" ca="1">IFERROR(INDEX(_xlfn.ANCHORARRAY($C$3),T_CALC[[#This Row],[DAY]]+1,3),NA())</f>
        <v>1.397</v>
      </c>
      <c r="N64" cm="1" vm="1718">
        <f t="array" aca="1" ref="N64" ca="1">IFERROR(INDEX(_xlfn.ANCHORARRAY($C$3),T_CALC[[#This Row],[DAY]]+1,4),NA())</f>
        <v>1.3980999999999999</v>
      </c>
      <c r="O64" cm="1" vm="1758">
        <f t="array" aca="1" ref="O64" ca="1">IFERROR(INDEX(_xlfn.ANCHORARRAY($C$3),T_CALC[[#This Row],[DAY]]+1,5),NA())</f>
        <v>1.3928</v>
      </c>
      <c r="P64" cm="1" vm="1710">
        <f t="array" aca="1" ref="P64" ca="1">IFERROR(INDEX(_xlfn.ANCHORARRAY($C$3),T_CALC[[#This Row],[DAY]]+1,6),NA())</f>
        <v>1.3978999999999999</v>
      </c>
      <c r="Q64" cm="1">
        <f t="array" aca="1" ref="Q64" ca="1">IFERROR(INDEX(_xlfn.ANCHORARRAY($C$3),T_CALC[[#This Row],[DAY]]+1,2),NA())</f>
        <v>0</v>
      </c>
    </row>
    <row r="65" spans="3:17">
      <c r="C65" vm="1759">
        <f ca="1"/>
        <v>42843</v>
      </c>
      <c r="D65">
        <f ca="1"/>
        <v>0</v>
      </c>
      <c r="E65" vm="1710">
        <f ca="1"/>
        <v>1.3978999999999999</v>
      </c>
      <c r="F65" vm="1760">
        <f ca="1"/>
        <v>1.4</v>
      </c>
      <c r="G65" vm="1704">
        <f ca="1"/>
        <v>1.3951</v>
      </c>
      <c r="H65" vm="1761">
        <f ca="1"/>
        <v>1.3956</v>
      </c>
      <c r="K65">
        <f ca="1">IF(ROW(T_CALC[[#This Row],[DAY]])-ROW(T_CALC[[#Headers],[DAY]])&gt;C_N_TRADING_DAYS,"",ROW(T_CALC[[#This Row],[DAY]])-ROW(T_CALC[[#Headers],[DAY]]))</f>
        <v>62</v>
      </c>
      <c r="L65" cm="1" vm="1759">
        <f t="array" aca="1" ref="L65" ca="1">IFERROR(INDEX(_xlfn.ANCHORARRAY($C$3),T_CALC[[#This Row],[DAY]]+1,1),NA())</f>
        <v>42843</v>
      </c>
      <c r="M65" cm="1" vm="1710">
        <f t="array" aca="1" ref="M65" ca="1">IFERROR(INDEX(_xlfn.ANCHORARRAY($C$3),T_CALC[[#This Row],[DAY]]+1,3),NA())</f>
        <v>1.3978999999999999</v>
      </c>
      <c r="N65" cm="1" vm="1760">
        <f t="array" aca="1" ref="N65" ca="1">IFERROR(INDEX(_xlfn.ANCHORARRAY($C$3),T_CALC[[#This Row],[DAY]]+1,4),NA())</f>
        <v>1.4</v>
      </c>
      <c r="O65" cm="1" vm="1704">
        <f t="array" aca="1" ref="O65" ca="1">IFERROR(INDEX(_xlfn.ANCHORARRAY($C$3),T_CALC[[#This Row],[DAY]]+1,5),NA())</f>
        <v>1.3951</v>
      </c>
      <c r="P65" cm="1" vm="1761">
        <f t="array" aca="1" ref="P65" ca="1">IFERROR(INDEX(_xlfn.ANCHORARRAY($C$3),T_CALC[[#This Row],[DAY]]+1,6),NA())</f>
        <v>1.3956</v>
      </c>
      <c r="Q65" cm="1">
        <f t="array" aca="1" ref="Q65" ca="1">IFERROR(INDEX(_xlfn.ANCHORARRAY($C$3),T_CALC[[#This Row],[DAY]]+1,2),NA())</f>
        <v>0</v>
      </c>
    </row>
    <row r="66" spans="3:17">
      <c r="C66" vm="1762">
        <f ca="1"/>
        <v>42844</v>
      </c>
      <c r="D66">
        <f ca="1"/>
        <v>0</v>
      </c>
      <c r="E66" vm="1761">
        <f ca="1"/>
        <v>1.3956</v>
      </c>
      <c r="F66" vm="1763">
        <f ca="1"/>
        <v>1.399</v>
      </c>
      <c r="G66" vm="1764">
        <f ca="1"/>
        <v>1.3943000000000001</v>
      </c>
      <c r="H66" vm="1765">
        <f ca="1"/>
        <v>1.3983000000000001</v>
      </c>
      <c r="K66">
        <f ca="1">IF(ROW(T_CALC[[#This Row],[DAY]])-ROW(T_CALC[[#Headers],[DAY]])&gt;C_N_TRADING_DAYS,"",ROW(T_CALC[[#This Row],[DAY]])-ROW(T_CALC[[#Headers],[DAY]]))</f>
        <v>63</v>
      </c>
      <c r="L66" cm="1" vm="1762">
        <f t="array" aca="1" ref="L66" ca="1">IFERROR(INDEX(_xlfn.ANCHORARRAY($C$3),T_CALC[[#This Row],[DAY]]+1,1),NA())</f>
        <v>42844</v>
      </c>
      <c r="M66" cm="1" vm="1761">
        <f t="array" aca="1" ref="M66" ca="1">IFERROR(INDEX(_xlfn.ANCHORARRAY($C$3),T_CALC[[#This Row],[DAY]]+1,3),NA())</f>
        <v>1.3956</v>
      </c>
      <c r="N66" cm="1" vm="1763">
        <f t="array" aca="1" ref="N66" ca="1">IFERROR(INDEX(_xlfn.ANCHORARRAY($C$3),T_CALC[[#This Row],[DAY]]+1,4),NA())</f>
        <v>1.399</v>
      </c>
      <c r="O66" cm="1" vm="1764">
        <f t="array" aca="1" ref="O66" ca="1">IFERROR(INDEX(_xlfn.ANCHORARRAY($C$3),T_CALC[[#This Row],[DAY]]+1,5),NA())</f>
        <v>1.3943000000000001</v>
      </c>
      <c r="P66" cm="1" vm="1765">
        <f t="array" aca="1" ref="P66" ca="1">IFERROR(INDEX(_xlfn.ANCHORARRAY($C$3),T_CALC[[#This Row],[DAY]]+1,6),NA())</f>
        <v>1.3983000000000001</v>
      </c>
      <c r="Q66" cm="1">
        <f t="array" aca="1" ref="Q66" ca="1">IFERROR(INDEX(_xlfn.ANCHORARRAY($C$3),T_CALC[[#This Row],[DAY]]+1,2),NA())</f>
        <v>0</v>
      </c>
    </row>
    <row r="67" spans="3:17">
      <c r="C67" vm="1766">
        <f ca="1"/>
        <v>42845</v>
      </c>
      <c r="D67">
        <f ca="1"/>
        <v>0</v>
      </c>
      <c r="E67" vm="1722">
        <f ca="1"/>
        <v>1.3977999999999999</v>
      </c>
      <c r="F67" vm="1754">
        <f ca="1"/>
        <v>1.3988</v>
      </c>
      <c r="G67" vm="1686">
        <f ca="1"/>
        <v>1.395</v>
      </c>
      <c r="H67" vm="1713">
        <f ca="1"/>
        <v>1.3975</v>
      </c>
      <c r="K67">
        <f ca="1">IF(ROW(T_CALC[[#This Row],[DAY]])-ROW(T_CALC[[#Headers],[DAY]])&gt;C_N_TRADING_DAYS,"",ROW(T_CALC[[#This Row],[DAY]])-ROW(T_CALC[[#Headers],[DAY]]))</f>
        <v>64</v>
      </c>
      <c r="L67" cm="1" vm="1766">
        <f t="array" aca="1" ref="L67" ca="1">IFERROR(INDEX(_xlfn.ANCHORARRAY($C$3),T_CALC[[#This Row],[DAY]]+1,1),NA())</f>
        <v>42845</v>
      </c>
      <c r="M67" cm="1" vm="1722">
        <f t="array" aca="1" ref="M67" ca="1">IFERROR(INDEX(_xlfn.ANCHORARRAY($C$3),T_CALC[[#This Row],[DAY]]+1,3),NA())</f>
        <v>1.3977999999999999</v>
      </c>
      <c r="N67" cm="1" vm="1754">
        <f t="array" aca="1" ref="N67" ca="1">IFERROR(INDEX(_xlfn.ANCHORARRAY($C$3),T_CALC[[#This Row],[DAY]]+1,4),NA())</f>
        <v>1.3988</v>
      </c>
      <c r="O67" cm="1" vm="1686">
        <f t="array" aca="1" ref="O67" ca="1">IFERROR(INDEX(_xlfn.ANCHORARRAY($C$3),T_CALC[[#This Row],[DAY]]+1,5),NA())</f>
        <v>1.395</v>
      </c>
      <c r="P67" cm="1" vm="1713">
        <f t="array" aca="1" ref="P67" ca="1">IFERROR(INDEX(_xlfn.ANCHORARRAY($C$3),T_CALC[[#This Row],[DAY]]+1,6),NA())</f>
        <v>1.3975</v>
      </c>
      <c r="Q67" cm="1">
        <f t="array" aca="1" ref="Q67" ca="1">IFERROR(INDEX(_xlfn.ANCHORARRAY($C$3),T_CALC[[#This Row],[DAY]]+1,2),NA())</f>
        <v>0</v>
      </c>
    </row>
    <row r="68" spans="3:17">
      <c r="C68" vm="1767">
        <f ca="1"/>
        <v>42846</v>
      </c>
      <c r="D68">
        <f ca="1"/>
        <v>0</v>
      </c>
      <c r="E68" vm="1713">
        <f ca="1"/>
        <v>1.3975</v>
      </c>
      <c r="F68" vm="1754">
        <f ca="1"/>
        <v>1.3988</v>
      </c>
      <c r="G68" vm="1731">
        <f ca="1"/>
        <v>1.3953</v>
      </c>
      <c r="H68" vm="1695">
        <f ca="1"/>
        <v>1.3966000000000001</v>
      </c>
      <c r="K68">
        <f ca="1">IF(ROW(T_CALC[[#This Row],[DAY]])-ROW(T_CALC[[#Headers],[DAY]])&gt;C_N_TRADING_DAYS,"",ROW(T_CALC[[#This Row],[DAY]])-ROW(T_CALC[[#Headers],[DAY]]))</f>
        <v>65</v>
      </c>
      <c r="L68" cm="1" vm="1767">
        <f t="array" aca="1" ref="L68" ca="1">IFERROR(INDEX(_xlfn.ANCHORARRAY($C$3),T_CALC[[#This Row],[DAY]]+1,1),NA())</f>
        <v>42846</v>
      </c>
      <c r="M68" cm="1" vm="1713">
        <f t="array" aca="1" ref="M68" ca="1">IFERROR(INDEX(_xlfn.ANCHORARRAY($C$3),T_CALC[[#This Row],[DAY]]+1,3),NA())</f>
        <v>1.3975</v>
      </c>
      <c r="N68" cm="1" vm="1754">
        <f t="array" aca="1" ref="N68" ca="1">IFERROR(INDEX(_xlfn.ANCHORARRAY($C$3),T_CALC[[#This Row],[DAY]]+1,4),NA())</f>
        <v>1.3988</v>
      </c>
      <c r="O68" cm="1" vm="1731">
        <f t="array" aca="1" ref="O68" ca="1">IFERROR(INDEX(_xlfn.ANCHORARRAY($C$3),T_CALC[[#This Row],[DAY]]+1,5),NA())</f>
        <v>1.3953</v>
      </c>
      <c r="P68" cm="1" vm="1695">
        <f t="array" aca="1" ref="P68" ca="1">IFERROR(INDEX(_xlfn.ANCHORARRAY($C$3),T_CALC[[#This Row],[DAY]]+1,6),NA())</f>
        <v>1.3966000000000001</v>
      </c>
      <c r="Q68" cm="1">
        <f t="array" aca="1" ref="Q68" ca="1">IFERROR(INDEX(_xlfn.ANCHORARRAY($C$3),T_CALC[[#This Row],[DAY]]+1,2),NA())</f>
        <v>0</v>
      </c>
    </row>
    <row r="69" spans="3:17">
      <c r="C69" vm="1768">
        <f ca="1"/>
        <v>42849</v>
      </c>
      <c r="D69">
        <f ca="1"/>
        <v>0</v>
      </c>
      <c r="E69" vm="1695">
        <f ca="1"/>
        <v>1.3966000000000001</v>
      </c>
      <c r="F69" vm="1695">
        <f ca="1"/>
        <v>1.3966000000000001</v>
      </c>
      <c r="G69" vm="1769">
        <f ca="1"/>
        <v>1.3913</v>
      </c>
      <c r="H69" vm="1770">
        <f ca="1"/>
        <v>1.3924000000000001</v>
      </c>
      <c r="K69">
        <f ca="1">IF(ROW(T_CALC[[#This Row],[DAY]])-ROW(T_CALC[[#Headers],[DAY]])&gt;C_N_TRADING_DAYS,"",ROW(T_CALC[[#This Row],[DAY]])-ROW(T_CALC[[#Headers],[DAY]]))</f>
        <v>66</v>
      </c>
      <c r="L69" cm="1" vm="1768">
        <f t="array" aca="1" ref="L69" ca="1">IFERROR(INDEX(_xlfn.ANCHORARRAY($C$3),T_CALC[[#This Row],[DAY]]+1,1),NA())</f>
        <v>42849</v>
      </c>
      <c r="M69" cm="1" vm="1695">
        <f t="array" aca="1" ref="M69" ca="1">IFERROR(INDEX(_xlfn.ANCHORARRAY($C$3),T_CALC[[#This Row],[DAY]]+1,3),NA())</f>
        <v>1.3966000000000001</v>
      </c>
      <c r="N69" cm="1" vm="1695">
        <f t="array" aca="1" ref="N69" ca="1">IFERROR(INDEX(_xlfn.ANCHORARRAY($C$3),T_CALC[[#This Row],[DAY]]+1,4),NA())</f>
        <v>1.3966000000000001</v>
      </c>
      <c r="O69" cm="1" vm="1769">
        <f t="array" aca="1" ref="O69" ca="1">IFERROR(INDEX(_xlfn.ANCHORARRAY($C$3),T_CALC[[#This Row],[DAY]]+1,5),NA())</f>
        <v>1.3913</v>
      </c>
      <c r="P69" cm="1" vm="1770">
        <f t="array" aca="1" ref="P69" ca="1">IFERROR(INDEX(_xlfn.ANCHORARRAY($C$3),T_CALC[[#This Row],[DAY]]+1,6),NA())</f>
        <v>1.3924000000000001</v>
      </c>
      <c r="Q69" cm="1">
        <f t="array" aca="1" ref="Q69" ca="1">IFERROR(INDEX(_xlfn.ANCHORARRAY($C$3),T_CALC[[#This Row],[DAY]]+1,2),NA())</f>
        <v>0</v>
      </c>
    </row>
    <row r="70" spans="3:17">
      <c r="C70" vm="1771">
        <f ca="1"/>
        <v>42850</v>
      </c>
      <c r="D70">
        <f ca="1"/>
        <v>0</v>
      </c>
      <c r="E70" vm="1719">
        <f ca="1"/>
        <v>1.3926000000000001</v>
      </c>
      <c r="F70" vm="1750">
        <f ca="1"/>
        <v>1.3948</v>
      </c>
      <c r="G70" vm="1707">
        <f ca="1"/>
        <v>1.3902000000000001</v>
      </c>
      <c r="H70" vm="1772">
        <f ca="1"/>
        <v>1.3934</v>
      </c>
      <c r="K70">
        <f ca="1">IF(ROW(T_CALC[[#This Row],[DAY]])-ROW(T_CALC[[#Headers],[DAY]])&gt;C_N_TRADING_DAYS,"",ROW(T_CALC[[#This Row],[DAY]])-ROW(T_CALC[[#Headers],[DAY]]))</f>
        <v>67</v>
      </c>
      <c r="L70" cm="1" vm="1771">
        <f t="array" aca="1" ref="L70" ca="1">IFERROR(INDEX(_xlfn.ANCHORARRAY($C$3),T_CALC[[#This Row],[DAY]]+1,1),NA())</f>
        <v>42850</v>
      </c>
      <c r="M70" cm="1" vm="1719">
        <f t="array" aca="1" ref="M70" ca="1">IFERROR(INDEX(_xlfn.ANCHORARRAY($C$3),T_CALC[[#This Row],[DAY]]+1,3),NA())</f>
        <v>1.3926000000000001</v>
      </c>
      <c r="N70" cm="1" vm="1750">
        <f t="array" aca="1" ref="N70" ca="1">IFERROR(INDEX(_xlfn.ANCHORARRAY($C$3),T_CALC[[#This Row],[DAY]]+1,4),NA())</f>
        <v>1.3948</v>
      </c>
      <c r="O70" cm="1" vm="1707">
        <f t="array" aca="1" ref="O70" ca="1">IFERROR(INDEX(_xlfn.ANCHORARRAY($C$3),T_CALC[[#This Row],[DAY]]+1,5),NA())</f>
        <v>1.3902000000000001</v>
      </c>
      <c r="P70" cm="1" vm="1772">
        <f t="array" aca="1" ref="P70" ca="1">IFERROR(INDEX(_xlfn.ANCHORARRAY($C$3),T_CALC[[#This Row],[DAY]]+1,6),NA())</f>
        <v>1.3934</v>
      </c>
      <c r="Q70" cm="1">
        <f t="array" aca="1" ref="Q70" ca="1">IFERROR(INDEX(_xlfn.ANCHORARRAY($C$3),T_CALC[[#This Row],[DAY]]+1,2),NA())</f>
        <v>0</v>
      </c>
    </row>
    <row r="71" spans="3:17">
      <c r="C71" vm="1773">
        <f ca="1"/>
        <v>42851</v>
      </c>
      <c r="D71">
        <f ca="1"/>
        <v>0</v>
      </c>
      <c r="E71" vm="1772">
        <f ca="1"/>
        <v>1.3934</v>
      </c>
      <c r="F71" vm="1774">
        <f ca="1"/>
        <v>1.3989</v>
      </c>
      <c r="G71" vm="1775">
        <f ca="1"/>
        <v>1.3914</v>
      </c>
      <c r="H71" vm="1761">
        <f ca="1"/>
        <v>1.3956</v>
      </c>
      <c r="K71">
        <f ca="1">IF(ROW(T_CALC[[#This Row],[DAY]])-ROW(T_CALC[[#Headers],[DAY]])&gt;C_N_TRADING_DAYS,"",ROW(T_CALC[[#This Row],[DAY]])-ROW(T_CALC[[#Headers],[DAY]]))</f>
        <v>68</v>
      </c>
      <c r="L71" cm="1" vm="1773">
        <f t="array" aca="1" ref="L71" ca="1">IFERROR(INDEX(_xlfn.ANCHORARRAY($C$3),T_CALC[[#This Row],[DAY]]+1,1),NA())</f>
        <v>42851</v>
      </c>
      <c r="M71" cm="1" vm="1772">
        <f t="array" aca="1" ref="M71" ca="1">IFERROR(INDEX(_xlfn.ANCHORARRAY($C$3),T_CALC[[#This Row],[DAY]]+1,3),NA())</f>
        <v>1.3934</v>
      </c>
      <c r="N71" cm="1" vm="1774">
        <f t="array" aca="1" ref="N71" ca="1">IFERROR(INDEX(_xlfn.ANCHORARRAY($C$3),T_CALC[[#This Row],[DAY]]+1,4),NA())</f>
        <v>1.3989</v>
      </c>
      <c r="O71" cm="1" vm="1775">
        <f t="array" aca="1" ref="O71" ca="1">IFERROR(INDEX(_xlfn.ANCHORARRAY($C$3),T_CALC[[#This Row],[DAY]]+1,5),NA())</f>
        <v>1.3914</v>
      </c>
      <c r="P71" cm="1" vm="1761">
        <f t="array" aca="1" ref="P71" ca="1">IFERROR(INDEX(_xlfn.ANCHORARRAY($C$3),T_CALC[[#This Row],[DAY]]+1,6),NA())</f>
        <v>1.3956</v>
      </c>
      <c r="Q71" cm="1">
        <f t="array" aca="1" ref="Q71" ca="1">IFERROR(INDEX(_xlfn.ANCHORARRAY($C$3),T_CALC[[#This Row],[DAY]]+1,2),NA())</f>
        <v>0</v>
      </c>
    </row>
    <row r="72" spans="3:17">
      <c r="C72" vm="1776">
        <f ca="1"/>
        <v>42852</v>
      </c>
      <c r="D72">
        <f ca="1"/>
        <v>0</v>
      </c>
      <c r="E72" vm="1761">
        <f ca="1"/>
        <v>1.3956</v>
      </c>
      <c r="F72" vm="1705">
        <f ca="1"/>
        <v>1.3987000000000001</v>
      </c>
      <c r="G72" vm="1777">
        <f ca="1"/>
        <v>1.3938999999999999</v>
      </c>
      <c r="H72" vm="1778">
        <f ca="1"/>
        <v>1.3963000000000001</v>
      </c>
      <c r="K72">
        <f ca="1">IF(ROW(T_CALC[[#This Row],[DAY]])-ROW(T_CALC[[#Headers],[DAY]])&gt;C_N_TRADING_DAYS,"",ROW(T_CALC[[#This Row],[DAY]])-ROW(T_CALC[[#Headers],[DAY]]))</f>
        <v>69</v>
      </c>
      <c r="L72" cm="1" vm="1776">
        <f t="array" aca="1" ref="L72" ca="1">IFERROR(INDEX(_xlfn.ANCHORARRAY($C$3),T_CALC[[#This Row],[DAY]]+1,1),NA())</f>
        <v>42852</v>
      </c>
      <c r="M72" cm="1" vm="1761">
        <f t="array" aca="1" ref="M72" ca="1">IFERROR(INDEX(_xlfn.ANCHORARRAY($C$3),T_CALC[[#This Row],[DAY]]+1,3),NA())</f>
        <v>1.3956</v>
      </c>
      <c r="N72" cm="1" vm="1705">
        <f t="array" aca="1" ref="N72" ca="1">IFERROR(INDEX(_xlfn.ANCHORARRAY($C$3),T_CALC[[#This Row],[DAY]]+1,4),NA())</f>
        <v>1.3987000000000001</v>
      </c>
      <c r="O72" cm="1" vm="1777">
        <f t="array" aca="1" ref="O72" ca="1">IFERROR(INDEX(_xlfn.ANCHORARRAY($C$3),T_CALC[[#This Row],[DAY]]+1,5),NA())</f>
        <v>1.3938999999999999</v>
      </c>
      <c r="P72" cm="1" vm="1778">
        <f t="array" aca="1" ref="P72" ca="1">IFERROR(INDEX(_xlfn.ANCHORARRAY($C$3),T_CALC[[#This Row],[DAY]]+1,6),NA())</f>
        <v>1.3963000000000001</v>
      </c>
      <c r="Q72" cm="1">
        <f t="array" aca="1" ref="Q72" ca="1">IFERROR(INDEX(_xlfn.ANCHORARRAY($C$3),T_CALC[[#This Row],[DAY]]+1,2),NA())</f>
        <v>0</v>
      </c>
    </row>
    <row r="73" spans="3:17">
      <c r="C73" vm="1779">
        <f ca="1"/>
        <v>42853</v>
      </c>
      <c r="D73">
        <f ca="1"/>
        <v>0</v>
      </c>
      <c r="E73" vm="1778">
        <f ca="1"/>
        <v>1.3963000000000001</v>
      </c>
      <c r="F73" vm="1710">
        <f ca="1"/>
        <v>1.3978999999999999</v>
      </c>
      <c r="G73" vm="1780">
        <f ca="1"/>
        <v>1.3940999999999999</v>
      </c>
      <c r="H73" vm="1687">
        <f ca="1"/>
        <v>1.3965000000000001</v>
      </c>
      <c r="K73">
        <f ca="1">IF(ROW(T_CALC[[#This Row],[DAY]])-ROW(T_CALC[[#Headers],[DAY]])&gt;C_N_TRADING_DAYS,"",ROW(T_CALC[[#This Row],[DAY]])-ROW(T_CALC[[#Headers],[DAY]]))</f>
        <v>70</v>
      </c>
      <c r="L73" cm="1" vm="1779">
        <f t="array" aca="1" ref="L73" ca="1">IFERROR(INDEX(_xlfn.ANCHORARRAY($C$3),T_CALC[[#This Row],[DAY]]+1,1),NA())</f>
        <v>42853</v>
      </c>
      <c r="M73" cm="1" vm="1778">
        <f t="array" aca="1" ref="M73" ca="1">IFERROR(INDEX(_xlfn.ANCHORARRAY($C$3),T_CALC[[#This Row],[DAY]]+1,3),NA())</f>
        <v>1.3963000000000001</v>
      </c>
      <c r="N73" cm="1" vm="1710">
        <f t="array" aca="1" ref="N73" ca="1">IFERROR(INDEX(_xlfn.ANCHORARRAY($C$3),T_CALC[[#This Row],[DAY]]+1,4),NA())</f>
        <v>1.3978999999999999</v>
      </c>
      <c r="O73" cm="1" vm="1780">
        <f t="array" aca="1" ref="O73" ca="1">IFERROR(INDEX(_xlfn.ANCHORARRAY($C$3),T_CALC[[#This Row],[DAY]]+1,5),NA())</f>
        <v>1.3940999999999999</v>
      </c>
      <c r="P73" cm="1" vm="1687">
        <f t="array" aca="1" ref="P73" ca="1">IFERROR(INDEX(_xlfn.ANCHORARRAY($C$3),T_CALC[[#This Row],[DAY]]+1,6),NA())</f>
        <v>1.3965000000000001</v>
      </c>
      <c r="Q73" cm="1">
        <f t="array" aca="1" ref="Q73" ca="1">IFERROR(INDEX(_xlfn.ANCHORARRAY($C$3),T_CALC[[#This Row],[DAY]]+1,2),NA())</f>
        <v>0</v>
      </c>
    </row>
    <row r="74" spans="3:17">
      <c r="C74" vm="1781">
        <f ca="1"/>
        <v>42856</v>
      </c>
      <c r="D74">
        <f ca="1"/>
        <v>0</v>
      </c>
      <c r="E74" vm="1695">
        <f ca="1"/>
        <v>1.3966000000000001</v>
      </c>
      <c r="F74" vm="1720">
        <f ca="1"/>
        <v>1.3979999999999999</v>
      </c>
      <c r="G74" vm="1691">
        <f ca="1"/>
        <v>1.3949</v>
      </c>
      <c r="H74" vm="1687">
        <f ca="1"/>
        <v>1.3965000000000001</v>
      </c>
      <c r="K74">
        <f ca="1">IF(ROW(T_CALC[[#This Row],[DAY]])-ROW(T_CALC[[#Headers],[DAY]])&gt;C_N_TRADING_DAYS,"",ROW(T_CALC[[#This Row],[DAY]])-ROW(T_CALC[[#Headers],[DAY]]))</f>
        <v>71</v>
      </c>
      <c r="L74" cm="1" vm="1781">
        <f t="array" aca="1" ref="L74" ca="1">IFERROR(INDEX(_xlfn.ANCHORARRAY($C$3),T_CALC[[#This Row],[DAY]]+1,1),NA())</f>
        <v>42856</v>
      </c>
      <c r="M74" cm="1" vm="1695">
        <f t="array" aca="1" ref="M74" ca="1">IFERROR(INDEX(_xlfn.ANCHORARRAY($C$3),T_CALC[[#This Row],[DAY]]+1,3),NA())</f>
        <v>1.3966000000000001</v>
      </c>
      <c r="N74" cm="1" vm="1720">
        <f t="array" aca="1" ref="N74" ca="1">IFERROR(INDEX(_xlfn.ANCHORARRAY($C$3),T_CALC[[#This Row],[DAY]]+1,4),NA())</f>
        <v>1.3979999999999999</v>
      </c>
      <c r="O74" cm="1" vm="1691">
        <f t="array" aca="1" ref="O74" ca="1">IFERROR(INDEX(_xlfn.ANCHORARRAY($C$3),T_CALC[[#This Row],[DAY]]+1,5),NA())</f>
        <v>1.3949</v>
      </c>
      <c r="P74" cm="1" vm="1687">
        <f t="array" aca="1" ref="P74" ca="1">IFERROR(INDEX(_xlfn.ANCHORARRAY($C$3),T_CALC[[#This Row],[DAY]]+1,6),NA())</f>
        <v>1.3965000000000001</v>
      </c>
      <c r="Q74" cm="1">
        <f t="array" aca="1" ref="Q74" ca="1">IFERROR(INDEX(_xlfn.ANCHORARRAY($C$3),T_CALC[[#This Row],[DAY]]+1,2),NA())</f>
        <v>0</v>
      </c>
    </row>
    <row r="75" spans="3:17">
      <c r="C75" vm="1782">
        <f ca="1"/>
        <v>42857</v>
      </c>
      <c r="D75">
        <f ca="1"/>
        <v>0</v>
      </c>
      <c r="E75" vm="1687">
        <f ca="1"/>
        <v>1.3965000000000001</v>
      </c>
      <c r="F75" vm="1633">
        <f ca="1"/>
        <v>1.3968</v>
      </c>
      <c r="G75" vm="1783">
        <f ca="1"/>
        <v>1.3919999999999999</v>
      </c>
      <c r="H75" vm="1708">
        <f ca="1"/>
        <v>1.3932</v>
      </c>
      <c r="K75">
        <f ca="1">IF(ROW(T_CALC[[#This Row],[DAY]])-ROW(T_CALC[[#Headers],[DAY]])&gt;C_N_TRADING_DAYS,"",ROW(T_CALC[[#This Row],[DAY]])-ROW(T_CALC[[#Headers],[DAY]]))</f>
        <v>72</v>
      </c>
      <c r="L75" cm="1" vm="1782">
        <f t="array" aca="1" ref="L75" ca="1">IFERROR(INDEX(_xlfn.ANCHORARRAY($C$3),T_CALC[[#This Row],[DAY]]+1,1),NA())</f>
        <v>42857</v>
      </c>
      <c r="M75" cm="1" vm="1687">
        <f t="array" aca="1" ref="M75" ca="1">IFERROR(INDEX(_xlfn.ANCHORARRAY($C$3),T_CALC[[#This Row],[DAY]]+1,3),NA())</f>
        <v>1.3965000000000001</v>
      </c>
      <c r="N75" cm="1" vm="1633">
        <f t="array" aca="1" ref="N75" ca="1">IFERROR(INDEX(_xlfn.ANCHORARRAY($C$3),T_CALC[[#This Row],[DAY]]+1,4),NA())</f>
        <v>1.3968</v>
      </c>
      <c r="O75" cm="1" vm="1783">
        <f t="array" aca="1" ref="O75" ca="1">IFERROR(INDEX(_xlfn.ANCHORARRAY($C$3),T_CALC[[#This Row],[DAY]]+1,5),NA())</f>
        <v>1.3919999999999999</v>
      </c>
      <c r="P75" cm="1" vm="1708">
        <f t="array" aca="1" ref="P75" ca="1">IFERROR(INDEX(_xlfn.ANCHORARRAY($C$3),T_CALC[[#This Row],[DAY]]+1,6),NA())</f>
        <v>1.3932</v>
      </c>
      <c r="Q75" cm="1">
        <f t="array" aca="1" ref="Q75" ca="1">IFERROR(INDEX(_xlfn.ANCHORARRAY($C$3),T_CALC[[#This Row],[DAY]]+1,2),NA())</f>
        <v>0</v>
      </c>
    </row>
    <row r="76" spans="3:17">
      <c r="C76" vm="1784">
        <f ca="1"/>
        <v>42858</v>
      </c>
      <c r="D76">
        <f ca="1"/>
        <v>0</v>
      </c>
      <c r="E76" vm="1785">
        <f ca="1"/>
        <v>1.3931</v>
      </c>
      <c r="F76" vm="1696">
        <f ca="1"/>
        <v>1.3974</v>
      </c>
      <c r="G76" vm="1769">
        <f ca="1"/>
        <v>1.3913</v>
      </c>
      <c r="H76" vm="1756">
        <f ca="1"/>
        <v>1.3972</v>
      </c>
      <c r="K76">
        <f ca="1">IF(ROW(T_CALC[[#This Row],[DAY]])-ROW(T_CALC[[#Headers],[DAY]])&gt;C_N_TRADING_DAYS,"",ROW(T_CALC[[#This Row],[DAY]])-ROW(T_CALC[[#Headers],[DAY]]))</f>
        <v>73</v>
      </c>
      <c r="L76" cm="1" vm="1784">
        <f t="array" aca="1" ref="L76" ca="1">IFERROR(INDEX(_xlfn.ANCHORARRAY($C$3),T_CALC[[#This Row],[DAY]]+1,1),NA())</f>
        <v>42858</v>
      </c>
      <c r="M76" cm="1" vm="1785">
        <f t="array" aca="1" ref="M76" ca="1">IFERROR(INDEX(_xlfn.ANCHORARRAY($C$3),T_CALC[[#This Row],[DAY]]+1,3),NA())</f>
        <v>1.3931</v>
      </c>
      <c r="N76" cm="1" vm="1696">
        <f t="array" aca="1" ref="N76" ca="1">IFERROR(INDEX(_xlfn.ANCHORARRAY($C$3),T_CALC[[#This Row],[DAY]]+1,4),NA())</f>
        <v>1.3974</v>
      </c>
      <c r="O76" cm="1" vm="1769">
        <f t="array" aca="1" ref="O76" ca="1">IFERROR(INDEX(_xlfn.ANCHORARRAY($C$3),T_CALC[[#This Row],[DAY]]+1,5),NA())</f>
        <v>1.3913</v>
      </c>
      <c r="P76" cm="1" vm="1756">
        <f t="array" aca="1" ref="P76" ca="1">IFERROR(INDEX(_xlfn.ANCHORARRAY($C$3),T_CALC[[#This Row],[DAY]]+1,6),NA())</f>
        <v>1.3972</v>
      </c>
      <c r="Q76" cm="1">
        <f t="array" aca="1" ref="Q76" ca="1">IFERROR(INDEX(_xlfn.ANCHORARRAY($C$3),T_CALC[[#This Row],[DAY]]+1,2),NA())</f>
        <v>0</v>
      </c>
    </row>
    <row r="77" spans="3:17">
      <c r="C77" vm="1786">
        <f ca="1"/>
        <v>42859</v>
      </c>
      <c r="D77">
        <f ca="1"/>
        <v>0</v>
      </c>
      <c r="E77" vm="1756">
        <f ca="1"/>
        <v>1.3972</v>
      </c>
      <c r="F77" vm="1703">
        <f ca="1"/>
        <v>1.4018999999999999</v>
      </c>
      <c r="G77" vm="1787">
        <f ca="1"/>
        <v>1.3957999999999999</v>
      </c>
      <c r="H77" vm="1690">
        <f ca="1"/>
        <v>1.4003000000000001</v>
      </c>
      <c r="K77">
        <f ca="1">IF(ROW(T_CALC[[#This Row],[DAY]])-ROW(T_CALC[[#Headers],[DAY]])&gt;C_N_TRADING_DAYS,"",ROW(T_CALC[[#This Row],[DAY]])-ROW(T_CALC[[#Headers],[DAY]]))</f>
        <v>74</v>
      </c>
      <c r="L77" cm="1" vm="1786">
        <f t="array" aca="1" ref="L77" ca="1">IFERROR(INDEX(_xlfn.ANCHORARRAY($C$3),T_CALC[[#This Row],[DAY]]+1,1),NA())</f>
        <v>42859</v>
      </c>
      <c r="M77" cm="1" vm="1756">
        <f t="array" aca="1" ref="M77" ca="1">IFERROR(INDEX(_xlfn.ANCHORARRAY($C$3),T_CALC[[#This Row],[DAY]]+1,3),NA())</f>
        <v>1.3972</v>
      </c>
      <c r="N77" cm="1" vm="1703">
        <f t="array" aca="1" ref="N77" ca="1">IFERROR(INDEX(_xlfn.ANCHORARRAY($C$3),T_CALC[[#This Row],[DAY]]+1,4),NA())</f>
        <v>1.4018999999999999</v>
      </c>
      <c r="O77" cm="1" vm="1787">
        <f t="array" aca="1" ref="O77" ca="1">IFERROR(INDEX(_xlfn.ANCHORARRAY($C$3),T_CALC[[#This Row],[DAY]]+1,5),NA())</f>
        <v>1.3957999999999999</v>
      </c>
      <c r="P77" cm="1" vm="1690">
        <f t="array" aca="1" ref="P77" ca="1">IFERROR(INDEX(_xlfn.ANCHORARRAY($C$3),T_CALC[[#This Row],[DAY]]+1,6),NA())</f>
        <v>1.4003000000000001</v>
      </c>
      <c r="Q77" cm="1">
        <f t="array" aca="1" ref="Q77" ca="1">IFERROR(INDEX(_xlfn.ANCHORARRAY($C$3),T_CALC[[#This Row],[DAY]]+1,2),NA())</f>
        <v>0</v>
      </c>
    </row>
    <row r="78" spans="3:17">
      <c r="C78" vm="1788">
        <f ca="1"/>
        <v>42860</v>
      </c>
      <c r="D78">
        <f ca="1"/>
        <v>0</v>
      </c>
      <c r="E78" vm="1789">
        <f ca="1"/>
        <v>1.4005000000000001</v>
      </c>
      <c r="F78" vm="1623">
        <f ca="1"/>
        <v>1.4060999999999999</v>
      </c>
      <c r="G78" vm="1692">
        <f ca="1"/>
        <v>1.3994</v>
      </c>
      <c r="H78" vm="1749">
        <f ca="1"/>
        <v>1.4044000000000001</v>
      </c>
      <c r="K78">
        <f ca="1">IF(ROW(T_CALC[[#This Row],[DAY]])-ROW(T_CALC[[#Headers],[DAY]])&gt;C_N_TRADING_DAYS,"",ROW(T_CALC[[#This Row],[DAY]])-ROW(T_CALC[[#Headers],[DAY]]))</f>
        <v>75</v>
      </c>
      <c r="L78" cm="1" vm="1788">
        <f t="array" aca="1" ref="L78" ca="1">IFERROR(INDEX(_xlfn.ANCHORARRAY($C$3),T_CALC[[#This Row],[DAY]]+1,1),NA())</f>
        <v>42860</v>
      </c>
      <c r="M78" cm="1" vm="1789">
        <f t="array" aca="1" ref="M78" ca="1">IFERROR(INDEX(_xlfn.ANCHORARRAY($C$3),T_CALC[[#This Row],[DAY]]+1,3),NA())</f>
        <v>1.4005000000000001</v>
      </c>
      <c r="N78" cm="1" vm="1623">
        <f t="array" aca="1" ref="N78" ca="1">IFERROR(INDEX(_xlfn.ANCHORARRAY($C$3),T_CALC[[#This Row],[DAY]]+1,4),NA())</f>
        <v>1.4060999999999999</v>
      </c>
      <c r="O78" cm="1" vm="1692">
        <f t="array" aca="1" ref="O78" ca="1">IFERROR(INDEX(_xlfn.ANCHORARRAY($C$3),T_CALC[[#This Row],[DAY]]+1,5),NA())</f>
        <v>1.3994</v>
      </c>
      <c r="P78" cm="1" vm="1749">
        <f t="array" aca="1" ref="P78" ca="1">IFERROR(INDEX(_xlfn.ANCHORARRAY($C$3),T_CALC[[#This Row],[DAY]]+1,6),NA())</f>
        <v>1.4044000000000001</v>
      </c>
      <c r="Q78" cm="1">
        <f t="array" aca="1" ref="Q78" ca="1">IFERROR(INDEX(_xlfn.ANCHORARRAY($C$3),T_CALC[[#This Row],[DAY]]+1,2),NA())</f>
        <v>0</v>
      </c>
    </row>
    <row r="79" spans="3:17">
      <c r="C79" vm="1790">
        <f ca="1"/>
        <v>42863</v>
      </c>
      <c r="D79">
        <f ca="1"/>
        <v>0</v>
      </c>
      <c r="E79" vm="1740">
        <f ca="1"/>
        <v>1.4046000000000001</v>
      </c>
      <c r="F79" vm="1791">
        <f ca="1"/>
        <v>1.4067000000000001</v>
      </c>
      <c r="G79" vm="1685">
        <f ca="1"/>
        <v>1.4020999999999999</v>
      </c>
      <c r="H79" vm="1792">
        <f ca="1"/>
        <v>1.4054</v>
      </c>
      <c r="K79">
        <f ca="1">IF(ROW(T_CALC[[#This Row],[DAY]])-ROW(T_CALC[[#Headers],[DAY]])&gt;C_N_TRADING_DAYS,"",ROW(T_CALC[[#This Row],[DAY]])-ROW(T_CALC[[#Headers],[DAY]]))</f>
        <v>76</v>
      </c>
      <c r="L79" cm="1" vm="1790">
        <f t="array" aca="1" ref="L79" ca="1">IFERROR(INDEX(_xlfn.ANCHORARRAY($C$3),T_CALC[[#This Row],[DAY]]+1,1),NA())</f>
        <v>42863</v>
      </c>
      <c r="M79" cm="1" vm="1740">
        <f t="array" aca="1" ref="M79" ca="1">IFERROR(INDEX(_xlfn.ANCHORARRAY($C$3),T_CALC[[#This Row],[DAY]]+1,3),NA())</f>
        <v>1.4046000000000001</v>
      </c>
      <c r="N79" cm="1" vm="1791">
        <f t="array" aca="1" ref="N79" ca="1">IFERROR(INDEX(_xlfn.ANCHORARRAY($C$3),T_CALC[[#This Row],[DAY]]+1,4),NA())</f>
        <v>1.4067000000000001</v>
      </c>
      <c r="O79" cm="1" vm="1685">
        <f t="array" aca="1" ref="O79" ca="1">IFERROR(INDEX(_xlfn.ANCHORARRAY($C$3),T_CALC[[#This Row],[DAY]]+1,5),NA())</f>
        <v>1.4020999999999999</v>
      </c>
      <c r="P79" cm="1" vm="1792">
        <f t="array" aca="1" ref="P79" ca="1">IFERROR(INDEX(_xlfn.ANCHORARRAY($C$3),T_CALC[[#This Row],[DAY]]+1,6),NA())</f>
        <v>1.4054</v>
      </c>
      <c r="Q79" cm="1">
        <f t="array" aca="1" ref="Q79" ca="1">IFERROR(INDEX(_xlfn.ANCHORARRAY($C$3),T_CALC[[#This Row],[DAY]]+1,2),NA())</f>
        <v>0</v>
      </c>
    </row>
    <row r="80" spans="3:17">
      <c r="C80" vm="1793">
        <f ca="1"/>
        <v>42864</v>
      </c>
      <c r="D80">
        <f ca="1"/>
        <v>0</v>
      </c>
      <c r="E80" vm="1794">
        <f ca="1"/>
        <v>1.4055</v>
      </c>
      <c r="F80" vm="1643">
        <f ca="1"/>
        <v>1.4124000000000001</v>
      </c>
      <c r="G80" vm="1744">
        <f ca="1"/>
        <v>1.4047000000000001</v>
      </c>
      <c r="H80" vm="1563">
        <f ca="1"/>
        <v>1.4111</v>
      </c>
      <c r="K80">
        <f ca="1">IF(ROW(T_CALC[[#This Row],[DAY]])-ROW(T_CALC[[#Headers],[DAY]])&gt;C_N_TRADING_DAYS,"",ROW(T_CALC[[#This Row],[DAY]])-ROW(T_CALC[[#Headers],[DAY]]))</f>
        <v>77</v>
      </c>
      <c r="L80" cm="1" vm="1793">
        <f t="array" aca="1" ref="L80" ca="1">IFERROR(INDEX(_xlfn.ANCHORARRAY($C$3),T_CALC[[#This Row],[DAY]]+1,1),NA())</f>
        <v>42864</v>
      </c>
      <c r="M80" cm="1" vm="1794">
        <f t="array" aca="1" ref="M80" ca="1">IFERROR(INDEX(_xlfn.ANCHORARRAY($C$3),T_CALC[[#This Row],[DAY]]+1,3),NA())</f>
        <v>1.4055</v>
      </c>
      <c r="N80" cm="1" vm="1643">
        <f t="array" aca="1" ref="N80" ca="1">IFERROR(INDEX(_xlfn.ANCHORARRAY($C$3),T_CALC[[#This Row],[DAY]]+1,4),NA())</f>
        <v>1.4124000000000001</v>
      </c>
      <c r="O80" cm="1" vm="1744">
        <f t="array" aca="1" ref="O80" ca="1">IFERROR(INDEX(_xlfn.ANCHORARRAY($C$3),T_CALC[[#This Row],[DAY]]+1,5),NA())</f>
        <v>1.4047000000000001</v>
      </c>
      <c r="P80" cm="1" vm="1563">
        <f t="array" aca="1" ref="P80" ca="1">IFERROR(INDEX(_xlfn.ANCHORARRAY($C$3),T_CALC[[#This Row],[DAY]]+1,6),NA())</f>
        <v>1.4111</v>
      </c>
      <c r="Q80" cm="1">
        <f t="array" aca="1" ref="Q80" ca="1">IFERROR(INDEX(_xlfn.ANCHORARRAY($C$3),T_CALC[[#This Row],[DAY]]+1,2),NA())</f>
        <v>0</v>
      </c>
    </row>
    <row r="81" spans="3:17">
      <c r="C81" vm="1795">
        <f ca="1"/>
        <v>42865</v>
      </c>
      <c r="D81">
        <f ca="1"/>
        <v>0</v>
      </c>
      <c r="E81" vm="1537">
        <f ca="1"/>
        <v>1.4108000000000001</v>
      </c>
      <c r="F81" vm="1651">
        <f ca="1"/>
        <v>1.4116</v>
      </c>
      <c r="G81" vm="1796">
        <f ca="1"/>
        <v>1.4088000000000001</v>
      </c>
      <c r="H81" vm="1662">
        <f ca="1"/>
        <v>1.4104000000000001</v>
      </c>
      <c r="K81">
        <f ca="1">IF(ROW(T_CALC[[#This Row],[DAY]])-ROW(T_CALC[[#Headers],[DAY]])&gt;C_N_TRADING_DAYS,"",ROW(T_CALC[[#This Row],[DAY]])-ROW(T_CALC[[#Headers],[DAY]]))</f>
        <v>78</v>
      </c>
      <c r="L81" cm="1" vm="1795">
        <f t="array" aca="1" ref="L81" ca="1">IFERROR(INDEX(_xlfn.ANCHORARRAY($C$3),T_CALC[[#This Row],[DAY]]+1,1),NA())</f>
        <v>42865</v>
      </c>
      <c r="M81" cm="1" vm="1537">
        <f t="array" aca="1" ref="M81" ca="1">IFERROR(INDEX(_xlfn.ANCHORARRAY($C$3),T_CALC[[#This Row],[DAY]]+1,3),NA())</f>
        <v>1.4108000000000001</v>
      </c>
      <c r="N81" cm="1" vm="1651">
        <f t="array" aca="1" ref="N81" ca="1">IFERROR(INDEX(_xlfn.ANCHORARRAY($C$3),T_CALC[[#This Row],[DAY]]+1,4),NA())</f>
        <v>1.4116</v>
      </c>
      <c r="O81" cm="1" vm="1796">
        <f t="array" aca="1" ref="O81" ca="1">IFERROR(INDEX(_xlfn.ANCHORARRAY($C$3),T_CALC[[#This Row],[DAY]]+1,5),NA())</f>
        <v>1.4088000000000001</v>
      </c>
      <c r="P81" cm="1" vm="1662">
        <f t="array" aca="1" ref="P81" ca="1">IFERROR(INDEX(_xlfn.ANCHORARRAY($C$3),T_CALC[[#This Row],[DAY]]+1,6),NA())</f>
        <v>1.4104000000000001</v>
      </c>
      <c r="Q81" cm="1">
        <f t="array" aca="1" ref="Q81" ca="1">IFERROR(INDEX(_xlfn.ANCHORARRAY($C$3),T_CALC[[#This Row],[DAY]]+1,2),NA())</f>
        <v>0</v>
      </c>
    </row>
    <row r="82" spans="3:17">
      <c r="C82" vm="1797">
        <f ca="1"/>
        <v>42866</v>
      </c>
      <c r="D82">
        <f ca="1"/>
        <v>0</v>
      </c>
      <c r="E82" vm="1798">
        <f ca="1"/>
        <v>1.4100999999999999</v>
      </c>
      <c r="F82" vm="1535">
        <f ca="1"/>
        <v>1.4128000000000001</v>
      </c>
      <c r="G82" vm="1551">
        <f ca="1"/>
        <v>1.4066000000000001</v>
      </c>
      <c r="H82" vm="1791">
        <f ca="1"/>
        <v>1.4067000000000001</v>
      </c>
      <c r="K82">
        <f ca="1">IF(ROW(T_CALC[[#This Row],[DAY]])-ROW(T_CALC[[#Headers],[DAY]])&gt;C_N_TRADING_DAYS,"",ROW(T_CALC[[#This Row],[DAY]])-ROW(T_CALC[[#Headers],[DAY]]))</f>
        <v>79</v>
      </c>
      <c r="L82" cm="1" vm="1797">
        <f t="array" aca="1" ref="L82" ca="1">IFERROR(INDEX(_xlfn.ANCHORARRAY($C$3),T_CALC[[#This Row],[DAY]]+1,1),NA())</f>
        <v>42866</v>
      </c>
      <c r="M82" cm="1" vm="1798">
        <f t="array" aca="1" ref="M82" ca="1">IFERROR(INDEX(_xlfn.ANCHORARRAY($C$3),T_CALC[[#This Row],[DAY]]+1,3),NA())</f>
        <v>1.4100999999999999</v>
      </c>
      <c r="N82" cm="1" vm="1535">
        <f t="array" aca="1" ref="N82" ca="1">IFERROR(INDEX(_xlfn.ANCHORARRAY($C$3),T_CALC[[#This Row],[DAY]]+1,4),NA())</f>
        <v>1.4128000000000001</v>
      </c>
      <c r="O82" cm="1" vm="1551">
        <f t="array" aca="1" ref="O82" ca="1">IFERROR(INDEX(_xlfn.ANCHORARRAY($C$3),T_CALC[[#This Row],[DAY]]+1,5),NA())</f>
        <v>1.4066000000000001</v>
      </c>
      <c r="P82" cm="1" vm="1791">
        <f t="array" aca="1" ref="P82" ca="1">IFERROR(INDEX(_xlfn.ANCHORARRAY($C$3),T_CALC[[#This Row],[DAY]]+1,6),NA())</f>
        <v>1.4067000000000001</v>
      </c>
      <c r="Q82" cm="1">
        <f t="array" aca="1" ref="Q82" ca="1">IFERROR(INDEX(_xlfn.ANCHORARRAY($C$3),T_CALC[[#This Row],[DAY]]+1,2),NA())</f>
        <v>0</v>
      </c>
    </row>
    <row r="83" spans="3:17">
      <c r="C83" vm="1799">
        <f ca="1"/>
        <v>42867</v>
      </c>
      <c r="D83">
        <f ca="1"/>
        <v>0</v>
      </c>
      <c r="E83" vm="1800">
        <f ca="1"/>
        <v>1.4072</v>
      </c>
      <c r="F83" vm="1801">
        <f ca="1"/>
        <v>1.4094</v>
      </c>
      <c r="G83" vm="1636">
        <f ca="1"/>
        <v>1.403</v>
      </c>
      <c r="H83" vm="1748">
        <f ca="1"/>
        <v>1.4036</v>
      </c>
      <c r="K83">
        <f ca="1">IF(ROW(T_CALC[[#This Row],[DAY]])-ROW(T_CALC[[#Headers],[DAY]])&gt;C_N_TRADING_DAYS,"",ROW(T_CALC[[#This Row],[DAY]])-ROW(T_CALC[[#Headers],[DAY]]))</f>
        <v>80</v>
      </c>
      <c r="L83" cm="1" vm="1799">
        <f t="array" aca="1" ref="L83" ca="1">IFERROR(INDEX(_xlfn.ANCHORARRAY($C$3),T_CALC[[#This Row],[DAY]]+1,1),NA())</f>
        <v>42867</v>
      </c>
      <c r="M83" cm="1" vm="1800">
        <f t="array" aca="1" ref="M83" ca="1">IFERROR(INDEX(_xlfn.ANCHORARRAY($C$3),T_CALC[[#This Row],[DAY]]+1,3),NA())</f>
        <v>1.4072</v>
      </c>
      <c r="N83" cm="1" vm="1801">
        <f t="array" aca="1" ref="N83" ca="1">IFERROR(INDEX(_xlfn.ANCHORARRAY($C$3),T_CALC[[#This Row],[DAY]]+1,4),NA())</f>
        <v>1.4094</v>
      </c>
      <c r="O83" cm="1" vm="1636">
        <f t="array" aca="1" ref="O83" ca="1">IFERROR(INDEX(_xlfn.ANCHORARRAY($C$3),T_CALC[[#This Row],[DAY]]+1,5),NA())</f>
        <v>1.403</v>
      </c>
      <c r="P83" cm="1" vm="1748">
        <f t="array" aca="1" ref="P83" ca="1">IFERROR(INDEX(_xlfn.ANCHORARRAY($C$3),T_CALC[[#This Row],[DAY]]+1,6),NA())</f>
        <v>1.4036</v>
      </c>
      <c r="Q83" cm="1">
        <f t="array" aca="1" ref="Q83" ca="1">IFERROR(INDEX(_xlfn.ANCHORARRAY($C$3),T_CALC[[#This Row],[DAY]]+1,2),NA())</f>
        <v>0</v>
      </c>
    </row>
    <row r="84" spans="3:17">
      <c r="C84" vm="1802">
        <f ca="1"/>
        <v>42870</v>
      </c>
      <c r="D84">
        <f ca="1"/>
        <v>0</v>
      </c>
      <c r="E84" vm="1803">
        <f ca="1"/>
        <v>1.4041999999999999</v>
      </c>
      <c r="F84" vm="1620">
        <f ca="1"/>
        <v>1.4045000000000001</v>
      </c>
      <c r="G84" vm="1689">
        <f ca="1"/>
        <v>1.3967000000000001</v>
      </c>
      <c r="H84" vm="1713">
        <f ca="1"/>
        <v>1.3975</v>
      </c>
      <c r="K84">
        <f ca="1">IF(ROW(T_CALC[[#This Row],[DAY]])-ROW(T_CALC[[#Headers],[DAY]])&gt;C_N_TRADING_DAYS,"",ROW(T_CALC[[#This Row],[DAY]])-ROW(T_CALC[[#Headers],[DAY]]))</f>
        <v>81</v>
      </c>
      <c r="L84" cm="1" vm="1802">
        <f t="array" aca="1" ref="L84" ca="1">IFERROR(INDEX(_xlfn.ANCHORARRAY($C$3),T_CALC[[#This Row],[DAY]]+1,1),NA())</f>
        <v>42870</v>
      </c>
      <c r="M84" cm="1" vm="1803">
        <f t="array" aca="1" ref="M84" ca="1">IFERROR(INDEX(_xlfn.ANCHORARRAY($C$3),T_CALC[[#This Row],[DAY]]+1,3),NA())</f>
        <v>1.4041999999999999</v>
      </c>
      <c r="N84" cm="1" vm="1620">
        <f t="array" aca="1" ref="N84" ca="1">IFERROR(INDEX(_xlfn.ANCHORARRAY($C$3),T_CALC[[#This Row],[DAY]]+1,4),NA())</f>
        <v>1.4045000000000001</v>
      </c>
      <c r="O84" cm="1" vm="1689">
        <f t="array" aca="1" ref="O84" ca="1">IFERROR(INDEX(_xlfn.ANCHORARRAY($C$3),T_CALC[[#This Row],[DAY]]+1,5),NA())</f>
        <v>1.3967000000000001</v>
      </c>
      <c r="P84" cm="1" vm="1713">
        <f t="array" aca="1" ref="P84" ca="1">IFERROR(INDEX(_xlfn.ANCHORARRAY($C$3),T_CALC[[#This Row],[DAY]]+1,6),NA())</f>
        <v>1.3975</v>
      </c>
      <c r="Q84" cm="1">
        <f t="array" aca="1" ref="Q84" ca="1">IFERROR(INDEX(_xlfn.ANCHORARRAY($C$3),T_CALC[[#This Row],[DAY]]+1,2),NA())</f>
        <v>0</v>
      </c>
    </row>
    <row r="85" spans="3:17">
      <c r="C85" vm="1804">
        <f ca="1"/>
        <v>42871</v>
      </c>
      <c r="D85">
        <f ca="1"/>
        <v>0</v>
      </c>
      <c r="E85" vm="1718">
        <f ca="1"/>
        <v>1.3980999999999999</v>
      </c>
      <c r="F85" vm="1754">
        <f ca="1"/>
        <v>1.3988</v>
      </c>
      <c r="G85" vm="1805">
        <f ca="1"/>
        <v>1.3935</v>
      </c>
      <c r="H85" vm="1691">
        <f ca="1"/>
        <v>1.3949</v>
      </c>
      <c r="K85">
        <f ca="1">IF(ROW(T_CALC[[#This Row],[DAY]])-ROW(T_CALC[[#Headers],[DAY]])&gt;C_N_TRADING_DAYS,"",ROW(T_CALC[[#This Row],[DAY]])-ROW(T_CALC[[#Headers],[DAY]]))</f>
        <v>82</v>
      </c>
      <c r="L85" cm="1" vm="1804">
        <f t="array" aca="1" ref="L85" ca="1">IFERROR(INDEX(_xlfn.ANCHORARRAY($C$3),T_CALC[[#This Row],[DAY]]+1,1),NA())</f>
        <v>42871</v>
      </c>
      <c r="M85" cm="1" vm="1718">
        <f t="array" aca="1" ref="M85" ca="1">IFERROR(INDEX(_xlfn.ANCHORARRAY($C$3),T_CALC[[#This Row],[DAY]]+1,3),NA())</f>
        <v>1.3980999999999999</v>
      </c>
      <c r="N85" cm="1" vm="1754">
        <f t="array" aca="1" ref="N85" ca="1">IFERROR(INDEX(_xlfn.ANCHORARRAY($C$3),T_CALC[[#This Row],[DAY]]+1,4),NA())</f>
        <v>1.3988</v>
      </c>
      <c r="O85" cm="1" vm="1805">
        <f t="array" aca="1" ref="O85" ca="1">IFERROR(INDEX(_xlfn.ANCHORARRAY($C$3),T_CALC[[#This Row],[DAY]]+1,5),NA())</f>
        <v>1.3935</v>
      </c>
      <c r="P85" cm="1" vm="1691">
        <f t="array" aca="1" ref="P85" ca="1">IFERROR(INDEX(_xlfn.ANCHORARRAY($C$3),T_CALC[[#This Row],[DAY]]+1,6),NA())</f>
        <v>1.3949</v>
      </c>
      <c r="Q85" cm="1">
        <f t="array" aca="1" ref="Q85" ca="1">IFERROR(INDEX(_xlfn.ANCHORARRAY($C$3),T_CALC[[#This Row],[DAY]]+1,2),NA())</f>
        <v>0</v>
      </c>
    </row>
    <row r="86" spans="3:17">
      <c r="C86" vm="1806">
        <f ca="1"/>
        <v>42872</v>
      </c>
      <c r="D86">
        <f ca="1"/>
        <v>0</v>
      </c>
      <c r="E86" vm="1728">
        <f ca="1"/>
        <v>1.3945000000000001</v>
      </c>
      <c r="F86" vm="1787">
        <f ca="1"/>
        <v>1.3957999999999999</v>
      </c>
      <c r="G86" vm="1807">
        <f ca="1"/>
        <v>1.3892</v>
      </c>
      <c r="H86" vm="1808">
        <f ca="1"/>
        <v>1.3897999999999999</v>
      </c>
      <c r="K86">
        <f ca="1">IF(ROW(T_CALC[[#This Row],[DAY]])-ROW(T_CALC[[#Headers],[DAY]])&gt;C_N_TRADING_DAYS,"",ROW(T_CALC[[#This Row],[DAY]])-ROW(T_CALC[[#Headers],[DAY]]))</f>
        <v>83</v>
      </c>
      <c r="L86" cm="1" vm="1806">
        <f t="array" aca="1" ref="L86" ca="1">IFERROR(INDEX(_xlfn.ANCHORARRAY($C$3),T_CALC[[#This Row],[DAY]]+1,1),NA())</f>
        <v>42872</v>
      </c>
      <c r="M86" cm="1" vm="1728">
        <f t="array" aca="1" ref="M86" ca="1">IFERROR(INDEX(_xlfn.ANCHORARRAY($C$3),T_CALC[[#This Row],[DAY]]+1,3),NA())</f>
        <v>1.3945000000000001</v>
      </c>
      <c r="N86" cm="1" vm="1787">
        <f t="array" aca="1" ref="N86" ca="1">IFERROR(INDEX(_xlfn.ANCHORARRAY($C$3),T_CALC[[#This Row],[DAY]]+1,4),NA())</f>
        <v>1.3957999999999999</v>
      </c>
      <c r="O86" cm="1" vm="1807">
        <f t="array" aca="1" ref="O86" ca="1">IFERROR(INDEX(_xlfn.ANCHORARRAY($C$3),T_CALC[[#This Row],[DAY]]+1,5),NA())</f>
        <v>1.3892</v>
      </c>
      <c r="P86" cm="1" vm="1808">
        <f t="array" aca="1" ref="P86" ca="1">IFERROR(INDEX(_xlfn.ANCHORARRAY($C$3),T_CALC[[#This Row],[DAY]]+1,6),NA())</f>
        <v>1.3897999999999999</v>
      </c>
      <c r="Q86" cm="1">
        <f t="array" aca="1" ref="Q86" ca="1">IFERROR(INDEX(_xlfn.ANCHORARRAY($C$3),T_CALC[[#This Row],[DAY]]+1,2),NA())</f>
        <v>0</v>
      </c>
    </row>
    <row r="87" spans="3:17">
      <c r="C87" vm="1809">
        <f ca="1"/>
        <v>42873</v>
      </c>
      <c r="D87">
        <f ca="1"/>
        <v>0</v>
      </c>
      <c r="E87" vm="1810">
        <f ca="1"/>
        <v>1.3896999999999999</v>
      </c>
      <c r="F87" vm="1750">
        <f ca="1"/>
        <v>1.3948</v>
      </c>
      <c r="G87" vm="1811">
        <f ca="1"/>
        <v>1.3885000000000001</v>
      </c>
      <c r="H87" vm="1770">
        <f ca="1"/>
        <v>1.3924000000000001</v>
      </c>
      <c r="K87">
        <f ca="1">IF(ROW(T_CALC[[#This Row],[DAY]])-ROW(T_CALC[[#Headers],[DAY]])&gt;C_N_TRADING_DAYS,"",ROW(T_CALC[[#This Row],[DAY]])-ROW(T_CALC[[#Headers],[DAY]]))</f>
        <v>84</v>
      </c>
      <c r="L87" cm="1" vm="1809">
        <f t="array" aca="1" ref="L87" ca="1">IFERROR(INDEX(_xlfn.ANCHORARRAY($C$3),T_CALC[[#This Row],[DAY]]+1,1),NA())</f>
        <v>42873</v>
      </c>
      <c r="M87" cm="1" vm="1810">
        <f t="array" aca="1" ref="M87" ca="1">IFERROR(INDEX(_xlfn.ANCHORARRAY($C$3),T_CALC[[#This Row],[DAY]]+1,3),NA())</f>
        <v>1.3896999999999999</v>
      </c>
      <c r="N87" cm="1" vm="1750">
        <f t="array" aca="1" ref="N87" ca="1">IFERROR(INDEX(_xlfn.ANCHORARRAY($C$3),T_CALC[[#This Row],[DAY]]+1,4),NA())</f>
        <v>1.3948</v>
      </c>
      <c r="O87" cm="1" vm="1811">
        <f t="array" aca="1" ref="O87" ca="1">IFERROR(INDEX(_xlfn.ANCHORARRAY($C$3),T_CALC[[#This Row],[DAY]]+1,5),NA())</f>
        <v>1.3885000000000001</v>
      </c>
      <c r="P87" cm="1" vm="1770">
        <f t="array" aca="1" ref="P87" ca="1">IFERROR(INDEX(_xlfn.ANCHORARRAY($C$3),T_CALC[[#This Row],[DAY]]+1,6),NA())</f>
        <v>1.3924000000000001</v>
      </c>
      <c r="Q87" cm="1">
        <f t="array" aca="1" ref="Q87" ca="1">IFERROR(INDEX(_xlfn.ANCHORARRAY($C$3),T_CALC[[#This Row],[DAY]]+1,2),NA())</f>
        <v>0</v>
      </c>
    </row>
    <row r="88" spans="3:17">
      <c r="C88" vm="1812">
        <f ca="1"/>
        <v>42874</v>
      </c>
      <c r="D88">
        <f ca="1"/>
        <v>0</v>
      </c>
      <c r="E88" vm="1770">
        <f ca="1"/>
        <v>1.3924000000000001</v>
      </c>
      <c r="F88" vm="1813">
        <f ca="1"/>
        <v>1.3933</v>
      </c>
      <c r="G88" vm="1814">
        <f ca="1"/>
        <v>1.3833</v>
      </c>
      <c r="H88" vm="1815">
        <f ca="1"/>
        <v>1.3847</v>
      </c>
      <c r="K88">
        <f ca="1">IF(ROW(T_CALC[[#This Row],[DAY]])-ROW(T_CALC[[#Headers],[DAY]])&gt;C_N_TRADING_DAYS,"",ROW(T_CALC[[#This Row],[DAY]])-ROW(T_CALC[[#Headers],[DAY]]))</f>
        <v>85</v>
      </c>
      <c r="L88" cm="1" vm="1812">
        <f t="array" aca="1" ref="L88" ca="1">IFERROR(INDEX(_xlfn.ANCHORARRAY($C$3),T_CALC[[#This Row],[DAY]]+1,1),NA())</f>
        <v>42874</v>
      </c>
      <c r="M88" cm="1" vm="1770">
        <f t="array" aca="1" ref="M88" ca="1">IFERROR(INDEX(_xlfn.ANCHORARRAY($C$3),T_CALC[[#This Row],[DAY]]+1,3),NA())</f>
        <v>1.3924000000000001</v>
      </c>
      <c r="N88" cm="1" vm="1813">
        <f t="array" aca="1" ref="N88" ca="1">IFERROR(INDEX(_xlfn.ANCHORARRAY($C$3),T_CALC[[#This Row],[DAY]]+1,4),NA())</f>
        <v>1.3933</v>
      </c>
      <c r="O88" cm="1" vm="1814">
        <f t="array" aca="1" ref="O88" ca="1">IFERROR(INDEX(_xlfn.ANCHORARRAY($C$3),T_CALC[[#This Row],[DAY]]+1,5),NA())</f>
        <v>1.3833</v>
      </c>
      <c r="P88" cm="1" vm="1815">
        <f t="array" aca="1" ref="P88" ca="1">IFERROR(INDEX(_xlfn.ANCHORARRAY($C$3),T_CALC[[#This Row],[DAY]]+1,6),NA())</f>
        <v>1.3847</v>
      </c>
      <c r="Q88" cm="1">
        <f t="array" aca="1" ref="Q88" ca="1">IFERROR(INDEX(_xlfn.ANCHORARRAY($C$3),T_CALC[[#This Row],[DAY]]+1,2),NA())</f>
        <v>0</v>
      </c>
    </row>
    <row r="89" spans="3:17">
      <c r="C89" vm="1816">
        <f ca="1"/>
        <v>42877</v>
      </c>
      <c r="D89">
        <f ca="1"/>
        <v>0</v>
      </c>
      <c r="E89" vm="1817">
        <f ca="1"/>
        <v>1.3862000000000001</v>
      </c>
      <c r="F89" vm="1818">
        <f ca="1"/>
        <v>1.3886000000000001</v>
      </c>
      <c r="G89" vm="1819">
        <f ca="1"/>
        <v>1.3845000000000001</v>
      </c>
      <c r="H89" vm="1820">
        <f ca="1"/>
        <v>1.3857999999999999</v>
      </c>
      <c r="K89">
        <f ca="1">IF(ROW(T_CALC[[#This Row],[DAY]])-ROW(T_CALC[[#Headers],[DAY]])&gt;C_N_TRADING_DAYS,"",ROW(T_CALC[[#This Row],[DAY]])-ROW(T_CALC[[#Headers],[DAY]]))</f>
        <v>86</v>
      </c>
      <c r="L89" cm="1" vm="1816">
        <f t="array" aca="1" ref="L89" ca="1">IFERROR(INDEX(_xlfn.ANCHORARRAY($C$3),T_CALC[[#This Row],[DAY]]+1,1),NA())</f>
        <v>42877</v>
      </c>
      <c r="M89" cm="1" vm="1817">
        <f t="array" aca="1" ref="M89" ca="1">IFERROR(INDEX(_xlfn.ANCHORARRAY($C$3),T_CALC[[#This Row],[DAY]]+1,3),NA())</f>
        <v>1.3862000000000001</v>
      </c>
      <c r="N89" cm="1" vm="1818">
        <f t="array" aca="1" ref="N89" ca="1">IFERROR(INDEX(_xlfn.ANCHORARRAY($C$3),T_CALC[[#This Row],[DAY]]+1,4),NA())</f>
        <v>1.3886000000000001</v>
      </c>
      <c r="O89" cm="1" vm="1819">
        <f t="array" aca="1" ref="O89" ca="1">IFERROR(INDEX(_xlfn.ANCHORARRAY($C$3),T_CALC[[#This Row],[DAY]]+1,5),NA())</f>
        <v>1.3845000000000001</v>
      </c>
      <c r="P89" cm="1" vm="1820">
        <f t="array" aca="1" ref="P89" ca="1">IFERROR(INDEX(_xlfn.ANCHORARRAY($C$3),T_CALC[[#This Row],[DAY]]+1,6),NA())</f>
        <v>1.3857999999999999</v>
      </c>
      <c r="Q89" cm="1">
        <f t="array" aca="1" ref="Q89" ca="1">IFERROR(INDEX(_xlfn.ANCHORARRAY($C$3),T_CALC[[#This Row],[DAY]]+1,2),NA())</f>
        <v>0</v>
      </c>
    </row>
    <row r="90" spans="3:17">
      <c r="C90" vm="1821">
        <f ca="1"/>
        <v>42878</v>
      </c>
      <c r="D90">
        <f ca="1"/>
        <v>0</v>
      </c>
      <c r="E90" vm="1822">
        <f ca="1"/>
        <v>1.3863000000000001</v>
      </c>
      <c r="F90" vm="1823">
        <f ca="1"/>
        <v>1.3908</v>
      </c>
      <c r="G90" vm="1824">
        <f ca="1"/>
        <v>1.385</v>
      </c>
      <c r="H90" vm="1707">
        <f ca="1"/>
        <v>1.3902000000000001</v>
      </c>
      <c r="K90">
        <f ca="1">IF(ROW(T_CALC[[#This Row],[DAY]])-ROW(T_CALC[[#Headers],[DAY]])&gt;C_N_TRADING_DAYS,"",ROW(T_CALC[[#This Row],[DAY]])-ROW(T_CALC[[#Headers],[DAY]]))</f>
        <v>87</v>
      </c>
      <c r="L90" cm="1" vm="1821">
        <f t="array" aca="1" ref="L90" ca="1">IFERROR(INDEX(_xlfn.ANCHORARRAY($C$3),T_CALC[[#This Row],[DAY]]+1,1),NA())</f>
        <v>42878</v>
      </c>
      <c r="M90" cm="1" vm="1822">
        <f t="array" aca="1" ref="M90" ca="1">IFERROR(INDEX(_xlfn.ANCHORARRAY($C$3),T_CALC[[#This Row],[DAY]]+1,3),NA())</f>
        <v>1.3863000000000001</v>
      </c>
      <c r="N90" cm="1" vm="1823">
        <f t="array" aca="1" ref="N90" ca="1">IFERROR(INDEX(_xlfn.ANCHORARRAY($C$3),T_CALC[[#This Row],[DAY]]+1,4),NA())</f>
        <v>1.3908</v>
      </c>
      <c r="O90" cm="1" vm="1824">
        <f t="array" aca="1" ref="O90" ca="1">IFERROR(INDEX(_xlfn.ANCHORARRAY($C$3),T_CALC[[#This Row],[DAY]]+1,5),NA())</f>
        <v>1.385</v>
      </c>
      <c r="P90" cm="1" vm="1707">
        <f t="array" aca="1" ref="P90" ca="1">IFERROR(INDEX(_xlfn.ANCHORARRAY($C$3),T_CALC[[#This Row],[DAY]]+1,6),NA())</f>
        <v>1.3902000000000001</v>
      </c>
      <c r="Q90" cm="1">
        <f t="array" aca="1" ref="Q90" ca="1">IFERROR(INDEX(_xlfn.ANCHORARRAY($C$3),T_CALC[[#This Row],[DAY]]+1,2),NA())</f>
        <v>0</v>
      </c>
    </row>
    <row r="91" spans="3:17">
      <c r="C91" vm="1825">
        <f ca="1"/>
        <v>42879</v>
      </c>
      <c r="D91">
        <f ca="1"/>
        <v>0</v>
      </c>
      <c r="E91" vm="1707">
        <f ca="1"/>
        <v>1.3902000000000001</v>
      </c>
      <c r="F91" vm="1826">
        <f ca="1"/>
        <v>1.3916999999999999</v>
      </c>
      <c r="G91" vm="1827">
        <f ca="1"/>
        <v>1.3836999999999999</v>
      </c>
      <c r="H91" vm="1828">
        <f ca="1"/>
        <v>1.3844000000000001</v>
      </c>
      <c r="K91">
        <f ca="1">IF(ROW(T_CALC[[#This Row],[DAY]])-ROW(T_CALC[[#Headers],[DAY]])&gt;C_N_TRADING_DAYS,"",ROW(T_CALC[[#This Row],[DAY]])-ROW(T_CALC[[#Headers],[DAY]]))</f>
        <v>88</v>
      </c>
      <c r="L91" cm="1" vm="1825">
        <f t="array" aca="1" ref="L91" ca="1">IFERROR(INDEX(_xlfn.ANCHORARRAY($C$3),T_CALC[[#This Row],[DAY]]+1,1),NA())</f>
        <v>42879</v>
      </c>
      <c r="M91" cm="1" vm="1707">
        <f t="array" aca="1" ref="M91" ca="1">IFERROR(INDEX(_xlfn.ANCHORARRAY($C$3),T_CALC[[#This Row],[DAY]]+1,3),NA())</f>
        <v>1.3902000000000001</v>
      </c>
      <c r="N91" cm="1" vm="1826">
        <f t="array" aca="1" ref="N91" ca="1">IFERROR(INDEX(_xlfn.ANCHORARRAY($C$3),T_CALC[[#This Row],[DAY]]+1,4),NA())</f>
        <v>1.3916999999999999</v>
      </c>
      <c r="O91" cm="1" vm="1827">
        <f t="array" aca="1" ref="O91" ca="1">IFERROR(INDEX(_xlfn.ANCHORARRAY($C$3),T_CALC[[#This Row],[DAY]]+1,5),NA())</f>
        <v>1.3836999999999999</v>
      </c>
      <c r="P91" cm="1" vm="1828">
        <f t="array" aca="1" ref="P91" ca="1">IFERROR(INDEX(_xlfn.ANCHORARRAY($C$3),T_CALC[[#This Row],[DAY]]+1,6),NA())</f>
        <v>1.3844000000000001</v>
      </c>
      <c r="Q91" cm="1">
        <f t="array" aca="1" ref="Q91" ca="1">IFERROR(INDEX(_xlfn.ANCHORARRAY($C$3),T_CALC[[#This Row],[DAY]]+1,2),NA())</f>
        <v>0</v>
      </c>
    </row>
    <row r="92" spans="3:17">
      <c r="C92" vm="1829">
        <f ca="1"/>
        <v>42880</v>
      </c>
      <c r="D92">
        <f ca="1"/>
        <v>0</v>
      </c>
      <c r="E92" vm="1830">
        <f ca="1"/>
        <v>1.3839999999999999</v>
      </c>
      <c r="F92" vm="1831">
        <f ca="1"/>
        <v>1.387</v>
      </c>
      <c r="G92" vm="1832">
        <f ca="1"/>
        <v>1.3816999999999999</v>
      </c>
      <c r="H92" vm="1822">
        <f ca="1"/>
        <v>1.3863000000000001</v>
      </c>
      <c r="K92">
        <f ca="1">IF(ROW(T_CALC[[#This Row],[DAY]])-ROW(T_CALC[[#Headers],[DAY]])&gt;C_N_TRADING_DAYS,"",ROW(T_CALC[[#This Row],[DAY]])-ROW(T_CALC[[#Headers],[DAY]]))</f>
        <v>89</v>
      </c>
      <c r="L92" cm="1" vm="1829">
        <f t="array" aca="1" ref="L92" ca="1">IFERROR(INDEX(_xlfn.ANCHORARRAY($C$3),T_CALC[[#This Row],[DAY]]+1,1),NA())</f>
        <v>42880</v>
      </c>
      <c r="M92" cm="1" vm="1830">
        <f t="array" aca="1" ref="M92" ca="1">IFERROR(INDEX(_xlfn.ANCHORARRAY($C$3),T_CALC[[#This Row],[DAY]]+1,3),NA())</f>
        <v>1.3839999999999999</v>
      </c>
      <c r="N92" cm="1" vm="1831">
        <f t="array" aca="1" ref="N92" ca="1">IFERROR(INDEX(_xlfn.ANCHORARRAY($C$3),T_CALC[[#This Row],[DAY]]+1,4),NA())</f>
        <v>1.387</v>
      </c>
      <c r="O92" cm="1" vm="1832">
        <f t="array" aca="1" ref="O92" ca="1">IFERROR(INDEX(_xlfn.ANCHORARRAY($C$3),T_CALC[[#This Row],[DAY]]+1,5),NA())</f>
        <v>1.3816999999999999</v>
      </c>
      <c r="P92" cm="1" vm="1822">
        <f t="array" aca="1" ref="P92" ca="1">IFERROR(INDEX(_xlfn.ANCHORARRAY($C$3),T_CALC[[#This Row],[DAY]]+1,6),NA())</f>
        <v>1.3863000000000001</v>
      </c>
      <c r="Q92" cm="1">
        <f t="array" aca="1" ref="Q92" ca="1">IFERROR(INDEX(_xlfn.ANCHORARRAY($C$3),T_CALC[[#This Row],[DAY]]+1,2),NA())</f>
        <v>0</v>
      </c>
    </row>
    <row r="93" spans="3:17">
      <c r="C93" vm="1833">
        <f ca="1"/>
        <v>42881</v>
      </c>
      <c r="D93">
        <f ca="1"/>
        <v>0</v>
      </c>
      <c r="E93" vm="1817">
        <f ca="1"/>
        <v>1.3862000000000001</v>
      </c>
      <c r="F93" vm="1834">
        <f ca="1"/>
        <v>1.3869</v>
      </c>
      <c r="G93" vm="1835">
        <f ca="1"/>
        <v>1.3802000000000001</v>
      </c>
      <c r="H93" vm="1836">
        <f ca="1"/>
        <v>1.3815</v>
      </c>
      <c r="K93">
        <f ca="1">IF(ROW(T_CALC[[#This Row],[DAY]])-ROW(T_CALC[[#Headers],[DAY]])&gt;C_N_TRADING_DAYS,"",ROW(T_CALC[[#This Row],[DAY]])-ROW(T_CALC[[#Headers],[DAY]]))</f>
        <v>90</v>
      </c>
      <c r="L93" cm="1" vm="1833">
        <f t="array" aca="1" ref="L93" ca="1">IFERROR(INDEX(_xlfn.ANCHORARRAY($C$3),T_CALC[[#This Row],[DAY]]+1,1),NA())</f>
        <v>42881</v>
      </c>
      <c r="M93" cm="1" vm="1817">
        <f t="array" aca="1" ref="M93" ca="1">IFERROR(INDEX(_xlfn.ANCHORARRAY($C$3),T_CALC[[#This Row],[DAY]]+1,3),NA())</f>
        <v>1.3862000000000001</v>
      </c>
      <c r="N93" cm="1" vm="1834">
        <f t="array" aca="1" ref="N93" ca="1">IFERROR(INDEX(_xlfn.ANCHORARRAY($C$3),T_CALC[[#This Row],[DAY]]+1,4),NA())</f>
        <v>1.3869</v>
      </c>
      <c r="O93" cm="1" vm="1835">
        <f t="array" aca="1" ref="O93" ca="1">IFERROR(INDEX(_xlfn.ANCHORARRAY($C$3),T_CALC[[#This Row],[DAY]]+1,5),NA())</f>
        <v>1.3802000000000001</v>
      </c>
      <c r="P93" cm="1" vm="1836">
        <f t="array" aca="1" ref="P93" ca="1">IFERROR(INDEX(_xlfn.ANCHORARRAY($C$3),T_CALC[[#This Row],[DAY]]+1,6),NA())</f>
        <v>1.3815</v>
      </c>
      <c r="Q93" cm="1">
        <f t="array" aca="1" ref="Q93" ca="1">IFERROR(INDEX(_xlfn.ANCHORARRAY($C$3),T_CALC[[#This Row],[DAY]]+1,2),NA())</f>
        <v>0</v>
      </c>
    </row>
    <row r="94" spans="3:17">
      <c r="C94" vm="1837">
        <f ca="1"/>
        <v>42884</v>
      </c>
      <c r="D94">
        <f ca="1"/>
        <v>0</v>
      </c>
      <c r="E94" vm="1838">
        <f ca="1"/>
        <v>1.3813</v>
      </c>
      <c r="F94" vm="1822">
        <f ca="1"/>
        <v>1.3863000000000001</v>
      </c>
      <c r="G94" vm="1838">
        <f ca="1"/>
        <v>1.3813</v>
      </c>
      <c r="H94" vm="1839">
        <f ca="1"/>
        <v>1.3861000000000001</v>
      </c>
      <c r="K94">
        <f ca="1">IF(ROW(T_CALC[[#This Row],[DAY]])-ROW(T_CALC[[#Headers],[DAY]])&gt;C_N_TRADING_DAYS,"",ROW(T_CALC[[#This Row],[DAY]])-ROW(T_CALC[[#Headers],[DAY]]))</f>
        <v>91</v>
      </c>
      <c r="L94" cm="1" vm="1837">
        <f t="array" aca="1" ref="L94" ca="1">IFERROR(INDEX(_xlfn.ANCHORARRAY($C$3),T_CALC[[#This Row],[DAY]]+1,1),NA())</f>
        <v>42884</v>
      </c>
      <c r="M94" cm="1" vm="1838">
        <f t="array" aca="1" ref="M94" ca="1">IFERROR(INDEX(_xlfn.ANCHORARRAY($C$3),T_CALC[[#This Row],[DAY]]+1,3),NA())</f>
        <v>1.3813</v>
      </c>
      <c r="N94" cm="1" vm="1822">
        <f t="array" aca="1" ref="N94" ca="1">IFERROR(INDEX(_xlfn.ANCHORARRAY($C$3),T_CALC[[#This Row],[DAY]]+1,4),NA())</f>
        <v>1.3863000000000001</v>
      </c>
      <c r="O94" cm="1" vm="1838">
        <f t="array" aca="1" ref="O94" ca="1">IFERROR(INDEX(_xlfn.ANCHORARRAY($C$3),T_CALC[[#This Row],[DAY]]+1,5),NA())</f>
        <v>1.3813</v>
      </c>
      <c r="P94" cm="1" vm="1839">
        <f t="array" aca="1" ref="P94" ca="1">IFERROR(INDEX(_xlfn.ANCHORARRAY($C$3),T_CALC[[#This Row],[DAY]]+1,6),NA())</f>
        <v>1.3861000000000001</v>
      </c>
      <c r="Q94" cm="1">
        <f t="array" aca="1" ref="Q94" ca="1">IFERROR(INDEX(_xlfn.ANCHORARRAY($C$3),T_CALC[[#This Row],[DAY]]+1,2),NA())</f>
        <v>0</v>
      </c>
    </row>
    <row r="95" spans="3:17">
      <c r="C95" vm="1840">
        <f ca="1"/>
        <v>42885</v>
      </c>
      <c r="D95">
        <f ca="1"/>
        <v>0</v>
      </c>
      <c r="E95" vm="1817">
        <f ca="1"/>
        <v>1.3862000000000001</v>
      </c>
      <c r="F95" vm="1841">
        <f ca="1"/>
        <v>1.3884000000000001</v>
      </c>
      <c r="G95" vm="1842">
        <f ca="1"/>
        <v>1.3832</v>
      </c>
      <c r="H95" vm="1843">
        <f ca="1"/>
        <v>1.3837999999999999</v>
      </c>
      <c r="K95">
        <f ca="1">IF(ROW(T_CALC[[#This Row],[DAY]])-ROW(T_CALC[[#Headers],[DAY]])&gt;C_N_TRADING_DAYS,"",ROW(T_CALC[[#This Row],[DAY]])-ROW(T_CALC[[#Headers],[DAY]]))</f>
        <v>92</v>
      </c>
      <c r="L95" cm="1" vm="1840">
        <f t="array" aca="1" ref="L95" ca="1">IFERROR(INDEX(_xlfn.ANCHORARRAY($C$3),T_CALC[[#This Row],[DAY]]+1,1),NA())</f>
        <v>42885</v>
      </c>
      <c r="M95" cm="1" vm="1817">
        <f t="array" aca="1" ref="M95" ca="1">IFERROR(INDEX(_xlfn.ANCHORARRAY($C$3),T_CALC[[#This Row],[DAY]]+1,3),NA())</f>
        <v>1.3862000000000001</v>
      </c>
      <c r="N95" cm="1" vm="1841">
        <f t="array" aca="1" ref="N95" ca="1">IFERROR(INDEX(_xlfn.ANCHORARRAY($C$3),T_CALC[[#This Row],[DAY]]+1,4),NA())</f>
        <v>1.3884000000000001</v>
      </c>
      <c r="O95" cm="1" vm="1842">
        <f t="array" aca="1" ref="O95" ca="1">IFERROR(INDEX(_xlfn.ANCHORARRAY($C$3),T_CALC[[#This Row],[DAY]]+1,5),NA())</f>
        <v>1.3832</v>
      </c>
      <c r="P95" cm="1" vm="1843">
        <f t="array" aca="1" ref="P95" ca="1">IFERROR(INDEX(_xlfn.ANCHORARRAY($C$3),T_CALC[[#This Row],[DAY]]+1,6),NA())</f>
        <v>1.3837999999999999</v>
      </c>
      <c r="Q95" cm="1">
        <f t="array" aca="1" ref="Q95" ca="1">IFERROR(INDEX(_xlfn.ANCHORARRAY($C$3),T_CALC[[#This Row],[DAY]]+1,2),NA())</f>
        <v>0</v>
      </c>
    </row>
    <row r="96" spans="3:17">
      <c r="C96" vm="1844">
        <f ca="1"/>
        <v>42886</v>
      </c>
      <c r="D96">
        <f ca="1"/>
        <v>0</v>
      </c>
      <c r="E96" vm="1845">
        <f ca="1"/>
        <v>1.3838999999999999</v>
      </c>
      <c r="F96" vm="1822">
        <f ca="1"/>
        <v>1.3863000000000001</v>
      </c>
      <c r="G96" vm="1836">
        <f ca="1"/>
        <v>1.3815</v>
      </c>
      <c r="H96" vm="1846">
        <f ca="1"/>
        <v>1.3831</v>
      </c>
      <c r="K96">
        <f ca="1">IF(ROW(T_CALC[[#This Row],[DAY]])-ROW(T_CALC[[#Headers],[DAY]])&gt;C_N_TRADING_DAYS,"",ROW(T_CALC[[#This Row],[DAY]])-ROW(T_CALC[[#Headers],[DAY]]))</f>
        <v>93</v>
      </c>
      <c r="L96" cm="1" vm="1844">
        <f t="array" aca="1" ref="L96" ca="1">IFERROR(INDEX(_xlfn.ANCHORARRAY($C$3),T_CALC[[#This Row],[DAY]]+1,1),NA())</f>
        <v>42886</v>
      </c>
      <c r="M96" cm="1" vm="1845">
        <f t="array" aca="1" ref="M96" ca="1">IFERROR(INDEX(_xlfn.ANCHORARRAY($C$3),T_CALC[[#This Row],[DAY]]+1,3),NA())</f>
        <v>1.3838999999999999</v>
      </c>
      <c r="N96" cm="1" vm="1822">
        <f t="array" aca="1" ref="N96" ca="1">IFERROR(INDEX(_xlfn.ANCHORARRAY($C$3),T_CALC[[#This Row],[DAY]]+1,4),NA())</f>
        <v>1.3863000000000001</v>
      </c>
      <c r="O96" cm="1" vm="1836">
        <f t="array" aca="1" ref="O96" ca="1">IFERROR(INDEX(_xlfn.ANCHORARRAY($C$3),T_CALC[[#This Row],[DAY]]+1,5),NA())</f>
        <v>1.3815</v>
      </c>
      <c r="P96" cm="1" vm="1846">
        <f t="array" aca="1" ref="P96" ca="1">IFERROR(INDEX(_xlfn.ANCHORARRAY($C$3),T_CALC[[#This Row],[DAY]]+1,6),NA())</f>
        <v>1.3831</v>
      </c>
      <c r="Q96" cm="1">
        <f t="array" aca="1" ref="Q96" ca="1">IFERROR(INDEX(_xlfn.ANCHORARRAY($C$3),T_CALC[[#This Row],[DAY]]+1,2),NA())</f>
        <v>0</v>
      </c>
    </row>
    <row r="97" spans="3:17">
      <c r="C97" vm="1847">
        <f ca="1"/>
        <v>42887</v>
      </c>
      <c r="D97">
        <f ca="1"/>
        <v>0</v>
      </c>
      <c r="E97" vm="1848">
        <f ca="1"/>
        <v>1.3829</v>
      </c>
      <c r="F97" vm="1834">
        <f ca="1"/>
        <v>1.3869</v>
      </c>
      <c r="G97" vm="1849">
        <f ca="1"/>
        <v>1.3822000000000001</v>
      </c>
      <c r="H97" vm="1820">
        <f ca="1"/>
        <v>1.3857999999999999</v>
      </c>
      <c r="K97">
        <f ca="1">IF(ROW(T_CALC[[#This Row],[DAY]])-ROW(T_CALC[[#Headers],[DAY]])&gt;C_N_TRADING_DAYS,"",ROW(T_CALC[[#This Row],[DAY]])-ROW(T_CALC[[#Headers],[DAY]]))</f>
        <v>94</v>
      </c>
      <c r="L97" cm="1" vm="1847">
        <f t="array" aca="1" ref="L97" ca="1">IFERROR(INDEX(_xlfn.ANCHORARRAY($C$3),T_CALC[[#This Row],[DAY]]+1,1),NA())</f>
        <v>42887</v>
      </c>
      <c r="M97" cm="1" vm="1848">
        <f t="array" aca="1" ref="M97" ca="1">IFERROR(INDEX(_xlfn.ANCHORARRAY($C$3),T_CALC[[#This Row],[DAY]]+1,3),NA())</f>
        <v>1.3829</v>
      </c>
      <c r="N97" cm="1" vm="1834">
        <f t="array" aca="1" ref="N97" ca="1">IFERROR(INDEX(_xlfn.ANCHORARRAY($C$3),T_CALC[[#This Row],[DAY]]+1,4),NA())</f>
        <v>1.3869</v>
      </c>
      <c r="O97" cm="1" vm="1849">
        <f t="array" aca="1" ref="O97" ca="1">IFERROR(INDEX(_xlfn.ANCHORARRAY($C$3),T_CALC[[#This Row],[DAY]]+1,5),NA())</f>
        <v>1.3822000000000001</v>
      </c>
      <c r="P97" cm="1" vm="1820">
        <f t="array" aca="1" ref="P97" ca="1">IFERROR(INDEX(_xlfn.ANCHORARRAY($C$3),T_CALC[[#This Row],[DAY]]+1,6),NA())</f>
        <v>1.3857999999999999</v>
      </c>
      <c r="Q97" cm="1">
        <f t="array" aca="1" ref="Q97" ca="1">IFERROR(INDEX(_xlfn.ANCHORARRAY($C$3),T_CALC[[#This Row],[DAY]]+1,2),NA())</f>
        <v>0</v>
      </c>
    </row>
    <row r="98" spans="3:17">
      <c r="C98" vm="1850">
        <f ca="1"/>
        <v>42888</v>
      </c>
      <c r="D98">
        <f ca="1"/>
        <v>0</v>
      </c>
      <c r="E98" vm="1851">
        <f ca="1"/>
        <v>1.3865000000000001</v>
      </c>
      <c r="F98" vm="1852">
        <f ca="1"/>
        <v>1.3868</v>
      </c>
      <c r="G98" vm="1853">
        <f ca="1"/>
        <v>1.3797999999999999</v>
      </c>
      <c r="H98" vm="1854">
        <f ca="1"/>
        <v>1.3804000000000001</v>
      </c>
      <c r="K98">
        <f ca="1">IF(ROW(T_CALC[[#This Row],[DAY]])-ROW(T_CALC[[#Headers],[DAY]])&gt;C_N_TRADING_DAYS,"",ROW(T_CALC[[#This Row],[DAY]])-ROW(T_CALC[[#Headers],[DAY]]))</f>
        <v>95</v>
      </c>
      <c r="L98" cm="1" vm="1850">
        <f t="array" aca="1" ref="L98" ca="1">IFERROR(INDEX(_xlfn.ANCHORARRAY($C$3),T_CALC[[#This Row],[DAY]]+1,1),NA())</f>
        <v>42888</v>
      </c>
      <c r="M98" cm="1" vm="1851">
        <f t="array" aca="1" ref="M98" ca="1">IFERROR(INDEX(_xlfn.ANCHORARRAY($C$3),T_CALC[[#This Row],[DAY]]+1,3),NA())</f>
        <v>1.3865000000000001</v>
      </c>
      <c r="N98" cm="1" vm="1852">
        <f t="array" aca="1" ref="N98" ca="1">IFERROR(INDEX(_xlfn.ANCHORARRAY($C$3),T_CALC[[#This Row],[DAY]]+1,4),NA())</f>
        <v>1.3868</v>
      </c>
      <c r="O98" cm="1" vm="1853">
        <f t="array" aca="1" ref="O98" ca="1">IFERROR(INDEX(_xlfn.ANCHORARRAY($C$3),T_CALC[[#This Row],[DAY]]+1,5),NA())</f>
        <v>1.3797999999999999</v>
      </c>
      <c r="P98" cm="1" vm="1854">
        <f t="array" aca="1" ref="P98" ca="1">IFERROR(INDEX(_xlfn.ANCHORARRAY($C$3),T_CALC[[#This Row],[DAY]]+1,6),NA())</f>
        <v>1.3804000000000001</v>
      </c>
      <c r="Q98" cm="1">
        <f t="array" aca="1" ref="Q98" ca="1">IFERROR(INDEX(_xlfn.ANCHORARRAY($C$3),T_CALC[[#This Row],[DAY]]+1,2),NA())</f>
        <v>0</v>
      </c>
    </row>
    <row r="99" spans="3:17">
      <c r="C99" vm="1855">
        <f ca="1"/>
        <v>42891</v>
      </c>
      <c r="D99">
        <f ca="1"/>
        <v>0</v>
      </c>
      <c r="E99" vm="1856">
        <f ca="1"/>
        <v>1.3801000000000001</v>
      </c>
      <c r="F99" vm="1848">
        <f ca="1"/>
        <v>1.3829</v>
      </c>
      <c r="G99" vm="1857">
        <f ca="1"/>
        <v>1.3781000000000001</v>
      </c>
      <c r="H99" vm="1858">
        <f ca="1"/>
        <v>1.3814</v>
      </c>
      <c r="K99">
        <f ca="1">IF(ROW(T_CALC[[#This Row],[DAY]])-ROW(T_CALC[[#Headers],[DAY]])&gt;C_N_TRADING_DAYS,"",ROW(T_CALC[[#This Row],[DAY]])-ROW(T_CALC[[#Headers],[DAY]]))</f>
        <v>96</v>
      </c>
      <c r="L99" cm="1" vm="1855">
        <f t="array" aca="1" ref="L99" ca="1">IFERROR(INDEX(_xlfn.ANCHORARRAY($C$3),T_CALC[[#This Row],[DAY]]+1,1),NA())</f>
        <v>42891</v>
      </c>
      <c r="M99" cm="1" vm="1856">
        <f t="array" aca="1" ref="M99" ca="1">IFERROR(INDEX(_xlfn.ANCHORARRAY($C$3),T_CALC[[#This Row],[DAY]]+1,3),NA())</f>
        <v>1.3801000000000001</v>
      </c>
      <c r="N99" cm="1" vm="1848">
        <f t="array" aca="1" ref="N99" ca="1">IFERROR(INDEX(_xlfn.ANCHORARRAY($C$3),T_CALC[[#This Row],[DAY]]+1,4),NA())</f>
        <v>1.3829</v>
      </c>
      <c r="O99" cm="1" vm="1857">
        <f t="array" aca="1" ref="O99" ca="1">IFERROR(INDEX(_xlfn.ANCHORARRAY($C$3),T_CALC[[#This Row],[DAY]]+1,5),NA())</f>
        <v>1.3781000000000001</v>
      </c>
      <c r="P99" cm="1" vm="1858">
        <f t="array" aca="1" ref="P99" ca="1">IFERROR(INDEX(_xlfn.ANCHORARRAY($C$3),T_CALC[[#This Row],[DAY]]+1,6),NA())</f>
        <v>1.3814</v>
      </c>
      <c r="Q99" cm="1">
        <f t="array" aca="1" ref="Q99" ca="1">IFERROR(INDEX(_xlfn.ANCHORARRAY($C$3),T_CALC[[#This Row],[DAY]]+1,2),NA())</f>
        <v>0</v>
      </c>
    </row>
    <row r="100" spans="3:17">
      <c r="C100" vm="1859">
        <f ca="1"/>
        <v>42892</v>
      </c>
      <c r="D100">
        <f ca="1"/>
        <v>0</v>
      </c>
      <c r="E100" vm="1838">
        <f ca="1"/>
        <v>1.3813</v>
      </c>
      <c r="F100" vm="1860">
        <f ca="1"/>
        <v>1.3819999999999999</v>
      </c>
      <c r="G100" vm="1861">
        <f ca="1"/>
        <v>1.3777999999999999</v>
      </c>
      <c r="H100" vm="1862">
        <f ca="1"/>
        <v>1.3791</v>
      </c>
      <c r="K100">
        <f ca="1">IF(ROW(T_CALC[[#This Row],[DAY]])-ROW(T_CALC[[#Headers],[DAY]])&gt;C_N_TRADING_DAYS,"",ROW(T_CALC[[#This Row],[DAY]])-ROW(T_CALC[[#Headers],[DAY]]))</f>
        <v>97</v>
      </c>
      <c r="L100" cm="1" vm="1859">
        <f t="array" aca="1" ref="L100" ca="1">IFERROR(INDEX(_xlfn.ANCHORARRAY($C$3),T_CALC[[#This Row],[DAY]]+1,1),NA())</f>
        <v>42892</v>
      </c>
      <c r="M100" cm="1" vm="1838">
        <f t="array" aca="1" ref="M100" ca="1">IFERROR(INDEX(_xlfn.ANCHORARRAY($C$3),T_CALC[[#This Row],[DAY]]+1,3),NA())</f>
        <v>1.3813</v>
      </c>
      <c r="N100" cm="1" vm="1860">
        <f t="array" aca="1" ref="N100" ca="1">IFERROR(INDEX(_xlfn.ANCHORARRAY($C$3),T_CALC[[#This Row],[DAY]]+1,4),NA())</f>
        <v>1.3819999999999999</v>
      </c>
      <c r="O100" cm="1" vm="1861">
        <f t="array" aca="1" ref="O100" ca="1">IFERROR(INDEX(_xlfn.ANCHORARRAY($C$3),T_CALC[[#This Row],[DAY]]+1,5),NA())</f>
        <v>1.3777999999999999</v>
      </c>
      <c r="P100" cm="1" vm="1862">
        <f t="array" aca="1" ref="P100" ca="1">IFERROR(INDEX(_xlfn.ANCHORARRAY($C$3),T_CALC[[#This Row],[DAY]]+1,6),NA())</f>
        <v>1.3791</v>
      </c>
      <c r="Q100" cm="1">
        <f t="array" aca="1" ref="Q100" ca="1">IFERROR(INDEX(_xlfn.ANCHORARRAY($C$3),T_CALC[[#This Row],[DAY]]+1,2),NA())</f>
        <v>0</v>
      </c>
    </row>
    <row r="101" spans="3:17">
      <c r="C101" vm="1863">
        <f ca="1"/>
        <v>42893</v>
      </c>
      <c r="D101">
        <f ca="1"/>
        <v>0</v>
      </c>
      <c r="E101" vm="1864">
        <f ca="1"/>
        <v>1.3794</v>
      </c>
      <c r="F101" vm="1865">
        <f ca="1"/>
        <v>1.3827</v>
      </c>
      <c r="G101" vm="1857">
        <f ca="1"/>
        <v>1.3781000000000001</v>
      </c>
      <c r="H101" vm="1832">
        <f ca="1"/>
        <v>1.3816999999999999</v>
      </c>
      <c r="K101">
        <f ca="1">IF(ROW(T_CALC[[#This Row],[DAY]])-ROW(T_CALC[[#Headers],[DAY]])&gt;C_N_TRADING_DAYS,"",ROW(T_CALC[[#This Row],[DAY]])-ROW(T_CALC[[#Headers],[DAY]]))</f>
        <v>98</v>
      </c>
      <c r="L101" cm="1" vm="1863">
        <f t="array" aca="1" ref="L101" ca="1">IFERROR(INDEX(_xlfn.ANCHORARRAY($C$3),T_CALC[[#This Row],[DAY]]+1,1),NA())</f>
        <v>42893</v>
      </c>
      <c r="M101" cm="1" vm="1864">
        <f t="array" aca="1" ref="M101" ca="1">IFERROR(INDEX(_xlfn.ANCHORARRAY($C$3),T_CALC[[#This Row],[DAY]]+1,3),NA())</f>
        <v>1.3794</v>
      </c>
      <c r="N101" cm="1" vm="1865">
        <f t="array" aca="1" ref="N101" ca="1">IFERROR(INDEX(_xlfn.ANCHORARRAY($C$3),T_CALC[[#This Row],[DAY]]+1,4),NA())</f>
        <v>1.3827</v>
      </c>
      <c r="O101" cm="1" vm="1857">
        <f t="array" aca="1" ref="O101" ca="1">IFERROR(INDEX(_xlfn.ANCHORARRAY($C$3),T_CALC[[#This Row],[DAY]]+1,5),NA())</f>
        <v>1.3781000000000001</v>
      </c>
      <c r="P101" cm="1" vm="1832">
        <f t="array" aca="1" ref="P101" ca="1">IFERROR(INDEX(_xlfn.ANCHORARRAY($C$3),T_CALC[[#This Row],[DAY]]+1,6),NA())</f>
        <v>1.3816999999999999</v>
      </c>
      <c r="Q101" cm="1">
        <f t="array" aca="1" ref="Q101" ca="1">IFERROR(INDEX(_xlfn.ANCHORARRAY($C$3),T_CALC[[#This Row],[DAY]]+1,2),NA())</f>
        <v>0</v>
      </c>
    </row>
    <row r="102" spans="3:17">
      <c r="C102" vm="1866">
        <f ca="1"/>
        <v>42894</v>
      </c>
      <c r="D102">
        <f ca="1"/>
        <v>0</v>
      </c>
      <c r="E102" vm="1867">
        <f ca="1"/>
        <v>1.3818999999999999</v>
      </c>
      <c r="F102" vm="1843">
        <f ca="1"/>
        <v>1.3837999999999999</v>
      </c>
      <c r="G102" vm="1868">
        <f ca="1"/>
        <v>1.3795999999999999</v>
      </c>
      <c r="H102" vm="1856">
        <f ca="1"/>
        <v>1.3801000000000001</v>
      </c>
      <c r="K102">
        <f ca="1">IF(ROW(T_CALC[[#This Row],[DAY]])-ROW(T_CALC[[#Headers],[DAY]])&gt;C_N_TRADING_DAYS,"",ROW(T_CALC[[#This Row],[DAY]])-ROW(T_CALC[[#Headers],[DAY]]))</f>
        <v>99</v>
      </c>
      <c r="L102" cm="1" vm="1866">
        <f t="array" aca="1" ref="L102" ca="1">IFERROR(INDEX(_xlfn.ANCHORARRAY($C$3),T_CALC[[#This Row],[DAY]]+1,1),NA())</f>
        <v>42894</v>
      </c>
      <c r="M102" cm="1" vm="1867">
        <f t="array" aca="1" ref="M102" ca="1">IFERROR(INDEX(_xlfn.ANCHORARRAY($C$3),T_CALC[[#This Row],[DAY]]+1,3),NA())</f>
        <v>1.3818999999999999</v>
      </c>
      <c r="N102" cm="1" vm="1843">
        <f t="array" aca="1" ref="N102" ca="1">IFERROR(INDEX(_xlfn.ANCHORARRAY($C$3),T_CALC[[#This Row],[DAY]]+1,4),NA())</f>
        <v>1.3837999999999999</v>
      </c>
      <c r="O102" cm="1" vm="1868">
        <f t="array" aca="1" ref="O102" ca="1">IFERROR(INDEX(_xlfn.ANCHORARRAY($C$3),T_CALC[[#This Row],[DAY]]+1,5),NA())</f>
        <v>1.3795999999999999</v>
      </c>
      <c r="P102" cm="1" vm="1856">
        <f t="array" aca="1" ref="P102" ca="1">IFERROR(INDEX(_xlfn.ANCHORARRAY($C$3),T_CALC[[#This Row],[DAY]]+1,6),NA())</f>
        <v>1.3801000000000001</v>
      </c>
      <c r="Q102" cm="1">
        <f t="array" aca="1" ref="Q102" ca="1">IFERROR(INDEX(_xlfn.ANCHORARRAY($C$3),T_CALC[[#This Row],[DAY]]+1,2),NA())</f>
        <v>0</v>
      </c>
    </row>
    <row r="103" spans="3:17">
      <c r="C103" vm="1869">
        <f ca="1"/>
        <v>42895</v>
      </c>
      <c r="D103">
        <f ca="1"/>
        <v>0</v>
      </c>
      <c r="E103" vm="1870">
        <f ca="1"/>
        <v>1.3798999999999999</v>
      </c>
      <c r="F103" vm="1871">
        <f ca="1"/>
        <v>1.3852</v>
      </c>
      <c r="G103" vm="1870">
        <f ca="1"/>
        <v>1.3798999999999999</v>
      </c>
      <c r="H103" vm="1872">
        <f ca="1"/>
        <v>1.3842000000000001</v>
      </c>
      <c r="K103">
        <f ca="1">IF(ROW(T_CALC[[#This Row],[DAY]])-ROW(T_CALC[[#Headers],[DAY]])&gt;C_N_TRADING_DAYS,"",ROW(T_CALC[[#This Row],[DAY]])-ROW(T_CALC[[#Headers],[DAY]]))</f>
        <v>100</v>
      </c>
      <c r="L103" cm="1" vm="1869">
        <f t="array" aca="1" ref="L103" ca="1">IFERROR(INDEX(_xlfn.ANCHORARRAY($C$3),T_CALC[[#This Row],[DAY]]+1,1),NA())</f>
        <v>42895</v>
      </c>
      <c r="M103" cm="1" vm="1870">
        <f t="array" aca="1" ref="M103" ca="1">IFERROR(INDEX(_xlfn.ANCHORARRAY($C$3),T_CALC[[#This Row],[DAY]]+1,3),NA())</f>
        <v>1.3798999999999999</v>
      </c>
      <c r="N103" cm="1" vm="1871">
        <f t="array" aca="1" ref="N103" ca="1">IFERROR(INDEX(_xlfn.ANCHORARRAY($C$3),T_CALC[[#This Row],[DAY]]+1,4),NA())</f>
        <v>1.3852</v>
      </c>
      <c r="O103" cm="1" vm="1870">
        <f t="array" aca="1" ref="O103" ca="1">IFERROR(INDEX(_xlfn.ANCHORARRAY($C$3),T_CALC[[#This Row],[DAY]]+1,5),NA())</f>
        <v>1.3798999999999999</v>
      </c>
      <c r="P103" cm="1" vm="1872">
        <f t="array" aca="1" ref="P103" ca="1">IFERROR(INDEX(_xlfn.ANCHORARRAY($C$3),T_CALC[[#This Row],[DAY]]+1,6),NA())</f>
        <v>1.3842000000000001</v>
      </c>
      <c r="Q103" cm="1">
        <f t="array" aca="1" ref="Q103" ca="1">IFERROR(INDEX(_xlfn.ANCHORARRAY($C$3),T_CALC[[#This Row],[DAY]]+1,2),NA())</f>
        <v>0</v>
      </c>
    </row>
    <row r="104" spans="3:17">
      <c r="C104" vm="1873">
        <f ca="1"/>
        <v>42898</v>
      </c>
      <c r="D104">
        <f ca="1"/>
        <v>0</v>
      </c>
      <c r="E104" vm="1828">
        <f ca="1"/>
        <v>1.3844000000000001</v>
      </c>
      <c r="F104" vm="1824">
        <f ca="1"/>
        <v>1.385</v>
      </c>
      <c r="G104" vm="1874">
        <f ca="1"/>
        <v>1.3821000000000001</v>
      </c>
      <c r="H104" vm="1845">
        <f ca="1"/>
        <v>1.3838999999999999</v>
      </c>
      <c r="K104">
        <f ca="1">IF(ROW(T_CALC[[#This Row],[DAY]])-ROW(T_CALC[[#Headers],[DAY]])&gt;C_N_TRADING_DAYS,"",ROW(T_CALC[[#This Row],[DAY]])-ROW(T_CALC[[#Headers],[DAY]]))</f>
        <v>101</v>
      </c>
      <c r="L104" cm="1" vm="1873">
        <f t="array" aca="1" ref="L104" ca="1">IFERROR(INDEX(_xlfn.ANCHORARRAY($C$3),T_CALC[[#This Row],[DAY]]+1,1),NA())</f>
        <v>42898</v>
      </c>
      <c r="M104" cm="1" vm="1828">
        <f t="array" aca="1" ref="M104" ca="1">IFERROR(INDEX(_xlfn.ANCHORARRAY($C$3),T_CALC[[#This Row],[DAY]]+1,3),NA())</f>
        <v>1.3844000000000001</v>
      </c>
      <c r="N104" cm="1" vm="1824">
        <f t="array" aca="1" ref="N104" ca="1">IFERROR(INDEX(_xlfn.ANCHORARRAY($C$3),T_CALC[[#This Row],[DAY]]+1,4),NA())</f>
        <v>1.385</v>
      </c>
      <c r="O104" cm="1" vm="1874">
        <f t="array" aca="1" ref="O104" ca="1">IFERROR(INDEX(_xlfn.ANCHORARRAY($C$3),T_CALC[[#This Row],[DAY]]+1,5),NA())</f>
        <v>1.3821000000000001</v>
      </c>
      <c r="P104" cm="1" vm="1845">
        <f t="array" aca="1" ref="P104" ca="1">IFERROR(INDEX(_xlfn.ANCHORARRAY($C$3),T_CALC[[#This Row],[DAY]]+1,6),NA())</f>
        <v>1.3838999999999999</v>
      </c>
      <c r="Q104" cm="1">
        <f t="array" aca="1" ref="Q104" ca="1">IFERROR(INDEX(_xlfn.ANCHORARRAY($C$3),T_CALC[[#This Row],[DAY]]+1,2),NA())</f>
        <v>0</v>
      </c>
    </row>
    <row r="105" spans="3:17">
      <c r="C105" vm="1875">
        <f ca="1"/>
        <v>42899</v>
      </c>
      <c r="D105">
        <f ca="1"/>
        <v>0</v>
      </c>
      <c r="E105" vm="1876">
        <f ca="1"/>
        <v>1.3835999999999999</v>
      </c>
      <c r="F105" vm="1819">
        <f ca="1"/>
        <v>1.3845000000000001</v>
      </c>
      <c r="G105" vm="1877">
        <f ca="1"/>
        <v>1.3796999999999999</v>
      </c>
      <c r="H105" vm="1878">
        <f ca="1"/>
        <v>1.3807</v>
      </c>
      <c r="K105">
        <f ca="1">IF(ROW(T_CALC[[#This Row],[DAY]])-ROW(T_CALC[[#Headers],[DAY]])&gt;C_N_TRADING_DAYS,"",ROW(T_CALC[[#This Row],[DAY]])-ROW(T_CALC[[#Headers],[DAY]]))</f>
        <v>102</v>
      </c>
      <c r="L105" cm="1" vm="1875">
        <f t="array" aca="1" ref="L105" ca="1">IFERROR(INDEX(_xlfn.ANCHORARRAY($C$3),T_CALC[[#This Row],[DAY]]+1,1),NA())</f>
        <v>42899</v>
      </c>
      <c r="M105" cm="1" vm="1876">
        <f t="array" aca="1" ref="M105" ca="1">IFERROR(INDEX(_xlfn.ANCHORARRAY($C$3),T_CALC[[#This Row],[DAY]]+1,3),NA())</f>
        <v>1.3835999999999999</v>
      </c>
      <c r="N105" cm="1" vm="1819">
        <f t="array" aca="1" ref="N105" ca="1">IFERROR(INDEX(_xlfn.ANCHORARRAY($C$3),T_CALC[[#This Row],[DAY]]+1,4),NA())</f>
        <v>1.3845000000000001</v>
      </c>
      <c r="O105" cm="1" vm="1877">
        <f t="array" aca="1" ref="O105" ca="1">IFERROR(INDEX(_xlfn.ANCHORARRAY($C$3),T_CALC[[#This Row],[DAY]]+1,5),NA())</f>
        <v>1.3796999999999999</v>
      </c>
      <c r="P105" cm="1" vm="1878">
        <f t="array" aca="1" ref="P105" ca="1">IFERROR(INDEX(_xlfn.ANCHORARRAY($C$3),T_CALC[[#This Row],[DAY]]+1,6),NA())</f>
        <v>1.3807</v>
      </c>
      <c r="Q105" cm="1">
        <f t="array" aca="1" ref="Q105" ca="1">IFERROR(INDEX(_xlfn.ANCHORARRAY($C$3),T_CALC[[#This Row],[DAY]]+1,2),NA())</f>
        <v>0</v>
      </c>
    </row>
    <row r="106" spans="3:17">
      <c r="C106" vm="1879">
        <f ca="1"/>
        <v>42900</v>
      </c>
      <c r="D106">
        <f ca="1"/>
        <v>0</v>
      </c>
      <c r="E106" vm="1880">
        <f ca="1"/>
        <v>1.3809</v>
      </c>
      <c r="F106" vm="1849">
        <f ca="1"/>
        <v>1.3822000000000001</v>
      </c>
      <c r="G106" vm="1881">
        <f ca="1"/>
        <v>1.3704000000000001</v>
      </c>
      <c r="H106" vm="1882">
        <f ca="1"/>
        <v>1.3753</v>
      </c>
      <c r="K106">
        <f ca="1">IF(ROW(T_CALC[[#This Row],[DAY]])-ROW(T_CALC[[#Headers],[DAY]])&gt;C_N_TRADING_DAYS,"",ROW(T_CALC[[#This Row],[DAY]])-ROW(T_CALC[[#Headers],[DAY]]))</f>
        <v>103</v>
      </c>
      <c r="L106" cm="1" vm="1879">
        <f t="array" aca="1" ref="L106" ca="1">IFERROR(INDEX(_xlfn.ANCHORARRAY($C$3),T_CALC[[#This Row],[DAY]]+1,1),NA())</f>
        <v>42900</v>
      </c>
      <c r="M106" cm="1" vm="1880">
        <f t="array" aca="1" ref="M106" ca="1">IFERROR(INDEX(_xlfn.ANCHORARRAY($C$3),T_CALC[[#This Row],[DAY]]+1,3),NA())</f>
        <v>1.3809</v>
      </c>
      <c r="N106" cm="1" vm="1849">
        <f t="array" aca="1" ref="N106" ca="1">IFERROR(INDEX(_xlfn.ANCHORARRAY($C$3),T_CALC[[#This Row],[DAY]]+1,4),NA())</f>
        <v>1.3822000000000001</v>
      </c>
      <c r="O106" cm="1" vm="1881">
        <f t="array" aca="1" ref="O106" ca="1">IFERROR(INDEX(_xlfn.ANCHORARRAY($C$3),T_CALC[[#This Row],[DAY]]+1,5),NA())</f>
        <v>1.3704000000000001</v>
      </c>
      <c r="P106" cm="1" vm="1882">
        <f t="array" aca="1" ref="P106" ca="1">IFERROR(INDEX(_xlfn.ANCHORARRAY($C$3),T_CALC[[#This Row],[DAY]]+1,6),NA())</f>
        <v>1.3753</v>
      </c>
      <c r="Q106" cm="1">
        <f t="array" aca="1" ref="Q106" ca="1">IFERROR(INDEX(_xlfn.ANCHORARRAY($C$3),T_CALC[[#This Row],[DAY]]+1,2),NA())</f>
        <v>0</v>
      </c>
    </row>
    <row r="107" spans="3:17">
      <c r="C107" vm="1883">
        <f ca="1"/>
        <v>42901</v>
      </c>
      <c r="D107">
        <f ca="1"/>
        <v>0</v>
      </c>
      <c r="E107" vm="1884">
        <f ca="1"/>
        <v>1.3751</v>
      </c>
      <c r="F107" vm="1885">
        <f ca="1"/>
        <v>1.3843000000000001</v>
      </c>
      <c r="G107" vm="1886">
        <f ca="1"/>
        <v>1.3734999999999999</v>
      </c>
      <c r="H107" vm="1887">
        <f ca="1"/>
        <v>1.3834</v>
      </c>
      <c r="K107">
        <f ca="1">IF(ROW(T_CALC[[#This Row],[DAY]])-ROW(T_CALC[[#Headers],[DAY]])&gt;C_N_TRADING_DAYS,"",ROW(T_CALC[[#This Row],[DAY]])-ROW(T_CALC[[#Headers],[DAY]]))</f>
        <v>104</v>
      </c>
      <c r="L107" cm="1" vm="1883">
        <f t="array" aca="1" ref="L107" ca="1">IFERROR(INDEX(_xlfn.ANCHORARRAY($C$3),T_CALC[[#This Row],[DAY]]+1,1),NA())</f>
        <v>42901</v>
      </c>
      <c r="M107" cm="1" vm="1884">
        <f t="array" aca="1" ref="M107" ca="1">IFERROR(INDEX(_xlfn.ANCHORARRAY($C$3),T_CALC[[#This Row],[DAY]]+1,3),NA())</f>
        <v>1.3751</v>
      </c>
      <c r="N107" cm="1" vm="1885">
        <f t="array" aca="1" ref="N107" ca="1">IFERROR(INDEX(_xlfn.ANCHORARRAY($C$3),T_CALC[[#This Row],[DAY]]+1,4),NA())</f>
        <v>1.3843000000000001</v>
      </c>
      <c r="O107" cm="1" vm="1886">
        <f t="array" aca="1" ref="O107" ca="1">IFERROR(INDEX(_xlfn.ANCHORARRAY($C$3),T_CALC[[#This Row],[DAY]]+1,5),NA())</f>
        <v>1.3734999999999999</v>
      </c>
      <c r="P107" cm="1" vm="1887">
        <f t="array" aca="1" ref="P107" ca="1">IFERROR(INDEX(_xlfn.ANCHORARRAY($C$3),T_CALC[[#This Row],[DAY]]+1,6),NA())</f>
        <v>1.3834</v>
      </c>
      <c r="Q107" cm="1">
        <f t="array" aca="1" ref="Q107" ca="1">IFERROR(INDEX(_xlfn.ANCHORARRAY($C$3),T_CALC[[#This Row],[DAY]]+1,2),NA())</f>
        <v>0</v>
      </c>
    </row>
    <row r="108" spans="3:17">
      <c r="C108" vm="1888">
        <f ca="1"/>
        <v>42902</v>
      </c>
      <c r="D108">
        <f ca="1"/>
        <v>0</v>
      </c>
      <c r="E108" vm="1814">
        <f ca="1"/>
        <v>1.3833</v>
      </c>
      <c r="F108" vm="1834">
        <f ca="1"/>
        <v>1.3869</v>
      </c>
      <c r="G108" vm="1836">
        <f ca="1"/>
        <v>1.3815</v>
      </c>
      <c r="H108" vm="1889">
        <f ca="1"/>
        <v>1.383</v>
      </c>
      <c r="K108">
        <f ca="1">IF(ROW(T_CALC[[#This Row],[DAY]])-ROW(T_CALC[[#Headers],[DAY]])&gt;C_N_TRADING_DAYS,"",ROW(T_CALC[[#This Row],[DAY]])-ROW(T_CALC[[#Headers],[DAY]]))</f>
        <v>105</v>
      </c>
      <c r="L108" cm="1" vm="1888">
        <f t="array" aca="1" ref="L108" ca="1">IFERROR(INDEX(_xlfn.ANCHORARRAY($C$3),T_CALC[[#This Row],[DAY]]+1,1),NA())</f>
        <v>42902</v>
      </c>
      <c r="M108" cm="1" vm="1814">
        <f t="array" aca="1" ref="M108" ca="1">IFERROR(INDEX(_xlfn.ANCHORARRAY($C$3),T_CALC[[#This Row],[DAY]]+1,3),NA())</f>
        <v>1.3833</v>
      </c>
      <c r="N108" cm="1" vm="1834">
        <f t="array" aca="1" ref="N108" ca="1">IFERROR(INDEX(_xlfn.ANCHORARRAY($C$3),T_CALC[[#This Row],[DAY]]+1,4),NA())</f>
        <v>1.3869</v>
      </c>
      <c r="O108" cm="1" vm="1836">
        <f t="array" aca="1" ref="O108" ca="1">IFERROR(INDEX(_xlfn.ANCHORARRAY($C$3),T_CALC[[#This Row],[DAY]]+1,5),NA())</f>
        <v>1.3815</v>
      </c>
      <c r="P108" cm="1" vm="1889">
        <f t="array" aca="1" ref="P108" ca="1">IFERROR(INDEX(_xlfn.ANCHORARRAY($C$3),T_CALC[[#This Row],[DAY]]+1,6),NA())</f>
        <v>1.383</v>
      </c>
      <c r="Q108" cm="1">
        <f t="array" aca="1" ref="Q108" ca="1">IFERROR(INDEX(_xlfn.ANCHORARRAY($C$3),T_CALC[[#This Row],[DAY]]+1,2),NA())</f>
        <v>0</v>
      </c>
    </row>
    <row r="109" spans="3:17">
      <c r="C109" vm="1890">
        <f ca="1"/>
        <v>42905</v>
      </c>
      <c r="D109">
        <f ca="1"/>
        <v>0</v>
      </c>
      <c r="E109" vm="1891">
        <f ca="1"/>
        <v>1.3828</v>
      </c>
      <c r="F109" vm="1892">
        <f ca="1"/>
        <v>1.3872</v>
      </c>
      <c r="G109" vm="1893">
        <f ca="1"/>
        <v>1.3803000000000001</v>
      </c>
      <c r="H109" vm="1894">
        <f ca="1"/>
        <v>1.3866000000000001</v>
      </c>
      <c r="K109">
        <f ca="1">IF(ROW(T_CALC[[#This Row],[DAY]])-ROW(T_CALC[[#Headers],[DAY]])&gt;C_N_TRADING_DAYS,"",ROW(T_CALC[[#This Row],[DAY]])-ROW(T_CALC[[#Headers],[DAY]]))</f>
        <v>106</v>
      </c>
      <c r="L109" cm="1" vm="1890">
        <f t="array" aca="1" ref="L109" ca="1">IFERROR(INDEX(_xlfn.ANCHORARRAY($C$3),T_CALC[[#This Row],[DAY]]+1,1),NA())</f>
        <v>42905</v>
      </c>
      <c r="M109" cm="1" vm="1891">
        <f t="array" aca="1" ref="M109" ca="1">IFERROR(INDEX(_xlfn.ANCHORARRAY($C$3),T_CALC[[#This Row],[DAY]]+1,3),NA())</f>
        <v>1.3828</v>
      </c>
      <c r="N109" cm="1" vm="1892">
        <f t="array" aca="1" ref="N109" ca="1">IFERROR(INDEX(_xlfn.ANCHORARRAY($C$3),T_CALC[[#This Row],[DAY]]+1,4),NA())</f>
        <v>1.3872</v>
      </c>
      <c r="O109" cm="1" vm="1893">
        <f t="array" aca="1" ref="O109" ca="1">IFERROR(INDEX(_xlfn.ANCHORARRAY($C$3),T_CALC[[#This Row],[DAY]]+1,5),NA())</f>
        <v>1.3803000000000001</v>
      </c>
      <c r="P109" cm="1" vm="1894">
        <f t="array" aca="1" ref="P109" ca="1">IFERROR(INDEX(_xlfn.ANCHORARRAY($C$3),T_CALC[[#This Row],[DAY]]+1,6),NA())</f>
        <v>1.3866000000000001</v>
      </c>
      <c r="Q109" cm="1">
        <f t="array" aca="1" ref="Q109" ca="1">IFERROR(INDEX(_xlfn.ANCHORARRAY($C$3),T_CALC[[#This Row],[DAY]]+1,2),NA())</f>
        <v>0</v>
      </c>
    </row>
    <row r="110" spans="3:17">
      <c r="C110" vm="1895">
        <f ca="1"/>
        <v>42906</v>
      </c>
      <c r="D110">
        <f ca="1"/>
        <v>0</v>
      </c>
      <c r="E110" vm="1852">
        <f ca="1"/>
        <v>1.3868</v>
      </c>
      <c r="F110" vm="1896">
        <f ca="1"/>
        <v>1.3907</v>
      </c>
      <c r="G110" vm="1828">
        <f ca="1"/>
        <v>1.3844000000000001</v>
      </c>
      <c r="H110" vm="1897">
        <f ca="1"/>
        <v>1.3891</v>
      </c>
      <c r="K110">
        <f ca="1">IF(ROW(T_CALC[[#This Row],[DAY]])-ROW(T_CALC[[#Headers],[DAY]])&gt;C_N_TRADING_DAYS,"",ROW(T_CALC[[#This Row],[DAY]])-ROW(T_CALC[[#Headers],[DAY]]))</f>
        <v>107</v>
      </c>
      <c r="L110" cm="1" vm="1895">
        <f t="array" aca="1" ref="L110" ca="1">IFERROR(INDEX(_xlfn.ANCHORARRAY($C$3),T_CALC[[#This Row],[DAY]]+1,1),NA())</f>
        <v>42906</v>
      </c>
      <c r="M110" cm="1" vm="1852">
        <f t="array" aca="1" ref="M110" ca="1">IFERROR(INDEX(_xlfn.ANCHORARRAY($C$3),T_CALC[[#This Row],[DAY]]+1,3),NA())</f>
        <v>1.3868</v>
      </c>
      <c r="N110" cm="1" vm="1896">
        <f t="array" aca="1" ref="N110" ca="1">IFERROR(INDEX(_xlfn.ANCHORARRAY($C$3),T_CALC[[#This Row],[DAY]]+1,4),NA())</f>
        <v>1.3907</v>
      </c>
      <c r="O110" cm="1" vm="1828">
        <f t="array" aca="1" ref="O110" ca="1">IFERROR(INDEX(_xlfn.ANCHORARRAY($C$3),T_CALC[[#This Row],[DAY]]+1,5),NA())</f>
        <v>1.3844000000000001</v>
      </c>
      <c r="P110" cm="1" vm="1897">
        <f t="array" aca="1" ref="P110" ca="1">IFERROR(INDEX(_xlfn.ANCHORARRAY($C$3),T_CALC[[#This Row],[DAY]]+1,6),NA())</f>
        <v>1.3891</v>
      </c>
      <c r="Q110" cm="1">
        <f t="array" aca="1" ref="Q110" ca="1">IFERROR(INDEX(_xlfn.ANCHORARRAY($C$3),T_CALC[[#This Row],[DAY]]+1,2),NA())</f>
        <v>0</v>
      </c>
    </row>
    <row r="111" spans="3:17">
      <c r="C111" vm="1898">
        <f ca="1"/>
        <v>42907</v>
      </c>
      <c r="D111">
        <f ca="1"/>
        <v>0</v>
      </c>
      <c r="E111" vm="1897">
        <f ca="1"/>
        <v>1.3891</v>
      </c>
      <c r="F111" vm="1775">
        <f ca="1"/>
        <v>1.3914</v>
      </c>
      <c r="G111" vm="1899">
        <f ca="1"/>
        <v>1.3875999999999999</v>
      </c>
      <c r="H111" vm="1900">
        <f ca="1"/>
        <v>1.389</v>
      </c>
      <c r="K111">
        <f ca="1">IF(ROW(T_CALC[[#This Row],[DAY]])-ROW(T_CALC[[#Headers],[DAY]])&gt;C_N_TRADING_DAYS,"",ROW(T_CALC[[#This Row],[DAY]])-ROW(T_CALC[[#Headers],[DAY]]))</f>
        <v>108</v>
      </c>
      <c r="L111" cm="1" vm="1898">
        <f t="array" aca="1" ref="L111" ca="1">IFERROR(INDEX(_xlfn.ANCHORARRAY($C$3),T_CALC[[#This Row],[DAY]]+1,1),NA())</f>
        <v>42907</v>
      </c>
      <c r="M111" cm="1" vm="1897">
        <f t="array" aca="1" ref="M111" ca="1">IFERROR(INDEX(_xlfn.ANCHORARRAY($C$3),T_CALC[[#This Row],[DAY]]+1,3),NA())</f>
        <v>1.3891</v>
      </c>
      <c r="N111" cm="1" vm="1775">
        <f t="array" aca="1" ref="N111" ca="1">IFERROR(INDEX(_xlfn.ANCHORARRAY($C$3),T_CALC[[#This Row],[DAY]]+1,4),NA())</f>
        <v>1.3914</v>
      </c>
      <c r="O111" cm="1" vm="1899">
        <f t="array" aca="1" ref="O111" ca="1">IFERROR(INDEX(_xlfn.ANCHORARRAY($C$3),T_CALC[[#This Row],[DAY]]+1,5),NA())</f>
        <v>1.3875999999999999</v>
      </c>
      <c r="P111" cm="1" vm="1900">
        <f t="array" aca="1" ref="P111" ca="1">IFERROR(INDEX(_xlfn.ANCHORARRAY($C$3),T_CALC[[#This Row],[DAY]]+1,6),NA())</f>
        <v>1.389</v>
      </c>
      <c r="Q111" cm="1">
        <f t="array" aca="1" ref="Q111" ca="1">IFERROR(INDEX(_xlfn.ANCHORARRAY($C$3),T_CALC[[#This Row],[DAY]]+1,2),NA())</f>
        <v>0</v>
      </c>
    </row>
    <row r="112" spans="3:17">
      <c r="C112" vm="1901">
        <f ca="1"/>
        <v>42908</v>
      </c>
      <c r="D112">
        <f ca="1"/>
        <v>0</v>
      </c>
      <c r="E112" vm="1902">
        <f ca="1"/>
        <v>1.3887</v>
      </c>
      <c r="F112" vm="1711">
        <f ca="1"/>
        <v>1.3911</v>
      </c>
      <c r="G112" vm="1903">
        <f ca="1"/>
        <v>1.3873</v>
      </c>
      <c r="H112" vm="1904">
        <f ca="1"/>
        <v>1.3898999999999999</v>
      </c>
      <c r="K112">
        <f ca="1">IF(ROW(T_CALC[[#This Row],[DAY]])-ROW(T_CALC[[#Headers],[DAY]])&gt;C_N_TRADING_DAYS,"",ROW(T_CALC[[#This Row],[DAY]])-ROW(T_CALC[[#Headers],[DAY]]))</f>
        <v>109</v>
      </c>
      <c r="L112" cm="1" vm="1901">
        <f t="array" aca="1" ref="L112" ca="1">IFERROR(INDEX(_xlfn.ANCHORARRAY($C$3),T_CALC[[#This Row],[DAY]]+1,1),NA())</f>
        <v>42908</v>
      </c>
      <c r="M112" cm="1" vm="1902">
        <f t="array" aca="1" ref="M112" ca="1">IFERROR(INDEX(_xlfn.ANCHORARRAY($C$3),T_CALC[[#This Row],[DAY]]+1,3),NA())</f>
        <v>1.3887</v>
      </c>
      <c r="N112" cm="1" vm="1711">
        <f t="array" aca="1" ref="N112" ca="1">IFERROR(INDEX(_xlfn.ANCHORARRAY($C$3),T_CALC[[#This Row],[DAY]]+1,4),NA())</f>
        <v>1.3911</v>
      </c>
      <c r="O112" cm="1" vm="1903">
        <f t="array" aca="1" ref="O112" ca="1">IFERROR(INDEX(_xlfn.ANCHORARRAY($C$3),T_CALC[[#This Row],[DAY]]+1,5),NA())</f>
        <v>1.3873</v>
      </c>
      <c r="P112" cm="1" vm="1904">
        <f t="array" aca="1" ref="P112" ca="1">IFERROR(INDEX(_xlfn.ANCHORARRAY($C$3),T_CALC[[#This Row],[DAY]]+1,6),NA())</f>
        <v>1.3898999999999999</v>
      </c>
      <c r="Q112" cm="1">
        <f t="array" aca="1" ref="Q112" ca="1">IFERROR(INDEX(_xlfn.ANCHORARRAY($C$3),T_CALC[[#This Row],[DAY]]+1,2),NA())</f>
        <v>0</v>
      </c>
    </row>
    <row r="113" spans="3:17">
      <c r="C113" vm="1905">
        <f ca="1"/>
        <v>42909</v>
      </c>
      <c r="D113">
        <f ca="1"/>
        <v>0</v>
      </c>
      <c r="E113" vm="1810">
        <f ca="1"/>
        <v>1.3896999999999999</v>
      </c>
      <c r="F113" vm="1906">
        <f ca="1"/>
        <v>1.3909</v>
      </c>
      <c r="G113" vm="1907">
        <f ca="1"/>
        <v>1.3848</v>
      </c>
      <c r="H113" vm="1892">
        <f ca="1"/>
        <v>1.3872</v>
      </c>
      <c r="K113">
        <f ca="1">IF(ROW(T_CALC[[#This Row],[DAY]])-ROW(T_CALC[[#Headers],[DAY]])&gt;C_N_TRADING_DAYS,"",ROW(T_CALC[[#This Row],[DAY]])-ROW(T_CALC[[#Headers],[DAY]]))</f>
        <v>110</v>
      </c>
      <c r="L113" cm="1" vm="1905">
        <f t="array" aca="1" ref="L113" ca="1">IFERROR(INDEX(_xlfn.ANCHORARRAY($C$3),T_CALC[[#This Row],[DAY]]+1,1),NA())</f>
        <v>42909</v>
      </c>
      <c r="M113" cm="1" vm="1810">
        <f t="array" aca="1" ref="M113" ca="1">IFERROR(INDEX(_xlfn.ANCHORARRAY($C$3),T_CALC[[#This Row],[DAY]]+1,3),NA())</f>
        <v>1.3896999999999999</v>
      </c>
      <c r="N113" cm="1" vm="1906">
        <f t="array" aca="1" ref="N113" ca="1">IFERROR(INDEX(_xlfn.ANCHORARRAY($C$3),T_CALC[[#This Row],[DAY]]+1,4),NA())</f>
        <v>1.3909</v>
      </c>
      <c r="O113" cm="1" vm="1907">
        <f t="array" aca="1" ref="O113" ca="1">IFERROR(INDEX(_xlfn.ANCHORARRAY($C$3),T_CALC[[#This Row],[DAY]]+1,5),NA())</f>
        <v>1.3848</v>
      </c>
      <c r="P113" cm="1" vm="1892">
        <f t="array" aca="1" ref="P113" ca="1">IFERROR(INDEX(_xlfn.ANCHORARRAY($C$3),T_CALC[[#This Row],[DAY]]+1,6),NA())</f>
        <v>1.3872</v>
      </c>
      <c r="Q113" cm="1">
        <f t="array" aca="1" ref="Q113" ca="1">IFERROR(INDEX(_xlfn.ANCHORARRAY($C$3),T_CALC[[#This Row],[DAY]]+1,2),NA())</f>
        <v>0</v>
      </c>
    </row>
    <row r="114" spans="3:17">
      <c r="C114" vm="1908">
        <f ca="1"/>
        <v>42912</v>
      </c>
      <c r="D114">
        <f ca="1"/>
        <v>0</v>
      </c>
      <c r="E114" vm="1851">
        <f ca="1"/>
        <v>1.3865000000000001</v>
      </c>
      <c r="F114" vm="1909">
        <f ca="1"/>
        <v>1.3888</v>
      </c>
      <c r="G114" vm="1910">
        <f ca="1"/>
        <v>1.3855999999999999</v>
      </c>
      <c r="H114" vm="1911">
        <f ca="1"/>
        <v>1.3877999999999999</v>
      </c>
      <c r="K114">
        <f ca="1">IF(ROW(T_CALC[[#This Row],[DAY]])-ROW(T_CALC[[#Headers],[DAY]])&gt;C_N_TRADING_DAYS,"",ROW(T_CALC[[#This Row],[DAY]])-ROW(T_CALC[[#Headers],[DAY]]))</f>
        <v>111</v>
      </c>
      <c r="L114" cm="1" vm="1908">
        <f t="array" aca="1" ref="L114" ca="1">IFERROR(INDEX(_xlfn.ANCHORARRAY($C$3),T_CALC[[#This Row],[DAY]]+1,1),NA())</f>
        <v>42912</v>
      </c>
      <c r="M114" cm="1" vm="1851">
        <f t="array" aca="1" ref="M114" ca="1">IFERROR(INDEX(_xlfn.ANCHORARRAY($C$3),T_CALC[[#This Row],[DAY]]+1,3),NA())</f>
        <v>1.3865000000000001</v>
      </c>
      <c r="N114" cm="1" vm="1909">
        <f t="array" aca="1" ref="N114" ca="1">IFERROR(INDEX(_xlfn.ANCHORARRAY($C$3),T_CALC[[#This Row],[DAY]]+1,4),NA())</f>
        <v>1.3888</v>
      </c>
      <c r="O114" cm="1" vm="1910">
        <f t="array" aca="1" ref="O114" ca="1">IFERROR(INDEX(_xlfn.ANCHORARRAY($C$3),T_CALC[[#This Row],[DAY]]+1,5),NA())</f>
        <v>1.3855999999999999</v>
      </c>
      <c r="P114" cm="1" vm="1911">
        <f t="array" aca="1" ref="P114" ca="1">IFERROR(INDEX(_xlfn.ANCHORARRAY($C$3),T_CALC[[#This Row],[DAY]]+1,6),NA())</f>
        <v>1.3877999999999999</v>
      </c>
      <c r="Q114" cm="1">
        <f t="array" aca="1" ref="Q114" ca="1">IFERROR(INDEX(_xlfn.ANCHORARRAY($C$3),T_CALC[[#This Row],[DAY]]+1,2),NA())</f>
        <v>0</v>
      </c>
    </row>
    <row r="115" spans="3:17">
      <c r="C115" vm="1912">
        <f ca="1"/>
        <v>42913</v>
      </c>
      <c r="D115">
        <f ca="1"/>
        <v>0</v>
      </c>
      <c r="E115" vm="1913">
        <f ca="1"/>
        <v>1.3879999999999999</v>
      </c>
      <c r="F115" vm="1900">
        <f ca="1"/>
        <v>1.389</v>
      </c>
      <c r="G115" vm="1872">
        <f ca="1"/>
        <v>1.3842000000000001</v>
      </c>
      <c r="H115" vm="1834">
        <f ca="1"/>
        <v>1.3869</v>
      </c>
      <c r="K115">
        <f ca="1">IF(ROW(T_CALC[[#This Row],[DAY]])-ROW(T_CALC[[#Headers],[DAY]])&gt;C_N_TRADING_DAYS,"",ROW(T_CALC[[#This Row],[DAY]])-ROW(T_CALC[[#Headers],[DAY]]))</f>
        <v>112</v>
      </c>
      <c r="L115" cm="1" vm="1912">
        <f t="array" aca="1" ref="L115" ca="1">IFERROR(INDEX(_xlfn.ANCHORARRAY($C$3),T_CALC[[#This Row],[DAY]]+1,1),NA())</f>
        <v>42913</v>
      </c>
      <c r="M115" cm="1" vm="1913">
        <f t="array" aca="1" ref="M115" ca="1">IFERROR(INDEX(_xlfn.ANCHORARRAY($C$3),T_CALC[[#This Row],[DAY]]+1,3),NA())</f>
        <v>1.3879999999999999</v>
      </c>
      <c r="N115" cm="1" vm="1900">
        <f t="array" aca="1" ref="N115" ca="1">IFERROR(INDEX(_xlfn.ANCHORARRAY($C$3),T_CALC[[#This Row],[DAY]]+1,4),NA())</f>
        <v>1.389</v>
      </c>
      <c r="O115" cm="1" vm="1872">
        <f t="array" aca="1" ref="O115" ca="1">IFERROR(INDEX(_xlfn.ANCHORARRAY($C$3),T_CALC[[#This Row],[DAY]]+1,5),NA())</f>
        <v>1.3842000000000001</v>
      </c>
      <c r="P115" cm="1" vm="1834">
        <f t="array" aca="1" ref="P115" ca="1">IFERROR(INDEX(_xlfn.ANCHORARRAY($C$3),T_CALC[[#This Row],[DAY]]+1,6),NA())</f>
        <v>1.3869</v>
      </c>
      <c r="Q115" cm="1">
        <f t="array" aca="1" ref="Q115" ca="1">IFERROR(INDEX(_xlfn.ANCHORARRAY($C$3),T_CALC[[#This Row],[DAY]]+1,2),NA())</f>
        <v>0</v>
      </c>
    </row>
    <row r="116" spans="3:17">
      <c r="C116" vm="1914">
        <f ca="1"/>
        <v>42914</v>
      </c>
      <c r="D116">
        <f ca="1"/>
        <v>0</v>
      </c>
      <c r="E116" vm="1915">
        <f ca="1"/>
        <v>1.3867</v>
      </c>
      <c r="F116" vm="1903">
        <f ca="1"/>
        <v>1.3873</v>
      </c>
      <c r="G116" vm="1854">
        <f ca="1"/>
        <v>1.3804000000000001</v>
      </c>
      <c r="H116" vm="1860">
        <f ca="1"/>
        <v>1.3819999999999999</v>
      </c>
      <c r="K116">
        <f ca="1">IF(ROW(T_CALC[[#This Row],[DAY]])-ROW(T_CALC[[#Headers],[DAY]])&gt;C_N_TRADING_DAYS,"",ROW(T_CALC[[#This Row],[DAY]])-ROW(T_CALC[[#Headers],[DAY]]))</f>
        <v>113</v>
      </c>
      <c r="L116" cm="1" vm="1914">
        <f t="array" aca="1" ref="L116" ca="1">IFERROR(INDEX(_xlfn.ANCHORARRAY($C$3),T_CALC[[#This Row],[DAY]]+1,1),NA())</f>
        <v>42914</v>
      </c>
      <c r="M116" cm="1" vm="1915">
        <f t="array" aca="1" ref="M116" ca="1">IFERROR(INDEX(_xlfn.ANCHORARRAY($C$3),T_CALC[[#This Row],[DAY]]+1,3),NA())</f>
        <v>1.3867</v>
      </c>
      <c r="N116" cm="1" vm="1903">
        <f t="array" aca="1" ref="N116" ca="1">IFERROR(INDEX(_xlfn.ANCHORARRAY($C$3),T_CALC[[#This Row],[DAY]]+1,4),NA())</f>
        <v>1.3873</v>
      </c>
      <c r="O116" cm="1" vm="1854">
        <f t="array" aca="1" ref="O116" ca="1">IFERROR(INDEX(_xlfn.ANCHORARRAY($C$3),T_CALC[[#This Row],[DAY]]+1,5),NA())</f>
        <v>1.3804000000000001</v>
      </c>
      <c r="P116" cm="1" vm="1860">
        <f t="array" aca="1" ref="P116" ca="1">IFERROR(INDEX(_xlfn.ANCHORARRAY($C$3),T_CALC[[#This Row],[DAY]]+1,6),NA())</f>
        <v>1.3819999999999999</v>
      </c>
      <c r="Q116" cm="1">
        <f t="array" aca="1" ref="Q116" ca="1">IFERROR(INDEX(_xlfn.ANCHORARRAY($C$3),T_CALC[[#This Row],[DAY]]+1,2),NA())</f>
        <v>0</v>
      </c>
    </row>
    <row r="117" spans="3:17">
      <c r="C117" vm="1916">
        <f ca="1"/>
        <v>42915</v>
      </c>
      <c r="D117">
        <f ca="1"/>
        <v>0</v>
      </c>
      <c r="E117" vm="1917">
        <f ca="1"/>
        <v>1.3817999999999999</v>
      </c>
      <c r="F117" vm="1918">
        <f ca="1"/>
        <v>1.3824000000000001</v>
      </c>
      <c r="G117" vm="1857">
        <f ca="1"/>
        <v>1.3781000000000001</v>
      </c>
      <c r="H117" vm="1862">
        <f ca="1"/>
        <v>1.3791</v>
      </c>
      <c r="K117">
        <f ca="1">IF(ROW(T_CALC[[#This Row],[DAY]])-ROW(T_CALC[[#Headers],[DAY]])&gt;C_N_TRADING_DAYS,"",ROW(T_CALC[[#This Row],[DAY]])-ROW(T_CALC[[#Headers],[DAY]]))</f>
        <v>114</v>
      </c>
      <c r="L117" cm="1" vm="1916">
        <f t="array" aca="1" ref="L117" ca="1">IFERROR(INDEX(_xlfn.ANCHORARRAY($C$3),T_CALC[[#This Row],[DAY]]+1,1),NA())</f>
        <v>42915</v>
      </c>
      <c r="M117" cm="1" vm="1917">
        <f t="array" aca="1" ref="M117" ca="1">IFERROR(INDEX(_xlfn.ANCHORARRAY($C$3),T_CALC[[#This Row],[DAY]]+1,3),NA())</f>
        <v>1.3817999999999999</v>
      </c>
      <c r="N117" cm="1" vm="1918">
        <f t="array" aca="1" ref="N117" ca="1">IFERROR(INDEX(_xlfn.ANCHORARRAY($C$3),T_CALC[[#This Row],[DAY]]+1,4),NA())</f>
        <v>1.3824000000000001</v>
      </c>
      <c r="O117" cm="1" vm="1857">
        <f t="array" aca="1" ref="O117" ca="1">IFERROR(INDEX(_xlfn.ANCHORARRAY($C$3),T_CALC[[#This Row],[DAY]]+1,5),NA())</f>
        <v>1.3781000000000001</v>
      </c>
      <c r="P117" cm="1" vm="1862">
        <f t="array" aca="1" ref="P117" ca="1">IFERROR(INDEX(_xlfn.ANCHORARRAY($C$3),T_CALC[[#This Row],[DAY]]+1,6),NA())</f>
        <v>1.3791</v>
      </c>
      <c r="Q117" cm="1">
        <f t="array" aca="1" ref="Q117" ca="1">IFERROR(INDEX(_xlfn.ANCHORARRAY($C$3),T_CALC[[#This Row],[DAY]]+1,2),NA())</f>
        <v>0</v>
      </c>
    </row>
    <row r="118" spans="3:17">
      <c r="C118" vm="1919">
        <f ca="1"/>
        <v>42916</v>
      </c>
      <c r="D118">
        <f ca="1"/>
        <v>0</v>
      </c>
      <c r="E118" vm="1920">
        <f ca="1"/>
        <v>1.3785000000000001</v>
      </c>
      <c r="F118" vm="1921">
        <f ca="1"/>
        <v>1.3793</v>
      </c>
      <c r="G118" vm="1922">
        <f ca="1"/>
        <v>1.375</v>
      </c>
      <c r="H118" vm="1923">
        <f ca="1"/>
        <v>1.3759999999999999</v>
      </c>
      <c r="K118">
        <f ca="1">IF(ROW(T_CALC[[#This Row],[DAY]])-ROW(T_CALC[[#Headers],[DAY]])&gt;C_N_TRADING_DAYS,"",ROW(T_CALC[[#This Row],[DAY]])-ROW(T_CALC[[#Headers],[DAY]]))</f>
        <v>115</v>
      </c>
      <c r="L118" cm="1" vm="1919">
        <f t="array" aca="1" ref="L118" ca="1">IFERROR(INDEX(_xlfn.ANCHORARRAY($C$3),T_CALC[[#This Row],[DAY]]+1,1),NA())</f>
        <v>42916</v>
      </c>
      <c r="M118" cm="1" vm="1920">
        <f t="array" aca="1" ref="M118" ca="1">IFERROR(INDEX(_xlfn.ANCHORARRAY($C$3),T_CALC[[#This Row],[DAY]]+1,3),NA())</f>
        <v>1.3785000000000001</v>
      </c>
      <c r="N118" cm="1" vm="1921">
        <f t="array" aca="1" ref="N118" ca="1">IFERROR(INDEX(_xlfn.ANCHORARRAY($C$3),T_CALC[[#This Row],[DAY]]+1,4),NA())</f>
        <v>1.3793</v>
      </c>
      <c r="O118" cm="1" vm="1922">
        <f t="array" aca="1" ref="O118" ca="1">IFERROR(INDEX(_xlfn.ANCHORARRAY($C$3),T_CALC[[#This Row],[DAY]]+1,5),NA())</f>
        <v>1.375</v>
      </c>
      <c r="P118" cm="1" vm="1923">
        <f t="array" aca="1" ref="P118" ca="1">IFERROR(INDEX(_xlfn.ANCHORARRAY($C$3),T_CALC[[#This Row],[DAY]]+1,6),NA())</f>
        <v>1.3759999999999999</v>
      </c>
      <c r="Q118" cm="1">
        <f t="array" aca="1" ref="Q118" ca="1">IFERROR(INDEX(_xlfn.ANCHORARRAY($C$3),T_CALC[[#This Row],[DAY]]+1,2),NA())</f>
        <v>0</v>
      </c>
    </row>
    <row r="119" spans="3:17">
      <c r="C119" vm="1924">
        <f ca="1"/>
        <v>42919</v>
      </c>
      <c r="D119">
        <f ca="1"/>
        <v>0</v>
      </c>
      <c r="E119" vm="1925">
        <f ca="1"/>
        <v>1.3765000000000001</v>
      </c>
      <c r="F119" vm="1889">
        <f ca="1"/>
        <v>1.383</v>
      </c>
      <c r="G119" vm="1922">
        <f ca="1"/>
        <v>1.375</v>
      </c>
      <c r="H119" vm="1926">
        <f ca="1"/>
        <v>1.3825000000000001</v>
      </c>
      <c r="K119">
        <f ca="1">IF(ROW(T_CALC[[#This Row],[DAY]])-ROW(T_CALC[[#Headers],[DAY]])&gt;C_N_TRADING_DAYS,"",ROW(T_CALC[[#This Row],[DAY]])-ROW(T_CALC[[#Headers],[DAY]]))</f>
        <v>116</v>
      </c>
      <c r="L119" cm="1" vm="1924">
        <f t="array" aca="1" ref="L119" ca="1">IFERROR(INDEX(_xlfn.ANCHORARRAY($C$3),T_CALC[[#This Row],[DAY]]+1,1),NA())</f>
        <v>42919</v>
      </c>
      <c r="M119" cm="1" vm="1925">
        <f t="array" aca="1" ref="M119" ca="1">IFERROR(INDEX(_xlfn.ANCHORARRAY($C$3),T_CALC[[#This Row],[DAY]]+1,3),NA())</f>
        <v>1.3765000000000001</v>
      </c>
      <c r="N119" cm="1" vm="1889">
        <f t="array" aca="1" ref="N119" ca="1">IFERROR(INDEX(_xlfn.ANCHORARRAY($C$3),T_CALC[[#This Row],[DAY]]+1,4),NA())</f>
        <v>1.383</v>
      </c>
      <c r="O119" cm="1" vm="1922">
        <f t="array" aca="1" ref="O119" ca="1">IFERROR(INDEX(_xlfn.ANCHORARRAY($C$3),T_CALC[[#This Row],[DAY]]+1,5),NA())</f>
        <v>1.375</v>
      </c>
      <c r="P119" cm="1" vm="1926">
        <f t="array" aca="1" ref="P119" ca="1">IFERROR(INDEX(_xlfn.ANCHORARRAY($C$3),T_CALC[[#This Row],[DAY]]+1,6),NA())</f>
        <v>1.3825000000000001</v>
      </c>
      <c r="Q119" cm="1">
        <f t="array" aca="1" ref="Q119" ca="1">IFERROR(INDEX(_xlfn.ANCHORARRAY($C$3),T_CALC[[#This Row],[DAY]]+1,2),NA())</f>
        <v>0</v>
      </c>
    </row>
    <row r="120" spans="3:17">
      <c r="C120" vm="1927">
        <f ca="1"/>
        <v>42920</v>
      </c>
      <c r="D120">
        <f ca="1"/>
        <v>0</v>
      </c>
      <c r="E120" vm="1928">
        <f ca="1"/>
        <v>1.3823000000000001</v>
      </c>
      <c r="F120" vm="1842">
        <f ca="1"/>
        <v>1.3832</v>
      </c>
      <c r="G120" vm="1893">
        <f ca="1"/>
        <v>1.3803000000000001</v>
      </c>
      <c r="H120" vm="1926">
        <f ca="1"/>
        <v>1.3825000000000001</v>
      </c>
      <c r="K120">
        <f ca="1">IF(ROW(T_CALC[[#This Row],[DAY]])-ROW(T_CALC[[#Headers],[DAY]])&gt;C_N_TRADING_DAYS,"",ROW(T_CALC[[#This Row],[DAY]])-ROW(T_CALC[[#Headers],[DAY]]))</f>
        <v>117</v>
      </c>
      <c r="L120" cm="1" vm="1927">
        <f t="array" aca="1" ref="L120" ca="1">IFERROR(INDEX(_xlfn.ANCHORARRAY($C$3),T_CALC[[#This Row],[DAY]]+1,1),NA())</f>
        <v>42920</v>
      </c>
      <c r="M120" cm="1" vm="1928">
        <f t="array" aca="1" ref="M120" ca="1">IFERROR(INDEX(_xlfn.ANCHORARRAY($C$3),T_CALC[[#This Row],[DAY]]+1,3),NA())</f>
        <v>1.3823000000000001</v>
      </c>
      <c r="N120" cm="1" vm="1842">
        <f t="array" aca="1" ref="N120" ca="1">IFERROR(INDEX(_xlfn.ANCHORARRAY($C$3),T_CALC[[#This Row],[DAY]]+1,4),NA())</f>
        <v>1.3832</v>
      </c>
      <c r="O120" cm="1" vm="1893">
        <f t="array" aca="1" ref="O120" ca="1">IFERROR(INDEX(_xlfn.ANCHORARRAY($C$3),T_CALC[[#This Row],[DAY]]+1,5),NA())</f>
        <v>1.3803000000000001</v>
      </c>
      <c r="P120" cm="1" vm="1926">
        <f t="array" aca="1" ref="P120" ca="1">IFERROR(INDEX(_xlfn.ANCHORARRAY($C$3),T_CALC[[#This Row],[DAY]]+1,6),NA())</f>
        <v>1.3825000000000001</v>
      </c>
      <c r="Q120" cm="1">
        <f t="array" aca="1" ref="Q120" ca="1">IFERROR(INDEX(_xlfn.ANCHORARRAY($C$3),T_CALC[[#This Row],[DAY]]+1,2),NA())</f>
        <v>0</v>
      </c>
    </row>
    <row r="121" spans="3:17">
      <c r="C121" vm="1929">
        <f ca="1"/>
        <v>42921</v>
      </c>
      <c r="D121">
        <f ca="1"/>
        <v>0</v>
      </c>
      <c r="E121" vm="1865">
        <f ca="1"/>
        <v>1.3827</v>
      </c>
      <c r="F121" vm="1830">
        <f ca="1"/>
        <v>1.3839999999999999</v>
      </c>
      <c r="G121" vm="1930">
        <f ca="1"/>
        <v>1.3792</v>
      </c>
      <c r="H121" vm="1931">
        <f ca="1"/>
        <v>1.3805000000000001</v>
      </c>
      <c r="K121">
        <f ca="1">IF(ROW(T_CALC[[#This Row],[DAY]])-ROW(T_CALC[[#Headers],[DAY]])&gt;C_N_TRADING_DAYS,"",ROW(T_CALC[[#This Row],[DAY]])-ROW(T_CALC[[#Headers],[DAY]]))</f>
        <v>118</v>
      </c>
      <c r="L121" cm="1" vm="1929">
        <f t="array" aca="1" ref="L121" ca="1">IFERROR(INDEX(_xlfn.ANCHORARRAY($C$3),T_CALC[[#This Row],[DAY]]+1,1),NA())</f>
        <v>42921</v>
      </c>
      <c r="M121" cm="1" vm="1865">
        <f t="array" aca="1" ref="M121" ca="1">IFERROR(INDEX(_xlfn.ANCHORARRAY($C$3),T_CALC[[#This Row],[DAY]]+1,3),NA())</f>
        <v>1.3827</v>
      </c>
      <c r="N121" cm="1" vm="1830">
        <f t="array" aca="1" ref="N121" ca="1">IFERROR(INDEX(_xlfn.ANCHORARRAY($C$3),T_CALC[[#This Row],[DAY]]+1,4),NA())</f>
        <v>1.3839999999999999</v>
      </c>
      <c r="O121" cm="1" vm="1930">
        <f t="array" aca="1" ref="O121" ca="1">IFERROR(INDEX(_xlfn.ANCHORARRAY($C$3),T_CALC[[#This Row],[DAY]]+1,5),NA())</f>
        <v>1.3792</v>
      </c>
      <c r="P121" cm="1" vm="1931">
        <f t="array" aca="1" ref="P121" ca="1">IFERROR(INDEX(_xlfn.ANCHORARRAY($C$3),T_CALC[[#This Row],[DAY]]+1,6),NA())</f>
        <v>1.3805000000000001</v>
      </c>
      <c r="Q121" cm="1">
        <f t="array" aca="1" ref="Q121" ca="1">IFERROR(INDEX(_xlfn.ANCHORARRAY($C$3),T_CALC[[#This Row],[DAY]]+1,2),NA())</f>
        <v>0</v>
      </c>
    </row>
    <row r="122" spans="3:17">
      <c r="C122" vm="1932">
        <f ca="1"/>
        <v>42922</v>
      </c>
      <c r="D122">
        <f ca="1"/>
        <v>0</v>
      </c>
      <c r="E122" vm="1933">
        <f ca="1"/>
        <v>1.3806</v>
      </c>
      <c r="F122" vm="1845">
        <f ca="1"/>
        <v>1.3838999999999999</v>
      </c>
      <c r="G122" vm="1862">
        <f ca="1"/>
        <v>1.3791</v>
      </c>
      <c r="H122" vm="1860">
        <f ca="1"/>
        <v>1.3819999999999999</v>
      </c>
      <c r="K122">
        <f ca="1">IF(ROW(T_CALC[[#This Row],[DAY]])-ROW(T_CALC[[#Headers],[DAY]])&gt;C_N_TRADING_DAYS,"",ROW(T_CALC[[#This Row],[DAY]])-ROW(T_CALC[[#Headers],[DAY]]))</f>
        <v>119</v>
      </c>
      <c r="L122" cm="1" vm="1932">
        <f t="array" aca="1" ref="L122" ca="1">IFERROR(INDEX(_xlfn.ANCHORARRAY($C$3),T_CALC[[#This Row],[DAY]]+1,1),NA())</f>
        <v>42922</v>
      </c>
      <c r="M122" cm="1" vm="1933">
        <f t="array" aca="1" ref="M122" ca="1">IFERROR(INDEX(_xlfn.ANCHORARRAY($C$3),T_CALC[[#This Row],[DAY]]+1,3),NA())</f>
        <v>1.3806</v>
      </c>
      <c r="N122" cm="1" vm="1845">
        <f t="array" aca="1" ref="N122" ca="1">IFERROR(INDEX(_xlfn.ANCHORARRAY($C$3),T_CALC[[#This Row],[DAY]]+1,4),NA())</f>
        <v>1.3838999999999999</v>
      </c>
      <c r="O122" cm="1" vm="1862">
        <f t="array" aca="1" ref="O122" ca="1">IFERROR(INDEX(_xlfn.ANCHORARRAY($C$3),T_CALC[[#This Row],[DAY]]+1,5),NA())</f>
        <v>1.3791</v>
      </c>
      <c r="P122" cm="1" vm="1860">
        <f t="array" aca="1" ref="P122" ca="1">IFERROR(INDEX(_xlfn.ANCHORARRAY($C$3),T_CALC[[#This Row],[DAY]]+1,6),NA())</f>
        <v>1.3819999999999999</v>
      </c>
      <c r="Q122" cm="1">
        <f t="array" aca="1" ref="Q122" ca="1">IFERROR(INDEX(_xlfn.ANCHORARRAY($C$3),T_CALC[[#This Row],[DAY]]+1,2),NA())</f>
        <v>0</v>
      </c>
    </row>
    <row r="123" spans="3:17">
      <c r="C123" vm="1934">
        <f ca="1"/>
        <v>42923</v>
      </c>
      <c r="D123">
        <f ca="1"/>
        <v>0</v>
      </c>
      <c r="E123" vm="1867">
        <f ca="1"/>
        <v>1.3818999999999999</v>
      </c>
      <c r="F123" vm="1876">
        <f ca="1"/>
        <v>1.3835999999999999</v>
      </c>
      <c r="G123" vm="1935">
        <f ca="1"/>
        <v>1.3786</v>
      </c>
      <c r="H123" vm="1936">
        <f ca="1"/>
        <v>1.3815999999999999</v>
      </c>
      <c r="K123">
        <f ca="1">IF(ROW(T_CALC[[#This Row],[DAY]])-ROW(T_CALC[[#Headers],[DAY]])&gt;C_N_TRADING_DAYS,"",ROW(T_CALC[[#This Row],[DAY]])-ROW(T_CALC[[#Headers],[DAY]]))</f>
        <v>120</v>
      </c>
      <c r="L123" cm="1" vm="1934">
        <f t="array" aca="1" ref="L123" ca="1">IFERROR(INDEX(_xlfn.ANCHORARRAY($C$3),T_CALC[[#This Row],[DAY]]+1,1),NA())</f>
        <v>42923</v>
      </c>
      <c r="M123" cm="1" vm="1867">
        <f t="array" aca="1" ref="M123" ca="1">IFERROR(INDEX(_xlfn.ANCHORARRAY($C$3),T_CALC[[#This Row],[DAY]]+1,3),NA())</f>
        <v>1.3818999999999999</v>
      </c>
      <c r="N123" cm="1" vm="1876">
        <f t="array" aca="1" ref="N123" ca="1">IFERROR(INDEX(_xlfn.ANCHORARRAY($C$3),T_CALC[[#This Row],[DAY]]+1,4),NA())</f>
        <v>1.3835999999999999</v>
      </c>
      <c r="O123" cm="1" vm="1935">
        <f t="array" aca="1" ref="O123" ca="1">IFERROR(INDEX(_xlfn.ANCHORARRAY($C$3),T_CALC[[#This Row],[DAY]]+1,5),NA())</f>
        <v>1.3786</v>
      </c>
      <c r="P123" cm="1" vm="1936">
        <f t="array" aca="1" ref="P123" ca="1">IFERROR(INDEX(_xlfn.ANCHORARRAY($C$3),T_CALC[[#This Row],[DAY]]+1,6),NA())</f>
        <v>1.3815999999999999</v>
      </c>
      <c r="Q123" cm="1">
        <f t="array" aca="1" ref="Q123" ca="1">IFERROR(INDEX(_xlfn.ANCHORARRAY($C$3),T_CALC[[#This Row],[DAY]]+1,2),NA())</f>
        <v>0</v>
      </c>
    </row>
    <row r="124" spans="3:17">
      <c r="C124" vm="1937">
        <f ca="1"/>
        <v>42926</v>
      </c>
      <c r="D124">
        <f ca="1"/>
        <v>0</v>
      </c>
      <c r="E124" vm="1867">
        <f ca="1"/>
        <v>1.3818999999999999</v>
      </c>
      <c r="F124" vm="1822">
        <f ca="1"/>
        <v>1.3863000000000001</v>
      </c>
      <c r="G124" vm="1878">
        <f ca="1"/>
        <v>1.3807</v>
      </c>
      <c r="H124" vm="1819">
        <f ca="1"/>
        <v>1.3845000000000001</v>
      </c>
      <c r="K124">
        <f ca="1">IF(ROW(T_CALC[[#This Row],[DAY]])-ROW(T_CALC[[#Headers],[DAY]])&gt;C_N_TRADING_DAYS,"",ROW(T_CALC[[#This Row],[DAY]])-ROW(T_CALC[[#Headers],[DAY]]))</f>
        <v>121</v>
      </c>
      <c r="L124" cm="1" vm="1937">
        <f t="array" aca="1" ref="L124" ca="1">IFERROR(INDEX(_xlfn.ANCHORARRAY($C$3),T_CALC[[#This Row],[DAY]]+1,1),NA())</f>
        <v>42926</v>
      </c>
      <c r="M124" cm="1" vm="1867">
        <f t="array" aca="1" ref="M124" ca="1">IFERROR(INDEX(_xlfn.ANCHORARRAY($C$3),T_CALC[[#This Row],[DAY]]+1,3),NA())</f>
        <v>1.3818999999999999</v>
      </c>
      <c r="N124" cm="1" vm="1822">
        <f t="array" aca="1" ref="N124" ca="1">IFERROR(INDEX(_xlfn.ANCHORARRAY($C$3),T_CALC[[#This Row],[DAY]]+1,4),NA())</f>
        <v>1.3863000000000001</v>
      </c>
      <c r="O124" cm="1" vm="1878">
        <f t="array" aca="1" ref="O124" ca="1">IFERROR(INDEX(_xlfn.ANCHORARRAY($C$3),T_CALC[[#This Row],[DAY]]+1,5),NA())</f>
        <v>1.3807</v>
      </c>
      <c r="P124" cm="1" vm="1819">
        <f t="array" aca="1" ref="P124" ca="1">IFERROR(INDEX(_xlfn.ANCHORARRAY($C$3),T_CALC[[#This Row],[DAY]]+1,6),NA())</f>
        <v>1.3845000000000001</v>
      </c>
      <c r="Q124" cm="1">
        <f t="array" aca="1" ref="Q124" ca="1">IFERROR(INDEX(_xlfn.ANCHORARRAY($C$3),T_CALC[[#This Row],[DAY]]+1,2),NA())</f>
        <v>0</v>
      </c>
    </row>
    <row r="125" spans="3:17">
      <c r="C125" vm="1938">
        <f ca="1"/>
        <v>42927</v>
      </c>
      <c r="D125">
        <f ca="1"/>
        <v>0</v>
      </c>
      <c r="E125" vm="1939">
        <f ca="1"/>
        <v>1.3841000000000001</v>
      </c>
      <c r="F125" vm="1940">
        <f ca="1"/>
        <v>1.3855</v>
      </c>
      <c r="G125" vm="1941">
        <f ca="1"/>
        <v>1.3808</v>
      </c>
      <c r="H125" vm="1832">
        <f ca="1"/>
        <v>1.3816999999999999</v>
      </c>
      <c r="K125">
        <f ca="1">IF(ROW(T_CALC[[#This Row],[DAY]])-ROW(T_CALC[[#Headers],[DAY]])&gt;C_N_TRADING_DAYS,"",ROW(T_CALC[[#This Row],[DAY]])-ROW(T_CALC[[#Headers],[DAY]]))</f>
        <v>122</v>
      </c>
      <c r="L125" cm="1" vm="1938">
        <f t="array" aca="1" ref="L125" ca="1">IFERROR(INDEX(_xlfn.ANCHORARRAY($C$3),T_CALC[[#This Row],[DAY]]+1,1),NA())</f>
        <v>42927</v>
      </c>
      <c r="M125" cm="1" vm="1939">
        <f t="array" aca="1" ref="M125" ca="1">IFERROR(INDEX(_xlfn.ANCHORARRAY($C$3),T_CALC[[#This Row],[DAY]]+1,3),NA())</f>
        <v>1.3841000000000001</v>
      </c>
      <c r="N125" cm="1" vm="1940">
        <f t="array" aca="1" ref="N125" ca="1">IFERROR(INDEX(_xlfn.ANCHORARRAY($C$3),T_CALC[[#This Row],[DAY]]+1,4),NA())</f>
        <v>1.3855</v>
      </c>
      <c r="O125" cm="1" vm="1941">
        <f t="array" aca="1" ref="O125" ca="1">IFERROR(INDEX(_xlfn.ANCHORARRAY($C$3),T_CALC[[#This Row],[DAY]]+1,5),NA())</f>
        <v>1.3808</v>
      </c>
      <c r="P125" cm="1" vm="1832">
        <f t="array" aca="1" ref="P125" ca="1">IFERROR(INDEX(_xlfn.ANCHORARRAY($C$3),T_CALC[[#This Row],[DAY]]+1,6),NA())</f>
        <v>1.3816999999999999</v>
      </c>
      <c r="Q125" cm="1">
        <f t="array" aca="1" ref="Q125" ca="1">IFERROR(INDEX(_xlfn.ANCHORARRAY($C$3),T_CALC[[#This Row],[DAY]]+1,2),NA())</f>
        <v>0</v>
      </c>
    </row>
    <row r="126" spans="3:17">
      <c r="C126" vm="1942">
        <f ca="1"/>
        <v>42928</v>
      </c>
      <c r="D126">
        <f ca="1"/>
        <v>0</v>
      </c>
      <c r="E126" vm="1832">
        <f ca="1"/>
        <v>1.3816999999999999</v>
      </c>
      <c r="F126" vm="1860">
        <f ca="1"/>
        <v>1.3819999999999999</v>
      </c>
      <c r="G126" vm="1943">
        <f ca="1"/>
        <v>1.3762000000000001</v>
      </c>
      <c r="H126" vm="1944">
        <f ca="1"/>
        <v>1.3773</v>
      </c>
      <c r="K126">
        <f ca="1">IF(ROW(T_CALC[[#This Row],[DAY]])-ROW(T_CALC[[#Headers],[DAY]])&gt;C_N_TRADING_DAYS,"",ROW(T_CALC[[#This Row],[DAY]])-ROW(T_CALC[[#Headers],[DAY]]))</f>
        <v>123</v>
      </c>
      <c r="L126" cm="1" vm="1942">
        <f t="array" aca="1" ref="L126" ca="1">IFERROR(INDEX(_xlfn.ANCHORARRAY($C$3),T_CALC[[#This Row],[DAY]]+1,1),NA())</f>
        <v>42928</v>
      </c>
      <c r="M126" cm="1" vm="1832">
        <f t="array" aca="1" ref="M126" ca="1">IFERROR(INDEX(_xlfn.ANCHORARRAY($C$3),T_CALC[[#This Row],[DAY]]+1,3),NA())</f>
        <v>1.3816999999999999</v>
      </c>
      <c r="N126" cm="1" vm="1860">
        <f t="array" aca="1" ref="N126" ca="1">IFERROR(INDEX(_xlfn.ANCHORARRAY($C$3),T_CALC[[#This Row],[DAY]]+1,4),NA())</f>
        <v>1.3819999999999999</v>
      </c>
      <c r="O126" cm="1" vm="1943">
        <f t="array" aca="1" ref="O126" ca="1">IFERROR(INDEX(_xlfn.ANCHORARRAY($C$3),T_CALC[[#This Row],[DAY]]+1,5),NA())</f>
        <v>1.3762000000000001</v>
      </c>
      <c r="P126" cm="1" vm="1944">
        <f t="array" aca="1" ref="P126" ca="1">IFERROR(INDEX(_xlfn.ANCHORARRAY($C$3),T_CALC[[#This Row],[DAY]]+1,6),NA())</f>
        <v>1.3773</v>
      </c>
      <c r="Q126" cm="1">
        <f t="array" aca="1" ref="Q126" ca="1">IFERROR(INDEX(_xlfn.ANCHORARRAY($C$3),T_CALC[[#This Row],[DAY]]+1,2),NA())</f>
        <v>0</v>
      </c>
    </row>
    <row r="127" spans="3:17">
      <c r="C127" vm="1945">
        <f ca="1"/>
        <v>42929</v>
      </c>
      <c r="D127">
        <f ca="1"/>
        <v>0</v>
      </c>
      <c r="E127" vm="1944">
        <f ca="1"/>
        <v>1.3773</v>
      </c>
      <c r="F127" vm="1946">
        <f ca="1"/>
        <v>1.3787</v>
      </c>
      <c r="G127" vm="1947">
        <f ca="1"/>
        <v>1.3733</v>
      </c>
      <c r="H127" vm="1948">
        <f ca="1"/>
        <v>1.3735999999999999</v>
      </c>
      <c r="K127">
        <f ca="1">IF(ROW(T_CALC[[#This Row],[DAY]])-ROW(T_CALC[[#Headers],[DAY]])&gt;C_N_TRADING_DAYS,"",ROW(T_CALC[[#This Row],[DAY]])-ROW(T_CALC[[#Headers],[DAY]]))</f>
        <v>124</v>
      </c>
      <c r="L127" cm="1" vm="1945">
        <f t="array" aca="1" ref="L127" ca="1">IFERROR(INDEX(_xlfn.ANCHORARRAY($C$3),T_CALC[[#This Row],[DAY]]+1,1),NA())</f>
        <v>42929</v>
      </c>
      <c r="M127" cm="1" vm="1944">
        <f t="array" aca="1" ref="M127" ca="1">IFERROR(INDEX(_xlfn.ANCHORARRAY($C$3),T_CALC[[#This Row],[DAY]]+1,3),NA())</f>
        <v>1.3773</v>
      </c>
      <c r="N127" cm="1" vm="1946">
        <f t="array" aca="1" ref="N127" ca="1">IFERROR(INDEX(_xlfn.ANCHORARRAY($C$3),T_CALC[[#This Row],[DAY]]+1,4),NA())</f>
        <v>1.3787</v>
      </c>
      <c r="O127" cm="1" vm="1947">
        <f t="array" aca="1" ref="O127" ca="1">IFERROR(INDEX(_xlfn.ANCHORARRAY($C$3),T_CALC[[#This Row],[DAY]]+1,5),NA())</f>
        <v>1.3733</v>
      </c>
      <c r="P127" cm="1" vm="1948">
        <f t="array" aca="1" ref="P127" ca="1">IFERROR(INDEX(_xlfn.ANCHORARRAY($C$3),T_CALC[[#This Row],[DAY]]+1,6),NA())</f>
        <v>1.3735999999999999</v>
      </c>
      <c r="Q127" cm="1">
        <f t="array" aca="1" ref="Q127" ca="1">IFERROR(INDEX(_xlfn.ANCHORARRAY($C$3),T_CALC[[#This Row],[DAY]]+1,2),NA())</f>
        <v>0</v>
      </c>
    </row>
    <row r="128" spans="3:17">
      <c r="C128" vm="1949">
        <f ca="1"/>
        <v>42930</v>
      </c>
      <c r="D128">
        <f ca="1"/>
        <v>0</v>
      </c>
      <c r="E128" vm="1950">
        <f ca="1"/>
        <v>1.3737999999999999</v>
      </c>
      <c r="F128" vm="1951">
        <f ca="1"/>
        <v>1.3768</v>
      </c>
      <c r="G128" vm="1952">
        <f ca="1"/>
        <v>1.3688</v>
      </c>
      <c r="H128" vm="1953">
        <f ca="1"/>
        <v>1.3711</v>
      </c>
      <c r="K128">
        <f ca="1">IF(ROW(T_CALC[[#This Row],[DAY]])-ROW(T_CALC[[#Headers],[DAY]])&gt;C_N_TRADING_DAYS,"",ROW(T_CALC[[#This Row],[DAY]])-ROW(T_CALC[[#Headers],[DAY]]))</f>
        <v>125</v>
      </c>
      <c r="L128" cm="1" vm="1949">
        <f t="array" aca="1" ref="L128" ca="1">IFERROR(INDEX(_xlfn.ANCHORARRAY($C$3),T_CALC[[#This Row],[DAY]]+1,1),NA())</f>
        <v>42930</v>
      </c>
      <c r="M128" cm="1" vm="1950">
        <f t="array" aca="1" ref="M128" ca="1">IFERROR(INDEX(_xlfn.ANCHORARRAY($C$3),T_CALC[[#This Row],[DAY]]+1,3),NA())</f>
        <v>1.3737999999999999</v>
      </c>
      <c r="N128" cm="1" vm="1951">
        <f t="array" aca="1" ref="N128" ca="1">IFERROR(INDEX(_xlfn.ANCHORARRAY($C$3),T_CALC[[#This Row],[DAY]]+1,4),NA())</f>
        <v>1.3768</v>
      </c>
      <c r="O128" cm="1" vm="1952">
        <f t="array" aca="1" ref="O128" ca="1">IFERROR(INDEX(_xlfn.ANCHORARRAY($C$3),T_CALC[[#This Row],[DAY]]+1,5),NA())</f>
        <v>1.3688</v>
      </c>
      <c r="P128" cm="1" vm="1953">
        <f t="array" aca="1" ref="P128" ca="1">IFERROR(INDEX(_xlfn.ANCHORARRAY($C$3),T_CALC[[#This Row],[DAY]]+1,6),NA())</f>
        <v>1.3711</v>
      </c>
      <c r="Q128" cm="1">
        <f t="array" aca="1" ref="Q128" ca="1">IFERROR(INDEX(_xlfn.ANCHORARRAY($C$3),T_CALC[[#This Row],[DAY]]+1,2),NA())</f>
        <v>0</v>
      </c>
    </row>
    <row r="129" spans="3:17">
      <c r="C129" vm="1954">
        <f ca="1"/>
        <v>42933</v>
      </c>
      <c r="D129">
        <f ca="1"/>
        <v>0</v>
      </c>
      <c r="E129" vm="1955">
        <f ca="1"/>
        <v>1.3708</v>
      </c>
      <c r="F129" vm="1956">
        <f ca="1"/>
        <v>1.3720000000000001</v>
      </c>
      <c r="G129" vm="1957">
        <f ca="1"/>
        <v>1.3663000000000001</v>
      </c>
      <c r="H129" vm="1958">
        <f ca="1"/>
        <v>1.369</v>
      </c>
      <c r="K129">
        <f ca="1">IF(ROW(T_CALC[[#This Row],[DAY]])-ROW(T_CALC[[#Headers],[DAY]])&gt;C_N_TRADING_DAYS,"",ROW(T_CALC[[#This Row],[DAY]])-ROW(T_CALC[[#Headers],[DAY]]))</f>
        <v>126</v>
      </c>
      <c r="L129" cm="1" vm="1954">
        <f t="array" aca="1" ref="L129" ca="1">IFERROR(INDEX(_xlfn.ANCHORARRAY($C$3),T_CALC[[#This Row],[DAY]]+1,1),NA())</f>
        <v>42933</v>
      </c>
      <c r="M129" cm="1" vm="1955">
        <f t="array" aca="1" ref="M129" ca="1">IFERROR(INDEX(_xlfn.ANCHORARRAY($C$3),T_CALC[[#This Row],[DAY]]+1,3),NA())</f>
        <v>1.3708</v>
      </c>
      <c r="N129" cm="1" vm="1956">
        <f t="array" aca="1" ref="N129" ca="1">IFERROR(INDEX(_xlfn.ANCHORARRAY($C$3),T_CALC[[#This Row],[DAY]]+1,4),NA())</f>
        <v>1.3720000000000001</v>
      </c>
      <c r="O129" cm="1" vm="1957">
        <f t="array" aca="1" ref="O129" ca="1">IFERROR(INDEX(_xlfn.ANCHORARRAY($C$3),T_CALC[[#This Row],[DAY]]+1,5),NA())</f>
        <v>1.3663000000000001</v>
      </c>
      <c r="P129" cm="1" vm="1958">
        <f t="array" aca="1" ref="P129" ca="1">IFERROR(INDEX(_xlfn.ANCHORARRAY($C$3),T_CALC[[#This Row],[DAY]]+1,6),NA())</f>
        <v>1.369</v>
      </c>
      <c r="Q129" cm="1">
        <f t="array" aca="1" ref="Q129" ca="1">IFERROR(INDEX(_xlfn.ANCHORARRAY($C$3),T_CALC[[#This Row],[DAY]]+1,2),NA())</f>
        <v>0</v>
      </c>
    </row>
    <row r="130" spans="3:17">
      <c r="C130" vm="1959">
        <f ca="1"/>
        <v>42934</v>
      </c>
      <c r="D130">
        <f ca="1"/>
        <v>0</v>
      </c>
      <c r="E130" vm="1952">
        <f ca="1"/>
        <v>1.3688</v>
      </c>
      <c r="F130" vm="1960">
        <f ca="1"/>
        <v>1.3706</v>
      </c>
      <c r="G130" vm="1961">
        <f ca="1"/>
        <v>1.3648</v>
      </c>
      <c r="H130" vm="1962">
        <f ca="1"/>
        <v>1.3662000000000001</v>
      </c>
      <c r="K130">
        <f ca="1">IF(ROW(T_CALC[[#This Row],[DAY]])-ROW(T_CALC[[#Headers],[DAY]])&gt;C_N_TRADING_DAYS,"",ROW(T_CALC[[#This Row],[DAY]])-ROW(T_CALC[[#Headers],[DAY]]))</f>
        <v>127</v>
      </c>
      <c r="L130" cm="1" vm="1959">
        <f t="array" aca="1" ref="L130" ca="1">IFERROR(INDEX(_xlfn.ANCHORARRAY($C$3),T_CALC[[#This Row],[DAY]]+1,1),NA())</f>
        <v>42934</v>
      </c>
      <c r="M130" cm="1" vm="1952">
        <f t="array" aca="1" ref="M130" ca="1">IFERROR(INDEX(_xlfn.ANCHORARRAY($C$3),T_CALC[[#This Row],[DAY]]+1,3),NA())</f>
        <v>1.3688</v>
      </c>
      <c r="N130" cm="1" vm="1960">
        <f t="array" aca="1" ref="N130" ca="1">IFERROR(INDEX(_xlfn.ANCHORARRAY($C$3),T_CALC[[#This Row],[DAY]]+1,4),NA())</f>
        <v>1.3706</v>
      </c>
      <c r="O130" cm="1" vm="1961">
        <f t="array" aca="1" ref="O130" ca="1">IFERROR(INDEX(_xlfn.ANCHORARRAY($C$3),T_CALC[[#This Row],[DAY]]+1,5),NA())</f>
        <v>1.3648</v>
      </c>
      <c r="P130" cm="1" vm="1962">
        <f t="array" aca="1" ref="P130" ca="1">IFERROR(INDEX(_xlfn.ANCHORARRAY($C$3),T_CALC[[#This Row],[DAY]]+1,6),NA())</f>
        <v>1.3662000000000001</v>
      </c>
      <c r="Q130" cm="1">
        <f t="array" aca="1" ref="Q130" ca="1">IFERROR(INDEX(_xlfn.ANCHORARRAY($C$3),T_CALC[[#This Row],[DAY]]+1,2),NA())</f>
        <v>0</v>
      </c>
    </row>
    <row r="131" spans="3:17">
      <c r="C131" vm="1963">
        <f ca="1"/>
        <v>42935</v>
      </c>
      <c r="D131">
        <f ca="1"/>
        <v>0</v>
      </c>
      <c r="E131" vm="1964">
        <f ca="1"/>
        <v>1.3661000000000001</v>
      </c>
      <c r="F131" vm="1965">
        <f ca="1"/>
        <v>1.3698999999999999</v>
      </c>
      <c r="G131" vm="1961">
        <f ca="1"/>
        <v>1.3648</v>
      </c>
      <c r="H131" vm="1966">
        <f ca="1"/>
        <v>1.3676999999999999</v>
      </c>
      <c r="K131">
        <f ca="1">IF(ROW(T_CALC[[#This Row],[DAY]])-ROW(T_CALC[[#Headers],[DAY]])&gt;C_N_TRADING_DAYS,"",ROW(T_CALC[[#This Row],[DAY]])-ROW(T_CALC[[#Headers],[DAY]]))</f>
        <v>128</v>
      </c>
      <c r="L131" cm="1" vm="1963">
        <f t="array" aca="1" ref="L131" ca="1">IFERROR(INDEX(_xlfn.ANCHORARRAY($C$3),T_CALC[[#This Row],[DAY]]+1,1),NA())</f>
        <v>42935</v>
      </c>
      <c r="M131" cm="1" vm="1964">
        <f t="array" aca="1" ref="M131" ca="1">IFERROR(INDEX(_xlfn.ANCHORARRAY($C$3),T_CALC[[#This Row],[DAY]]+1,3),NA())</f>
        <v>1.3661000000000001</v>
      </c>
      <c r="N131" cm="1" vm="1965">
        <f t="array" aca="1" ref="N131" ca="1">IFERROR(INDEX(_xlfn.ANCHORARRAY($C$3),T_CALC[[#This Row],[DAY]]+1,4),NA())</f>
        <v>1.3698999999999999</v>
      </c>
      <c r="O131" cm="1" vm="1961">
        <f t="array" aca="1" ref="O131" ca="1">IFERROR(INDEX(_xlfn.ANCHORARRAY($C$3),T_CALC[[#This Row],[DAY]]+1,5),NA())</f>
        <v>1.3648</v>
      </c>
      <c r="P131" cm="1" vm="1966">
        <f t="array" aca="1" ref="P131" ca="1">IFERROR(INDEX(_xlfn.ANCHORARRAY($C$3),T_CALC[[#This Row],[DAY]]+1,6),NA())</f>
        <v>1.3676999999999999</v>
      </c>
      <c r="Q131" cm="1">
        <f t="array" aca="1" ref="Q131" ca="1">IFERROR(INDEX(_xlfn.ANCHORARRAY($C$3),T_CALC[[#This Row],[DAY]]+1,2),NA())</f>
        <v>0</v>
      </c>
    </row>
    <row r="132" spans="3:17">
      <c r="C132" vm="1967">
        <f ca="1"/>
        <v>42936</v>
      </c>
      <c r="D132">
        <f ca="1"/>
        <v>0</v>
      </c>
      <c r="E132" vm="1968">
        <f ca="1"/>
        <v>1.3681000000000001</v>
      </c>
      <c r="F132" vm="1969">
        <f ca="1"/>
        <v>1.3709</v>
      </c>
      <c r="G132" vm="1970">
        <f ca="1"/>
        <v>1.3643000000000001</v>
      </c>
      <c r="H132" vm="1962">
        <f ca="1"/>
        <v>1.3662000000000001</v>
      </c>
      <c r="K132">
        <f ca="1">IF(ROW(T_CALC[[#This Row],[DAY]])-ROW(T_CALC[[#Headers],[DAY]])&gt;C_N_TRADING_DAYS,"",ROW(T_CALC[[#This Row],[DAY]])-ROW(T_CALC[[#Headers],[DAY]]))</f>
        <v>129</v>
      </c>
      <c r="L132" cm="1" vm="1967">
        <f t="array" aca="1" ref="L132" ca="1">IFERROR(INDEX(_xlfn.ANCHORARRAY($C$3),T_CALC[[#This Row],[DAY]]+1,1),NA())</f>
        <v>42936</v>
      </c>
      <c r="M132" cm="1" vm="1968">
        <f t="array" aca="1" ref="M132" ca="1">IFERROR(INDEX(_xlfn.ANCHORARRAY($C$3),T_CALC[[#This Row],[DAY]]+1,3),NA())</f>
        <v>1.3681000000000001</v>
      </c>
      <c r="N132" cm="1" vm="1969">
        <f t="array" aca="1" ref="N132" ca="1">IFERROR(INDEX(_xlfn.ANCHORARRAY($C$3),T_CALC[[#This Row],[DAY]]+1,4),NA())</f>
        <v>1.3709</v>
      </c>
      <c r="O132" cm="1" vm="1970">
        <f t="array" aca="1" ref="O132" ca="1">IFERROR(INDEX(_xlfn.ANCHORARRAY($C$3),T_CALC[[#This Row],[DAY]]+1,5),NA())</f>
        <v>1.3643000000000001</v>
      </c>
      <c r="P132" cm="1" vm="1962">
        <f t="array" aca="1" ref="P132" ca="1">IFERROR(INDEX(_xlfn.ANCHORARRAY($C$3),T_CALC[[#This Row],[DAY]]+1,6),NA())</f>
        <v>1.3662000000000001</v>
      </c>
      <c r="Q132" cm="1">
        <f t="array" aca="1" ref="Q132" ca="1">IFERROR(INDEX(_xlfn.ANCHORARRAY($C$3),T_CALC[[#This Row],[DAY]]+1,2),NA())</f>
        <v>0</v>
      </c>
    </row>
    <row r="133" spans="3:17">
      <c r="C133" vm="1971">
        <f ca="1"/>
        <v>42937</v>
      </c>
      <c r="D133">
        <f ca="1"/>
        <v>0</v>
      </c>
      <c r="E133" vm="1972">
        <f ca="1"/>
        <v>1.3655999999999999</v>
      </c>
      <c r="F133" vm="1973">
        <f ca="1"/>
        <v>1.3674999999999999</v>
      </c>
      <c r="G133" vm="1974">
        <f ca="1"/>
        <v>1.3608</v>
      </c>
      <c r="H133" vm="1975">
        <f ca="1"/>
        <v>1.3621000000000001</v>
      </c>
      <c r="K133">
        <f ca="1">IF(ROW(T_CALC[[#This Row],[DAY]])-ROW(T_CALC[[#Headers],[DAY]])&gt;C_N_TRADING_DAYS,"",ROW(T_CALC[[#This Row],[DAY]])-ROW(T_CALC[[#Headers],[DAY]]))</f>
        <v>130</v>
      </c>
      <c r="L133" cm="1" vm="1971">
        <f t="array" aca="1" ref="L133" ca="1">IFERROR(INDEX(_xlfn.ANCHORARRAY($C$3),T_CALC[[#This Row],[DAY]]+1,1),NA())</f>
        <v>42937</v>
      </c>
      <c r="M133" cm="1" vm="1972">
        <f t="array" aca="1" ref="M133" ca="1">IFERROR(INDEX(_xlfn.ANCHORARRAY($C$3),T_CALC[[#This Row],[DAY]]+1,3),NA())</f>
        <v>1.3655999999999999</v>
      </c>
      <c r="N133" cm="1" vm="1973">
        <f t="array" aca="1" ref="N133" ca="1">IFERROR(INDEX(_xlfn.ANCHORARRAY($C$3),T_CALC[[#This Row],[DAY]]+1,4),NA())</f>
        <v>1.3674999999999999</v>
      </c>
      <c r="O133" cm="1" vm="1974">
        <f t="array" aca="1" ref="O133" ca="1">IFERROR(INDEX(_xlfn.ANCHORARRAY($C$3),T_CALC[[#This Row],[DAY]]+1,5),NA())</f>
        <v>1.3608</v>
      </c>
      <c r="P133" cm="1" vm="1975">
        <f t="array" aca="1" ref="P133" ca="1">IFERROR(INDEX(_xlfn.ANCHORARRAY($C$3),T_CALC[[#This Row],[DAY]]+1,6),NA())</f>
        <v>1.3621000000000001</v>
      </c>
      <c r="Q133" cm="1">
        <f t="array" aca="1" ref="Q133" ca="1">IFERROR(INDEX(_xlfn.ANCHORARRAY($C$3),T_CALC[[#This Row],[DAY]]+1,2),NA())</f>
        <v>0</v>
      </c>
    </row>
    <row r="134" spans="3:17">
      <c r="C134" vm="1976">
        <f ca="1"/>
        <v>42940</v>
      </c>
      <c r="D134">
        <f ca="1"/>
        <v>0</v>
      </c>
      <c r="E134" vm="1977">
        <f ca="1"/>
        <v>1.3633999999999999</v>
      </c>
      <c r="F134" vm="1978">
        <f ca="1"/>
        <v>1.3634999999999999</v>
      </c>
      <c r="G134" vm="1979">
        <f ca="1"/>
        <v>1.3592</v>
      </c>
      <c r="H134" vm="1980">
        <f ca="1"/>
        <v>1.3617999999999999</v>
      </c>
      <c r="K134">
        <f ca="1">IF(ROW(T_CALC[[#This Row],[DAY]])-ROW(T_CALC[[#Headers],[DAY]])&gt;C_N_TRADING_DAYS,"",ROW(T_CALC[[#This Row],[DAY]])-ROW(T_CALC[[#Headers],[DAY]]))</f>
        <v>131</v>
      </c>
      <c r="L134" cm="1" vm="1976">
        <f t="array" aca="1" ref="L134" ca="1">IFERROR(INDEX(_xlfn.ANCHORARRAY($C$3),T_CALC[[#This Row],[DAY]]+1,1),NA())</f>
        <v>42940</v>
      </c>
      <c r="M134" cm="1" vm="1977">
        <f t="array" aca="1" ref="M134" ca="1">IFERROR(INDEX(_xlfn.ANCHORARRAY($C$3),T_CALC[[#This Row],[DAY]]+1,3),NA())</f>
        <v>1.3633999999999999</v>
      </c>
      <c r="N134" cm="1" vm="1978">
        <f t="array" aca="1" ref="N134" ca="1">IFERROR(INDEX(_xlfn.ANCHORARRAY($C$3),T_CALC[[#This Row],[DAY]]+1,4),NA())</f>
        <v>1.3634999999999999</v>
      </c>
      <c r="O134" cm="1" vm="1979">
        <f t="array" aca="1" ref="O134" ca="1">IFERROR(INDEX(_xlfn.ANCHORARRAY($C$3),T_CALC[[#This Row],[DAY]]+1,5),NA())</f>
        <v>1.3592</v>
      </c>
      <c r="P134" cm="1" vm="1980">
        <f t="array" aca="1" ref="P134" ca="1">IFERROR(INDEX(_xlfn.ANCHORARRAY($C$3),T_CALC[[#This Row],[DAY]]+1,6),NA())</f>
        <v>1.3617999999999999</v>
      </c>
      <c r="Q134" cm="1">
        <f t="array" aca="1" ref="Q134" ca="1">IFERROR(INDEX(_xlfn.ANCHORARRAY($C$3),T_CALC[[#This Row],[DAY]]+1,2),NA())</f>
        <v>0</v>
      </c>
    </row>
    <row r="135" spans="3:17">
      <c r="C135" vm="1981">
        <f ca="1"/>
        <v>42941</v>
      </c>
      <c r="D135">
        <f ca="1"/>
        <v>0</v>
      </c>
      <c r="E135" vm="1980">
        <f ca="1"/>
        <v>1.3617999999999999</v>
      </c>
      <c r="F135" vm="1982">
        <f ca="1"/>
        <v>1.3633</v>
      </c>
      <c r="G135" vm="1983">
        <f ca="1"/>
        <v>1.3586</v>
      </c>
      <c r="H135" vm="1984">
        <f ca="1"/>
        <v>1.3620000000000001</v>
      </c>
      <c r="K135">
        <f ca="1">IF(ROW(T_CALC[[#This Row],[DAY]])-ROW(T_CALC[[#Headers],[DAY]])&gt;C_N_TRADING_DAYS,"",ROW(T_CALC[[#This Row],[DAY]])-ROW(T_CALC[[#Headers],[DAY]]))</f>
        <v>132</v>
      </c>
      <c r="L135" cm="1" vm="1981">
        <f t="array" aca="1" ref="L135" ca="1">IFERROR(INDEX(_xlfn.ANCHORARRAY($C$3),T_CALC[[#This Row],[DAY]]+1,1),NA())</f>
        <v>42941</v>
      </c>
      <c r="M135" cm="1" vm="1980">
        <f t="array" aca="1" ref="M135" ca="1">IFERROR(INDEX(_xlfn.ANCHORARRAY($C$3),T_CALC[[#This Row],[DAY]]+1,3),NA())</f>
        <v>1.3617999999999999</v>
      </c>
      <c r="N135" cm="1" vm="1982">
        <f t="array" aca="1" ref="N135" ca="1">IFERROR(INDEX(_xlfn.ANCHORARRAY($C$3),T_CALC[[#This Row],[DAY]]+1,4),NA())</f>
        <v>1.3633</v>
      </c>
      <c r="O135" cm="1" vm="1983">
        <f t="array" aca="1" ref="O135" ca="1">IFERROR(INDEX(_xlfn.ANCHORARRAY($C$3),T_CALC[[#This Row],[DAY]]+1,5),NA())</f>
        <v>1.3586</v>
      </c>
      <c r="P135" cm="1" vm="1984">
        <f t="array" aca="1" ref="P135" ca="1">IFERROR(INDEX(_xlfn.ANCHORARRAY($C$3),T_CALC[[#This Row],[DAY]]+1,6),NA())</f>
        <v>1.3620000000000001</v>
      </c>
      <c r="Q135" cm="1">
        <f t="array" aca="1" ref="Q135" ca="1">IFERROR(INDEX(_xlfn.ANCHORARRAY($C$3),T_CALC[[#This Row],[DAY]]+1,2),NA())</f>
        <v>0</v>
      </c>
    </row>
    <row r="136" spans="3:17">
      <c r="C136" vm="1985">
        <f ca="1"/>
        <v>42942</v>
      </c>
      <c r="D136">
        <f ca="1"/>
        <v>0</v>
      </c>
      <c r="E136" vm="1986">
        <f ca="1"/>
        <v>1.3619000000000001</v>
      </c>
      <c r="F136" vm="1987">
        <f ca="1"/>
        <v>1.3642000000000001</v>
      </c>
      <c r="G136" vm="1988">
        <f ca="1"/>
        <v>1.3552</v>
      </c>
      <c r="H136" vm="1989">
        <f ca="1"/>
        <v>1.3571</v>
      </c>
      <c r="K136">
        <f ca="1">IF(ROW(T_CALC[[#This Row],[DAY]])-ROW(T_CALC[[#Headers],[DAY]])&gt;C_N_TRADING_DAYS,"",ROW(T_CALC[[#This Row],[DAY]])-ROW(T_CALC[[#Headers],[DAY]]))</f>
        <v>133</v>
      </c>
      <c r="L136" cm="1" vm="1985">
        <f t="array" aca="1" ref="L136" ca="1">IFERROR(INDEX(_xlfn.ANCHORARRAY($C$3),T_CALC[[#This Row],[DAY]]+1,1),NA())</f>
        <v>42942</v>
      </c>
      <c r="M136" cm="1" vm="1986">
        <f t="array" aca="1" ref="M136" ca="1">IFERROR(INDEX(_xlfn.ANCHORARRAY($C$3),T_CALC[[#This Row],[DAY]]+1,3),NA())</f>
        <v>1.3619000000000001</v>
      </c>
      <c r="N136" cm="1" vm="1987">
        <f t="array" aca="1" ref="N136" ca="1">IFERROR(INDEX(_xlfn.ANCHORARRAY($C$3),T_CALC[[#This Row],[DAY]]+1,4),NA())</f>
        <v>1.3642000000000001</v>
      </c>
      <c r="O136" cm="1" vm="1988">
        <f t="array" aca="1" ref="O136" ca="1">IFERROR(INDEX(_xlfn.ANCHORARRAY($C$3),T_CALC[[#This Row],[DAY]]+1,5),NA())</f>
        <v>1.3552</v>
      </c>
      <c r="P136" cm="1" vm="1989">
        <f t="array" aca="1" ref="P136" ca="1">IFERROR(INDEX(_xlfn.ANCHORARRAY($C$3),T_CALC[[#This Row],[DAY]]+1,6),NA())</f>
        <v>1.3571</v>
      </c>
      <c r="Q136" cm="1">
        <f t="array" aca="1" ref="Q136" ca="1">IFERROR(INDEX(_xlfn.ANCHORARRAY($C$3),T_CALC[[#This Row],[DAY]]+1,2),NA())</f>
        <v>0</v>
      </c>
    </row>
    <row r="137" spans="3:17">
      <c r="C137" vm="1990">
        <f ca="1"/>
        <v>42943</v>
      </c>
      <c r="D137">
        <f ca="1"/>
        <v>0</v>
      </c>
      <c r="E137" vm="1991">
        <f ca="1"/>
        <v>1.357</v>
      </c>
      <c r="F137" vm="1992">
        <f ca="1"/>
        <v>1.3607</v>
      </c>
      <c r="G137" vm="1993">
        <f ca="1"/>
        <v>1.3535999999999999</v>
      </c>
      <c r="H137" vm="1994">
        <f ca="1"/>
        <v>1.359</v>
      </c>
      <c r="K137">
        <f ca="1">IF(ROW(T_CALC[[#This Row],[DAY]])-ROW(T_CALC[[#Headers],[DAY]])&gt;C_N_TRADING_DAYS,"",ROW(T_CALC[[#This Row],[DAY]])-ROW(T_CALC[[#Headers],[DAY]]))</f>
        <v>134</v>
      </c>
      <c r="L137" cm="1" vm="1990">
        <f t="array" aca="1" ref="L137" ca="1">IFERROR(INDEX(_xlfn.ANCHORARRAY($C$3),T_CALC[[#This Row],[DAY]]+1,1),NA())</f>
        <v>42943</v>
      </c>
      <c r="M137" cm="1" vm="1991">
        <f t="array" aca="1" ref="M137" ca="1">IFERROR(INDEX(_xlfn.ANCHORARRAY($C$3),T_CALC[[#This Row],[DAY]]+1,3),NA())</f>
        <v>1.357</v>
      </c>
      <c r="N137" cm="1" vm="1992">
        <f t="array" aca="1" ref="N137" ca="1">IFERROR(INDEX(_xlfn.ANCHORARRAY($C$3),T_CALC[[#This Row],[DAY]]+1,4),NA())</f>
        <v>1.3607</v>
      </c>
      <c r="O137" cm="1" vm="1993">
        <f t="array" aca="1" ref="O137" ca="1">IFERROR(INDEX(_xlfn.ANCHORARRAY($C$3),T_CALC[[#This Row],[DAY]]+1,5),NA())</f>
        <v>1.3535999999999999</v>
      </c>
      <c r="P137" cm="1" vm="1994">
        <f t="array" aca="1" ref="P137" ca="1">IFERROR(INDEX(_xlfn.ANCHORARRAY($C$3),T_CALC[[#This Row],[DAY]]+1,6),NA())</f>
        <v>1.359</v>
      </c>
      <c r="Q137" cm="1">
        <f t="array" aca="1" ref="Q137" ca="1">IFERROR(INDEX(_xlfn.ANCHORARRAY($C$3),T_CALC[[#This Row],[DAY]]+1,2),NA())</f>
        <v>0</v>
      </c>
    </row>
    <row r="138" spans="3:17">
      <c r="C138" vm="1995">
        <f ca="1"/>
        <v>42944</v>
      </c>
      <c r="D138">
        <f ca="1"/>
        <v>0</v>
      </c>
      <c r="E138" vm="1994">
        <f ca="1"/>
        <v>1.359</v>
      </c>
      <c r="F138" vm="1996">
        <f ca="1"/>
        <v>1.3613999999999999</v>
      </c>
      <c r="G138" vm="1997">
        <f ca="1"/>
        <v>1.3554999999999999</v>
      </c>
      <c r="H138" vm="1998">
        <f ca="1"/>
        <v>1.3564000000000001</v>
      </c>
      <c r="K138">
        <f ca="1">IF(ROW(T_CALC[[#This Row],[DAY]])-ROW(T_CALC[[#Headers],[DAY]])&gt;C_N_TRADING_DAYS,"",ROW(T_CALC[[#This Row],[DAY]])-ROW(T_CALC[[#Headers],[DAY]]))</f>
        <v>135</v>
      </c>
      <c r="L138" cm="1" vm="1995">
        <f t="array" aca="1" ref="L138" ca="1">IFERROR(INDEX(_xlfn.ANCHORARRAY($C$3),T_CALC[[#This Row],[DAY]]+1,1),NA())</f>
        <v>42944</v>
      </c>
      <c r="M138" cm="1" vm="1994">
        <f t="array" aca="1" ref="M138" ca="1">IFERROR(INDEX(_xlfn.ANCHORARRAY($C$3),T_CALC[[#This Row],[DAY]]+1,3),NA())</f>
        <v>1.359</v>
      </c>
      <c r="N138" cm="1" vm="1996">
        <f t="array" aca="1" ref="N138" ca="1">IFERROR(INDEX(_xlfn.ANCHORARRAY($C$3),T_CALC[[#This Row],[DAY]]+1,4),NA())</f>
        <v>1.3613999999999999</v>
      </c>
      <c r="O138" cm="1" vm="1997">
        <f t="array" aca="1" ref="O138" ca="1">IFERROR(INDEX(_xlfn.ANCHORARRAY($C$3),T_CALC[[#This Row],[DAY]]+1,5),NA())</f>
        <v>1.3554999999999999</v>
      </c>
      <c r="P138" cm="1" vm="1998">
        <f t="array" aca="1" ref="P138" ca="1">IFERROR(INDEX(_xlfn.ANCHORARRAY($C$3),T_CALC[[#This Row],[DAY]]+1,6),NA())</f>
        <v>1.3564000000000001</v>
      </c>
      <c r="Q138" cm="1">
        <f t="array" aca="1" ref="Q138" ca="1">IFERROR(INDEX(_xlfn.ANCHORARRAY($C$3),T_CALC[[#This Row],[DAY]]+1,2),NA())</f>
        <v>0</v>
      </c>
    </row>
    <row r="139" spans="3:17">
      <c r="C139" vm="1999">
        <f ca="1"/>
        <v>42947</v>
      </c>
      <c r="D139">
        <f ca="1"/>
        <v>0</v>
      </c>
      <c r="E139" vm="2000">
        <f ca="1"/>
        <v>1.3569</v>
      </c>
      <c r="F139" vm="2001">
        <f ca="1"/>
        <v>1.3583000000000001</v>
      </c>
      <c r="G139" vm="2002">
        <f ca="1"/>
        <v>1.3540000000000001</v>
      </c>
      <c r="H139" vm="2003">
        <f ca="1"/>
        <v>1.3545</v>
      </c>
      <c r="K139">
        <f ca="1">IF(ROW(T_CALC[[#This Row],[DAY]])-ROW(T_CALC[[#Headers],[DAY]])&gt;C_N_TRADING_DAYS,"",ROW(T_CALC[[#This Row],[DAY]])-ROW(T_CALC[[#Headers],[DAY]]))</f>
        <v>136</v>
      </c>
      <c r="L139" cm="1" vm="1999">
        <f t="array" aca="1" ref="L139" ca="1">IFERROR(INDEX(_xlfn.ANCHORARRAY($C$3),T_CALC[[#This Row],[DAY]]+1,1),NA())</f>
        <v>42947</v>
      </c>
      <c r="M139" cm="1" vm="2000">
        <f t="array" aca="1" ref="M139" ca="1">IFERROR(INDEX(_xlfn.ANCHORARRAY($C$3),T_CALC[[#This Row],[DAY]]+1,3),NA())</f>
        <v>1.3569</v>
      </c>
      <c r="N139" cm="1" vm="2001">
        <f t="array" aca="1" ref="N139" ca="1">IFERROR(INDEX(_xlfn.ANCHORARRAY($C$3),T_CALC[[#This Row],[DAY]]+1,4),NA())</f>
        <v>1.3583000000000001</v>
      </c>
      <c r="O139" cm="1" vm="2002">
        <f t="array" aca="1" ref="O139" ca="1">IFERROR(INDEX(_xlfn.ANCHORARRAY($C$3),T_CALC[[#This Row],[DAY]]+1,5),NA())</f>
        <v>1.3540000000000001</v>
      </c>
      <c r="P139" cm="1" vm="2003">
        <f t="array" aca="1" ref="P139" ca="1">IFERROR(INDEX(_xlfn.ANCHORARRAY($C$3),T_CALC[[#This Row],[DAY]]+1,6),NA())</f>
        <v>1.3545</v>
      </c>
      <c r="Q139" cm="1">
        <f t="array" aca="1" ref="Q139" ca="1">IFERROR(INDEX(_xlfn.ANCHORARRAY($C$3),T_CALC[[#This Row],[DAY]]+1,2),NA())</f>
        <v>0</v>
      </c>
    </row>
    <row r="140" spans="3:17">
      <c r="C140" vm="2004">
        <f ca="1"/>
        <v>42948</v>
      </c>
      <c r="D140">
        <f ca="1"/>
        <v>0</v>
      </c>
      <c r="E140" vm="2005">
        <f ca="1"/>
        <v>1.3542000000000001</v>
      </c>
      <c r="F140" vm="2006">
        <f ca="1"/>
        <v>1.3585</v>
      </c>
      <c r="G140" vm="2007">
        <f ca="1"/>
        <v>1.3536999999999999</v>
      </c>
      <c r="H140" vm="2008">
        <f ca="1"/>
        <v>1.3574999999999999</v>
      </c>
      <c r="K140">
        <f ca="1">IF(ROW(T_CALC[[#This Row],[DAY]])-ROW(T_CALC[[#Headers],[DAY]])&gt;C_N_TRADING_DAYS,"",ROW(T_CALC[[#This Row],[DAY]])-ROW(T_CALC[[#Headers],[DAY]]))</f>
        <v>137</v>
      </c>
      <c r="L140" cm="1" vm="2004">
        <f t="array" aca="1" ref="L140" ca="1">IFERROR(INDEX(_xlfn.ANCHORARRAY($C$3),T_CALC[[#This Row],[DAY]]+1,1),NA())</f>
        <v>42948</v>
      </c>
      <c r="M140" cm="1" vm="2005">
        <f t="array" aca="1" ref="M140" ca="1">IFERROR(INDEX(_xlfn.ANCHORARRAY($C$3),T_CALC[[#This Row],[DAY]]+1,3),NA())</f>
        <v>1.3542000000000001</v>
      </c>
      <c r="N140" cm="1" vm="2006">
        <f t="array" aca="1" ref="N140" ca="1">IFERROR(INDEX(_xlfn.ANCHORARRAY($C$3),T_CALC[[#This Row],[DAY]]+1,4),NA())</f>
        <v>1.3585</v>
      </c>
      <c r="O140" cm="1" vm="2007">
        <f t="array" aca="1" ref="O140" ca="1">IFERROR(INDEX(_xlfn.ANCHORARRAY($C$3),T_CALC[[#This Row],[DAY]]+1,5),NA())</f>
        <v>1.3536999999999999</v>
      </c>
      <c r="P140" cm="1" vm="2008">
        <f t="array" aca="1" ref="P140" ca="1">IFERROR(INDEX(_xlfn.ANCHORARRAY($C$3),T_CALC[[#This Row],[DAY]]+1,6),NA())</f>
        <v>1.3574999999999999</v>
      </c>
      <c r="Q140" cm="1">
        <f t="array" aca="1" ref="Q140" ca="1">IFERROR(INDEX(_xlfn.ANCHORARRAY($C$3),T_CALC[[#This Row],[DAY]]+1,2),NA())</f>
        <v>0</v>
      </c>
    </row>
    <row r="141" spans="3:17">
      <c r="C141" vm="2009">
        <f ca="1"/>
        <v>42949</v>
      </c>
      <c r="D141">
        <f ca="1"/>
        <v>0</v>
      </c>
      <c r="E141" vm="2010">
        <f ca="1"/>
        <v>1.3576999999999999</v>
      </c>
      <c r="F141" vm="2011">
        <f ca="1"/>
        <v>1.3611</v>
      </c>
      <c r="G141" vm="2012">
        <f ca="1"/>
        <v>1.3565</v>
      </c>
      <c r="H141" vm="2013">
        <f ca="1"/>
        <v>1.3588</v>
      </c>
      <c r="K141">
        <f ca="1">IF(ROW(T_CALC[[#This Row],[DAY]])-ROW(T_CALC[[#Headers],[DAY]])&gt;C_N_TRADING_DAYS,"",ROW(T_CALC[[#This Row],[DAY]])-ROW(T_CALC[[#Headers],[DAY]]))</f>
        <v>138</v>
      </c>
      <c r="L141" cm="1" vm="2009">
        <f t="array" aca="1" ref="L141" ca="1">IFERROR(INDEX(_xlfn.ANCHORARRAY($C$3),T_CALC[[#This Row],[DAY]]+1,1),NA())</f>
        <v>42949</v>
      </c>
      <c r="M141" cm="1" vm="2010">
        <f t="array" aca="1" ref="M141" ca="1">IFERROR(INDEX(_xlfn.ANCHORARRAY($C$3),T_CALC[[#This Row],[DAY]]+1,3),NA())</f>
        <v>1.3576999999999999</v>
      </c>
      <c r="N141" cm="1" vm="2011">
        <f t="array" aca="1" ref="N141" ca="1">IFERROR(INDEX(_xlfn.ANCHORARRAY($C$3),T_CALC[[#This Row],[DAY]]+1,4),NA())</f>
        <v>1.3611</v>
      </c>
      <c r="O141" cm="1" vm="2012">
        <f t="array" aca="1" ref="O141" ca="1">IFERROR(INDEX(_xlfn.ANCHORARRAY($C$3),T_CALC[[#This Row],[DAY]]+1,5),NA())</f>
        <v>1.3565</v>
      </c>
      <c r="P141" cm="1" vm="2013">
        <f t="array" aca="1" ref="P141" ca="1">IFERROR(INDEX(_xlfn.ANCHORARRAY($C$3),T_CALC[[#This Row],[DAY]]+1,6),NA())</f>
        <v>1.3588</v>
      </c>
      <c r="Q141" cm="1">
        <f t="array" aca="1" ref="Q141" ca="1">IFERROR(INDEX(_xlfn.ANCHORARRAY($C$3),T_CALC[[#This Row],[DAY]]+1,2),NA())</f>
        <v>0</v>
      </c>
    </row>
    <row r="142" spans="3:17">
      <c r="C142" vm="2014">
        <f ca="1"/>
        <v>42950</v>
      </c>
      <c r="D142">
        <f ca="1"/>
        <v>0</v>
      </c>
      <c r="E142" vm="2013">
        <f ca="1"/>
        <v>1.3588</v>
      </c>
      <c r="F142" vm="1980">
        <f ca="1"/>
        <v>1.3617999999999999</v>
      </c>
      <c r="G142" vm="2015">
        <f ca="1"/>
        <v>1.3573999999999999</v>
      </c>
      <c r="H142" vm="2006">
        <f ca="1"/>
        <v>1.3585</v>
      </c>
      <c r="K142">
        <f ca="1">IF(ROW(T_CALC[[#This Row],[DAY]])-ROW(T_CALC[[#Headers],[DAY]])&gt;C_N_TRADING_DAYS,"",ROW(T_CALC[[#This Row],[DAY]])-ROW(T_CALC[[#Headers],[DAY]]))</f>
        <v>139</v>
      </c>
      <c r="L142" cm="1" vm="2014">
        <f t="array" aca="1" ref="L142" ca="1">IFERROR(INDEX(_xlfn.ANCHORARRAY($C$3),T_CALC[[#This Row],[DAY]]+1,1),NA())</f>
        <v>42950</v>
      </c>
      <c r="M142" cm="1" vm="2013">
        <f t="array" aca="1" ref="M142" ca="1">IFERROR(INDEX(_xlfn.ANCHORARRAY($C$3),T_CALC[[#This Row],[DAY]]+1,3),NA())</f>
        <v>1.3588</v>
      </c>
      <c r="N142" cm="1" vm="1980">
        <f t="array" aca="1" ref="N142" ca="1">IFERROR(INDEX(_xlfn.ANCHORARRAY($C$3),T_CALC[[#This Row],[DAY]]+1,4),NA())</f>
        <v>1.3617999999999999</v>
      </c>
      <c r="O142" cm="1" vm="2015">
        <f t="array" aca="1" ref="O142" ca="1">IFERROR(INDEX(_xlfn.ANCHORARRAY($C$3),T_CALC[[#This Row],[DAY]]+1,5),NA())</f>
        <v>1.3573999999999999</v>
      </c>
      <c r="P142" cm="1" vm="2006">
        <f t="array" aca="1" ref="P142" ca="1">IFERROR(INDEX(_xlfn.ANCHORARRAY($C$3),T_CALC[[#This Row],[DAY]]+1,6),NA())</f>
        <v>1.3585</v>
      </c>
      <c r="Q142" cm="1">
        <f t="array" aca="1" ref="Q142" ca="1">IFERROR(INDEX(_xlfn.ANCHORARRAY($C$3),T_CALC[[#This Row],[DAY]]+1,2),NA())</f>
        <v>0</v>
      </c>
    </row>
    <row r="143" spans="3:17">
      <c r="C143" vm="2016">
        <f ca="1"/>
        <v>42951</v>
      </c>
      <c r="D143">
        <f ca="1"/>
        <v>0</v>
      </c>
      <c r="E143" vm="2006">
        <f ca="1"/>
        <v>1.3585</v>
      </c>
      <c r="F143" vm="1986">
        <f ca="1"/>
        <v>1.3619000000000001</v>
      </c>
      <c r="G143" vm="2017">
        <f ca="1"/>
        <v>1.3549</v>
      </c>
      <c r="H143" vm="2018">
        <f ca="1"/>
        <v>1.3606</v>
      </c>
      <c r="K143">
        <f ca="1">IF(ROW(T_CALC[[#This Row],[DAY]])-ROW(T_CALC[[#Headers],[DAY]])&gt;C_N_TRADING_DAYS,"",ROW(T_CALC[[#This Row],[DAY]])-ROW(T_CALC[[#Headers],[DAY]]))</f>
        <v>140</v>
      </c>
      <c r="L143" cm="1" vm="2016">
        <f t="array" aca="1" ref="L143" ca="1">IFERROR(INDEX(_xlfn.ANCHORARRAY($C$3),T_CALC[[#This Row],[DAY]]+1,1),NA())</f>
        <v>42951</v>
      </c>
      <c r="M143" cm="1" vm="2006">
        <f t="array" aca="1" ref="M143" ca="1">IFERROR(INDEX(_xlfn.ANCHORARRAY($C$3),T_CALC[[#This Row],[DAY]]+1,3),NA())</f>
        <v>1.3585</v>
      </c>
      <c r="N143" cm="1" vm="1986">
        <f t="array" aca="1" ref="N143" ca="1">IFERROR(INDEX(_xlfn.ANCHORARRAY($C$3),T_CALC[[#This Row],[DAY]]+1,4),NA())</f>
        <v>1.3619000000000001</v>
      </c>
      <c r="O143" cm="1" vm="2017">
        <f t="array" aca="1" ref="O143" ca="1">IFERROR(INDEX(_xlfn.ANCHORARRAY($C$3),T_CALC[[#This Row],[DAY]]+1,5),NA())</f>
        <v>1.3549</v>
      </c>
      <c r="P143" cm="1" vm="2018">
        <f t="array" aca="1" ref="P143" ca="1">IFERROR(INDEX(_xlfn.ANCHORARRAY($C$3),T_CALC[[#This Row],[DAY]]+1,6),NA())</f>
        <v>1.3606</v>
      </c>
      <c r="Q143" cm="1">
        <f t="array" aca="1" ref="Q143" ca="1">IFERROR(INDEX(_xlfn.ANCHORARRAY($C$3),T_CALC[[#This Row],[DAY]]+1,2),NA())</f>
        <v>0</v>
      </c>
    </row>
    <row r="144" spans="3:17">
      <c r="C144" vm="2019">
        <f ca="1"/>
        <v>42954</v>
      </c>
      <c r="D144">
        <f ca="1"/>
        <v>0</v>
      </c>
      <c r="E144" vm="2020">
        <f ca="1"/>
        <v>1.3603000000000001</v>
      </c>
      <c r="F144" vm="2021">
        <f ca="1"/>
        <v>1.3637999999999999</v>
      </c>
      <c r="G144" vm="2022">
        <f ca="1"/>
        <v>1.3587</v>
      </c>
      <c r="H144" vm="2023">
        <f ca="1"/>
        <v>1.3626</v>
      </c>
      <c r="K144">
        <f ca="1">IF(ROW(T_CALC[[#This Row],[DAY]])-ROW(T_CALC[[#Headers],[DAY]])&gt;C_N_TRADING_DAYS,"",ROW(T_CALC[[#This Row],[DAY]])-ROW(T_CALC[[#Headers],[DAY]]))</f>
        <v>141</v>
      </c>
      <c r="L144" cm="1" vm="2019">
        <f t="array" aca="1" ref="L144" ca="1">IFERROR(INDEX(_xlfn.ANCHORARRAY($C$3),T_CALC[[#This Row],[DAY]]+1,1),NA())</f>
        <v>42954</v>
      </c>
      <c r="M144" cm="1" vm="2020">
        <f t="array" aca="1" ref="M144" ca="1">IFERROR(INDEX(_xlfn.ANCHORARRAY($C$3),T_CALC[[#This Row],[DAY]]+1,3),NA())</f>
        <v>1.3603000000000001</v>
      </c>
      <c r="N144" cm="1" vm="2021">
        <f t="array" aca="1" ref="N144" ca="1">IFERROR(INDEX(_xlfn.ANCHORARRAY($C$3),T_CALC[[#This Row],[DAY]]+1,4),NA())</f>
        <v>1.3637999999999999</v>
      </c>
      <c r="O144" cm="1" vm="2022">
        <f t="array" aca="1" ref="O144" ca="1">IFERROR(INDEX(_xlfn.ANCHORARRAY($C$3),T_CALC[[#This Row],[DAY]]+1,5),NA())</f>
        <v>1.3587</v>
      </c>
      <c r="P144" cm="1" vm="2023">
        <f t="array" aca="1" ref="P144" ca="1">IFERROR(INDEX(_xlfn.ANCHORARRAY($C$3),T_CALC[[#This Row],[DAY]]+1,6),NA())</f>
        <v>1.3626</v>
      </c>
      <c r="Q144" cm="1">
        <f t="array" aca="1" ref="Q144" ca="1">IFERROR(INDEX(_xlfn.ANCHORARRAY($C$3),T_CALC[[#This Row],[DAY]]+1,2),NA())</f>
        <v>0</v>
      </c>
    </row>
    <row r="145" spans="3:17">
      <c r="C145" vm="2024">
        <f ca="1"/>
        <v>42955</v>
      </c>
      <c r="D145">
        <f ca="1"/>
        <v>0</v>
      </c>
      <c r="E145" vm="2025">
        <f ca="1"/>
        <v>1.3624000000000001</v>
      </c>
      <c r="F145" vm="2026">
        <f ca="1"/>
        <v>1.3641000000000001</v>
      </c>
      <c r="G145" vm="1994">
        <f ca="1"/>
        <v>1.359</v>
      </c>
      <c r="H145" vm="2027">
        <f ca="1"/>
        <v>1.3629</v>
      </c>
      <c r="K145">
        <f ca="1">IF(ROW(T_CALC[[#This Row],[DAY]])-ROW(T_CALC[[#Headers],[DAY]])&gt;C_N_TRADING_DAYS,"",ROW(T_CALC[[#This Row],[DAY]])-ROW(T_CALC[[#Headers],[DAY]]))</f>
        <v>142</v>
      </c>
      <c r="L145" cm="1" vm="2024">
        <f t="array" aca="1" ref="L145" ca="1">IFERROR(INDEX(_xlfn.ANCHORARRAY($C$3),T_CALC[[#This Row],[DAY]]+1,1),NA())</f>
        <v>42955</v>
      </c>
      <c r="M145" cm="1" vm="2025">
        <f t="array" aca="1" ref="M145" ca="1">IFERROR(INDEX(_xlfn.ANCHORARRAY($C$3),T_CALC[[#This Row],[DAY]]+1,3),NA())</f>
        <v>1.3624000000000001</v>
      </c>
      <c r="N145" cm="1" vm="2026">
        <f t="array" aca="1" ref="N145" ca="1">IFERROR(INDEX(_xlfn.ANCHORARRAY($C$3),T_CALC[[#This Row],[DAY]]+1,4),NA())</f>
        <v>1.3641000000000001</v>
      </c>
      <c r="O145" cm="1" vm="1994">
        <f t="array" aca="1" ref="O145" ca="1">IFERROR(INDEX(_xlfn.ANCHORARRAY($C$3),T_CALC[[#This Row],[DAY]]+1,5),NA())</f>
        <v>1.359</v>
      </c>
      <c r="P145" cm="1" vm="2027">
        <f t="array" aca="1" ref="P145" ca="1">IFERROR(INDEX(_xlfn.ANCHORARRAY($C$3),T_CALC[[#This Row],[DAY]]+1,6),NA())</f>
        <v>1.3629</v>
      </c>
      <c r="Q145" cm="1">
        <f t="array" aca="1" ref="Q145" ca="1">IFERROR(INDEX(_xlfn.ANCHORARRAY($C$3),T_CALC[[#This Row],[DAY]]+1,2),NA())</f>
        <v>0</v>
      </c>
    </row>
    <row r="146" spans="3:17">
      <c r="C146" vm="2028">
        <f ca="1"/>
        <v>42956</v>
      </c>
      <c r="D146">
        <f ca="1"/>
        <v>0</v>
      </c>
      <c r="E146" vm="2027">
        <f ca="1"/>
        <v>1.3629</v>
      </c>
      <c r="F146" vm="2029">
        <f ca="1"/>
        <v>1.3647</v>
      </c>
      <c r="G146" vm="1996">
        <f ca="1"/>
        <v>1.3613999999999999</v>
      </c>
      <c r="H146" vm="1977">
        <f ca="1"/>
        <v>1.3633999999999999</v>
      </c>
      <c r="K146">
        <f ca="1">IF(ROW(T_CALC[[#This Row],[DAY]])-ROW(T_CALC[[#Headers],[DAY]])&gt;C_N_TRADING_DAYS,"",ROW(T_CALC[[#This Row],[DAY]])-ROW(T_CALC[[#Headers],[DAY]]))</f>
        <v>143</v>
      </c>
      <c r="L146" cm="1" vm="2028">
        <f t="array" aca="1" ref="L146" ca="1">IFERROR(INDEX(_xlfn.ANCHORARRAY($C$3),T_CALC[[#This Row],[DAY]]+1,1),NA())</f>
        <v>42956</v>
      </c>
      <c r="M146" cm="1" vm="2027">
        <f t="array" aca="1" ref="M146" ca="1">IFERROR(INDEX(_xlfn.ANCHORARRAY($C$3),T_CALC[[#This Row],[DAY]]+1,3),NA())</f>
        <v>1.3629</v>
      </c>
      <c r="N146" cm="1" vm="2029">
        <f t="array" aca="1" ref="N146" ca="1">IFERROR(INDEX(_xlfn.ANCHORARRAY($C$3),T_CALC[[#This Row],[DAY]]+1,4),NA())</f>
        <v>1.3647</v>
      </c>
      <c r="O146" cm="1" vm="1996">
        <f t="array" aca="1" ref="O146" ca="1">IFERROR(INDEX(_xlfn.ANCHORARRAY($C$3),T_CALC[[#This Row],[DAY]]+1,5),NA())</f>
        <v>1.3613999999999999</v>
      </c>
      <c r="P146" cm="1" vm="1977">
        <f t="array" aca="1" ref="P146" ca="1">IFERROR(INDEX(_xlfn.ANCHORARRAY($C$3),T_CALC[[#This Row],[DAY]]+1,6),NA())</f>
        <v>1.3633999999999999</v>
      </c>
      <c r="Q146" cm="1">
        <f t="array" aca="1" ref="Q146" ca="1">IFERROR(INDEX(_xlfn.ANCHORARRAY($C$3),T_CALC[[#This Row],[DAY]]+1,2),NA())</f>
        <v>0</v>
      </c>
    </row>
    <row r="147" spans="3:17">
      <c r="C147" vm="2030">
        <f ca="1"/>
        <v>42957</v>
      </c>
      <c r="D147">
        <f ca="1"/>
        <v>0</v>
      </c>
      <c r="E147" vm="1982">
        <f ca="1"/>
        <v>1.3633</v>
      </c>
      <c r="F147" vm="2031">
        <f ca="1"/>
        <v>1.3653999999999999</v>
      </c>
      <c r="G147" vm="2032">
        <f ca="1"/>
        <v>1.3612</v>
      </c>
      <c r="H147" vm="2033">
        <f ca="1"/>
        <v>1.3632</v>
      </c>
      <c r="K147">
        <f ca="1">IF(ROW(T_CALC[[#This Row],[DAY]])-ROW(T_CALC[[#Headers],[DAY]])&gt;C_N_TRADING_DAYS,"",ROW(T_CALC[[#This Row],[DAY]])-ROW(T_CALC[[#Headers],[DAY]]))</f>
        <v>144</v>
      </c>
      <c r="L147" cm="1" vm="2030">
        <f t="array" aca="1" ref="L147" ca="1">IFERROR(INDEX(_xlfn.ANCHORARRAY($C$3),T_CALC[[#This Row],[DAY]]+1,1),NA())</f>
        <v>42957</v>
      </c>
      <c r="M147" cm="1" vm="1982">
        <f t="array" aca="1" ref="M147" ca="1">IFERROR(INDEX(_xlfn.ANCHORARRAY($C$3),T_CALC[[#This Row],[DAY]]+1,3),NA())</f>
        <v>1.3633</v>
      </c>
      <c r="N147" cm="1" vm="2031">
        <f t="array" aca="1" ref="N147" ca="1">IFERROR(INDEX(_xlfn.ANCHORARRAY($C$3),T_CALC[[#This Row],[DAY]]+1,4),NA())</f>
        <v>1.3653999999999999</v>
      </c>
      <c r="O147" cm="1" vm="2032">
        <f t="array" aca="1" ref="O147" ca="1">IFERROR(INDEX(_xlfn.ANCHORARRAY($C$3),T_CALC[[#This Row],[DAY]]+1,5),NA())</f>
        <v>1.3612</v>
      </c>
      <c r="P147" cm="1" vm="2033">
        <f t="array" aca="1" ref="P147" ca="1">IFERROR(INDEX(_xlfn.ANCHORARRAY($C$3),T_CALC[[#This Row],[DAY]]+1,6),NA())</f>
        <v>1.3632</v>
      </c>
      <c r="Q147" cm="1">
        <f t="array" aca="1" ref="Q147" ca="1">IFERROR(INDEX(_xlfn.ANCHORARRAY($C$3),T_CALC[[#This Row],[DAY]]+1,2),NA())</f>
        <v>0</v>
      </c>
    </row>
    <row r="148" spans="3:17">
      <c r="C148" vm="2034">
        <f ca="1"/>
        <v>42958</v>
      </c>
      <c r="D148">
        <f ca="1"/>
        <v>0</v>
      </c>
      <c r="E148" vm="1982">
        <f ca="1"/>
        <v>1.3633</v>
      </c>
      <c r="F148" vm="2035">
        <f ca="1"/>
        <v>1.3644000000000001</v>
      </c>
      <c r="G148" vm="2001">
        <f ca="1"/>
        <v>1.3583000000000001</v>
      </c>
      <c r="H148" vm="2036">
        <f ca="1"/>
        <v>1.3604000000000001</v>
      </c>
      <c r="K148">
        <f ca="1">IF(ROW(T_CALC[[#This Row],[DAY]])-ROW(T_CALC[[#Headers],[DAY]])&gt;C_N_TRADING_DAYS,"",ROW(T_CALC[[#This Row],[DAY]])-ROW(T_CALC[[#Headers],[DAY]]))</f>
        <v>145</v>
      </c>
      <c r="L148" cm="1" vm="2034">
        <f t="array" aca="1" ref="L148" ca="1">IFERROR(INDEX(_xlfn.ANCHORARRAY($C$3),T_CALC[[#This Row],[DAY]]+1,1),NA())</f>
        <v>42958</v>
      </c>
      <c r="M148" cm="1" vm="1982">
        <f t="array" aca="1" ref="M148" ca="1">IFERROR(INDEX(_xlfn.ANCHORARRAY($C$3),T_CALC[[#This Row],[DAY]]+1,3),NA())</f>
        <v>1.3633</v>
      </c>
      <c r="N148" cm="1" vm="2035">
        <f t="array" aca="1" ref="N148" ca="1">IFERROR(INDEX(_xlfn.ANCHORARRAY($C$3),T_CALC[[#This Row],[DAY]]+1,4),NA())</f>
        <v>1.3644000000000001</v>
      </c>
      <c r="O148" cm="1" vm="2001">
        <f t="array" aca="1" ref="O148" ca="1">IFERROR(INDEX(_xlfn.ANCHORARRAY($C$3),T_CALC[[#This Row],[DAY]]+1,5),NA())</f>
        <v>1.3583000000000001</v>
      </c>
      <c r="P148" cm="1" vm="2036">
        <f t="array" aca="1" ref="P148" ca="1">IFERROR(INDEX(_xlfn.ANCHORARRAY($C$3),T_CALC[[#This Row],[DAY]]+1,6),NA())</f>
        <v>1.3604000000000001</v>
      </c>
      <c r="Q148" cm="1">
        <f t="array" aca="1" ref="Q148" ca="1">IFERROR(INDEX(_xlfn.ANCHORARRAY($C$3),T_CALC[[#This Row],[DAY]]+1,2),NA())</f>
        <v>0</v>
      </c>
    </row>
    <row r="149" spans="3:17">
      <c r="C149" vm="2037">
        <f ca="1"/>
        <v>42961</v>
      </c>
      <c r="D149">
        <f ca="1"/>
        <v>0</v>
      </c>
      <c r="E149" vm="2036">
        <f ca="1"/>
        <v>1.3604000000000001</v>
      </c>
      <c r="F149" vm="2033">
        <f ca="1"/>
        <v>1.3632</v>
      </c>
      <c r="G149" vm="2038">
        <f ca="1"/>
        <v>1.3582000000000001</v>
      </c>
      <c r="H149" vm="2025">
        <f ca="1"/>
        <v>1.3624000000000001</v>
      </c>
      <c r="K149">
        <f ca="1">IF(ROW(T_CALC[[#This Row],[DAY]])-ROW(T_CALC[[#Headers],[DAY]])&gt;C_N_TRADING_DAYS,"",ROW(T_CALC[[#This Row],[DAY]])-ROW(T_CALC[[#Headers],[DAY]]))</f>
        <v>146</v>
      </c>
      <c r="L149" cm="1" vm="2037">
        <f t="array" aca="1" ref="L149" ca="1">IFERROR(INDEX(_xlfn.ANCHORARRAY($C$3),T_CALC[[#This Row],[DAY]]+1,1),NA())</f>
        <v>42961</v>
      </c>
      <c r="M149" cm="1" vm="2036">
        <f t="array" aca="1" ref="M149" ca="1">IFERROR(INDEX(_xlfn.ANCHORARRAY($C$3),T_CALC[[#This Row],[DAY]]+1,3),NA())</f>
        <v>1.3604000000000001</v>
      </c>
      <c r="N149" cm="1" vm="2033">
        <f t="array" aca="1" ref="N149" ca="1">IFERROR(INDEX(_xlfn.ANCHORARRAY($C$3),T_CALC[[#This Row],[DAY]]+1,4),NA())</f>
        <v>1.3632</v>
      </c>
      <c r="O149" cm="1" vm="2038">
        <f t="array" aca="1" ref="O149" ca="1">IFERROR(INDEX(_xlfn.ANCHORARRAY($C$3),T_CALC[[#This Row],[DAY]]+1,5),NA())</f>
        <v>1.3582000000000001</v>
      </c>
      <c r="P149" cm="1" vm="2025">
        <f t="array" aca="1" ref="P149" ca="1">IFERROR(INDEX(_xlfn.ANCHORARRAY($C$3),T_CALC[[#This Row],[DAY]]+1,6),NA())</f>
        <v>1.3624000000000001</v>
      </c>
      <c r="Q149" cm="1">
        <f t="array" aca="1" ref="Q149" ca="1">IFERROR(INDEX(_xlfn.ANCHORARRAY($C$3),T_CALC[[#This Row],[DAY]]+1,2),NA())</f>
        <v>0</v>
      </c>
    </row>
    <row r="150" spans="3:17">
      <c r="C150" vm="2039">
        <f ca="1"/>
        <v>42962</v>
      </c>
      <c r="D150">
        <f ca="1"/>
        <v>0</v>
      </c>
      <c r="E150" vm="2023">
        <f ca="1"/>
        <v>1.3626</v>
      </c>
      <c r="F150" vm="1952">
        <f ca="1"/>
        <v>1.3688</v>
      </c>
      <c r="G150" vm="2040">
        <f ca="1"/>
        <v>1.3614999999999999</v>
      </c>
      <c r="H150" vm="2041">
        <f ca="1"/>
        <v>1.3669</v>
      </c>
      <c r="K150">
        <f ca="1">IF(ROW(T_CALC[[#This Row],[DAY]])-ROW(T_CALC[[#Headers],[DAY]])&gt;C_N_TRADING_DAYS,"",ROW(T_CALC[[#This Row],[DAY]])-ROW(T_CALC[[#Headers],[DAY]]))</f>
        <v>147</v>
      </c>
      <c r="L150" cm="1" vm="2039">
        <f t="array" aca="1" ref="L150" ca="1">IFERROR(INDEX(_xlfn.ANCHORARRAY($C$3),T_CALC[[#This Row],[DAY]]+1,1),NA())</f>
        <v>42962</v>
      </c>
      <c r="M150" cm="1" vm="2023">
        <f t="array" aca="1" ref="M150" ca="1">IFERROR(INDEX(_xlfn.ANCHORARRAY($C$3),T_CALC[[#This Row],[DAY]]+1,3),NA())</f>
        <v>1.3626</v>
      </c>
      <c r="N150" cm="1" vm="1952">
        <f t="array" aca="1" ref="N150" ca="1">IFERROR(INDEX(_xlfn.ANCHORARRAY($C$3),T_CALC[[#This Row],[DAY]]+1,4),NA())</f>
        <v>1.3688</v>
      </c>
      <c r="O150" cm="1" vm="2040">
        <f t="array" aca="1" ref="O150" ca="1">IFERROR(INDEX(_xlfn.ANCHORARRAY($C$3),T_CALC[[#This Row],[DAY]]+1,5),NA())</f>
        <v>1.3614999999999999</v>
      </c>
      <c r="P150" cm="1" vm="2041">
        <f t="array" aca="1" ref="P150" ca="1">IFERROR(INDEX(_xlfn.ANCHORARRAY($C$3),T_CALC[[#This Row],[DAY]]+1,6),NA())</f>
        <v>1.3669</v>
      </c>
      <c r="Q150" cm="1">
        <f t="array" aca="1" ref="Q150" ca="1">IFERROR(INDEX(_xlfn.ANCHORARRAY($C$3),T_CALC[[#This Row],[DAY]]+1,2),NA())</f>
        <v>0</v>
      </c>
    </row>
    <row r="151" spans="3:17">
      <c r="C151" vm="2042">
        <f ca="1"/>
        <v>42963</v>
      </c>
      <c r="D151">
        <f ca="1"/>
        <v>0</v>
      </c>
      <c r="E151" vm="2043">
        <f ca="1"/>
        <v>1.3666</v>
      </c>
      <c r="F151" vm="1952">
        <f ca="1"/>
        <v>1.3688</v>
      </c>
      <c r="G151" vm="1996">
        <f ca="1"/>
        <v>1.3613999999999999</v>
      </c>
      <c r="H151" vm="2025">
        <f ca="1"/>
        <v>1.3624000000000001</v>
      </c>
      <c r="K151">
        <f ca="1">IF(ROW(T_CALC[[#This Row],[DAY]])-ROW(T_CALC[[#Headers],[DAY]])&gt;C_N_TRADING_DAYS,"",ROW(T_CALC[[#This Row],[DAY]])-ROW(T_CALC[[#Headers],[DAY]]))</f>
        <v>148</v>
      </c>
      <c r="L151" cm="1" vm="2042">
        <f t="array" aca="1" ref="L151" ca="1">IFERROR(INDEX(_xlfn.ANCHORARRAY($C$3),T_CALC[[#This Row],[DAY]]+1,1),NA())</f>
        <v>42963</v>
      </c>
      <c r="M151" cm="1" vm="2043">
        <f t="array" aca="1" ref="M151" ca="1">IFERROR(INDEX(_xlfn.ANCHORARRAY($C$3),T_CALC[[#This Row],[DAY]]+1,3),NA())</f>
        <v>1.3666</v>
      </c>
      <c r="N151" cm="1" vm="1952">
        <f t="array" aca="1" ref="N151" ca="1">IFERROR(INDEX(_xlfn.ANCHORARRAY($C$3),T_CALC[[#This Row],[DAY]]+1,4),NA())</f>
        <v>1.3688</v>
      </c>
      <c r="O151" cm="1" vm="1996">
        <f t="array" aca="1" ref="O151" ca="1">IFERROR(INDEX(_xlfn.ANCHORARRAY($C$3),T_CALC[[#This Row],[DAY]]+1,5),NA())</f>
        <v>1.3613999999999999</v>
      </c>
      <c r="P151" cm="1" vm="2025">
        <f t="array" aca="1" ref="P151" ca="1">IFERROR(INDEX(_xlfn.ANCHORARRAY($C$3),T_CALC[[#This Row],[DAY]]+1,6),NA())</f>
        <v>1.3624000000000001</v>
      </c>
      <c r="Q151" cm="1">
        <f t="array" aca="1" ref="Q151" ca="1">IFERROR(INDEX(_xlfn.ANCHORARRAY($C$3),T_CALC[[#This Row],[DAY]]+1,2),NA())</f>
        <v>0</v>
      </c>
    </row>
    <row r="152" spans="3:17">
      <c r="C152" vm="2044">
        <f ca="1"/>
        <v>42964</v>
      </c>
      <c r="D152">
        <f ca="1"/>
        <v>0</v>
      </c>
      <c r="E152" vm="1984">
        <f ca="1"/>
        <v>1.3620000000000001</v>
      </c>
      <c r="F152" vm="2045">
        <f ca="1"/>
        <v>1.3671</v>
      </c>
      <c r="G152" vm="2032">
        <f ca="1"/>
        <v>1.3612</v>
      </c>
      <c r="H152" vm="1957">
        <f ca="1"/>
        <v>1.3663000000000001</v>
      </c>
      <c r="K152">
        <f ca="1">IF(ROW(T_CALC[[#This Row],[DAY]])-ROW(T_CALC[[#Headers],[DAY]])&gt;C_N_TRADING_DAYS,"",ROW(T_CALC[[#This Row],[DAY]])-ROW(T_CALC[[#Headers],[DAY]]))</f>
        <v>149</v>
      </c>
      <c r="L152" cm="1" vm="2044">
        <f t="array" aca="1" ref="L152" ca="1">IFERROR(INDEX(_xlfn.ANCHORARRAY($C$3),T_CALC[[#This Row],[DAY]]+1,1),NA())</f>
        <v>42964</v>
      </c>
      <c r="M152" cm="1" vm="1984">
        <f t="array" aca="1" ref="M152" ca="1">IFERROR(INDEX(_xlfn.ANCHORARRAY($C$3),T_CALC[[#This Row],[DAY]]+1,3),NA())</f>
        <v>1.3620000000000001</v>
      </c>
      <c r="N152" cm="1" vm="2045">
        <f t="array" aca="1" ref="N152" ca="1">IFERROR(INDEX(_xlfn.ANCHORARRAY($C$3),T_CALC[[#This Row],[DAY]]+1,4),NA())</f>
        <v>1.3671</v>
      </c>
      <c r="O152" cm="1" vm="2032">
        <f t="array" aca="1" ref="O152" ca="1">IFERROR(INDEX(_xlfn.ANCHORARRAY($C$3),T_CALC[[#This Row],[DAY]]+1,5),NA())</f>
        <v>1.3612</v>
      </c>
      <c r="P152" cm="1" vm="1957">
        <f t="array" aca="1" ref="P152" ca="1">IFERROR(INDEX(_xlfn.ANCHORARRAY($C$3),T_CALC[[#This Row],[DAY]]+1,6),NA())</f>
        <v>1.3663000000000001</v>
      </c>
      <c r="Q152" cm="1">
        <f t="array" aca="1" ref="Q152" ca="1">IFERROR(INDEX(_xlfn.ANCHORARRAY($C$3),T_CALC[[#This Row],[DAY]]+1,2),NA())</f>
        <v>0</v>
      </c>
    </row>
    <row r="153" spans="3:17">
      <c r="C153" vm="2046">
        <f ca="1"/>
        <v>42965</v>
      </c>
      <c r="D153">
        <f ca="1"/>
        <v>0</v>
      </c>
      <c r="E153" vm="1957">
        <f ca="1"/>
        <v>1.3663000000000001</v>
      </c>
      <c r="F153" vm="2047">
        <f ca="1"/>
        <v>1.3673</v>
      </c>
      <c r="G153" vm="2040">
        <f ca="1"/>
        <v>1.3614999999999999</v>
      </c>
      <c r="H153" vm="2048">
        <f ca="1"/>
        <v>1.3628</v>
      </c>
      <c r="K153">
        <f ca="1">IF(ROW(T_CALC[[#This Row],[DAY]])-ROW(T_CALC[[#Headers],[DAY]])&gt;C_N_TRADING_DAYS,"",ROW(T_CALC[[#This Row],[DAY]])-ROW(T_CALC[[#Headers],[DAY]]))</f>
        <v>150</v>
      </c>
      <c r="L153" cm="1" vm="2046">
        <f t="array" aca="1" ref="L153" ca="1">IFERROR(INDEX(_xlfn.ANCHORARRAY($C$3),T_CALC[[#This Row],[DAY]]+1,1),NA())</f>
        <v>42965</v>
      </c>
      <c r="M153" cm="1" vm="1957">
        <f t="array" aca="1" ref="M153" ca="1">IFERROR(INDEX(_xlfn.ANCHORARRAY($C$3),T_CALC[[#This Row],[DAY]]+1,3),NA())</f>
        <v>1.3663000000000001</v>
      </c>
      <c r="N153" cm="1" vm="2047">
        <f t="array" aca="1" ref="N153" ca="1">IFERROR(INDEX(_xlfn.ANCHORARRAY($C$3),T_CALC[[#This Row],[DAY]]+1,4),NA())</f>
        <v>1.3673</v>
      </c>
      <c r="O153" cm="1" vm="2040">
        <f t="array" aca="1" ref="O153" ca="1">IFERROR(INDEX(_xlfn.ANCHORARRAY($C$3),T_CALC[[#This Row],[DAY]]+1,5),NA())</f>
        <v>1.3614999999999999</v>
      </c>
      <c r="P153" cm="1" vm="2048">
        <f t="array" aca="1" ref="P153" ca="1">IFERROR(INDEX(_xlfn.ANCHORARRAY($C$3),T_CALC[[#This Row],[DAY]]+1,6),NA())</f>
        <v>1.3628</v>
      </c>
      <c r="Q153" cm="1">
        <f t="array" aca="1" ref="Q153" ca="1">IFERROR(INDEX(_xlfn.ANCHORARRAY($C$3),T_CALC[[#This Row],[DAY]]+1,2),NA())</f>
        <v>0</v>
      </c>
    </row>
    <row r="154" spans="3:17">
      <c r="C154" vm="2049">
        <f ca="1"/>
        <v>42968</v>
      </c>
      <c r="D154">
        <f ca="1"/>
        <v>0</v>
      </c>
      <c r="E154" vm="2050">
        <f ca="1"/>
        <v>1.363</v>
      </c>
      <c r="F154" vm="2021">
        <f ca="1"/>
        <v>1.3637999999999999</v>
      </c>
      <c r="G154" vm="2051">
        <f ca="1"/>
        <v>1.3594999999999999</v>
      </c>
      <c r="H154" vm="2020">
        <f ca="1"/>
        <v>1.3603000000000001</v>
      </c>
      <c r="K154">
        <f ca="1">IF(ROW(T_CALC[[#This Row],[DAY]])-ROW(T_CALC[[#Headers],[DAY]])&gt;C_N_TRADING_DAYS,"",ROW(T_CALC[[#This Row],[DAY]])-ROW(T_CALC[[#Headers],[DAY]]))</f>
        <v>151</v>
      </c>
      <c r="L154" cm="1" vm="2049">
        <f t="array" aca="1" ref="L154" ca="1">IFERROR(INDEX(_xlfn.ANCHORARRAY($C$3),T_CALC[[#This Row],[DAY]]+1,1),NA())</f>
        <v>42968</v>
      </c>
      <c r="M154" cm="1" vm="2050">
        <f t="array" aca="1" ref="M154" ca="1">IFERROR(INDEX(_xlfn.ANCHORARRAY($C$3),T_CALC[[#This Row],[DAY]]+1,3),NA())</f>
        <v>1.363</v>
      </c>
      <c r="N154" cm="1" vm="2021">
        <f t="array" aca="1" ref="N154" ca="1">IFERROR(INDEX(_xlfn.ANCHORARRAY($C$3),T_CALC[[#This Row],[DAY]]+1,4),NA())</f>
        <v>1.3637999999999999</v>
      </c>
      <c r="O154" cm="1" vm="2051">
        <f t="array" aca="1" ref="O154" ca="1">IFERROR(INDEX(_xlfn.ANCHORARRAY($C$3),T_CALC[[#This Row],[DAY]]+1,5),NA())</f>
        <v>1.3594999999999999</v>
      </c>
      <c r="P154" cm="1" vm="2020">
        <f t="array" aca="1" ref="P154" ca="1">IFERROR(INDEX(_xlfn.ANCHORARRAY($C$3),T_CALC[[#This Row],[DAY]]+1,6),NA())</f>
        <v>1.3603000000000001</v>
      </c>
      <c r="Q154" cm="1">
        <f t="array" aca="1" ref="Q154" ca="1">IFERROR(INDEX(_xlfn.ANCHORARRAY($C$3),T_CALC[[#This Row],[DAY]]+1,2),NA())</f>
        <v>0</v>
      </c>
    </row>
    <row r="155" spans="3:17">
      <c r="C155" vm="2052">
        <f ca="1"/>
        <v>42969</v>
      </c>
      <c r="D155">
        <f ca="1"/>
        <v>0</v>
      </c>
      <c r="E155" vm="2053">
        <f ca="1"/>
        <v>1.3609</v>
      </c>
      <c r="F155" vm="2027">
        <f ca="1"/>
        <v>1.3629</v>
      </c>
      <c r="G155" vm="1979">
        <f ca="1"/>
        <v>1.3592</v>
      </c>
      <c r="H155" vm="2054">
        <f ca="1"/>
        <v>1.3622000000000001</v>
      </c>
      <c r="K155">
        <f ca="1">IF(ROW(T_CALC[[#This Row],[DAY]])-ROW(T_CALC[[#Headers],[DAY]])&gt;C_N_TRADING_DAYS,"",ROW(T_CALC[[#This Row],[DAY]])-ROW(T_CALC[[#Headers],[DAY]]))</f>
        <v>152</v>
      </c>
      <c r="L155" cm="1" vm="2052">
        <f t="array" aca="1" ref="L155" ca="1">IFERROR(INDEX(_xlfn.ANCHORARRAY($C$3),T_CALC[[#This Row],[DAY]]+1,1),NA())</f>
        <v>42969</v>
      </c>
      <c r="M155" cm="1" vm="2053">
        <f t="array" aca="1" ref="M155" ca="1">IFERROR(INDEX(_xlfn.ANCHORARRAY($C$3),T_CALC[[#This Row],[DAY]]+1,3),NA())</f>
        <v>1.3609</v>
      </c>
      <c r="N155" cm="1" vm="2027">
        <f t="array" aca="1" ref="N155" ca="1">IFERROR(INDEX(_xlfn.ANCHORARRAY($C$3),T_CALC[[#This Row],[DAY]]+1,4),NA())</f>
        <v>1.3629</v>
      </c>
      <c r="O155" cm="1" vm="1979">
        <f t="array" aca="1" ref="O155" ca="1">IFERROR(INDEX(_xlfn.ANCHORARRAY($C$3),T_CALC[[#This Row],[DAY]]+1,5),NA())</f>
        <v>1.3592</v>
      </c>
      <c r="P155" cm="1" vm="2054">
        <f t="array" aca="1" ref="P155" ca="1">IFERROR(INDEX(_xlfn.ANCHORARRAY($C$3),T_CALC[[#This Row],[DAY]]+1,6),NA())</f>
        <v>1.3622000000000001</v>
      </c>
      <c r="Q155" cm="1">
        <f t="array" aca="1" ref="Q155" ca="1">IFERROR(INDEX(_xlfn.ANCHORARRAY($C$3),T_CALC[[#This Row],[DAY]]+1,2),NA())</f>
        <v>0</v>
      </c>
    </row>
    <row r="156" spans="3:17">
      <c r="C156" vm="2055">
        <f ca="1"/>
        <v>42970</v>
      </c>
      <c r="D156">
        <f ca="1"/>
        <v>0</v>
      </c>
      <c r="E156" vm="2054">
        <f ca="1"/>
        <v>1.3622000000000001</v>
      </c>
      <c r="F156" vm="1978">
        <f ca="1"/>
        <v>1.3634999999999999</v>
      </c>
      <c r="G156" vm="2056">
        <f ca="1"/>
        <v>1.3593</v>
      </c>
      <c r="H156" vm="1992">
        <f ca="1"/>
        <v>1.3607</v>
      </c>
      <c r="K156">
        <f ca="1">IF(ROW(T_CALC[[#This Row],[DAY]])-ROW(T_CALC[[#Headers],[DAY]])&gt;C_N_TRADING_DAYS,"",ROW(T_CALC[[#This Row],[DAY]])-ROW(T_CALC[[#Headers],[DAY]]))</f>
        <v>153</v>
      </c>
      <c r="L156" cm="1" vm="2055">
        <f t="array" aca="1" ref="L156" ca="1">IFERROR(INDEX(_xlfn.ANCHORARRAY($C$3),T_CALC[[#This Row],[DAY]]+1,1),NA())</f>
        <v>42970</v>
      </c>
      <c r="M156" cm="1" vm="2054">
        <f t="array" aca="1" ref="M156" ca="1">IFERROR(INDEX(_xlfn.ANCHORARRAY($C$3),T_CALC[[#This Row],[DAY]]+1,3),NA())</f>
        <v>1.3622000000000001</v>
      </c>
      <c r="N156" cm="1" vm="1978">
        <f t="array" aca="1" ref="N156" ca="1">IFERROR(INDEX(_xlfn.ANCHORARRAY($C$3),T_CALC[[#This Row],[DAY]]+1,4),NA())</f>
        <v>1.3634999999999999</v>
      </c>
      <c r="O156" cm="1" vm="2056">
        <f t="array" aca="1" ref="O156" ca="1">IFERROR(INDEX(_xlfn.ANCHORARRAY($C$3),T_CALC[[#This Row],[DAY]]+1,5),NA())</f>
        <v>1.3593</v>
      </c>
      <c r="P156" cm="1" vm="1992">
        <f t="array" aca="1" ref="P156" ca="1">IFERROR(INDEX(_xlfn.ANCHORARRAY($C$3),T_CALC[[#This Row],[DAY]]+1,6),NA())</f>
        <v>1.3607</v>
      </c>
      <c r="Q156" cm="1">
        <f t="array" aca="1" ref="Q156" ca="1">IFERROR(INDEX(_xlfn.ANCHORARRAY($C$3),T_CALC[[#This Row],[DAY]]+1,2),NA())</f>
        <v>0</v>
      </c>
    </row>
    <row r="157" spans="3:17">
      <c r="C157" vm="2057">
        <f ca="1"/>
        <v>42971</v>
      </c>
      <c r="D157">
        <f ca="1"/>
        <v>0</v>
      </c>
      <c r="E157" vm="2018">
        <f ca="1"/>
        <v>1.3606</v>
      </c>
      <c r="F157" vm="2023">
        <f ca="1"/>
        <v>1.3626</v>
      </c>
      <c r="G157" vm="2058">
        <f ca="1"/>
        <v>1.3593999999999999</v>
      </c>
      <c r="H157" vm="1980">
        <f ca="1"/>
        <v>1.3617999999999999</v>
      </c>
      <c r="K157">
        <f ca="1">IF(ROW(T_CALC[[#This Row],[DAY]])-ROW(T_CALC[[#Headers],[DAY]])&gt;C_N_TRADING_DAYS,"",ROW(T_CALC[[#This Row],[DAY]])-ROW(T_CALC[[#Headers],[DAY]]))</f>
        <v>154</v>
      </c>
      <c r="L157" cm="1" vm="2057">
        <f t="array" aca="1" ref="L157" ca="1">IFERROR(INDEX(_xlfn.ANCHORARRAY($C$3),T_CALC[[#This Row],[DAY]]+1,1),NA())</f>
        <v>42971</v>
      </c>
      <c r="M157" cm="1" vm="2018">
        <f t="array" aca="1" ref="M157" ca="1">IFERROR(INDEX(_xlfn.ANCHORARRAY($C$3),T_CALC[[#This Row],[DAY]]+1,3),NA())</f>
        <v>1.3606</v>
      </c>
      <c r="N157" cm="1" vm="2023">
        <f t="array" aca="1" ref="N157" ca="1">IFERROR(INDEX(_xlfn.ANCHORARRAY($C$3),T_CALC[[#This Row],[DAY]]+1,4),NA())</f>
        <v>1.3626</v>
      </c>
      <c r="O157" cm="1" vm="2058">
        <f t="array" aca="1" ref="O157" ca="1">IFERROR(INDEX(_xlfn.ANCHORARRAY($C$3),T_CALC[[#This Row],[DAY]]+1,5),NA())</f>
        <v>1.3593999999999999</v>
      </c>
      <c r="P157" cm="1" vm="1980">
        <f t="array" aca="1" ref="P157" ca="1">IFERROR(INDEX(_xlfn.ANCHORARRAY($C$3),T_CALC[[#This Row],[DAY]]+1,6),NA())</f>
        <v>1.3617999999999999</v>
      </c>
      <c r="Q157" cm="1">
        <f t="array" aca="1" ref="Q157" ca="1">IFERROR(INDEX(_xlfn.ANCHORARRAY($C$3),T_CALC[[#This Row],[DAY]]+1,2),NA())</f>
        <v>0</v>
      </c>
    </row>
    <row r="158" spans="3:17">
      <c r="C158" vm="2059">
        <f ca="1"/>
        <v>42972</v>
      </c>
      <c r="D158">
        <f ca="1"/>
        <v>0</v>
      </c>
      <c r="E158" vm="2060">
        <f ca="1"/>
        <v>1.3616999999999999</v>
      </c>
      <c r="F158" vm="1984">
        <f ca="1"/>
        <v>1.3620000000000001</v>
      </c>
      <c r="G158" vm="2061">
        <f ca="1"/>
        <v>1.3547</v>
      </c>
      <c r="H158" vm="2062">
        <f ca="1"/>
        <v>1.3553999999999999</v>
      </c>
      <c r="K158">
        <f ca="1">IF(ROW(T_CALC[[#This Row],[DAY]])-ROW(T_CALC[[#Headers],[DAY]])&gt;C_N_TRADING_DAYS,"",ROW(T_CALC[[#This Row],[DAY]])-ROW(T_CALC[[#Headers],[DAY]]))</f>
        <v>155</v>
      </c>
      <c r="L158" cm="1" vm="2059">
        <f t="array" aca="1" ref="L158" ca="1">IFERROR(INDEX(_xlfn.ANCHORARRAY($C$3),T_CALC[[#This Row],[DAY]]+1,1),NA())</f>
        <v>42972</v>
      </c>
      <c r="M158" cm="1" vm="2060">
        <f t="array" aca="1" ref="M158" ca="1">IFERROR(INDEX(_xlfn.ANCHORARRAY($C$3),T_CALC[[#This Row],[DAY]]+1,3),NA())</f>
        <v>1.3616999999999999</v>
      </c>
      <c r="N158" cm="1" vm="1984">
        <f t="array" aca="1" ref="N158" ca="1">IFERROR(INDEX(_xlfn.ANCHORARRAY($C$3),T_CALC[[#This Row],[DAY]]+1,4),NA())</f>
        <v>1.3620000000000001</v>
      </c>
      <c r="O158" cm="1" vm="2061">
        <f t="array" aca="1" ref="O158" ca="1">IFERROR(INDEX(_xlfn.ANCHORARRAY($C$3),T_CALC[[#This Row],[DAY]]+1,5),NA())</f>
        <v>1.3547</v>
      </c>
      <c r="P158" cm="1" vm="2062">
        <f t="array" aca="1" ref="P158" ca="1">IFERROR(INDEX(_xlfn.ANCHORARRAY($C$3),T_CALC[[#This Row],[DAY]]+1,6),NA())</f>
        <v>1.3553999999999999</v>
      </c>
      <c r="Q158" cm="1">
        <f t="array" aca="1" ref="Q158" ca="1">IFERROR(INDEX(_xlfn.ANCHORARRAY($C$3),T_CALC[[#This Row],[DAY]]+1,2),NA())</f>
        <v>0</v>
      </c>
    </row>
    <row r="159" spans="3:17">
      <c r="C159" vm="2063">
        <f ca="1"/>
        <v>42975</v>
      </c>
      <c r="D159">
        <f ca="1"/>
        <v>0</v>
      </c>
      <c r="E159" vm="2064">
        <f ca="1"/>
        <v>1.3548</v>
      </c>
      <c r="F159" vm="2065">
        <f ca="1"/>
        <v>1.3568</v>
      </c>
      <c r="G159" vm="2066">
        <f ca="1"/>
        <v>1.3524</v>
      </c>
      <c r="H159" vm="2067">
        <f ca="1"/>
        <v>1.3533999999999999</v>
      </c>
      <c r="K159">
        <f ca="1">IF(ROW(T_CALC[[#This Row],[DAY]])-ROW(T_CALC[[#Headers],[DAY]])&gt;C_N_TRADING_DAYS,"",ROW(T_CALC[[#This Row],[DAY]])-ROW(T_CALC[[#Headers],[DAY]]))</f>
        <v>156</v>
      </c>
      <c r="L159" cm="1" vm="2063">
        <f t="array" aca="1" ref="L159" ca="1">IFERROR(INDEX(_xlfn.ANCHORARRAY($C$3),T_CALC[[#This Row],[DAY]]+1,1),NA())</f>
        <v>42975</v>
      </c>
      <c r="M159" cm="1" vm="2064">
        <f t="array" aca="1" ref="M159" ca="1">IFERROR(INDEX(_xlfn.ANCHORARRAY($C$3),T_CALC[[#This Row],[DAY]]+1,3),NA())</f>
        <v>1.3548</v>
      </c>
      <c r="N159" cm="1" vm="2065">
        <f t="array" aca="1" ref="N159" ca="1">IFERROR(INDEX(_xlfn.ANCHORARRAY($C$3),T_CALC[[#This Row],[DAY]]+1,4),NA())</f>
        <v>1.3568</v>
      </c>
      <c r="O159" cm="1" vm="2066">
        <f t="array" aca="1" ref="O159" ca="1">IFERROR(INDEX(_xlfn.ANCHORARRAY($C$3),T_CALC[[#This Row],[DAY]]+1,5),NA())</f>
        <v>1.3524</v>
      </c>
      <c r="P159" cm="1" vm="2067">
        <f t="array" aca="1" ref="P159" ca="1">IFERROR(INDEX(_xlfn.ANCHORARRAY($C$3),T_CALC[[#This Row],[DAY]]+1,6),NA())</f>
        <v>1.3533999999999999</v>
      </c>
      <c r="Q159" cm="1">
        <f t="array" aca="1" ref="Q159" ca="1">IFERROR(INDEX(_xlfn.ANCHORARRAY($C$3),T_CALC[[#This Row],[DAY]]+1,2),NA())</f>
        <v>0</v>
      </c>
    </row>
    <row r="160" spans="3:17">
      <c r="C160" vm="2068">
        <f ca="1"/>
        <v>42976</v>
      </c>
      <c r="D160">
        <f ca="1"/>
        <v>0</v>
      </c>
      <c r="E160" vm="2069">
        <f ca="1"/>
        <v>1.353</v>
      </c>
      <c r="F160" vm="2070">
        <f ca="1"/>
        <v>1.3563000000000001</v>
      </c>
      <c r="G160" vm="2071">
        <f ca="1"/>
        <v>1.3502000000000001</v>
      </c>
      <c r="H160" vm="2064">
        <f ca="1"/>
        <v>1.3548</v>
      </c>
      <c r="K160">
        <f ca="1">IF(ROW(T_CALC[[#This Row],[DAY]])-ROW(T_CALC[[#Headers],[DAY]])&gt;C_N_TRADING_DAYS,"",ROW(T_CALC[[#This Row],[DAY]])-ROW(T_CALC[[#Headers],[DAY]]))</f>
        <v>157</v>
      </c>
      <c r="L160" cm="1" vm="2068">
        <f t="array" aca="1" ref="L160" ca="1">IFERROR(INDEX(_xlfn.ANCHORARRAY($C$3),T_CALC[[#This Row],[DAY]]+1,1),NA())</f>
        <v>42976</v>
      </c>
      <c r="M160" cm="1" vm="2069">
        <f t="array" aca="1" ref="M160" ca="1">IFERROR(INDEX(_xlfn.ANCHORARRAY($C$3),T_CALC[[#This Row],[DAY]]+1,3),NA())</f>
        <v>1.353</v>
      </c>
      <c r="N160" cm="1" vm="2070">
        <f t="array" aca="1" ref="N160" ca="1">IFERROR(INDEX(_xlfn.ANCHORARRAY($C$3),T_CALC[[#This Row],[DAY]]+1,4),NA())</f>
        <v>1.3563000000000001</v>
      </c>
      <c r="O160" cm="1" vm="2071">
        <f t="array" aca="1" ref="O160" ca="1">IFERROR(INDEX(_xlfn.ANCHORARRAY($C$3),T_CALC[[#This Row],[DAY]]+1,5),NA())</f>
        <v>1.3502000000000001</v>
      </c>
      <c r="P160" cm="1" vm="2064">
        <f t="array" aca="1" ref="P160" ca="1">IFERROR(INDEX(_xlfn.ANCHORARRAY($C$3),T_CALC[[#This Row],[DAY]]+1,6),NA())</f>
        <v>1.3548</v>
      </c>
      <c r="Q160" cm="1">
        <f t="array" aca="1" ref="Q160" ca="1">IFERROR(INDEX(_xlfn.ANCHORARRAY($C$3),T_CALC[[#This Row],[DAY]]+1,2),NA())</f>
        <v>0</v>
      </c>
    </row>
    <row r="161" spans="3:17">
      <c r="C161" vm="2072">
        <f ca="1"/>
        <v>42977</v>
      </c>
      <c r="D161">
        <f ca="1"/>
        <v>0</v>
      </c>
      <c r="E161" vm="2061">
        <f ca="1"/>
        <v>1.3547</v>
      </c>
      <c r="F161" vm="2022">
        <f ca="1"/>
        <v>1.3587</v>
      </c>
      <c r="G161" vm="2073">
        <f ca="1"/>
        <v>1.3532</v>
      </c>
      <c r="H161" vm="2001">
        <f ca="1"/>
        <v>1.3583000000000001</v>
      </c>
      <c r="K161">
        <f ca="1">IF(ROW(T_CALC[[#This Row],[DAY]])-ROW(T_CALC[[#Headers],[DAY]])&gt;C_N_TRADING_DAYS,"",ROW(T_CALC[[#This Row],[DAY]])-ROW(T_CALC[[#Headers],[DAY]]))</f>
        <v>158</v>
      </c>
      <c r="L161" cm="1" vm="2072">
        <f t="array" aca="1" ref="L161" ca="1">IFERROR(INDEX(_xlfn.ANCHORARRAY($C$3),T_CALC[[#This Row],[DAY]]+1,1),NA())</f>
        <v>42977</v>
      </c>
      <c r="M161" cm="1" vm="2061">
        <f t="array" aca="1" ref="M161" ca="1">IFERROR(INDEX(_xlfn.ANCHORARRAY($C$3),T_CALC[[#This Row],[DAY]]+1,3),NA())</f>
        <v>1.3547</v>
      </c>
      <c r="N161" cm="1" vm="2022">
        <f t="array" aca="1" ref="N161" ca="1">IFERROR(INDEX(_xlfn.ANCHORARRAY($C$3),T_CALC[[#This Row],[DAY]]+1,4),NA())</f>
        <v>1.3587</v>
      </c>
      <c r="O161" cm="1" vm="2073">
        <f t="array" aca="1" ref="O161" ca="1">IFERROR(INDEX(_xlfn.ANCHORARRAY($C$3),T_CALC[[#This Row],[DAY]]+1,5),NA())</f>
        <v>1.3532</v>
      </c>
      <c r="P161" cm="1" vm="2001">
        <f t="array" aca="1" ref="P161" ca="1">IFERROR(INDEX(_xlfn.ANCHORARRAY($C$3),T_CALC[[#This Row],[DAY]]+1,6),NA())</f>
        <v>1.3583000000000001</v>
      </c>
      <c r="Q161" cm="1">
        <f t="array" aca="1" ref="Q161" ca="1">IFERROR(INDEX(_xlfn.ANCHORARRAY($C$3),T_CALC[[#This Row],[DAY]]+1,2),NA())</f>
        <v>0</v>
      </c>
    </row>
    <row r="162" spans="3:17">
      <c r="C162" vm="2074">
        <f ca="1"/>
        <v>42978</v>
      </c>
      <c r="D162">
        <f ca="1"/>
        <v>0</v>
      </c>
      <c r="E162" vm="2075">
        <f ca="1"/>
        <v>1.3581000000000001</v>
      </c>
      <c r="F162" vm="2076">
        <f ca="1"/>
        <v>1.361</v>
      </c>
      <c r="G162" vm="2077">
        <f ca="1"/>
        <v>1.355</v>
      </c>
      <c r="H162" vm="2078">
        <f ca="1"/>
        <v>1.3555999999999999</v>
      </c>
      <c r="K162">
        <f ca="1">IF(ROW(T_CALC[[#This Row],[DAY]])-ROW(T_CALC[[#Headers],[DAY]])&gt;C_N_TRADING_DAYS,"",ROW(T_CALC[[#This Row],[DAY]])-ROW(T_CALC[[#Headers],[DAY]]))</f>
        <v>159</v>
      </c>
      <c r="L162" cm="1" vm="2074">
        <f t="array" aca="1" ref="L162" ca="1">IFERROR(INDEX(_xlfn.ANCHORARRAY($C$3),T_CALC[[#This Row],[DAY]]+1,1),NA())</f>
        <v>42978</v>
      </c>
      <c r="M162" cm="1" vm="2075">
        <f t="array" aca="1" ref="M162" ca="1">IFERROR(INDEX(_xlfn.ANCHORARRAY($C$3),T_CALC[[#This Row],[DAY]]+1,3),NA())</f>
        <v>1.3581000000000001</v>
      </c>
      <c r="N162" cm="1" vm="2076">
        <f t="array" aca="1" ref="N162" ca="1">IFERROR(INDEX(_xlfn.ANCHORARRAY($C$3),T_CALC[[#This Row],[DAY]]+1,4),NA())</f>
        <v>1.361</v>
      </c>
      <c r="O162" cm="1" vm="2077">
        <f t="array" aca="1" ref="O162" ca="1">IFERROR(INDEX(_xlfn.ANCHORARRAY($C$3),T_CALC[[#This Row],[DAY]]+1,5),NA())</f>
        <v>1.355</v>
      </c>
      <c r="P162" cm="1" vm="2078">
        <f t="array" aca="1" ref="P162" ca="1">IFERROR(INDEX(_xlfn.ANCHORARRAY($C$3),T_CALC[[#This Row],[DAY]]+1,6),NA())</f>
        <v>1.3555999999999999</v>
      </c>
      <c r="Q162" cm="1">
        <f t="array" aca="1" ref="Q162" ca="1">IFERROR(INDEX(_xlfn.ANCHORARRAY($C$3),T_CALC[[#This Row],[DAY]]+1,2),NA())</f>
        <v>0</v>
      </c>
    </row>
    <row r="163" spans="3:17">
      <c r="C163" vm="2079">
        <f ca="1"/>
        <v>42979</v>
      </c>
      <c r="D163">
        <f ca="1"/>
        <v>0</v>
      </c>
      <c r="E163" vm="2078">
        <f ca="1"/>
        <v>1.3555999999999999</v>
      </c>
      <c r="F163" vm="2001">
        <f ca="1"/>
        <v>1.3583000000000001</v>
      </c>
      <c r="G163" vm="2080">
        <f ca="1"/>
        <v>1.3501000000000001</v>
      </c>
      <c r="H163" vm="2081">
        <f ca="1"/>
        <v>1.3573</v>
      </c>
      <c r="K163">
        <f ca="1">IF(ROW(T_CALC[[#This Row],[DAY]])-ROW(T_CALC[[#Headers],[DAY]])&gt;C_N_TRADING_DAYS,"",ROW(T_CALC[[#This Row],[DAY]])-ROW(T_CALC[[#Headers],[DAY]]))</f>
        <v>160</v>
      </c>
      <c r="L163" cm="1" vm="2079">
        <f t="array" aca="1" ref="L163" ca="1">IFERROR(INDEX(_xlfn.ANCHORARRAY($C$3),T_CALC[[#This Row],[DAY]]+1,1),NA())</f>
        <v>42979</v>
      </c>
      <c r="M163" cm="1" vm="2078">
        <f t="array" aca="1" ref="M163" ca="1">IFERROR(INDEX(_xlfn.ANCHORARRAY($C$3),T_CALC[[#This Row],[DAY]]+1,3),NA())</f>
        <v>1.3555999999999999</v>
      </c>
      <c r="N163" cm="1" vm="2001">
        <f t="array" aca="1" ref="N163" ca="1">IFERROR(INDEX(_xlfn.ANCHORARRAY($C$3),T_CALC[[#This Row],[DAY]]+1,4),NA())</f>
        <v>1.3583000000000001</v>
      </c>
      <c r="O163" cm="1" vm="2080">
        <f t="array" aca="1" ref="O163" ca="1">IFERROR(INDEX(_xlfn.ANCHORARRAY($C$3),T_CALC[[#This Row],[DAY]]+1,5),NA())</f>
        <v>1.3501000000000001</v>
      </c>
      <c r="P163" cm="1" vm="2081">
        <f t="array" aca="1" ref="P163" ca="1">IFERROR(INDEX(_xlfn.ANCHORARRAY($C$3),T_CALC[[#This Row],[DAY]]+1,6),NA())</f>
        <v>1.3573</v>
      </c>
      <c r="Q163" cm="1">
        <f t="array" aca="1" ref="Q163" ca="1">IFERROR(INDEX(_xlfn.ANCHORARRAY($C$3),T_CALC[[#This Row],[DAY]]+1,2),NA())</f>
        <v>0</v>
      </c>
    </row>
    <row r="164" spans="3:17">
      <c r="C164" vm="2082">
        <f ca="1"/>
        <v>42982</v>
      </c>
      <c r="D164">
        <f ca="1"/>
        <v>0</v>
      </c>
      <c r="E164" vm="2081">
        <f ca="1"/>
        <v>1.3573</v>
      </c>
      <c r="F164" vm="2083">
        <f ca="1"/>
        <v>1.3584000000000001</v>
      </c>
      <c r="G164" vm="1988">
        <f ca="1"/>
        <v>1.3552</v>
      </c>
      <c r="H164" vm="2084">
        <f ca="1"/>
        <v>1.3566</v>
      </c>
      <c r="K164">
        <f ca="1">IF(ROW(T_CALC[[#This Row],[DAY]])-ROW(T_CALC[[#Headers],[DAY]])&gt;C_N_TRADING_DAYS,"",ROW(T_CALC[[#This Row],[DAY]])-ROW(T_CALC[[#Headers],[DAY]]))</f>
        <v>161</v>
      </c>
      <c r="L164" cm="1" vm="2082">
        <f t="array" aca="1" ref="L164" ca="1">IFERROR(INDEX(_xlfn.ANCHORARRAY($C$3),T_CALC[[#This Row],[DAY]]+1,1),NA())</f>
        <v>42982</v>
      </c>
      <c r="M164" cm="1" vm="2081">
        <f t="array" aca="1" ref="M164" ca="1">IFERROR(INDEX(_xlfn.ANCHORARRAY($C$3),T_CALC[[#This Row],[DAY]]+1,3),NA())</f>
        <v>1.3573</v>
      </c>
      <c r="N164" cm="1" vm="2083">
        <f t="array" aca="1" ref="N164" ca="1">IFERROR(INDEX(_xlfn.ANCHORARRAY($C$3),T_CALC[[#This Row],[DAY]]+1,4),NA())</f>
        <v>1.3584000000000001</v>
      </c>
      <c r="O164" cm="1" vm="1988">
        <f t="array" aca="1" ref="O164" ca="1">IFERROR(INDEX(_xlfn.ANCHORARRAY($C$3),T_CALC[[#This Row],[DAY]]+1,5),NA())</f>
        <v>1.3552</v>
      </c>
      <c r="P164" cm="1" vm="2084">
        <f t="array" aca="1" ref="P164" ca="1">IFERROR(INDEX(_xlfn.ANCHORARRAY($C$3),T_CALC[[#This Row],[DAY]]+1,6),NA())</f>
        <v>1.3566</v>
      </c>
      <c r="Q164" cm="1">
        <f t="array" aca="1" ref="Q164" ca="1">IFERROR(INDEX(_xlfn.ANCHORARRAY($C$3),T_CALC[[#This Row],[DAY]]+1,2),NA())</f>
        <v>0</v>
      </c>
    </row>
    <row r="165" spans="3:17">
      <c r="C165" vm="2085">
        <f ca="1"/>
        <v>42983</v>
      </c>
      <c r="D165">
        <f ca="1"/>
        <v>0</v>
      </c>
      <c r="E165" vm="1991">
        <f ca="1"/>
        <v>1.357</v>
      </c>
      <c r="F165" vm="2081">
        <f ca="1"/>
        <v>1.3573</v>
      </c>
      <c r="G165" vm="2086">
        <f ca="1"/>
        <v>1.351</v>
      </c>
      <c r="H165" vm="2066">
        <f ca="1"/>
        <v>1.3524</v>
      </c>
      <c r="K165">
        <f ca="1">IF(ROW(T_CALC[[#This Row],[DAY]])-ROW(T_CALC[[#Headers],[DAY]])&gt;C_N_TRADING_DAYS,"",ROW(T_CALC[[#This Row],[DAY]])-ROW(T_CALC[[#Headers],[DAY]]))</f>
        <v>162</v>
      </c>
      <c r="L165" cm="1" vm="2085">
        <f t="array" aca="1" ref="L165" ca="1">IFERROR(INDEX(_xlfn.ANCHORARRAY($C$3),T_CALC[[#This Row],[DAY]]+1,1),NA())</f>
        <v>42983</v>
      </c>
      <c r="M165" cm="1" vm="1991">
        <f t="array" aca="1" ref="M165" ca="1">IFERROR(INDEX(_xlfn.ANCHORARRAY($C$3),T_CALC[[#This Row],[DAY]]+1,3),NA())</f>
        <v>1.357</v>
      </c>
      <c r="N165" cm="1" vm="2081">
        <f t="array" aca="1" ref="N165" ca="1">IFERROR(INDEX(_xlfn.ANCHORARRAY($C$3),T_CALC[[#This Row],[DAY]]+1,4),NA())</f>
        <v>1.3573</v>
      </c>
      <c r="O165" cm="1" vm="2086">
        <f t="array" aca="1" ref="O165" ca="1">IFERROR(INDEX(_xlfn.ANCHORARRAY($C$3),T_CALC[[#This Row],[DAY]]+1,5),NA())</f>
        <v>1.351</v>
      </c>
      <c r="P165" cm="1" vm="2066">
        <f t="array" aca="1" ref="P165" ca="1">IFERROR(INDEX(_xlfn.ANCHORARRAY($C$3),T_CALC[[#This Row],[DAY]]+1,6),NA())</f>
        <v>1.3524</v>
      </c>
      <c r="Q165" cm="1">
        <f t="array" aca="1" ref="Q165" ca="1">IFERROR(INDEX(_xlfn.ANCHORARRAY($C$3),T_CALC[[#This Row],[DAY]]+1,2),NA())</f>
        <v>0</v>
      </c>
    </row>
    <row r="166" spans="3:17">
      <c r="C166" vm="2087">
        <f ca="1"/>
        <v>42984</v>
      </c>
      <c r="D166">
        <f ca="1"/>
        <v>0</v>
      </c>
      <c r="E166" vm="2088">
        <f ca="1"/>
        <v>1.3526</v>
      </c>
      <c r="F166" vm="2089">
        <f ca="1"/>
        <v>1.3537999999999999</v>
      </c>
      <c r="G166" vm="2090">
        <f ca="1"/>
        <v>1.3476999999999999</v>
      </c>
      <c r="H166" vm="2091">
        <f ca="1"/>
        <v>1.35</v>
      </c>
      <c r="K166">
        <f ca="1">IF(ROW(T_CALC[[#This Row],[DAY]])-ROW(T_CALC[[#Headers],[DAY]])&gt;C_N_TRADING_DAYS,"",ROW(T_CALC[[#This Row],[DAY]])-ROW(T_CALC[[#Headers],[DAY]]))</f>
        <v>163</v>
      </c>
      <c r="L166" cm="1" vm="2087">
        <f t="array" aca="1" ref="L166" ca="1">IFERROR(INDEX(_xlfn.ANCHORARRAY($C$3),T_CALC[[#This Row],[DAY]]+1,1),NA())</f>
        <v>42984</v>
      </c>
      <c r="M166" cm="1" vm="2088">
        <f t="array" aca="1" ref="M166" ca="1">IFERROR(INDEX(_xlfn.ANCHORARRAY($C$3),T_CALC[[#This Row],[DAY]]+1,3),NA())</f>
        <v>1.3526</v>
      </c>
      <c r="N166" cm="1" vm="2089">
        <f t="array" aca="1" ref="N166" ca="1">IFERROR(INDEX(_xlfn.ANCHORARRAY($C$3),T_CALC[[#This Row],[DAY]]+1,4),NA())</f>
        <v>1.3537999999999999</v>
      </c>
      <c r="O166" cm="1" vm="2090">
        <f t="array" aca="1" ref="O166" ca="1">IFERROR(INDEX(_xlfn.ANCHORARRAY($C$3),T_CALC[[#This Row],[DAY]]+1,5),NA())</f>
        <v>1.3476999999999999</v>
      </c>
      <c r="P166" cm="1" vm="2091">
        <f t="array" aca="1" ref="P166" ca="1">IFERROR(INDEX(_xlfn.ANCHORARRAY($C$3),T_CALC[[#This Row],[DAY]]+1,6),NA())</f>
        <v>1.35</v>
      </c>
      <c r="Q166" cm="1">
        <f t="array" aca="1" ref="Q166" ca="1">IFERROR(INDEX(_xlfn.ANCHORARRAY($C$3),T_CALC[[#This Row],[DAY]]+1,2),NA())</f>
        <v>0</v>
      </c>
    </row>
    <row r="167" spans="3:17">
      <c r="C167" vm="2092">
        <f ca="1"/>
        <v>42985</v>
      </c>
      <c r="D167">
        <f ca="1"/>
        <v>0</v>
      </c>
      <c r="E167" vm="2093">
        <f ca="1"/>
        <v>1.3499000000000001</v>
      </c>
      <c r="F167" vm="2094">
        <f ca="1"/>
        <v>1.3508</v>
      </c>
      <c r="G167" vm="2095">
        <f ca="1"/>
        <v>1.3391</v>
      </c>
      <c r="H167" vm="2096">
        <f ca="1"/>
        <v>1.3399000000000001</v>
      </c>
      <c r="K167">
        <f ca="1">IF(ROW(T_CALC[[#This Row],[DAY]])-ROW(T_CALC[[#Headers],[DAY]])&gt;C_N_TRADING_DAYS,"",ROW(T_CALC[[#This Row],[DAY]])-ROW(T_CALC[[#Headers],[DAY]]))</f>
        <v>164</v>
      </c>
      <c r="L167" cm="1" vm="2092">
        <f t="array" aca="1" ref="L167" ca="1">IFERROR(INDEX(_xlfn.ANCHORARRAY($C$3),T_CALC[[#This Row],[DAY]]+1,1),NA())</f>
        <v>42985</v>
      </c>
      <c r="M167" cm="1" vm="2093">
        <f t="array" aca="1" ref="M167" ca="1">IFERROR(INDEX(_xlfn.ANCHORARRAY($C$3),T_CALC[[#This Row],[DAY]]+1,3),NA())</f>
        <v>1.3499000000000001</v>
      </c>
      <c r="N167" cm="1" vm="2094">
        <f t="array" aca="1" ref="N167" ca="1">IFERROR(INDEX(_xlfn.ANCHORARRAY($C$3),T_CALC[[#This Row],[DAY]]+1,4),NA())</f>
        <v>1.3508</v>
      </c>
      <c r="O167" cm="1" vm="2095">
        <f t="array" aca="1" ref="O167" ca="1">IFERROR(INDEX(_xlfn.ANCHORARRAY($C$3),T_CALC[[#This Row],[DAY]]+1,5),NA())</f>
        <v>1.3391</v>
      </c>
      <c r="P167" cm="1" vm="2096">
        <f t="array" aca="1" ref="P167" ca="1">IFERROR(INDEX(_xlfn.ANCHORARRAY($C$3),T_CALC[[#This Row],[DAY]]+1,6),NA())</f>
        <v>1.3399000000000001</v>
      </c>
      <c r="Q167" cm="1">
        <f t="array" aca="1" ref="Q167" ca="1">IFERROR(INDEX(_xlfn.ANCHORARRAY($C$3),T_CALC[[#This Row],[DAY]]+1,2),NA())</f>
        <v>0</v>
      </c>
    </row>
    <row r="168" spans="3:17">
      <c r="C168" vm="2097">
        <f ca="1"/>
        <v>42986</v>
      </c>
      <c r="D168">
        <f ca="1"/>
        <v>0</v>
      </c>
      <c r="E168" vm="2098">
        <f ca="1"/>
        <v>1.3392999999999999</v>
      </c>
      <c r="F168" vm="2099">
        <f ca="1"/>
        <v>1.3425</v>
      </c>
      <c r="G168" vm="2100">
        <f ca="1"/>
        <v>1.3342000000000001</v>
      </c>
      <c r="H168" vm="2101">
        <f ca="1"/>
        <v>1.3419000000000001</v>
      </c>
      <c r="K168">
        <f ca="1">IF(ROW(T_CALC[[#This Row],[DAY]])-ROW(T_CALC[[#Headers],[DAY]])&gt;C_N_TRADING_DAYS,"",ROW(T_CALC[[#This Row],[DAY]])-ROW(T_CALC[[#Headers],[DAY]]))</f>
        <v>165</v>
      </c>
      <c r="L168" cm="1" vm="2097">
        <f t="array" aca="1" ref="L168" ca="1">IFERROR(INDEX(_xlfn.ANCHORARRAY($C$3),T_CALC[[#This Row],[DAY]]+1,1),NA())</f>
        <v>42986</v>
      </c>
      <c r="M168" cm="1" vm="2098">
        <f t="array" aca="1" ref="M168" ca="1">IFERROR(INDEX(_xlfn.ANCHORARRAY($C$3),T_CALC[[#This Row],[DAY]]+1,3),NA())</f>
        <v>1.3392999999999999</v>
      </c>
      <c r="N168" cm="1" vm="2099">
        <f t="array" aca="1" ref="N168" ca="1">IFERROR(INDEX(_xlfn.ANCHORARRAY($C$3),T_CALC[[#This Row],[DAY]]+1,4),NA())</f>
        <v>1.3425</v>
      </c>
      <c r="O168" cm="1" vm="2100">
        <f t="array" aca="1" ref="O168" ca="1">IFERROR(INDEX(_xlfn.ANCHORARRAY($C$3),T_CALC[[#This Row],[DAY]]+1,5),NA())</f>
        <v>1.3342000000000001</v>
      </c>
      <c r="P168" cm="1" vm="2101">
        <f t="array" aca="1" ref="P168" ca="1">IFERROR(INDEX(_xlfn.ANCHORARRAY($C$3),T_CALC[[#This Row],[DAY]]+1,6),NA())</f>
        <v>1.3419000000000001</v>
      </c>
      <c r="Q168" cm="1">
        <f t="array" aca="1" ref="Q168" ca="1">IFERROR(INDEX(_xlfn.ANCHORARRAY($C$3),T_CALC[[#This Row],[DAY]]+1,2),NA())</f>
        <v>0</v>
      </c>
    </row>
    <row r="169" spans="3:17">
      <c r="C169" vm="2102">
        <f ca="1"/>
        <v>42989</v>
      </c>
      <c r="D169">
        <f ca="1"/>
        <v>0</v>
      </c>
      <c r="E169" vm="2103">
        <f ca="1"/>
        <v>1.341</v>
      </c>
      <c r="F169" vm="2104">
        <f ca="1"/>
        <v>1.3469</v>
      </c>
      <c r="G169" vm="2105">
        <f ca="1"/>
        <v>1.3405</v>
      </c>
      <c r="H169" vm="2106">
        <f ca="1"/>
        <v>1.3466</v>
      </c>
      <c r="K169">
        <f ca="1">IF(ROW(T_CALC[[#This Row],[DAY]])-ROW(T_CALC[[#Headers],[DAY]])&gt;C_N_TRADING_DAYS,"",ROW(T_CALC[[#This Row],[DAY]])-ROW(T_CALC[[#Headers],[DAY]]))</f>
        <v>166</v>
      </c>
      <c r="L169" cm="1" vm="2102">
        <f t="array" aca="1" ref="L169" ca="1">IFERROR(INDEX(_xlfn.ANCHORARRAY($C$3),T_CALC[[#This Row],[DAY]]+1,1),NA())</f>
        <v>42989</v>
      </c>
      <c r="M169" cm="1" vm="2103">
        <f t="array" aca="1" ref="M169" ca="1">IFERROR(INDEX(_xlfn.ANCHORARRAY($C$3),T_CALC[[#This Row],[DAY]]+1,3),NA())</f>
        <v>1.341</v>
      </c>
      <c r="N169" cm="1" vm="2104">
        <f t="array" aca="1" ref="N169" ca="1">IFERROR(INDEX(_xlfn.ANCHORARRAY($C$3),T_CALC[[#This Row],[DAY]]+1,4),NA())</f>
        <v>1.3469</v>
      </c>
      <c r="O169" cm="1" vm="2105">
        <f t="array" aca="1" ref="O169" ca="1">IFERROR(INDEX(_xlfn.ANCHORARRAY($C$3),T_CALC[[#This Row],[DAY]]+1,5),NA())</f>
        <v>1.3405</v>
      </c>
      <c r="P169" cm="1" vm="2106">
        <f t="array" aca="1" ref="P169" ca="1">IFERROR(INDEX(_xlfn.ANCHORARRAY($C$3),T_CALC[[#This Row],[DAY]]+1,6),NA())</f>
        <v>1.3466</v>
      </c>
      <c r="Q169" cm="1">
        <f t="array" aca="1" ref="Q169" ca="1">IFERROR(INDEX(_xlfn.ANCHORARRAY($C$3),T_CALC[[#This Row],[DAY]]+1,2),NA())</f>
        <v>0</v>
      </c>
    </row>
    <row r="170" spans="3:17">
      <c r="C170" vm="2107">
        <f ca="1"/>
        <v>42990</v>
      </c>
      <c r="D170">
        <f ca="1"/>
        <v>0</v>
      </c>
      <c r="E170" vm="2108">
        <f ca="1"/>
        <v>1.3465</v>
      </c>
      <c r="F170" vm="2109">
        <f ca="1"/>
        <v>1.3481000000000001</v>
      </c>
      <c r="G170" vm="2110">
        <f ca="1"/>
        <v>1.3431999999999999</v>
      </c>
      <c r="H170" vm="2111">
        <f ca="1"/>
        <v>1.3472999999999999</v>
      </c>
      <c r="K170">
        <f ca="1">IF(ROW(T_CALC[[#This Row],[DAY]])-ROW(T_CALC[[#Headers],[DAY]])&gt;C_N_TRADING_DAYS,"",ROW(T_CALC[[#This Row],[DAY]])-ROW(T_CALC[[#Headers],[DAY]]))</f>
        <v>167</v>
      </c>
      <c r="L170" cm="1" vm="2107">
        <f t="array" aca="1" ref="L170" ca="1">IFERROR(INDEX(_xlfn.ANCHORARRAY($C$3),T_CALC[[#This Row],[DAY]]+1,1),NA())</f>
        <v>42990</v>
      </c>
      <c r="M170" cm="1" vm="2108">
        <f t="array" aca="1" ref="M170" ca="1">IFERROR(INDEX(_xlfn.ANCHORARRAY($C$3),T_CALC[[#This Row],[DAY]]+1,3),NA())</f>
        <v>1.3465</v>
      </c>
      <c r="N170" cm="1" vm="2109">
        <f t="array" aca="1" ref="N170" ca="1">IFERROR(INDEX(_xlfn.ANCHORARRAY($C$3),T_CALC[[#This Row],[DAY]]+1,4),NA())</f>
        <v>1.3481000000000001</v>
      </c>
      <c r="O170" cm="1" vm="2110">
        <f t="array" aca="1" ref="O170" ca="1">IFERROR(INDEX(_xlfn.ANCHORARRAY($C$3),T_CALC[[#This Row],[DAY]]+1,5),NA())</f>
        <v>1.3431999999999999</v>
      </c>
      <c r="P170" cm="1" vm="2111">
        <f t="array" aca="1" ref="P170" ca="1">IFERROR(INDEX(_xlfn.ANCHORARRAY($C$3),T_CALC[[#This Row],[DAY]]+1,6),NA())</f>
        <v>1.3472999999999999</v>
      </c>
      <c r="Q170" cm="1">
        <f t="array" aca="1" ref="Q170" ca="1">IFERROR(INDEX(_xlfn.ANCHORARRAY($C$3),T_CALC[[#This Row],[DAY]]+1,2),NA())</f>
        <v>0</v>
      </c>
    </row>
    <row r="171" spans="3:17">
      <c r="C171" vm="2112">
        <f ca="1"/>
        <v>42991</v>
      </c>
      <c r="D171">
        <f ca="1"/>
        <v>0</v>
      </c>
      <c r="E171" vm="2113">
        <f ca="1"/>
        <v>1.3468</v>
      </c>
      <c r="F171" vm="2114">
        <f ca="1"/>
        <v>1.3512999999999999</v>
      </c>
      <c r="G171" vm="2115">
        <f ca="1"/>
        <v>1.3433999999999999</v>
      </c>
      <c r="H171" vm="2071">
        <f ca="1"/>
        <v>1.3502000000000001</v>
      </c>
      <c r="K171">
        <f ca="1">IF(ROW(T_CALC[[#This Row],[DAY]])-ROW(T_CALC[[#Headers],[DAY]])&gt;C_N_TRADING_DAYS,"",ROW(T_CALC[[#This Row],[DAY]])-ROW(T_CALC[[#Headers],[DAY]]))</f>
        <v>168</v>
      </c>
      <c r="L171" cm="1" vm="2112">
        <f t="array" aca="1" ref="L171" ca="1">IFERROR(INDEX(_xlfn.ANCHORARRAY($C$3),T_CALC[[#This Row],[DAY]]+1,1),NA())</f>
        <v>42991</v>
      </c>
      <c r="M171" cm="1" vm="2113">
        <f t="array" aca="1" ref="M171" ca="1">IFERROR(INDEX(_xlfn.ANCHORARRAY($C$3),T_CALC[[#This Row],[DAY]]+1,3),NA())</f>
        <v>1.3468</v>
      </c>
      <c r="N171" cm="1" vm="2114">
        <f t="array" aca="1" ref="N171" ca="1">IFERROR(INDEX(_xlfn.ANCHORARRAY($C$3),T_CALC[[#This Row],[DAY]]+1,4),NA())</f>
        <v>1.3512999999999999</v>
      </c>
      <c r="O171" cm="1" vm="2115">
        <f t="array" aca="1" ref="O171" ca="1">IFERROR(INDEX(_xlfn.ANCHORARRAY($C$3),T_CALC[[#This Row],[DAY]]+1,5),NA())</f>
        <v>1.3433999999999999</v>
      </c>
      <c r="P171" cm="1" vm="2071">
        <f t="array" aca="1" ref="P171" ca="1">IFERROR(INDEX(_xlfn.ANCHORARRAY($C$3),T_CALC[[#This Row],[DAY]]+1,6),NA())</f>
        <v>1.3502000000000001</v>
      </c>
      <c r="Q171" cm="1">
        <f t="array" aca="1" ref="Q171" ca="1">IFERROR(INDEX(_xlfn.ANCHORARRAY($C$3),T_CALC[[#This Row],[DAY]]+1,2),NA())</f>
        <v>0</v>
      </c>
    </row>
    <row r="172" spans="3:17">
      <c r="C172" vm="2116">
        <f ca="1"/>
        <v>42992</v>
      </c>
      <c r="D172">
        <f ca="1"/>
        <v>0</v>
      </c>
      <c r="E172" vm="2117">
        <f ca="1"/>
        <v>1.3507</v>
      </c>
      <c r="F172" vm="2007">
        <f ca="1"/>
        <v>1.3536999999999999</v>
      </c>
      <c r="G172" vm="2118">
        <f ca="1"/>
        <v>1.3458000000000001</v>
      </c>
      <c r="H172" vm="2106">
        <f ca="1"/>
        <v>1.3466</v>
      </c>
      <c r="K172">
        <f ca="1">IF(ROW(T_CALC[[#This Row],[DAY]])-ROW(T_CALC[[#Headers],[DAY]])&gt;C_N_TRADING_DAYS,"",ROW(T_CALC[[#This Row],[DAY]])-ROW(T_CALC[[#Headers],[DAY]]))</f>
        <v>169</v>
      </c>
      <c r="L172" cm="1" vm="2116">
        <f t="array" aca="1" ref="L172" ca="1">IFERROR(INDEX(_xlfn.ANCHORARRAY($C$3),T_CALC[[#This Row],[DAY]]+1,1),NA())</f>
        <v>42992</v>
      </c>
      <c r="M172" cm="1" vm="2117">
        <f t="array" aca="1" ref="M172" ca="1">IFERROR(INDEX(_xlfn.ANCHORARRAY($C$3),T_CALC[[#This Row],[DAY]]+1,3),NA())</f>
        <v>1.3507</v>
      </c>
      <c r="N172" cm="1" vm="2007">
        <f t="array" aca="1" ref="N172" ca="1">IFERROR(INDEX(_xlfn.ANCHORARRAY($C$3),T_CALC[[#This Row],[DAY]]+1,4),NA())</f>
        <v>1.3536999999999999</v>
      </c>
      <c r="O172" cm="1" vm="2118">
        <f t="array" aca="1" ref="O172" ca="1">IFERROR(INDEX(_xlfn.ANCHORARRAY($C$3),T_CALC[[#This Row],[DAY]]+1,5),NA())</f>
        <v>1.3458000000000001</v>
      </c>
      <c r="P172" cm="1" vm="2106">
        <f t="array" aca="1" ref="P172" ca="1">IFERROR(INDEX(_xlfn.ANCHORARRAY($C$3),T_CALC[[#This Row],[DAY]]+1,6),NA())</f>
        <v>1.3466</v>
      </c>
      <c r="Q172" cm="1">
        <f t="array" aca="1" ref="Q172" ca="1">IFERROR(INDEX(_xlfn.ANCHORARRAY($C$3),T_CALC[[#This Row],[DAY]]+1,2),NA())</f>
        <v>0</v>
      </c>
    </row>
    <row r="173" spans="3:17">
      <c r="C173" vm="2119">
        <f ca="1"/>
        <v>42993</v>
      </c>
      <c r="D173">
        <f ca="1"/>
        <v>0</v>
      </c>
      <c r="E173" vm="2120">
        <f ca="1"/>
        <v>1.3462000000000001</v>
      </c>
      <c r="F173" vm="2121">
        <f ca="1"/>
        <v>1.3479000000000001</v>
      </c>
      <c r="G173" vm="2122">
        <f ca="1"/>
        <v>1.3420000000000001</v>
      </c>
      <c r="H173" vm="2123">
        <f ca="1"/>
        <v>1.345</v>
      </c>
      <c r="K173">
        <f ca="1">IF(ROW(T_CALC[[#This Row],[DAY]])-ROW(T_CALC[[#Headers],[DAY]])&gt;C_N_TRADING_DAYS,"",ROW(T_CALC[[#This Row],[DAY]])-ROW(T_CALC[[#Headers],[DAY]]))</f>
        <v>170</v>
      </c>
      <c r="L173" cm="1" vm="2119">
        <f t="array" aca="1" ref="L173" ca="1">IFERROR(INDEX(_xlfn.ANCHORARRAY($C$3),T_CALC[[#This Row],[DAY]]+1,1),NA())</f>
        <v>42993</v>
      </c>
      <c r="M173" cm="1" vm="2120">
        <f t="array" aca="1" ref="M173" ca="1">IFERROR(INDEX(_xlfn.ANCHORARRAY($C$3),T_CALC[[#This Row],[DAY]]+1,3),NA())</f>
        <v>1.3462000000000001</v>
      </c>
      <c r="N173" cm="1" vm="2121">
        <f t="array" aca="1" ref="N173" ca="1">IFERROR(INDEX(_xlfn.ANCHORARRAY($C$3),T_CALC[[#This Row],[DAY]]+1,4),NA())</f>
        <v>1.3479000000000001</v>
      </c>
      <c r="O173" cm="1" vm="2122">
        <f t="array" aca="1" ref="O173" ca="1">IFERROR(INDEX(_xlfn.ANCHORARRAY($C$3),T_CALC[[#This Row],[DAY]]+1,5),NA())</f>
        <v>1.3420000000000001</v>
      </c>
      <c r="P173" cm="1" vm="2123">
        <f t="array" aca="1" ref="P173" ca="1">IFERROR(INDEX(_xlfn.ANCHORARRAY($C$3),T_CALC[[#This Row],[DAY]]+1,6),NA())</f>
        <v>1.345</v>
      </c>
      <c r="Q173" cm="1">
        <f t="array" aca="1" ref="Q173" ca="1">IFERROR(INDEX(_xlfn.ANCHORARRAY($C$3),T_CALC[[#This Row],[DAY]]+1,2),NA())</f>
        <v>0</v>
      </c>
    </row>
    <row r="174" spans="3:17">
      <c r="C174" vm="2124">
        <f ca="1"/>
        <v>42996</v>
      </c>
      <c r="D174">
        <f ca="1"/>
        <v>0</v>
      </c>
      <c r="E174" vm="2125">
        <f ca="1"/>
        <v>1.3451</v>
      </c>
      <c r="F174" vm="2126">
        <f ca="1"/>
        <v>1.3495999999999999</v>
      </c>
      <c r="G174" vm="2101">
        <f ca="1"/>
        <v>1.3419000000000001</v>
      </c>
      <c r="H174" vm="2127">
        <f ca="1"/>
        <v>1.3475999999999999</v>
      </c>
      <c r="K174">
        <f ca="1">IF(ROW(T_CALC[[#This Row],[DAY]])-ROW(T_CALC[[#Headers],[DAY]])&gt;C_N_TRADING_DAYS,"",ROW(T_CALC[[#This Row],[DAY]])-ROW(T_CALC[[#Headers],[DAY]]))</f>
        <v>171</v>
      </c>
      <c r="L174" cm="1" vm="2124">
        <f t="array" aca="1" ref="L174" ca="1">IFERROR(INDEX(_xlfn.ANCHORARRAY($C$3),T_CALC[[#This Row],[DAY]]+1,1),NA())</f>
        <v>42996</v>
      </c>
      <c r="M174" cm="1" vm="2125">
        <f t="array" aca="1" ref="M174" ca="1">IFERROR(INDEX(_xlfn.ANCHORARRAY($C$3),T_CALC[[#This Row],[DAY]]+1,3),NA())</f>
        <v>1.3451</v>
      </c>
      <c r="N174" cm="1" vm="2126">
        <f t="array" aca="1" ref="N174" ca="1">IFERROR(INDEX(_xlfn.ANCHORARRAY($C$3),T_CALC[[#This Row],[DAY]]+1,4),NA())</f>
        <v>1.3495999999999999</v>
      </c>
      <c r="O174" cm="1" vm="2101">
        <f t="array" aca="1" ref="O174" ca="1">IFERROR(INDEX(_xlfn.ANCHORARRAY($C$3),T_CALC[[#This Row],[DAY]]+1,5),NA())</f>
        <v>1.3419000000000001</v>
      </c>
      <c r="P174" cm="1" vm="2127">
        <f t="array" aca="1" ref="P174" ca="1">IFERROR(INDEX(_xlfn.ANCHORARRAY($C$3),T_CALC[[#This Row],[DAY]]+1,6),NA())</f>
        <v>1.3475999999999999</v>
      </c>
      <c r="Q174" cm="1">
        <f t="array" aca="1" ref="Q174" ca="1">IFERROR(INDEX(_xlfn.ANCHORARRAY($C$3),T_CALC[[#This Row],[DAY]]+1,2),NA())</f>
        <v>0</v>
      </c>
    </row>
    <row r="175" spans="3:17">
      <c r="C175" vm="2128">
        <f ca="1"/>
        <v>42997</v>
      </c>
      <c r="D175">
        <f ca="1"/>
        <v>0</v>
      </c>
      <c r="E175" vm="2111">
        <f ca="1"/>
        <v>1.3472999999999999</v>
      </c>
      <c r="F175" vm="2129">
        <f ca="1"/>
        <v>1.3493999999999999</v>
      </c>
      <c r="G175" vm="2125">
        <f ca="1"/>
        <v>1.3451</v>
      </c>
      <c r="H175" vm="2130">
        <f ca="1"/>
        <v>1.3464</v>
      </c>
      <c r="K175">
        <f ca="1">IF(ROW(T_CALC[[#This Row],[DAY]])-ROW(T_CALC[[#Headers],[DAY]])&gt;C_N_TRADING_DAYS,"",ROW(T_CALC[[#This Row],[DAY]])-ROW(T_CALC[[#Headers],[DAY]]))</f>
        <v>172</v>
      </c>
      <c r="L175" cm="1" vm="2128">
        <f t="array" aca="1" ref="L175" ca="1">IFERROR(INDEX(_xlfn.ANCHORARRAY($C$3),T_CALC[[#This Row],[DAY]]+1,1),NA())</f>
        <v>42997</v>
      </c>
      <c r="M175" cm="1" vm="2111">
        <f t="array" aca="1" ref="M175" ca="1">IFERROR(INDEX(_xlfn.ANCHORARRAY($C$3),T_CALC[[#This Row],[DAY]]+1,3),NA())</f>
        <v>1.3472999999999999</v>
      </c>
      <c r="N175" cm="1" vm="2129">
        <f t="array" aca="1" ref="N175" ca="1">IFERROR(INDEX(_xlfn.ANCHORARRAY($C$3),T_CALC[[#This Row],[DAY]]+1,4),NA())</f>
        <v>1.3493999999999999</v>
      </c>
      <c r="O175" cm="1" vm="2125">
        <f t="array" aca="1" ref="O175" ca="1">IFERROR(INDEX(_xlfn.ANCHORARRAY($C$3),T_CALC[[#This Row],[DAY]]+1,5),NA())</f>
        <v>1.3451</v>
      </c>
      <c r="P175" cm="1" vm="2130">
        <f t="array" aca="1" ref="P175" ca="1">IFERROR(INDEX(_xlfn.ANCHORARRAY($C$3),T_CALC[[#This Row],[DAY]]+1,6),NA())</f>
        <v>1.3464</v>
      </c>
      <c r="Q175" cm="1">
        <f t="array" aca="1" ref="Q175" ca="1">IFERROR(INDEX(_xlfn.ANCHORARRAY($C$3),T_CALC[[#This Row],[DAY]]+1,2),NA())</f>
        <v>0</v>
      </c>
    </row>
    <row r="176" spans="3:17">
      <c r="C176" vm="2131">
        <f ca="1"/>
        <v>42998</v>
      </c>
      <c r="D176">
        <f ca="1"/>
        <v>0</v>
      </c>
      <c r="E176" vm="2104">
        <f ca="1"/>
        <v>1.3469</v>
      </c>
      <c r="F176" vm="2132">
        <f ca="1"/>
        <v>1.3516999999999999</v>
      </c>
      <c r="G176" vm="2096">
        <f ca="1"/>
        <v>1.3399000000000001</v>
      </c>
      <c r="H176" vm="2133">
        <f ca="1"/>
        <v>1.3484</v>
      </c>
      <c r="K176">
        <f ca="1">IF(ROW(T_CALC[[#This Row],[DAY]])-ROW(T_CALC[[#Headers],[DAY]])&gt;C_N_TRADING_DAYS,"",ROW(T_CALC[[#This Row],[DAY]])-ROW(T_CALC[[#Headers],[DAY]]))</f>
        <v>173</v>
      </c>
      <c r="L176" cm="1" vm="2131">
        <f t="array" aca="1" ref="L176" ca="1">IFERROR(INDEX(_xlfn.ANCHORARRAY($C$3),T_CALC[[#This Row],[DAY]]+1,1),NA())</f>
        <v>42998</v>
      </c>
      <c r="M176" cm="1" vm="2104">
        <f t="array" aca="1" ref="M176" ca="1">IFERROR(INDEX(_xlfn.ANCHORARRAY($C$3),T_CALC[[#This Row],[DAY]]+1,3),NA())</f>
        <v>1.3469</v>
      </c>
      <c r="N176" cm="1" vm="2132">
        <f t="array" aca="1" ref="N176" ca="1">IFERROR(INDEX(_xlfn.ANCHORARRAY($C$3),T_CALC[[#This Row],[DAY]]+1,4),NA())</f>
        <v>1.3516999999999999</v>
      </c>
      <c r="O176" cm="1" vm="2096">
        <f t="array" aca="1" ref="O176" ca="1">IFERROR(INDEX(_xlfn.ANCHORARRAY($C$3),T_CALC[[#This Row],[DAY]]+1,5),NA())</f>
        <v>1.3399000000000001</v>
      </c>
      <c r="P176" cm="1" vm="2133">
        <f t="array" aca="1" ref="P176" ca="1">IFERROR(INDEX(_xlfn.ANCHORARRAY($C$3),T_CALC[[#This Row],[DAY]]+1,6),NA())</f>
        <v>1.3484</v>
      </c>
      <c r="Q176" cm="1">
        <f t="array" aca="1" ref="Q176" ca="1">IFERROR(INDEX(_xlfn.ANCHORARRAY($C$3),T_CALC[[#This Row],[DAY]]+1,2),NA())</f>
        <v>0</v>
      </c>
    </row>
    <row r="177" spans="3:17">
      <c r="C177" vm="2134">
        <f ca="1"/>
        <v>42999</v>
      </c>
      <c r="D177">
        <f ca="1"/>
        <v>0</v>
      </c>
      <c r="E177" vm="2135">
        <f ca="1"/>
        <v>1.3486</v>
      </c>
      <c r="F177" vm="2136">
        <f ca="1"/>
        <v>1.3532999999999999</v>
      </c>
      <c r="G177" vm="2109">
        <f ca="1"/>
        <v>1.3481000000000001</v>
      </c>
      <c r="H177" vm="2137">
        <f ca="1"/>
        <v>1.3494999999999999</v>
      </c>
      <c r="K177">
        <f ca="1">IF(ROW(T_CALC[[#This Row],[DAY]])-ROW(T_CALC[[#Headers],[DAY]])&gt;C_N_TRADING_DAYS,"",ROW(T_CALC[[#This Row],[DAY]])-ROW(T_CALC[[#Headers],[DAY]]))</f>
        <v>174</v>
      </c>
      <c r="L177" cm="1" vm="2134">
        <f t="array" aca="1" ref="L177" ca="1">IFERROR(INDEX(_xlfn.ANCHORARRAY($C$3),T_CALC[[#This Row],[DAY]]+1,1),NA())</f>
        <v>42999</v>
      </c>
      <c r="M177" cm="1" vm="2135">
        <f t="array" aca="1" ref="M177" ca="1">IFERROR(INDEX(_xlfn.ANCHORARRAY($C$3),T_CALC[[#This Row],[DAY]]+1,3),NA())</f>
        <v>1.3486</v>
      </c>
      <c r="N177" cm="1" vm="2136">
        <f t="array" aca="1" ref="N177" ca="1">IFERROR(INDEX(_xlfn.ANCHORARRAY($C$3),T_CALC[[#This Row],[DAY]]+1,4),NA())</f>
        <v>1.3532999999999999</v>
      </c>
      <c r="O177" cm="1" vm="2109">
        <f t="array" aca="1" ref="O177" ca="1">IFERROR(INDEX(_xlfn.ANCHORARRAY($C$3),T_CALC[[#This Row],[DAY]]+1,5),NA())</f>
        <v>1.3481000000000001</v>
      </c>
      <c r="P177" cm="1" vm="2137">
        <f t="array" aca="1" ref="P177" ca="1">IFERROR(INDEX(_xlfn.ANCHORARRAY($C$3),T_CALC[[#This Row],[DAY]]+1,6),NA())</f>
        <v>1.3494999999999999</v>
      </c>
      <c r="Q177" cm="1">
        <f t="array" aca="1" ref="Q177" ca="1">IFERROR(INDEX(_xlfn.ANCHORARRAY($C$3),T_CALC[[#This Row],[DAY]]+1,2),NA())</f>
        <v>0</v>
      </c>
    </row>
    <row r="178" spans="3:17">
      <c r="C178" vm="2138">
        <f ca="1"/>
        <v>43000</v>
      </c>
      <c r="D178">
        <f ca="1"/>
        <v>0</v>
      </c>
      <c r="E178" vm="2137">
        <f ca="1"/>
        <v>1.3494999999999999</v>
      </c>
      <c r="F178" vm="2139">
        <f ca="1"/>
        <v>1.3506</v>
      </c>
      <c r="G178" vm="2140">
        <f ca="1"/>
        <v>1.343</v>
      </c>
      <c r="H178" vm="2141">
        <f ca="1"/>
        <v>1.3453999999999999</v>
      </c>
      <c r="K178">
        <f ca="1">IF(ROW(T_CALC[[#This Row],[DAY]])-ROW(T_CALC[[#Headers],[DAY]])&gt;C_N_TRADING_DAYS,"",ROW(T_CALC[[#This Row],[DAY]])-ROW(T_CALC[[#Headers],[DAY]]))</f>
        <v>175</v>
      </c>
      <c r="L178" cm="1" vm="2138">
        <f t="array" aca="1" ref="L178" ca="1">IFERROR(INDEX(_xlfn.ANCHORARRAY($C$3),T_CALC[[#This Row],[DAY]]+1,1),NA())</f>
        <v>43000</v>
      </c>
      <c r="M178" cm="1" vm="2137">
        <f t="array" aca="1" ref="M178" ca="1">IFERROR(INDEX(_xlfn.ANCHORARRAY($C$3),T_CALC[[#This Row],[DAY]]+1,3),NA())</f>
        <v>1.3494999999999999</v>
      </c>
      <c r="N178" cm="1" vm="2139">
        <f t="array" aca="1" ref="N178" ca="1">IFERROR(INDEX(_xlfn.ANCHORARRAY($C$3),T_CALC[[#This Row],[DAY]]+1,4),NA())</f>
        <v>1.3506</v>
      </c>
      <c r="O178" cm="1" vm="2140">
        <f t="array" aca="1" ref="O178" ca="1">IFERROR(INDEX(_xlfn.ANCHORARRAY($C$3),T_CALC[[#This Row],[DAY]]+1,5),NA())</f>
        <v>1.343</v>
      </c>
      <c r="P178" cm="1" vm="2141">
        <f t="array" aca="1" ref="P178" ca="1">IFERROR(INDEX(_xlfn.ANCHORARRAY($C$3),T_CALC[[#This Row],[DAY]]+1,6),NA())</f>
        <v>1.3453999999999999</v>
      </c>
      <c r="Q178" cm="1">
        <f t="array" aca="1" ref="Q178" ca="1">IFERROR(INDEX(_xlfn.ANCHORARRAY($C$3),T_CALC[[#This Row],[DAY]]+1,2),NA())</f>
        <v>0</v>
      </c>
    </row>
    <row r="179" spans="3:17">
      <c r="C179" vm="2142">
        <f ca="1"/>
        <v>43003</v>
      </c>
      <c r="D179">
        <f ca="1"/>
        <v>0</v>
      </c>
      <c r="E179" vm="2141">
        <f ca="1"/>
        <v>1.3453999999999999</v>
      </c>
      <c r="F179" vm="2132">
        <f ca="1"/>
        <v>1.3516999999999999</v>
      </c>
      <c r="G179" vm="2143">
        <f ca="1"/>
        <v>1.3452999999999999</v>
      </c>
      <c r="H179" vm="2139">
        <f ca="1"/>
        <v>1.3506</v>
      </c>
      <c r="K179">
        <f ca="1">IF(ROW(T_CALC[[#This Row],[DAY]])-ROW(T_CALC[[#Headers],[DAY]])&gt;C_N_TRADING_DAYS,"",ROW(T_CALC[[#This Row],[DAY]])-ROW(T_CALC[[#Headers],[DAY]]))</f>
        <v>176</v>
      </c>
      <c r="L179" cm="1" vm="2142">
        <f t="array" aca="1" ref="L179" ca="1">IFERROR(INDEX(_xlfn.ANCHORARRAY($C$3),T_CALC[[#This Row],[DAY]]+1,1),NA())</f>
        <v>43003</v>
      </c>
      <c r="M179" cm="1" vm="2141">
        <f t="array" aca="1" ref="M179" ca="1">IFERROR(INDEX(_xlfn.ANCHORARRAY($C$3),T_CALC[[#This Row],[DAY]]+1,3),NA())</f>
        <v>1.3453999999999999</v>
      </c>
      <c r="N179" cm="1" vm="2132">
        <f t="array" aca="1" ref="N179" ca="1">IFERROR(INDEX(_xlfn.ANCHORARRAY($C$3),T_CALC[[#This Row],[DAY]]+1,4),NA())</f>
        <v>1.3516999999999999</v>
      </c>
      <c r="O179" cm="1" vm="2143">
        <f t="array" aca="1" ref="O179" ca="1">IFERROR(INDEX(_xlfn.ANCHORARRAY($C$3),T_CALC[[#This Row],[DAY]]+1,5),NA())</f>
        <v>1.3452999999999999</v>
      </c>
      <c r="P179" cm="1" vm="2139">
        <f t="array" aca="1" ref="P179" ca="1">IFERROR(INDEX(_xlfn.ANCHORARRAY($C$3),T_CALC[[#This Row],[DAY]]+1,6),NA())</f>
        <v>1.3506</v>
      </c>
      <c r="Q179" cm="1">
        <f t="array" aca="1" ref="Q179" ca="1">IFERROR(INDEX(_xlfn.ANCHORARRAY($C$3),T_CALC[[#This Row],[DAY]]+1,2),NA())</f>
        <v>0</v>
      </c>
    </row>
    <row r="180" spans="3:17">
      <c r="C180" vm="2144">
        <f ca="1"/>
        <v>43004</v>
      </c>
      <c r="D180">
        <f ca="1"/>
        <v>0</v>
      </c>
      <c r="E180" vm="2145">
        <f ca="1"/>
        <v>1.3512</v>
      </c>
      <c r="F180" vm="2015">
        <f ca="1"/>
        <v>1.3573999999999999</v>
      </c>
      <c r="G180" vm="2146">
        <f ca="1"/>
        <v>1.3496999999999999</v>
      </c>
      <c r="H180" vm="2005">
        <f ca="1"/>
        <v>1.3542000000000001</v>
      </c>
      <c r="K180">
        <f ca="1">IF(ROW(T_CALC[[#This Row],[DAY]])-ROW(T_CALC[[#Headers],[DAY]])&gt;C_N_TRADING_DAYS,"",ROW(T_CALC[[#This Row],[DAY]])-ROW(T_CALC[[#Headers],[DAY]]))</f>
        <v>177</v>
      </c>
      <c r="L180" cm="1" vm="2144">
        <f t="array" aca="1" ref="L180" ca="1">IFERROR(INDEX(_xlfn.ANCHORARRAY($C$3),T_CALC[[#This Row],[DAY]]+1,1),NA())</f>
        <v>43004</v>
      </c>
      <c r="M180" cm="1" vm="2145">
        <f t="array" aca="1" ref="M180" ca="1">IFERROR(INDEX(_xlfn.ANCHORARRAY($C$3),T_CALC[[#This Row],[DAY]]+1,3),NA())</f>
        <v>1.3512</v>
      </c>
      <c r="N180" cm="1" vm="2015">
        <f t="array" aca="1" ref="N180" ca="1">IFERROR(INDEX(_xlfn.ANCHORARRAY($C$3),T_CALC[[#This Row],[DAY]]+1,4),NA())</f>
        <v>1.3573999999999999</v>
      </c>
      <c r="O180" cm="1" vm="2146">
        <f t="array" aca="1" ref="O180" ca="1">IFERROR(INDEX(_xlfn.ANCHORARRAY($C$3),T_CALC[[#This Row],[DAY]]+1,5),NA())</f>
        <v>1.3496999999999999</v>
      </c>
      <c r="P180" cm="1" vm="2005">
        <f t="array" aca="1" ref="P180" ca="1">IFERROR(INDEX(_xlfn.ANCHORARRAY($C$3),T_CALC[[#This Row],[DAY]]+1,6),NA())</f>
        <v>1.3542000000000001</v>
      </c>
      <c r="Q180" cm="1">
        <f t="array" aca="1" ref="Q180" ca="1">IFERROR(INDEX(_xlfn.ANCHORARRAY($C$3),T_CALC[[#This Row],[DAY]]+1,2),NA())</f>
        <v>0</v>
      </c>
    </row>
    <row r="181" spans="3:17">
      <c r="C181" vm="2147">
        <f ca="1"/>
        <v>43005</v>
      </c>
      <c r="D181">
        <f ca="1"/>
        <v>0</v>
      </c>
      <c r="E181" vm="2148">
        <f ca="1"/>
        <v>1.3543000000000001</v>
      </c>
      <c r="F181" vm="2018">
        <f ca="1"/>
        <v>1.3606</v>
      </c>
      <c r="G181" vm="2007">
        <f ca="1"/>
        <v>1.3536999999999999</v>
      </c>
      <c r="H181" vm="2056">
        <f ca="1"/>
        <v>1.3593</v>
      </c>
      <c r="K181">
        <f ca="1">IF(ROW(T_CALC[[#This Row],[DAY]])-ROW(T_CALC[[#Headers],[DAY]])&gt;C_N_TRADING_DAYS,"",ROW(T_CALC[[#This Row],[DAY]])-ROW(T_CALC[[#Headers],[DAY]]))</f>
        <v>178</v>
      </c>
      <c r="L181" cm="1" vm="2147">
        <f t="array" aca="1" ref="L181" ca="1">IFERROR(INDEX(_xlfn.ANCHORARRAY($C$3),T_CALC[[#This Row],[DAY]]+1,1),NA())</f>
        <v>43005</v>
      </c>
      <c r="M181" cm="1" vm="2148">
        <f t="array" aca="1" ref="M181" ca="1">IFERROR(INDEX(_xlfn.ANCHORARRAY($C$3),T_CALC[[#This Row],[DAY]]+1,3),NA())</f>
        <v>1.3543000000000001</v>
      </c>
      <c r="N181" cm="1" vm="2018">
        <f t="array" aca="1" ref="N181" ca="1">IFERROR(INDEX(_xlfn.ANCHORARRAY($C$3),T_CALC[[#This Row],[DAY]]+1,4),NA())</f>
        <v>1.3606</v>
      </c>
      <c r="O181" cm="1" vm="2007">
        <f t="array" aca="1" ref="O181" ca="1">IFERROR(INDEX(_xlfn.ANCHORARRAY($C$3),T_CALC[[#This Row],[DAY]]+1,5),NA())</f>
        <v>1.3536999999999999</v>
      </c>
      <c r="P181" cm="1" vm="2056">
        <f t="array" aca="1" ref="P181" ca="1">IFERROR(INDEX(_xlfn.ANCHORARRAY($C$3),T_CALC[[#This Row],[DAY]]+1,6),NA())</f>
        <v>1.3593</v>
      </c>
      <c r="Q181" cm="1">
        <f t="array" aca="1" ref="Q181" ca="1">IFERROR(INDEX(_xlfn.ANCHORARRAY($C$3),T_CALC[[#This Row],[DAY]]+1,2),NA())</f>
        <v>0</v>
      </c>
    </row>
    <row r="182" spans="3:17">
      <c r="C182" vm="2149">
        <f ca="1"/>
        <v>43006</v>
      </c>
      <c r="D182">
        <f ca="1"/>
        <v>0</v>
      </c>
      <c r="E182" vm="1979">
        <f ca="1"/>
        <v>1.3592</v>
      </c>
      <c r="F182" vm="2150">
        <f ca="1"/>
        <v>1.3646</v>
      </c>
      <c r="G182" vm="2000">
        <f ca="1"/>
        <v>1.3569</v>
      </c>
      <c r="H182" vm="2151">
        <f ca="1"/>
        <v>1.3575999999999999</v>
      </c>
      <c r="K182">
        <f ca="1">IF(ROW(T_CALC[[#This Row],[DAY]])-ROW(T_CALC[[#Headers],[DAY]])&gt;C_N_TRADING_DAYS,"",ROW(T_CALC[[#This Row],[DAY]])-ROW(T_CALC[[#Headers],[DAY]]))</f>
        <v>179</v>
      </c>
      <c r="L182" cm="1" vm="2149">
        <f t="array" aca="1" ref="L182" ca="1">IFERROR(INDEX(_xlfn.ANCHORARRAY($C$3),T_CALC[[#This Row],[DAY]]+1,1),NA())</f>
        <v>43006</v>
      </c>
      <c r="M182" cm="1" vm="1979">
        <f t="array" aca="1" ref="M182" ca="1">IFERROR(INDEX(_xlfn.ANCHORARRAY($C$3),T_CALC[[#This Row],[DAY]]+1,3),NA())</f>
        <v>1.3592</v>
      </c>
      <c r="N182" cm="1" vm="2150">
        <f t="array" aca="1" ref="N182" ca="1">IFERROR(INDEX(_xlfn.ANCHORARRAY($C$3),T_CALC[[#This Row],[DAY]]+1,4),NA())</f>
        <v>1.3646</v>
      </c>
      <c r="O182" cm="1" vm="2000">
        <f t="array" aca="1" ref="O182" ca="1">IFERROR(INDEX(_xlfn.ANCHORARRAY($C$3),T_CALC[[#This Row],[DAY]]+1,5),NA())</f>
        <v>1.3569</v>
      </c>
      <c r="P182" cm="1" vm="2151">
        <f t="array" aca="1" ref="P182" ca="1">IFERROR(INDEX(_xlfn.ANCHORARRAY($C$3),T_CALC[[#This Row],[DAY]]+1,6),NA())</f>
        <v>1.3575999999999999</v>
      </c>
      <c r="Q182" cm="1">
        <f t="array" aca="1" ref="Q182" ca="1">IFERROR(INDEX(_xlfn.ANCHORARRAY($C$3),T_CALC[[#This Row],[DAY]]+1,2),NA())</f>
        <v>0</v>
      </c>
    </row>
    <row r="183" spans="3:17">
      <c r="C183" vm="2152">
        <f ca="1"/>
        <v>43007</v>
      </c>
      <c r="D183">
        <f ca="1"/>
        <v>0</v>
      </c>
      <c r="E183" vm="2010">
        <f ca="1"/>
        <v>1.3576999999999999</v>
      </c>
      <c r="F183" vm="2056">
        <f ca="1"/>
        <v>1.3593</v>
      </c>
      <c r="G183" vm="2153">
        <f ca="1"/>
        <v>1.3551</v>
      </c>
      <c r="H183" vm="2154">
        <f ca="1"/>
        <v>1.3572</v>
      </c>
      <c r="K183">
        <f ca="1">IF(ROW(T_CALC[[#This Row],[DAY]])-ROW(T_CALC[[#Headers],[DAY]])&gt;C_N_TRADING_DAYS,"",ROW(T_CALC[[#This Row],[DAY]])-ROW(T_CALC[[#Headers],[DAY]]))</f>
        <v>180</v>
      </c>
      <c r="L183" cm="1" vm="2152">
        <f t="array" aca="1" ref="L183" ca="1">IFERROR(INDEX(_xlfn.ANCHORARRAY($C$3),T_CALC[[#This Row],[DAY]]+1,1),NA())</f>
        <v>43007</v>
      </c>
      <c r="M183" cm="1" vm="2010">
        <f t="array" aca="1" ref="M183" ca="1">IFERROR(INDEX(_xlfn.ANCHORARRAY($C$3),T_CALC[[#This Row],[DAY]]+1,3),NA())</f>
        <v>1.3576999999999999</v>
      </c>
      <c r="N183" cm="1" vm="2056">
        <f t="array" aca="1" ref="N183" ca="1">IFERROR(INDEX(_xlfn.ANCHORARRAY($C$3),T_CALC[[#This Row],[DAY]]+1,4),NA())</f>
        <v>1.3593</v>
      </c>
      <c r="O183" cm="1" vm="2153">
        <f t="array" aca="1" ref="O183" ca="1">IFERROR(INDEX(_xlfn.ANCHORARRAY($C$3),T_CALC[[#This Row],[DAY]]+1,5),NA())</f>
        <v>1.3551</v>
      </c>
      <c r="P183" cm="1" vm="2154">
        <f t="array" aca="1" ref="P183" ca="1">IFERROR(INDEX(_xlfn.ANCHORARRAY($C$3),T_CALC[[#This Row],[DAY]]+1,6),NA())</f>
        <v>1.3572</v>
      </c>
      <c r="Q183" cm="1">
        <f t="array" aca="1" ref="Q183" ca="1">IFERROR(INDEX(_xlfn.ANCHORARRAY($C$3),T_CALC[[#This Row],[DAY]]+1,2),NA())</f>
        <v>0</v>
      </c>
    </row>
    <row r="184" spans="3:17">
      <c r="C184" vm="2155">
        <f ca="1"/>
        <v>43010</v>
      </c>
      <c r="D184">
        <f ca="1"/>
        <v>0</v>
      </c>
      <c r="E184" vm="2154">
        <f ca="1"/>
        <v>1.3572</v>
      </c>
      <c r="F184" vm="2027">
        <f ca="1"/>
        <v>1.3629</v>
      </c>
      <c r="G184" vm="2000">
        <f ca="1"/>
        <v>1.3569</v>
      </c>
      <c r="H184" vm="2156">
        <f ca="1"/>
        <v>1.3613</v>
      </c>
      <c r="K184">
        <f ca="1">IF(ROW(T_CALC[[#This Row],[DAY]])-ROW(T_CALC[[#Headers],[DAY]])&gt;C_N_TRADING_DAYS,"",ROW(T_CALC[[#This Row],[DAY]])-ROW(T_CALC[[#Headers],[DAY]]))</f>
        <v>181</v>
      </c>
      <c r="L184" cm="1" vm="2155">
        <f t="array" aca="1" ref="L184" ca="1">IFERROR(INDEX(_xlfn.ANCHORARRAY($C$3),T_CALC[[#This Row],[DAY]]+1,1),NA())</f>
        <v>43010</v>
      </c>
      <c r="M184" cm="1" vm="2154">
        <f t="array" aca="1" ref="M184" ca="1">IFERROR(INDEX(_xlfn.ANCHORARRAY($C$3),T_CALC[[#This Row],[DAY]]+1,3),NA())</f>
        <v>1.3572</v>
      </c>
      <c r="N184" cm="1" vm="2027">
        <f t="array" aca="1" ref="N184" ca="1">IFERROR(INDEX(_xlfn.ANCHORARRAY($C$3),T_CALC[[#This Row],[DAY]]+1,4),NA())</f>
        <v>1.3629</v>
      </c>
      <c r="O184" cm="1" vm="2000">
        <f t="array" aca="1" ref="O184" ca="1">IFERROR(INDEX(_xlfn.ANCHORARRAY($C$3),T_CALC[[#This Row],[DAY]]+1,5),NA())</f>
        <v>1.3569</v>
      </c>
      <c r="P184" cm="1" vm="2156">
        <f t="array" aca="1" ref="P184" ca="1">IFERROR(INDEX(_xlfn.ANCHORARRAY($C$3),T_CALC[[#This Row],[DAY]]+1,6),NA())</f>
        <v>1.3613</v>
      </c>
      <c r="Q184" cm="1">
        <f t="array" aca="1" ref="Q184" ca="1">IFERROR(INDEX(_xlfn.ANCHORARRAY($C$3),T_CALC[[#This Row],[DAY]]+1,2),NA())</f>
        <v>0</v>
      </c>
    </row>
    <row r="185" spans="3:17">
      <c r="C185" vm="2157">
        <f ca="1"/>
        <v>43011</v>
      </c>
      <c r="D185">
        <f ca="1"/>
        <v>0</v>
      </c>
      <c r="E185" vm="2156">
        <f ca="1"/>
        <v>1.3613</v>
      </c>
      <c r="F185" vm="1962">
        <f ca="1"/>
        <v>1.3662000000000001</v>
      </c>
      <c r="G185" vm="2158">
        <f ca="1"/>
        <v>1.3605</v>
      </c>
      <c r="H185" vm="1986">
        <f ca="1"/>
        <v>1.3619000000000001</v>
      </c>
      <c r="K185">
        <f ca="1">IF(ROW(T_CALC[[#This Row],[DAY]])-ROW(T_CALC[[#Headers],[DAY]])&gt;C_N_TRADING_DAYS,"",ROW(T_CALC[[#This Row],[DAY]])-ROW(T_CALC[[#Headers],[DAY]]))</f>
        <v>182</v>
      </c>
      <c r="L185" cm="1" vm="2157">
        <f t="array" aca="1" ref="L185" ca="1">IFERROR(INDEX(_xlfn.ANCHORARRAY($C$3),T_CALC[[#This Row],[DAY]]+1,1),NA())</f>
        <v>43011</v>
      </c>
      <c r="M185" cm="1" vm="2156">
        <f t="array" aca="1" ref="M185" ca="1">IFERROR(INDEX(_xlfn.ANCHORARRAY($C$3),T_CALC[[#This Row],[DAY]]+1,3),NA())</f>
        <v>1.3613</v>
      </c>
      <c r="N185" cm="1" vm="1962">
        <f t="array" aca="1" ref="N185" ca="1">IFERROR(INDEX(_xlfn.ANCHORARRAY($C$3),T_CALC[[#This Row],[DAY]]+1,4),NA())</f>
        <v>1.3662000000000001</v>
      </c>
      <c r="O185" cm="1" vm="2158">
        <f t="array" aca="1" ref="O185" ca="1">IFERROR(INDEX(_xlfn.ANCHORARRAY($C$3),T_CALC[[#This Row],[DAY]]+1,5),NA())</f>
        <v>1.3605</v>
      </c>
      <c r="P185" cm="1" vm="1986">
        <f t="array" aca="1" ref="P185" ca="1">IFERROR(INDEX(_xlfn.ANCHORARRAY($C$3),T_CALC[[#This Row],[DAY]]+1,6),NA())</f>
        <v>1.3619000000000001</v>
      </c>
      <c r="Q185" cm="1">
        <f t="array" aca="1" ref="Q185" ca="1">IFERROR(INDEX(_xlfn.ANCHORARRAY($C$3),T_CALC[[#This Row],[DAY]]+1,2),NA())</f>
        <v>0</v>
      </c>
    </row>
    <row r="186" spans="3:17">
      <c r="C186" vm="2159">
        <f ca="1"/>
        <v>43012</v>
      </c>
      <c r="D186">
        <f ca="1"/>
        <v>0</v>
      </c>
      <c r="E186" vm="1980">
        <f ca="1"/>
        <v>1.3617999999999999</v>
      </c>
      <c r="F186" vm="2025">
        <f ca="1"/>
        <v>1.3624000000000001</v>
      </c>
      <c r="G186" vm="2160">
        <f ca="1"/>
        <v>1.3580000000000001</v>
      </c>
      <c r="H186" vm="2053">
        <f ca="1"/>
        <v>1.3609</v>
      </c>
      <c r="K186">
        <f ca="1">IF(ROW(T_CALC[[#This Row],[DAY]])-ROW(T_CALC[[#Headers],[DAY]])&gt;C_N_TRADING_DAYS,"",ROW(T_CALC[[#This Row],[DAY]])-ROW(T_CALC[[#Headers],[DAY]]))</f>
        <v>183</v>
      </c>
      <c r="L186" cm="1" vm="2159">
        <f t="array" aca="1" ref="L186" ca="1">IFERROR(INDEX(_xlfn.ANCHORARRAY($C$3),T_CALC[[#This Row],[DAY]]+1,1),NA())</f>
        <v>43012</v>
      </c>
      <c r="M186" cm="1" vm="1980">
        <f t="array" aca="1" ref="M186" ca="1">IFERROR(INDEX(_xlfn.ANCHORARRAY($C$3),T_CALC[[#This Row],[DAY]]+1,3),NA())</f>
        <v>1.3617999999999999</v>
      </c>
      <c r="N186" cm="1" vm="2025">
        <f t="array" aca="1" ref="N186" ca="1">IFERROR(INDEX(_xlfn.ANCHORARRAY($C$3),T_CALC[[#This Row],[DAY]]+1,4),NA())</f>
        <v>1.3624000000000001</v>
      </c>
      <c r="O186" cm="1" vm="2160">
        <f t="array" aca="1" ref="O186" ca="1">IFERROR(INDEX(_xlfn.ANCHORARRAY($C$3),T_CALC[[#This Row],[DAY]]+1,5),NA())</f>
        <v>1.3580000000000001</v>
      </c>
      <c r="P186" cm="1" vm="2053">
        <f t="array" aca="1" ref="P186" ca="1">IFERROR(INDEX(_xlfn.ANCHORARRAY($C$3),T_CALC[[#This Row],[DAY]]+1,6),NA())</f>
        <v>1.3609</v>
      </c>
      <c r="Q186" cm="1">
        <f t="array" aca="1" ref="Q186" ca="1">IFERROR(INDEX(_xlfn.ANCHORARRAY($C$3),T_CALC[[#This Row],[DAY]]+1,2),NA())</f>
        <v>0</v>
      </c>
    </row>
    <row r="187" spans="3:17">
      <c r="C187" vm="2161">
        <f ca="1"/>
        <v>43013</v>
      </c>
      <c r="D187">
        <f ca="1"/>
        <v>0</v>
      </c>
      <c r="E187" vm="2053">
        <f ca="1"/>
        <v>1.3609</v>
      </c>
      <c r="F187" vm="1961">
        <f ca="1"/>
        <v>1.3648</v>
      </c>
      <c r="G187" vm="2036">
        <f ca="1"/>
        <v>1.3604000000000001</v>
      </c>
      <c r="H187" vm="2162">
        <f ca="1"/>
        <v>1.3640000000000001</v>
      </c>
      <c r="K187">
        <f ca="1">IF(ROW(T_CALC[[#This Row],[DAY]])-ROW(T_CALC[[#Headers],[DAY]])&gt;C_N_TRADING_DAYS,"",ROW(T_CALC[[#This Row],[DAY]])-ROW(T_CALC[[#Headers],[DAY]]))</f>
        <v>184</v>
      </c>
      <c r="L187" cm="1" vm="2161">
        <f t="array" aca="1" ref="L187" ca="1">IFERROR(INDEX(_xlfn.ANCHORARRAY($C$3),T_CALC[[#This Row],[DAY]]+1,1),NA())</f>
        <v>43013</v>
      </c>
      <c r="M187" cm="1" vm="2053">
        <f t="array" aca="1" ref="M187" ca="1">IFERROR(INDEX(_xlfn.ANCHORARRAY($C$3),T_CALC[[#This Row],[DAY]]+1,3),NA())</f>
        <v>1.3609</v>
      </c>
      <c r="N187" cm="1" vm="1961">
        <f t="array" aca="1" ref="N187" ca="1">IFERROR(INDEX(_xlfn.ANCHORARRAY($C$3),T_CALC[[#This Row],[DAY]]+1,4),NA())</f>
        <v>1.3648</v>
      </c>
      <c r="O187" cm="1" vm="2036">
        <f t="array" aca="1" ref="O187" ca="1">IFERROR(INDEX(_xlfn.ANCHORARRAY($C$3),T_CALC[[#This Row],[DAY]]+1,5),NA())</f>
        <v>1.3604000000000001</v>
      </c>
      <c r="P187" cm="1" vm="2162">
        <f t="array" aca="1" ref="P187" ca="1">IFERROR(INDEX(_xlfn.ANCHORARRAY($C$3),T_CALC[[#This Row],[DAY]]+1,6),NA())</f>
        <v>1.3640000000000001</v>
      </c>
      <c r="Q187" cm="1">
        <f t="array" aca="1" ref="Q187" ca="1">IFERROR(INDEX(_xlfn.ANCHORARRAY($C$3),T_CALC[[#This Row],[DAY]]+1,2),NA())</f>
        <v>0</v>
      </c>
    </row>
    <row r="188" spans="3:17">
      <c r="C188" vm="2163">
        <f ca="1"/>
        <v>43014</v>
      </c>
      <c r="D188">
        <f ca="1"/>
        <v>0</v>
      </c>
      <c r="E188" vm="2162">
        <f ca="1"/>
        <v>1.3640000000000001</v>
      </c>
      <c r="F188" vm="1958">
        <f ca="1"/>
        <v>1.369</v>
      </c>
      <c r="G188" vm="2050">
        <f ca="1"/>
        <v>1.363</v>
      </c>
      <c r="H188" vm="2035">
        <f ca="1"/>
        <v>1.3644000000000001</v>
      </c>
      <c r="K188">
        <f ca="1">IF(ROW(T_CALC[[#This Row],[DAY]])-ROW(T_CALC[[#Headers],[DAY]])&gt;C_N_TRADING_DAYS,"",ROW(T_CALC[[#This Row],[DAY]])-ROW(T_CALC[[#Headers],[DAY]]))</f>
        <v>185</v>
      </c>
      <c r="L188" cm="1" vm="2163">
        <f t="array" aca="1" ref="L188" ca="1">IFERROR(INDEX(_xlfn.ANCHORARRAY($C$3),T_CALC[[#This Row],[DAY]]+1,1),NA())</f>
        <v>43014</v>
      </c>
      <c r="M188" cm="1" vm="2162">
        <f t="array" aca="1" ref="M188" ca="1">IFERROR(INDEX(_xlfn.ANCHORARRAY($C$3),T_CALC[[#This Row],[DAY]]+1,3),NA())</f>
        <v>1.3640000000000001</v>
      </c>
      <c r="N188" cm="1" vm="1958">
        <f t="array" aca="1" ref="N188" ca="1">IFERROR(INDEX(_xlfn.ANCHORARRAY($C$3),T_CALC[[#This Row],[DAY]]+1,4),NA())</f>
        <v>1.369</v>
      </c>
      <c r="O188" cm="1" vm="2050">
        <f t="array" aca="1" ref="O188" ca="1">IFERROR(INDEX(_xlfn.ANCHORARRAY($C$3),T_CALC[[#This Row],[DAY]]+1,5),NA())</f>
        <v>1.363</v>
      </c>
      <c r="P188" cm="1" vm="2035">
        <f t="array" aca="1" ref="P188" ca="1">IFERROR(INDEX(_xlfn.ANCHORARRAY($C$3),T_CALC[[#This Row],[DAY]]+1,6),NA())</f>
        <v>1.3644000000000001</v>
      </c>
      <c r="Q188" cm="1">
        <f t="array" aca="1" ref="Q188" ca="1">IFERROR(INDEX(_xlfn.ANCHORARRAY($C$3),T_CALC[[#This Row],[DAY]]+1,2),NA())</f>
        <v>0</v>
      </c>
    </row>
    <row r="189" spans="3:17">
      <c r="C189" vm="2164">
        <f ca="1"/>
        <v>43017</v>
      </c>
      <c r="D189">
        <f ca="1"/>
        <v>0</v>
      </c>
      <c r="E189" vm="2165">
        <f ca="1"/>
        <v>1.3653</v>
      </c>
      <c r="F189" vm="2166">
        <f ca="1"/>
        <v>1.3654999999999999</v>
      </c>
      <c r="G189" vm="1984">
        <f ca="1"/>
        <v>1.3620000000000001</v>
      </c>
      <c r="H189" vm="1977">
        <f ca="1"/>
        <v>1.3633999999999999</v>
      </c>
      <c r="K189">
        <f ca="1">IF(ROW(T_CALC[[#This Row],[DAY]])-ROW(T_CALC[[#Headers],[DAY]])&gt;C_N_TRADING_DAYS,"",ROW(T_CALC[[#This Row],[DAY]])-ROW(T_CALC[[#Headers],[DAY]]))</f>
        <v>186</v>
      </c>
      <c r="L189" cm="1" vm="2164">
        <f t="array" aca="1" ref="L189" ca="1">IFERROR(INDEX(_xlfn.ANCHORARRAY($C$3),T_CALC[[#This Row],[DAY]]+1,1),NA())</f>
        <v>43017</v>
      </c>
      <c r="M189" cm="1" vm="2165">
        <f t="array" aca="1" ref="M189" ca="1">IFERROR(INDEX(_xlfn.ANCHORARRAY($C$3),T_CALC[[#This Row],[DAY]]+1,3),NA())</f>
        <v>1.3653</v>
      </c>
      <c r="N189" cm="1" vm="2166">
        <f t="array" aca="1" ref="N189" ca="1">IFERROR(INDEX(_xlfn.ANCHORARRAY($C$3),T_CALC[[#This Row],[DAY]]+1,4),NA())</f>
        <v>1.3654999999999999</v>
      </c>
      <c r="O189" cm="1" vm="1984">
        <f t="array" aca="1" ref="O189" ca="1">IFERROR(INDEX(_xlfn.ANCHORARRAY($C$3),T_CALC[[#This Row],[DAY]]+1,5),NA())</f>
        <v>1.3620000000000001</v>
      </c>
      <c r="P189" cm="1" vm="1977">
        <f t="array" aca="1" ref="P189" ca="1">IFERROR(INDEX(_xlfn.ANCHORARRAY($C$3),T_CALC[[#This Row],[DAY]]+1,6),NA())</f>
        <v>1.3633999999999999</v>
      </c>
      <c r="Q189" cm="1">
        <f t="array" aca="1" ref="Q189" ca="1">IFERROR(INDEX(_xlfn.ANCHORARRAY($C$3),T_CALC[[#This Row],[DAY]]+1,2),NA())</f>
        <v>0</v>
      </c>
    </row>
    <row r="190" spans="3:17">
      <c r="C190" vm="2167">
        <f ca="1"/>
        <v>43018</v>
      </c>
      <c r="D190">
        <f ca="1"/>
        <v>0</v>
      </c>
      <c r="E190" vm="2168">
        <f ca="1"/>
        <v>1.3631</v>
      </c>
      <c r="F190" vm="2169">
        <f ca="1"/>
        <v>1.3635999999999999</v>
      </c>
      <c r="G190" vm="2003">
        <f ca="1"/>
        <v>1.3545</v>
      </c>
      <c r="H190" vm="2170">
        <f ca="1"/>
        <v>1.3559000000000001</v>
      </c>
      <c r="K190">
        <f ca="1">IF(ROW(T_CALC[[#This Row],[DAY]])-ROW(T_CALC[[#Headers],[DAY]])&gt;C_N_TRADING_DAYS,"",ROW(T_CALC[[#This Row],[DAY]])-ROW(T_CALC[[#Headers],[DAY]]))</f>
        <v>187</v>
      </c>
      <c r="L190" cm="1" vm="2167">
        <f t="array" aca="1" ref="L190" ca="1">IFERROR(INDEX(_xlfn.ANCHORARRAY($C$3),T_CALC[[#This Row],[DAY]]+1,1),NA())</f>
        <v>43018</v>
      </c>
      <c r="M190" cm="1" vm="2168">
        <f t="array" aca="1" ref="M190" ca="1">IFERROR(INDEX(_xlfn.ANCHORARRAY($C$3),T_CALC[[#This Row],[DAY]]+1,3),NA())</f>
        <v>1.3631</v>
      </c>
      <c r="N190" cm="1" vm="2169">
        <f t="array" aca="1" ref="N190" ca="1">IFERROR(INDEX(_xlfn.ANCHORARRAY($C$3),T_CALC[[#This Row],[DAY]]+1,4),NA())</f>
        <v>1.3635999999999999</v>
      </c>
      <c r="O190" cm="1" vm="2003">
        <f t="array" aca="1" ref="O190" ca="1">IFERROR(INDEX(_xlfn.ANCHORARRAY($C$3),T_CALC[[#This Row],[DAY]]+1,5),NA())</f>
        <v>1.3545</v>
      </c>
      <c r="P190" cm="1" vm="2170">
        <f t="array" aca="1" ref="P190" ca="1">IFERROR(INDEX(_xlfn.ANCHORARRAY($C$3),T_CALC[[#This Row],[DAY]]+1,6),NA())</f>
        <v>1.3559000000000001</v>
      </c>
      <c r="Q190" cm="1">
        <f t="array" aca="1" ref="Q190" ca="1">IFERROR(INDEX(_xlfn.ANCHORARRAY($C$3),T_CALC[[#This Row],[DAY]]+1,2),NA())</f>
        <v>0</v>
      </c>
    </row>
    <row r="191" spans="3:17">
      <c r="C191" vm="2171">
        <f ca="1"/>
        <v>43019</v>
      </c>
      <c r="D191">
        <f ca="1"/>
        <v>0</v>
      </c>
      <c r="E191" vm="2170">
        <f ca="1"/>
        <v>1.3559000000000001</v>
      </c>
      <c r="F191" vm="2160">
        <f ca="1"/>
        <v>1.3580000000000001</v>
      </c>
      <c r="G191" vm="2172">
        <f ca="1"/>
        <v>1.3528</v>
      </c>
      <c r="H191" vm="2173">
        <f ca="1"/>
        <v>1.3541000000000001</v>
      </c>
      <c r="K191">
        <f ca="1">IF(ROW(T_CALC[[#This Row],[DAY]])-ROW(T_CALC[[#Headers],[DAY]])&gt;C_N_TRADING_DAYS,"",ROW(T_CALC[[#This Row],[DAY]])-ROW(T_CALC[[#Headers],[DAY]]))</f>
        <v>188</v>
      </c>
      <c r="L191" cm="1" vm="2171">
        <f t="array" aca="1" ref="L191" ca="1">IFERROR(INDEX(_xlfn.ANCHORARRAY($C$3),T_CALC[[#This Row],[DAY]]+1,1),NA())</f>
        <v>43019</v>
      </c>
      <c r="M191" cm="1" vm="2170">
        <f t="array" aca="1" ref="M191" ca="1">IFERROR(INDEX(_xlfn.ANCHORARRAY($C$3),T_CALC[[#This Row],[DAY]]+1,3),NA())</f>
        <v>1.3559000000000001</v>
      </c>
      <c r="N191" cm="1" vm="2160">
        <f t="array" aca="1" ref="N191" ca="1">IFERROR(INDEX(_xlfn.ANCHORARRAY($C$3),T_CALC[[#This Row],[DAY]]+1,4),NA())</f>
        <v>1.3580000000000001</v>
      </c>
      <c r="O191" cm="1" vm="2172">
        <f t="array" aca="1" ref="O191" ca="1">IFERROR(INDEX(_xlfn.ANCHORARRAY($C$3),T_CALC[[#This Row],[DAY]]+1,5),NA())</f>
        <v>1.3528</v>
      </c>
      <c r="P191" cm="1" vm="2173">
        <f t="array" aca="1" ref="P191" ca="1">IFERROR(INDEX(_xlfn.ANCHORARRAY($C$3),T_CALC[[#This Row],[DAY]]+1,6),NA())</f>
        <v>1.3541000000000001</v>
      </c>
      <c r="Q191" cm="1">
        <f t="array" aca="1" ref="Q191" ca="1">IFERROR(INDEX(_xlfn.ANCHORARRAY($C$3),T_CALC[[#This Row],[DAY]]+1,2),NA())</f>
        <v>0</v>
      </c>
    </row>
    <row r="192" spans="3:17">
      <c r="C192" vm="2174">
        <f ca="1"/>
        <v>43020</v>
      </c>
      <c r="D192">
        <f ca="1"/>
        <v>0</v>
      </c>
      <c r="E192" vm="2173">
        <f ca="1"/>
        <v>1.3541000000000001</v>
      </c>
      <c r="F192" vm="2077">
        <f ca="1"/>
        <v>1.355</v>
      </c>
      <c r="G192" vm="2175">
        <f ca="1"/>
        <v>1.3504</v>
      </c>
      <c r="H192" vm="2176">
        <f ca="1"/>
        <v>1.3521000000000001</v>
      </c>
      <c r="K192">
        <f ca="1">IF(ROW(T_CALC[[#This Row],[DAY]])-ROW(T_CALC[[#Headers],[DAY]])&gt;C_N_TRADING_DAYS,"",ROW(T_CALC[[#This Row],[DAY]])-ROW(T_CALC[[#Headers],[DAY]]))</f>
        <v>189</v>
      </c>
      <c r="L192" cm="1" vm="2174">
        <f t="array" aca="1" ref="L192" ca="1">IFERROR(INDEX(_xlfn.ANCHORARRAY($C$3),T_CALC[[#This Row],[DAY]]+1,1),NA())</f>
        <v>43020</v>
      </c>
      <c r="M192" cm="1" vm="2173">
        <f t="array" aca="1" ref="M192" ca="1">IFERROR(INDEX(_xlfn.ANCHORARRAY($C$3),T_CALC[[#This Row],[DAY]]+1,3),NA())</f>
        <v>1.3541000000000001</v>
      </c>
      <c r="N192" cm="1" vm="2077">
        <f t="array" aca="1" ref="N192" ca="1">IFERROR(INDEX(_xlfn.ANCHORARRAY($C$3),T_CALC[[#This Row],[DAY]]+1,4),NA())</f>
        <v>1.355</v>
      </c>
      <c r="O192" cm="1" vm="2175">
        <f t="array" aca="1" ref="O192" ca="1">IFERROR(INDEX(_xlfn.ANCHORARRAY($C$3),T_CALC[[#This Row],[DAY]]+1,5),NA())</f>
        <v>1.3504</v>
      </c>
      <c r="P192" cm="1" vm="2176">
        <f t="array" aca="1" ref="P192" ca="1">IFERROR(INDEX(_xlfn.ANCHORARRAY($C$3),T_CALC[[#This Row],[DAY]]+1,6),NA())</f>
        <v>1.3521000000000001</v>
      </c>
      <c r="Q192" cm="1">
        <f t="array" aca="1" ref="Q192" ca="1">IFERROR(INDEX(_xlfn.ANCHORARRAY($C$3),T_CALC[[#This Row],[DAY]]+1,2),NA())</f>
        <v>0</v>
      </c>
    </row>
    <row r="193" spans="3:17">
      <c r="C193" vm="2177">
        <f ca="1"/>
        <v>43021</v>
      </c>
      <c r="D193">
        <f ca="1"/>
        <v>0</v>
      </c>
      <c r="E193" vm="2178">
        <f ca="1"/>
        <v>1.3523000000000001</v>
      </c>
      <c r="F193" vm="2070">
        <f ca="1"/>
        <v>1.3563000000000001</v>
      </c>
      <c r="G193" vm="2133">
        <f ca="1"/>
        <v>1.3484</v>
      </c>
      <c r="H193" vm="2179">
        <f ca="1"/>
        <v>1.349</v>
      </c>
      <c r="K193">
        <f ca="1">IF(ROW(T_CALC[[#This Row],[DAY]])-ROW(T_CALC[[#Headers],[DAY]])&gt;C_N_TRADING_DAYS,"",ROW(T_CALC[[#This Row],[DAY]])-ROW(T_CALC[[#Headers],[DAY]]))</f>
        <v>190</v>
      </c>
      <c r="L193" cm="1" vm="2177">
        <f t="array" aca="1" ref="L193" ca="1">IFERROR(INDEX(_xlfn.ANCHORARRAY($C$3),T_CALC[[#This Row],[DAY]]+1,1),NA())</f>
        <v>43021</v>
      </c>
      <c r="M193" cm="1" vm="2178">
        <f t="array" aca="1" ref="M193" ca="1">IFERROR(INDEX(_xlfn.ANCHORARRAY($C$3),T_CALC[[#This Row],[DAY]]+1,3),NA())</f>
        <v>1.3523000000000001</v>
      </c>
      <c r="N193" cm="1" vm="2070">
        <f t="array" aca="1" ref="N193" ca="1">IFERROR(INDEX(_xlfn.ANCHORARRAY($C$3),T_CALC[[#This Row],[DAY]]+1,4),NA())</f>
        <v>1.3563000000000001</v>
      </c>
      <c r="O193" cm="1" vm="2133">
        <f t="array" aca="1" ref="O193" ca="1">IFERROR(INDEX(_xlfn.ANCHORARRAY($C$3),T_CALC[[#This Row],[DAY]]+1,5),NA())</f>
        <v>1.3484</v>
      </c>
      <c r="P193" cm="1" vm="2179">
        <f t="array" aca="1" ref="P193" ca="1">IFERROR(INDEX(_xlfn.ANCHORARRAY($C$3),T_CALC[[#This Row],[DAY]]+1,6),NA())</f>
        <v>1.349</v>
      </c>
      <c r="Q193" cm="1">
        <f t="array" aca="1" ref="Q193" ca="1">IFERROR(INDEX(_xlfn.ANCHORARRAY($C$3),T_CALC[[#This Row],[DAY]]+1,2),NA())</f>
        <v>0</v>
      </c>
    </row>
    <row r="194" spans="3:17">
      <c r="C194" vm="2180">
        <f ca="1"/>
        <v>43024</v>
      </c>
      <c r="D194">
        <f ca="1"/>
        <v>0</v>
      </c>
      <c r="E194" vm="2181">
        <f ca="1"/>
        <v>1.3488</v>
      </c>
      <c r="F194" vm="2069">
        <f ca="1"/>
        <v>1.353</v>
      </c>
      <c r="G194" vm="2181">
        <f ca="1"/>
        <v>1.3488</v>
      </c>
      <c r="H194" vm="2086">
        <f ca="1"/>
        <v>1.351</v>
      </c>
      <c r="K194">
        <f ca="1">IF(ROW(T_CALC[[#This Row],[DAY]])-ROW(T_CALC[[#Headers],[DAY]])&gt;C_N_TRADING_DAYS,"",ROW(T_CALC[[#This Row],[DAY]])-ROW(T_CALC[[#Headers],[DAY]]))</f>
        <v>191</v>
      </c>
      <c r="L194" cm="1" vm="2180">
        <f t="array" aca="1" ref="L194" ca="1">IFERROR(INDEX(_xlfn.ANCHORARRAY($C$3),T_CALC[[#This Row],[DAY]]+1,1),NA())</f>
        <v>43024</v>
      </c>
      <c r="M194" cm="1" vm="2181">
        <f t="array" aca="1" ref="M194" ca="1">IFERROR(INDEX(_xlfn.ANCHORARRAY($C$3),T_CALC[[#This Row],[DAY]]+1,3),NA())</f>
        <v>1.3488</v>
      </c>
      <c r="N194" cm="1" vm="2069">
        <f t="array" aca="1" ref="N194" ca="1">IFERROR(INDEX(_xlfn.ANCHORARRAY($C$3),T_CALC[[#This Row],[DAY]]+1,4),NA())</f>
        <v>1.353</v>
      </c>
      <c r="O194" cm="1" vm="2181">
        <f t="array" aca="1" ref="O194" ca="1">IFERROR(INDEX(_xlfn.ANCHORARRAY($C$3),T_CALC[[#This Row],[DAY]]+1,5),NA())</f>
        <v>1.3488</v>
      </c>
      <c r="P194" cm="1" vm="2086">
        <f t="array" aca="1" ref="P194" ca="1">IFERROR(INDEX(_xlfn.ANCHORARRAY($C$3),T_CALC[[#This Row],[DAY]]+1,6),NA())</f>
        <v>1.351</v>
      </c>
      <c r="Q194" cm="1">
        <f t="array" aca="1" ref="Q194" ca="1">IFERROR(INDEX(_xlfn.ANCHORARRAY($C$3),T_CALC[[#This Row],[DAY]]+1,2),NA())</f>
        <v>0</v>
      </c>
    </row>
    <row r="195" spans="3:17">
      <c r="C195" vm="2182">
        <f ca="1"/>
        <v>43025</v>
      </c>
      <c r="D195">
        <f ca="1"/>
        <v>0</v>
      </c>
      <c r="E195" vm="2145">
        <f ca="1"/>
        <v>1.3512</v>
      </c>
      <c r="F195" vm="2183">
        <f ca="1"/>
        <v>1.3577999999999999</v>
      </c>
      <c r="G195" vm="2184">
        <f ca="1"/>
        <v>1.3505</v>
      </c>
      <c r="H195" vm="2185">
        <f ca="1"/>
        <v>1.3552999999999999</v>
      </c>
      <c r="K195">
        <f ca="1">IF(ROW(T_CALC[[#This Row],[DAY]])-ROW(T_CALC[[#Headers],[DAY]])&gt;C_N_TRADING_DAYS,"",ROW(T_CALC[[#This Row],[DAY]])-ROW(T_CALC[[#Headers],[DAY]]))</f>
        <v>192</v>
      </c>
      <c r="L195" cm="1" vm="2182">
        <f t="array" aca="1" ref="L195" ca="1">IFERROR(INDEX(_xlfn.ANCHORARRAY($C$3),T_CALC[[#This Row],[DAY]]+1,1),NA())</f>
        <v>43025</v>
      </c>
      <c r="M195" cm="1" vm="2145">
        <f t="array" aca="1" ref="M195" ca="1">IFERROR(INDEX(_xlfn.ANCHORARRAY($C$3),T_CALC[[#This Row],[DAY]]+1,3),NA())</f>
        <v>1.3512</v>
      </c>
      <c r="N195" cm="1" vm="2183">
        <f t="array" aca="1" ref="N195" ca="1">IFERROR(INDEX(_xlfn.ANCHORARRAY($C$3),T_CALC[[#This Row],[DAY]]+1,4),NA())</f>
        <v>1.3577999999999999</v>
      </c>
      <c r="O195" cm="1" vm="2184">
        <f t="array" aca="1" ref="O195" ca="1">IFERROR(INDEX(_xlfn.ANCHORARRAY($C$3),T_CALC[[#This Row],[DAY]]+1,5),NA())</f>
        <v>1.3505</v>
      </c>
      <c r="P195" cm="1" vm="2185">
        <f t="array" aca="1" ref="P195" ca="1">IFERROR(INDEX(_xlfn.ANCHORARRAY($C$3),T_CALC[[#This Row],[DAY]]+1,6),NA())</f>
        <v>1.3552999999999999</v>
      </c>
      <c r="Q195" cm="1">
        <f t="array" aca="1" ref="Q195" ca="1">IFERROR(INDEX(_xlfn.ANCHORARRAY($C$3),T_CALC[[#This Row],[DAY]]+1,2),NA())</f>
        <v>0</v>
      </c>
    </row>
    <row r="196" spans="3:17">
      <c r="C196" vm="2186">
        <f ca="1"/>
        <v>43026</v>
      </c>
      <c r="D196">
        <f ca="1"/>
        <v>0</v>
      </c>
      <c r="E196" vm="1988">
        <f ca="1"/>
        <v>1.3552</v>
      </c>
      <c r="F196" vm="2022">
        <f ca="1"/>
        <v>1.3587</v>
      </c>
      <c r="G196" vm="2067">
        <f ca="1"/>
        <v>1.3533999999999999</v>
      </c>
      <c r="H196" vm="2012">
        <f ca="1"/>
        <v>1.3565</v>
      </c>
      <c r="K196">
        <f ca="1">IF(ROW(T_CALC[[#This Row],[DAY]])-ROW(T_CALC[[#Headers],[DAY]])&gt;C_N_TRADING_DAYS,"",ROW(T_CALC[[#This Row],[DAY]])-ROW(T_CALC[[#Headers],[DAY]]))</f>
        <v>193</v>
      </c>
      <c r="L196" cm="1" vm="2186">
        <f t="array" aca="1" ref="L196" ca="1">IFERROR(INDEX(_xlfn.ANCHORARRAY($C$3),T_CALC[[#This Row],[DAY]]+1,1),NA())</f>
        <v>43026</v>
      </c>
      <c r="M196" cm="1" vm="1988">
        <f t="array" aca="1" ref="M196" ca="1">IFERROR(INDEX(_xlfn.ANCHORARRAY($C$3),T_CALC[[#This Row],[DAY]]+1,3),NA())</f>
        <v>1.3552</v>
      </c>
      <c r="N196" cm="1" vm="2022">
        <f t="array" aca="1" ref="N196" ca="1">IFERROR(INDEX(_xlfn.ANCHORARRAY($C$3),T_CALC[[#This Row],[DAY]]+1,4),NA())</f>
        <v>1.3587</v>
      </c>
      <c r="O196" cm="1" vm="2067">
        <f t="array" aca="1" ref="O196" ca="1">IFERROR(INDEX(_xlfn.ANCHORARRAY($C$3),T_CALC[[#This Row],[DAY]]+1,5),NA())</f>
        <v>1.3533999999999999</v>
      </c>
      <c r="P196" cm="1" vm="2012">
        <f t="array" aca="1" ref="P196" ca="1">IFERROR(INDEX(_xlfn.ANCHORARRAY($C$3),T_CALC[[#This Row],[DAY]]+1,6),NA())</f>
        <v>1.3565</v>
      </c>
      <c r="Q196" cm="1">
        <f t="array" aca="1" ref="Q196" ca="1">IFERROR(INDEX(_xlfn.ANCHORARRAY($C$3),T_CALC[[#This Row],[DAY]]+1,2),NA())</f>
        <v>0</v>
      </c>
    </row>
    <row r="197" spans="3:17">
      <c r="C197" vm="2187">
        <f ca="1"/>
        <v>43027</v>
      </c>
      <c r="D197">
        <f ca="1"/>
        <v>0</v>
      </c>
      <c r="E197" vm="2012">
        <f ca="1"/>
        <v>1.3565</v>
      </c>
      <c r="F197" vm="2058">
        <f ca="1"/>
        <v>1.3593999999999999</v>
      </c>
      <c r="G197" vm="2064">
        <f ca="1"/>
        <v>1.3548</v>
      </c>
      <c r="H197" vm="1998">
        <f ca="1"/>
        <v>1.3564000000000001</v>
      </c>
      <c r="K197">
        <f ca="1">IF(ROW(T_CALC[[#This Row],[DAY]])-ROW(T_CALC[[#Headers],[DAY]])&gt;C_N_TRADING_DAYS,"",ROW(T_CALC[[#This Row],[DAY]])-ROW(T_CALC[[#Headers],[DAY]]))</f>
        <v>194</v>
      </c>
      <c r="L197" cm="1" vm="2187">
        <f t="array" aca="1" ref="L197" ca="1">IFERROR(INDEX(_xlfn.ANCHORARRAY($C$3),T_CALC[[#This Row],[DAY]]+1,1),NA())</f>
        <v>43027</v>
      </c>
      <c r="M197" cm="1" vm="2012">
        <f t="array" aca="1" ref="M197" ca="1">IFERROR(INDEX(_xlfn.ANCHORARRAY($C$3),T_CALC[[#This Row],[DAY]]+1,3),NA())</f>
        <v>1.3565</v>
      </c>
      <c r="N197" cm="1" vm="2058">
        <f t="array" aca="1" ref="N197" ca="1">IFERROR(INDEX(_xlfn.ANCHORARRAY($C$3),T_CALC[[#This Row],[DAY]]+1,4),NA())</f>
        <v>1.3593999999999999</v>
      </c>
      <c r="O197" cm="1" vm="2064">
        <f t="array" aca="1" ref="O197" ca="1">IFERROR(INDEX(_xlfn.ANCHORARRAY($C$3),T_CALC[[#This Row],[DAY]]+1,5),NA())</f>
        <v>1.3548</v>
      </c>
      <c r="P197" cm="1" vm="1998">
        <f t="array" aca="1" ref="P197" ca="1">IFERROR(INDEX(_xlfn.ANCHORARRAY($C$3),T_CALC[[#This Row],[DAY]]+1,6),NA())</f>
        <v>1.3564000000000001</v>
      </c>
      <c r="Q197" cm="1">
        <f t="array" aca="1" ref="Q197" ca="1">IFERROR(INDEX(_xlfn.ANCHORARRAY($C$3),T_CALC[[#This Row],[DAY]]+1,2),NA())</f>
        <v>0</v>
      </c>
    </row>
    <row r="198" spans="3:17">
      <c r="C198" vm="2188">
        <f ca="1"/>
        <v>43028</v>
      </c>
      <c r="D198">
        <f ca="1"/>
        <v>0</v>
      </c>
      <c r="E198" vm="1998">
        <f ca="1"/>
        <v>1.3564000000000001</v>
      </c>
      <c r="F198" vm="2040">
        <f ca="1"/>
        <v>1.3614999999999999</v>
      </c>
      <c r="G198" vm="2078">
        <f ca="1"/>
        <v>1.3555999999999999</v>
      </c>
      <c r="H198" vm="2076">
        <f ca="1"/>
        <v>1.361</v>
      </c>
      <c r="K198">
        <f ca="1">IF(ROW(T_CALC[[#This Row],[DAY]])-ROW(T_CALC[[#Headers],[DAY]])&gt;C_N_TRADING_DAYS,"",ROW(T_CALC[[#This Row],[DAY]])-ROW(T_CALC[[#Headers],[DAY]]))</f>
        <v>195</v>
      </c>
      <c r="L198" cm="1" vm="2188">
        <f t="array" aca="1" ref="L198" ca="1">IFERROR(INDEX(_xlfn.ANCHORARRAY($C$3),T_CALC[[#This Row],[DAY]]+1,1),NA())</f>
        <v>43028</v>
      </c>
      <c r="M198" cm="1" vm="1998">
        <f t="array" aca="1" ref="M198" ca="1">IFERROR(INDEX(_xlfn.ANCHORARRAY($C$3),T_CALC[[#This Row],[DAY]]+1,3),NA())</f>
        <v>1.3564000000000001</v>
      </c>
      <c r="N198" cm="1" vm="2040">
        <f t="array" aca="1" ref="N198" ca="1">IFERROR(INDEX(_xlfn.ANCHORARRAY($C$3),T_CALC[[#This Row],[DAY]]+1,4),NA())</f>
        <v>1.3614999999999999</v>
      </c>
      <c r="O198" cm="1" vm="2078">
        <f t="array" aca="1" ref="O198" ca="1">IFERROR(INDEX(_xlfn.ANCHORARRAY($C$3),T_CALC[[#This Row],[DAY]]+1,5),NA())</f>
        <v>1.3555999999999999</v>
      </c>
      <c r="P198" cm="1" vm="2076">
        <f t="array" aca="1" ref="P198" ca="1">IFERROR(INDEX(_xlfn.ANCHORARRAY($C$3),T_CALC[[#This Row],[DAY]]+1,6),NA())</f>
        <v>1.361</v>
      </c>
      <c r="Q198" cm="1">
        <f t="array" aca="1" ref="Q198" ca="1">IFERROR(INDEX(_xlfn.ANCHORARRAY($C$3),T_CALC[[#This Row],[DAY]]+1,2),NA())</f>
        <v>0</v>
      </c>
    </row>
    <row r="199" spans="3:17">
      <c r="C199" vm="2189">
        <f ca="1"/>
        <v>43031</v>
      </c>
      <c r="D199">
        <f ca="1"/>
        <v>0</v>
      </c>
      <c r="E199" vm="2156">
        <f ca="1"/>
        <v>1.3613</v>
      </c>
      <c r="F199" vm="1978">
        <f ca="1"/>
        <v>1.3634999999999999</v>
      </c>
      <c r="G199" vm="2018">
        <f ca="1"/>
        <v>1.3606</v>
      </c>
      <c r="H199" vm="1980">
        <f ca="1"/>
        <v>1.3617999999999999</v>
      </c>
      <c r="K199">
        <f ca="1">IF(ROW(T_CALC[[#This Row],[DAY]])-ROW(T_CALC[[#Headers],[DAY]])&gt;C_N_TRADING_DAYS,"",ROW(T_CALC[[#This Row],[DAY]])-ROW(T_CALC[[#Headers],[DAY]]))</f>
        <v>196</v>
      </c>
      <c r="L199" cm="1" vm="2189">
        <f t="array" aca="1" ref="L199" ca="1">IFERROR(INDEX(_xlfn.ANCHORARRAY($C$3),T_CALC[[#This Row],[DAY]]+1,1),NA())</f>
        <v>43031</v>
      </c>
      <c r="M199" cm="1" vm="2156">
        <f t="array" aca="1" ref="M199" ca="1">IFERROR(INDEX(_xlfn.ANCHORARRAY($C$3),T_CALC[[#This Row],[DAY]]+1,3),NA())</f>
        <v>1.3613</v>
      </c>
      <c r="N199" cm="1" vm="1978">
        <f t="array" aca="1" ref="N199" ca="1">IFERROR(INDEX(_xlfn.ANCHORARRAY($C$3),T_CALC[[#This Row],[DAY]]+1,4),NA())</f>
        <v>1.3634999999999999</v>
      </c>
      <c r="O199" cm="1" vm="2018">
        <f t="array" aca="1" ref="O199" ca="1">IFERROR(INDEX(_xlfn.ANCHORARRAY($C$3),T_CALC[[#This Row],[DAY]]+1,5),NA())</f>
        <v>1.3606</v>
      </c>
      <c r="P199" cm="1" vm="1980">
        <f t="array" aca="1" ref="P199" ca="1">IFERROR(INDEX(_xlfn.ANCHORARRAY($C$3),T_CALC[[#This Row],[DAY]]+1,6),NA())</f>
        <v>1.3617999999999999</v>
      </c>
      <c r="Q199" cm="1">
        <f t="array" aca="1" ref="Q199" ca="1">IFERROR(INDEX(_xlfn.ANCHORARRAY($C$3),T_CALC[[#This Row],[DAY]]+1,2),NA())</f>
        <v>0</v>
      </c>
    </row>
    <row r="200" spans="3:17">
      <c r="C200" vm="2190">
        <f ca="1"/>
        <v>43032</v>
      </c>
      <c r="D200">
        <f ca="1"/>
        <v>0</v>
      </c>
      <c r="E200" vm="2060">
        <f ca="1"/>
        <v>1.3616999999999999</v>
      </c>
      <c r="F200" vm="2048">
        <f ca="1"/>
        <v>1.3628</v>
      </c>
      <c r="G200" vm="2006">
        <f ca="1"/>
        <v>1.3585</v>
      </c>
      <c r="H200" vm="2023">
        <f ca="1"/>
        <v>1.3626</v>
      </c>
      <c r="K200">
        <f ca="1">IF(ROW(T_CALC[[#This Row],[DAY]])-ROW(T_CALC[[#Headers],[DAY]])&gt;C_N_TRADING_DAYS,"",ROW(T_CALC[[#This Row],[DAY]])-ROW(T_CALC[[#Headers],[DAY]]))</f>
        <v>197</v>
      </c>
      <c r="L200" cm="1" vm="2190">
        <f t="array" aca="1" ref="L200" ca="1">IFERROR(INDEX(_xlfn.ANCHORARRAY($C$3),T_CALC[[#This Row],[DAY]]+1,1),NA())</f>
        <v>43032</v>
      </c>
      <c r="M200" cm="1" vm="2060">
        <f t="array" aca="1" ref="M200" ca="1">IFERROR(INDEX(_xlfn.ANCHORARRAY($C$3),T_CALC[[#This Row],[DAY]]+1,3),NA())</f>
        <v>1.3616999999999999</v>
      </c>
      <c r="N200" cm="1" vm="2048">
        <f t="array" aca="1" ref="N200" ca="1">IFERROR(INDEX(_xlfn.ANCHORARRAY($C$3),T_CALC[[#This Row],[DAY]]+1,4),NA())</f>
        <v>1.3628</v>
      </c>
      <c r="O200" cm="1" vm="2006">
        <f t="array" aca="1" ref="O200" ca="1">IFERROR(INDEX(_xlfn.ANCHORARRAY($C$3),T_CALC[[#This Row],[DAY]]+1,5),NA())</f>
        <v>1.3585</v>
      </c>
      <c r="P200" cm="1" vm="2023">
        <f t="array" aca="1" ref="P200" ca="1">IFERROR(INDEX(_xlfn.ANCHORARRAY($C$3),T_CALC[[#This Row],[DAY]]+1,6),NA())</f>
        <v>1.3626</v>
      </c>
      <c r="Q200" cm="1">
        <f t="array" aca="1" ref="Q200" ca="1">IFERROR(INDEX(_xlfn.ANCHORARRAY($C$3),T_CALC[[#This Row],[DAY]]+1,2),NA())</f>
        <v>0</v>
      </c>
    </row>
    <row r="201" spans="3:17">
      <c r="C201" vm="2191">
        <f ca="1"/>
        <v>43033</v>
      </c>
      <c r="D201">
        <f ca="1"/>
        <v>0</v>
      </c>
      <c r="E201" vm="2192">
        <f ca="1"/>
        <v>1.3623000000000001</v>
      </c>
      <c r="F201" vm="2193">
        <f ca="1"/>
        <v>1.3638999999999999</v>
      </c>
      <c r="G201" vm="2051">
        <f ca="1"/>
        <v>1.3594999999999999</v>
      </c>
      <c r="H201" vm="2194">
        <f ca="1"/>
        <v>1.3602000000000001</v>
      </c>
      <c r="K201">
        <f ca="1">IF(ROW(T_CALC[[#This Row],[DAY]])-ROW(T_CALC[[#Headers],[DAY]])&gt;C_N_TRADING_DAYS,"",ROW(T_CALC[[#This Row],[DAY]])-ROW(T_CALC[[#Headers],[DAY]]))</f>
        <v>198</v>
      </c>
      <c r="L201" cm="1" vm="2191">
        <f t="array" aca="1" ref="L201" ca="1">IFERROR(INDEX(_xlfn.ANCHORARRAY($C$3),T_CALC[[#This Row],[DAY]]+1,1),NA())</f>
        <v>43033</v>
      </c>
      <c r="M201" cm="1" vm="2192">
        <f t="array" aca="1" ref="M201" ca="1">IFERROR(INDEX(_xlfn.ANCHORARRAY($C$3),T_CALC[[#This Row],[DAY]]+1,3),NA())</f>
        <v>1.3623000000000001</v>
      </c>
      <c r="N201" cm="1" vm="2193">
        <f t="array" aca="1" ref="N201" ca="1">IFERROR(INDEX(_xlfn.ANCHORARRAY($C$3),T_CALC[[#This Row],[DAY]]+1,4),NA())</f>
        <v>1.3638999999999999</v>
      </c>
      <c r="O201" cm="1" vm="2051">
        <f t="array" aca="1" ref="O201" ca="1">IFERROR(INDEX(_xlfn.ANCHORARRAY($C$3),T_CALC[[#This Row],[DAY]]+1,5),NA())</f>
        <v>1.3594999999999999</v>
      </c>
      <c r="P201" cm="1" vm="2194">
        <f t="array" aca="1" ref="P201" ca="1">IFERROR(INDEX(_xlfn.ANCHORARRAY($C$3),T_CALC[[#This Row],[DAY]]+1,6),NA())</f>
        <v>1.3602000000000001</v>
      </c>
      <c r="Q201" cm="1">
        <f t="array" aca="1" ref="Q201" ca="1">IFERROR(INDEX(_xlfn.ANCHORARRAY($C$3),T_CALC[[#This Row],[DAY]]+1,2),NA())</f>
        <v>0</v>
      </c>
    </row>
    <row r="202" spans="3:17">
      <c r="C202" vm="2195">
        <f ca="1"/>
        <v>43034</v>
      </c>
      <c r="D202">
        <f ca="1"/>
        <v>0</v>
      </c>
      <c r="E202" vm="2020">
        <f ca="1"/>
        <v>1.3603000000000001</v>
      </c>
      <c r="F202" vm="1973">
        <f ca="1"/>
        <v>1.3674999999999999</v>
      </c>
      <c r="G202" vm="2083">
        <f ca="1"/>
        <v>1.3584000000000001</v>
      </c>
      <c r="H202" vm="2196">
        <f ca="1"/>
        <v>1.3668</v>
      </c>
      <c r="K202">
        <f ca="1">IF(ROW(T_CALC[[#This Row],[DAY]])-ROW(T_CALC[[#Headers],[DAY]])&gt;C_N_TRADING_DAYS,"",ROW(T_CALC[[#This Row],[DAY]])-ROW(T_CALC[[#Headers],[DAY]]))</f>
        <v>199</v>
      </c>
      <c r="L202" cm="1" vm="2195">
        <f t="array" aca="1" ref="L202" ca="1">IFERROR(INDEX(_xlfn.ANCHORARRAY($C$3),T_CALC[[#This Row],[DAY]]+1,1),NA())</f>
        <v>43034</v>
      </c>
      <c r="M202" cm="1" vm="2020">
        <f t="array" aca="1" ref="M202" ca="1">IFERROR(INDEX(_xlfn.ANCHORARRAY($C$3),T_CALC[[#This Row],[DAY]]+1,3),NA())</f>
        <v>1.3603000000000001</v>
      </c>
      <c r="N202" cm="1" vm="1973">
        <f t="array" aca="1" ref="N202" ca="1">IFERROR(INDEX(_xlfn.ANCHORARRAY($C$3),T_CALC[[#This Row],[DAY]]+1,4),NA())</f>
        <v>1.3674999999999999</v>
      </c>
      <c r="O202" cm="1" vm="2083">
        <f t="array" aca="1" ref="O202" ca="1">IFERROR(INDEX(_xlfn.ANCHORARRAY($C$3),T_CALC[[#This Row],[DAY]]+1,5),NA())</f>
        <v>1.3584000000000001</v>
      </c>
      <c r="P202" cm="1" vm="2196">
        <f t="array" aca="1" ref="P202" ca="1">IFERROR(INDEX(_xlfn.ANCHORARRAY($C$3),T_CALC[[#This Row],[DAY]]+1,6),NA())</f>
        <v>1.3668</v>
      </c>
      <c r="Q202" cm="1">
        <f t="array" aca="1" ref="Q202" ca="1">IFERROR(INDEX(_xlfn.ANCHORARRAY($C$3),T_CALC[[#This Row],[DAY]]+1,2),NA())</f>
        <v>0</v>
      </c>
    </row>
    <row r="203" spans="3:17">
      <c r="C203" vm="2197">
        <f ca="1"/>
        <v>43035</v>
      </c>
      <c r="D203">
        <f ca="1"/>
        <v>0</v>
      </c>
      <c r="E203" vm="2198">
        <f ca="1"/>
        <v>1.3672</v>
      </c>
      <c r="F203" vm="2199">
        <f ca="1"/>
        <v>1.3713</v>
      </c>
      <c r="G203" vm="2162">
        <f ca="1"/>
        <v>1.3640000000000001</v>
      </c>
      <c r="H203" vm="2200">
        <f ca="1"/>
        <v>1.3652</v>
      </c>
      <c r="K203">
        <f ca="1">IF(ROW(T_CALC[[#This Row],[DAY]])-ROW(T_CALC[[#Headers],[DAY]])&gt;C_N_TRADING_DAYS,"",ROW(T_CALC[[#This Row],[DAY]])-ROW(T_CALC[[#Headers],[DAY]]))</f>
        <v>200</v>
      </c>
      <c r="L203" cm="1" vm="2197">
        <f t="array" aca="1" ref="L203" ca="1">IFERROR(INDEX(_xlfn.ANCHORARRAY($C$3),T_CALC[[#This Row],[DAY]]+1,1),NA())</f>
        <v>43035</v>
      </c>
      <c r="M203" cm="1" vm="2198">
        <f t="array" aca="1" ref="M203" ca="1">IFERROR(INDEX(_xlfn.ANCHORARRAY($C$3),T_CALC[[#This Row],[DAY]]+1,3),NA())</f>
        <v>1.3672</v>
      </c>
      <c r="N203" cm="1" vm="2199">
        <f t="array" aca="1" ref="N203" ca="1">IFERROR(INDEX(_xlfn.ANCHORARRAY($C$3),T_CALC[[#This Row],[DAY]]+1,4),NA())</f>
        <v>1.3713</v>
      </c>
      <c r="O203" cm="1" vm="2162">
        <f t="array" aca="1" ref="O203" ca="1">IFERROR(INDEX(_xlfn.ANCHORARRAY($C$3),T_CALC[[#This Row],[DAY]]+1,5),NA())</f>
        <v>1.3640000000000001</v>
      </c>
      <c r="P203" cm="1" vm="2200">
        <f t="array" aca="1" ref="P203" ca="1">IFERROR(INDEX(_xlfn.ANCHORARRAY($C$3),T_CALC[[#This Row],[DAY]]+1,6),NA())</f>
        <v>1.3652</v>
      </c>
      <c r="Q203" cm="1">
        <f t="array" aca="1" ref="Q203" ca="1">IFERROR(INDEX(_xlfn.ANCHORARRAY($C$3),T_CALC[[#This Row],[DAY]]+1,2),NA())</f>
        <v>0</v>
      </c>
    </row>
    <row r="204" spans="3:17">
      <c r="C204" vm="2201">
        <f ca="1"/>
        <v>43038</v>
      </c>
      <c r="D204">
        <f ca="1"/>
        <v>0</v>
      </c>
      <c r="E204" vm="2031">
        <f ca="1"/>
        <v>1.3653999999999999</v>
      </c>
      <c r="F204" vm="2043">
        <f ca="1"/>
        <v>1.3666</v>
      </c>
      <c r="G204" vm="2202">
        <f ca="1"/>
        <v>1.3597999999999999</v>
      </c>
      <c r="H204" vm="2018">
        <f ca="1"/>
        <v>1.3606</v>
      </c>
      <c r="K204">
        <f ca="1">IF(ROW(T_CALC[[#This Row],[DAY]])-ROW(T_CALC[[#Headers],[DAY]])&gt;C_N_TRADING_DAYS,"",ROW(T_CALC[[#This Row],[DAY]])-ROW(T_CALC[[#Headers],[DAY]]))</f>
        <v>201</v>
      </c>
      <c r="L204" cm="1" vm="2201">
        <f t="array" aca="1" ref="L204" ca="1">IFERROR(INDEX(_xlfn.ANCHORARRAY($C$3),T_CALC[[#This Row],[DAY]]+1,1),NA())</f>
        <v>43038</v>
      </c>
      <c r="M204" cm="1" vm="2031">
        <f t="array" aca="1" ref="M204" ca="1">IFERROR(INDEX(_xlfn.ANCHORARRAY($C$3),T_CALC[[#This Row],[DAY]]+1,3),NA())</f>
        <v>1.3653999999999999</v>
      </c>
      <c r="N204" cm="1" vm="2043">
        <f t="array" aca="1" ref="N204" ca="1">IFERROR(INDEX(_xlfn.ANCHORARRAY($C$3),T_CALC[[#This Row],[DAY]]+1,4),NA())</f>
        <v>1.3666</v>
      </c>
      <c r="O204" cm="1" vm="2202">
        <f t="array" aca="1" ref="O204" ca="1">IFERROR(INDEX(_xlfn.ANCHORARRAY($C$3),T_CALC[[#This Row],[DAY]]+1,5),NA())</f>
        <v>1.3597999999999999</v>
      </c>
      <c r="P204" cm="1" vm="2018">
        <f t="array" aca="1" ref="P204" ca="1">IFERROR(INDEX(_xlfn.ANCHORARRAY($C$3),T_CALC[[#This Row],[DAY]]+1,6),NA())</f>
        <v>1.3606</v>
      </c>
      <c r="Q204" cm="1">
        <f t="array" aca="1" ref="Q204" ca="1">IFERROR(INDEX(_xlfn.ANCHORARRAY($C$3),T_CALC[[#This Row],[DAY]]+1,2),NA())</f>
        <v>0</v>
      </c>
    </row>
    <row r="205" spans="3:17">
      <c r="C205" vm="2203">
        <f ca="1"/>
        <v>43039</v>
      </c>
      <c r="D205">
        <f ca="1"/>
        <v>0</v>
      </c>
      <c r="E205" vm="2020">
        <f ca="1"/>
        <v>1.3603000000000001</v>
      </c>
      <c r="F205" vm="2169">
        <f ca="1"/>
        <v>1.3635999999999999</v>
      </c>
      <c r="G205" vm="2058">
        <f ca="1"/>
        <v>1.3593999999999999</v>
      </c>
      <c r="H205" vm="2204">
        <f ca="1"/>
        <v>1.3625</v>
      </c>
      <c r="K205">
        <f ca="1">IF(ROW(T_CALC[[#This Row],[DAY]])-ROW(T_CALC[[#Headers],[DAY]])&gt;C_N_TRADING_DAYS,"",ROW(T_CALC[[#This Row],[DAY]])-ROW(T_CALC[[#Headers],[DAY]]))</f>
        <v>202</v>
      </c>
      <c r="L205" cm="1" vm="2203">
        <f t="array" aca="1" ref="L205" ca="1">IFERROR(INDEX(_xlfn.ANCHORARRAY($C$3),T_CALC[[#This Row],[DAY]]+1,1),NA())</f>
        <v>43039</v>
      </c>
      <c r="M205" cm="1" vm="2020">
        <f t="array" aca="1" ref="M205" ca="1">IFERROR(INDEX(_xlfn.ANCHORARRAY($C$3),T_CALC[[#This Row],[DAY]]+1,3),NA())</f>
        <v>1.3603000000000001</v>
      </c>
      <c r="N205" cm="1" vm="2169">
        <f t="array" aca="1" ref="N205" ca="1">IFERROR(INDEX(_xlfn.ANCHORARRAY($C$3),T_CALC[[#This Row],[DAY]]+1,4),NA())</f>
        <v>1.3635999999999999</v>
      </c>
      <c r="O205" cm="1" vm="2058">
        <f t="array" aca="1" ref="O205" ca="1">IFERROR(INDEX(_xlfn.ANCHORARRAY($C$3),T_CALC[[#This Row],[DAY]]+1,5),NA())</f>
        <v>1.3593999999999999</v>
      </c>
      <c r="P205" cm="1" vm="2204">
        <f t="array" aca="1" ref="P205" ca="1">IFERROR(INDEX(_xlfn.ANCHORARRAY($C$3),T_CALC[[#This Row],[DAY]]+1,6),NA())</f>
        <v>1.3625</v>
      </c>
      <c r="Q205" cm="1">
        <f t="array" aca="1" ref="Q205" ca="1">IFERROR(INDEX(_xlfn.ANCHORARRAY($C$3),T_CALC[[#This Row],[DAY]]+1,2),NA())</f>
        <v>0</v>
      </c>
    </row>
    <row r="206" spans="3:17">
      <c r="C206" vm="2205">
        <f ca="1"/>
        <v>43040</v>
      </c>
      <c r="D206">
        <f ca="1"/>
        <v>0</v>
      </c>
      <c r="E206" vm="2023">
        <f ca="1"/>
        <v>1.3626</v>
      </c>
      <c r="F206" vm="1970">
        <f ca="1"/>
        <v>1.3643000000000001</v>
      </c>
      <c r="G206" vm="2013">
        <f ca="1"/>
        <v>1.3588</v>
      </c>
      <c r="H206" vm="2158">
        <f ca="1"/>
        <v>1.3605</v>
      </c>
      <c r="K206">
        <f ca="1">IF(ROW(T_CALC[[#This Row],[DAY]])-ROW(T_CALC[[#Headers],[DAY]])&gt;C_N_TRADING_DAYS,"",ROW(T_CALC[[#This Row],[DAY]])-ROW(T_CALC[[#Headers],[DAY]]))</f>
        <v>203</v>
      </c>
      <c r="L206" cm="1" vm="2205">
        <f t="array" aca="1" ref="L206" ca="1">IFERROR(INDEX(_xlfn.ANCHORARRAY($C$3),T_CALC[[#This Row],[DAY]]+1,1),NA())</f>
        <v>43040</v>
      </c>
      <c r="M206" cm="1" vm="2023">
        <f t="array" aca="1" ref="M206" ca="1">IFERROR(INDEX(_xlfn.ANCHORARRAY($C$3),T_CALC[[#This Row],[DAY]]+1,3),NA())</f>
        <v>1.3626</v>
      </c>
      <c r="N206" cm="1" vm="1970">
        <f t="array" aca="1" ref="N206" ca="1">IFERROR(INDEX(_xlfn.ANCHORARRAY($C$3),T_CALC[[#This Row],[DAY]]+1,4),NA())</f>
        <v>1.3643000000000001</v>
      </c>
      <c r="O206" cm="1" vm="2013">
        <f t="array" aca="1" ref="O206" ca="1">IFERROR(INDEX(_xlfn.ANCHORARRAY($C$3),T_CALC[[#This Row],[DAY]]+1,5),NA())</f>
        <v>1.3588</v>
      </c>
      <c r="P206" cm="1" vm="2158">
        <f t="array" aca="1" ref="P206" ca="1">IFERROR(INDEX(_xlfn.ANCHORARRAY($C$3),T_CALC[[#This Row],[DAY]]+1,6),NA())</f>
        <v>1.3605</v>
      </c>
      <c r="Q206" cm="1">
        <f t="array" aca="1" ref="Q206" ca="1">IFERROR(INDEX(_xlfn.ANCHORARRAY($C$3),T_CALC[[#This Row],[DAY]]+1,2),NA())</f>
        <v>0</v>
      </c>
    </row>
    <row r="207" spans="3:17">
      <c r="C207" vm="2206">
        <f ca="1"/>
        <v>43041</v>
      </c>
      <c r="D207">
        <f ca="1"/>
        <v>0</v>
      </c>
      <c r="E207" vm="1974">
        <f ca="1"/>
        <v>1.3608</v>
      </c>
      <c r="F207" vm="2040">
        <f ca="1"/>
        <v>1.3614999999999999</v>
      </c>
      <c r="G207" vm="2012">
        <f ca="1"/>
        <v>1.3565</v>
      </c>
      <c r="H207" vm="2013">
        <f ca="1"/>
        <v>1.3588</v>
      </c>
      <c r="K207">
        <f ca="1">IF(ROW(T_CALC[[#This Row],[DAY]])-ROW(T_CALC[[#Headers],[DAY]])&gt;C_N_TRADING_DAYS,"",ROW(T_CALC[[#This Row],[DAY]])-ROW(T_CALC[[#Headers],[DAY]]))</f>
        <v>204</v>
      </c>
      <c r="L207" cm="1" vm="2206">
        <f t="array" aca="1" ref="L207" ca="1">IFERROR(INDEX(_xlfn.ANCHORARRAY($C$3),T_CALC[[#This Row],[DAY]]+1,1),NA())</f>
        <v>43041</v>
      </c>
      <c r="M207" cm="1" vm="1974">
        <f t="array" aca="1" ref="M207" ca="1">IFERROR(INDEX(_xlfn.ANCHORARRAY($C$3),T_CALC[[#This Row],[DAY]]+1,3),NA())</f>
        <v>1.3608</v>
      </c>
      <c r="N207" cm="1" vm="2040">
        <f t="array" aca="1" ref="N207" ca="1">IFERROR(INDEX(_xlfn.ANCHORARRAY($C$3),T_CALC[[#This Row],[DAY]]+1,4),NA())</f>
        <v>1.3614999999999999</v>
      </c>
      <c r="O207" cm="1" vm="2012">
        <f t="array" aca="1" ref="O207" ca="1">IFERROR(INDEX(_xlfn.ANCHORARRAY($C$3),T_CALC[[#This Row],[DAY]]+1,5),NA())</f>
        <v>1.3565</v>
      </c>
      <c r="P207" cm="1" vm="2013">
        <f t="array" aca="1" ref="P207" ca="1">IFERROR(INDEX(_xlfn.ANCHORARRAY($C$3),T_CALC[[#This Row],[DAY]]+1,6),NA())</f>
        <v>1.3588</v>
      </c>
      <c r="Q207" cm="1">
        <f t="array" aca="1" ref="Q207" ca="1">IFERROR(INDEX(_xlfn.ANCHORARRAY($C$3),T_CALC[[#This Row],[DAY]]+1,2),NA())</f>
        <v>0</v>
      </c>
    </row>
    <row r="208" spans="3:17">
      <c r="C208" vm="2207">
        <f ca="1"/>
        <v>43042</v>
      </c>
      <c r="D208">
        <f ca="1"/>
        <v>0</v>
      </c>
      <c r="E208" vm="2013">
        <f ca="1"/>
        <v>1.3588</v>
      </c>
      <c r="F208" vm="2208">
        <f ca="1"/>
        <v>1.3651</v>
      </c>
      <c r="G208" vm="2075">
        <f ca="1"/>
        <v>1.3581000000000001</v>
      </c>
      <c r="H208" vm="2150">
        <f ca="1"/>
        <v>1.3646</v>
      </c>
      <c r="K208">
        <f ca="1">IF(ROW(T_CALC[[#This Row],[DAY]])-ROW(T_CALC[[#Headers],[DAY]])&gt;C_N_TRADING_DAYS,"",ROW(T_CALC[[#This Row],[DAY]])-ROW(T_CALC[[#Headers],[DAY]]))</f>
        <v>205</v>
      </c>
      <c r="L208" cm="1" vm="2207">
        <f t="array" aca="1" ref="L208" ca="1">IFERROR(INDEX(_xlfn.ANCHORARRAY($C$3),T_CALC[[#This Row],[DAY]]+1,1),NA())</f>
        <v>43042</v>
      </c>
      <c r="M208" cm="1" vm="2013">
        <f t="array" aca="1" ref="M208" ca="1">IFERROR(INDEX(_xlfn.ANCHORARRAY($C$3),T_CALC[[#This Row],[DAY]]+1,3),NA())</f>
        <v>1.3588</v>
      </c>
      <c r="N208" cm="1" vm="2208">
        <f t="array" aca="1" ref="N208" ca="1">IFERROR(INDEX(_xlfn.ANCHORARRAY($C$3),T_CALC[[#This Row],[DAY]]+1,4),NA())</f>
        <v>1.3651</v>
      </c>
      <c r="O208" cm="1" vm="2075">
        <f t="array" aca="1" ref="O208" ca="1">IFERROR(INDEX(_xlfn.ANCHORARRAY($C$3),T_CALC[[#This Row],[DAY]]+1,5),NA())</f>
        <v>1.3581000000000001</v>
      </c>
      <c r="P208" cm="1" vm="2150">
        <f t="array" aca="1" ref="P208" ca="1">IFERROR(INDEX(_xlfn.ANCHORARRAY($C$3),T_CALC[[#This Row],[DAY]]+1,6),NA())</f>
        <v>1.3646</v>
      </c>
      <c r="Q208" cm="1">
        <f t="array" aca="1" ref="Q208" ca="1">IFERROR(INDEX(_xlfn.ANCHORARRAY($C$3),T_CALC[[#This Row],[DAY]]+1,2),NA())</f>
        <v>0</v>
      </c>
    </row>
    <row r="209" spans="3:17">
      <c r="C209" vm="2209">
        <f ca="1"/>
        <v>43045</v>
      </c>
      <c r="D209">
        <f ca="1"/>
        <v>0</v>
      </c>
      <c r="E209" vm="2035">
        <f ca="1"/>
        <v>1.3644000000000001</v>
      </c>
      <c r="F209" vm="2210">
        <f ca="1"/>
        <v>1.3658999999999999</v>
      </c>
      <c r="G209" vm="2076">
        <f ca="1"/>
        <v>1.361</v>
      </c>
      <c r="H209" vm="2156">
        <f ca="1"/>
        <v>1.3613</v>
      </c>
      <c r="K209">
        <f ca="1">IF(ROW(T_CALC[[#This Row],[DAY]])-ROW(T_CALC[[#Headers],[DAY]])&gt;C_N_TRADING_DAYS,"",ROW(T_CALC[[#This Row],[DAY]])-ROW(T_CALC[[#Headers],[DAY]]))</f>
        <v>206</v>
      </c>
      <c r="L209" cm="1" vm="2209">
        <f t="array" aca="1" ref="L209" ca="1">IFERROR(INDEX(_xlfn.ANCHORARRAY($C$3),T_CALC[[#This Row],[DAY]]+1,1),NA())</f>
        <v>43045</v>
      </c>
      <c r="M209" cm="1" vm="2035">
        <f t="array" aca="1" ref="M209" ca="1">IFERROR(INDEX(_xlfn.ANCHORARRAY($C$3),T_CALC[[#This Row],[DAY]]+1,3),NA())</f>
        <v>1.3644000000000001</v>
      </c>
      <c r="N209" cm="1" vm="2210">
        <f t="array" aca="1" ref="N209" ca="1">IFERROR(INDEX(_xlfn.ANCHORARRAY($C$3),T_CALC[[#This Row],[DAY]]+1,4),NA())</f>
        <v>1.3658999999999999</v>
      </c>
      <c r="O209" cm="1" vm="2076">
        <f t="array" aca="1" ref="O209" ca="1">IFERROR(INDEX(_xlfn.ANCHORARRAY($C$3),T_CALC[[#This Row],[DAY]]+1,5),NA())</f>
        <v>1.361</v>
      </c>
      <c r="P209" cm="1" vm="2156">
        <f t="array" aca="1" ref="P209" ca="1">IFERROR(INDEX(_xlfn.ANCHORARRAY($C$3),T_CALC[[#This Row],[DAY]]+1,6),NA())</f>
        <v>1.3613</v>
      </c>
      <c r="Q209" cm="1">
        <f t="array" aca="1" ref="Q209" ca="1">IFERROR(INDEX(_xlfn.ANCHORARRAY($C$3),T_CALC[[#This Row],[DAY]]+1,2),NA())</f>
        <v>0</v>
      </c>
    </row>
    <row r="210" spans="3:17">
      <c r="C210" vm="2211">
        <f ca="1"/>
        <v>43046</v>
      </c>
      <c r="D210">
        <f ca="1"/>
        <v>0</v>
      </c>
      <c r="E210" vm="2032">
        <f ca="1"/>
        <v>1.3612</v>
      </c>
      <c r="F210" vm="2200">
        <f ca="1"/>
        <v>1.3652</v>
      </c>
      <c r="G210" vm="2158">
        <f ca="1"/>
        <v>1.3605</v>
      </c>
      <c r="H210" vm="2021">
        <f ca="1"/>
        <v>1.3637999999999999</v>
      </c>
      <c r="K210">
        <f ca="1">IF(ROW(T_CALC[[#This Row],[DAY]])-ROW(T_CALC[[#Headers],[DAY]])&gt;C_N_TRADING_DAYS,"",ROW(T_CALC[[#This Row],[DAY]])-ROW(T_CALC[[#Headers],[DAY]]))</f>
        <v>207</v>
      </c>
      <c r="L210" cm="1" vm="2211">
        <f t="array" aca="1" ref="L210" ca="1">IFERROR(INDEX(_xlfn.ANCHORARRAY($C$3),T_CALC[[#This Row],[DAY]]+1,1),NA())</f>
        <v>43046</v>
      </c>
      <c r="M210" cm="1" vm="2032">
        <f t="array" aca="1" ref="M210" ca="1">IFERROR(INDEX(_xlfn.ANCHORARRAY($C$3),T_CALC[[#This Row],[DAY]]+1,3),NA())</f>
        <v>1.3612</v>
      </c>
      <c r="N210" cm="1" vm="2200">
        <f t="array" aca="1" ref="N210" ca="1">IFERROR(INDEX(_xlfn.ANCHORARRAY($C$3),T_CALC[[#This Row],[DAY]]+1,4),NA())</f>
        <v>1.3652</v>
      </c>
      <c r="O210" cm="1" vm="2158">
        <f t="array" aca="1" ref="O210" ca="1">IFERROR(INDEX(_xlfn.ANCHORARRAY($C$3),T_CALC[[#This Row],[DAY]]+1,5),NA())</f>
        <v>1.3605</v>
      </c>
      <c r="P210" cm="1" vm="2021">
        <f t="array" aca="1" ref="P210" ca="1">IFERROR(INDEX(_xlfn.ANCHORARRAY($C$3),T_CALC[[#This Row],[DAY]]+1,6),NA())</f>
        <v>1.3637999999999999</v>
      </c>
      <c r="Q210" cm="1">
        <f t="array" aca="1" ref="Q210" ca="1">IFERROR(INDEX(_xlfn.ANCHORARRAY($C$3),T_CALC[[#This Row],[DAY]]+1,2),NA())</f>
        <v>0</v>
      </c>
    </row>
    <row r="211" spans="3:17">
      <c r="C211" vm="2212">
        <f ca="1"/>
        <v>43047</v>
      </c>
      <c r="D211">
        <f ca="1"/>
        <v>0</v>
      </c>
      <c r="E211" vm="2162">
        <f ca="1"/>
        <v>1.3640000000000001</v>
      </c>
      <c r="F211" vm="1961">
        <f ca="1"/>
        <v>1.3648</v>
      </c>
      <c r="G211" vm="1974">
        <f ca="1"/>
        <v>1.3608</v>
      </c>
      <c r="H211" vm="2213">
        <f ca="1"/>
        <v>1.3615999999999999</v>
      </c>
      <c r="K211">
        <f ca="1">IF(ROW(T_CALC[[#This Row],[DAY]])-ROW(T_CALC[[#Headers],[DAY]])&gt;C_N_TRADING_DAYS,"",ROW(T_CALC[[#This Row],[DAY]])-ROW(T_CALC[[#Headers],[DAY]]))</f>
        <v>208</v>
      </c>
      <c r="L211" cm="1" vm="2212">
        <f t="array" aca="1" ref="L211" ca="1">IFERROR(INDEX(_xlfn.ANCHORARRAY($C$3),T_CALC[[#This Row],[DAY]]+1,1),NA())</f>
        <v>43047</v>
      </c>
      <c r="M211" cm="1" vm="2162">
        <f t="array" aca="1" ref="M211" ca="1">IFERROR(INDEX(_xlfn.ANCHORARRAY($C$3),T_CALC[[#This Row],[DAY]]+1,3),NA())</f>
        <v>1.3640000000000001</v>
      </c>
      <c r="N211" cm="1" vm="1961">
        <f t="array" aca="1" ref="N211" ca="1">IFERROR(INDEX(_xlfn.ANCHORARRAY($C$3),T_CALC[[#This Row],[DAY]]+1,4),NA())</f>
        <v>1.3648</v>
      </c>
      <c r="O211" cm="1" vm="1974">
        <f t="array" aca="1" ref="O211" ca="1">IFERROR(INDEX(_xlfn.ANCHORARRAY($C$3),T_CALC[[#This Row],[DAY]]+1,5),NA())</f>
        <v>1.3608</v>
      </c>
      <c r="P211" cm="1" vm="2213">
        <f t="array" aca="1" ref="P211" ca="1">IFERROR(INDEX(_xlfn.ANCHORARRAY($C$3),T_CALC[[#This Row],[DAY]]+1,6),NA())</f>
        <v>1.3615999999999999</v>
      </c>
      <c r="Q211" cm="1">
        <f t="array" aca="1" ref="Q211" ca="1">IFERROR(INDEX(_xlfn.ANCHORARRAY($C$3),T_CALC[[#This Row],[DAY]]+1,2),NA())</f>
        <v>0</v>
      </c>
    </row>
    <row r="212" spans="3:17">
      <c r="C212" vm="2214">
        <f ca="1"/>
        <v>43048</v>
      </c>
      <c r="D212">
        <f ca="1"/>
        <v>0</v>
      </c>
      <c r="E212" vm="2213">
        <f ca="1"/>
        <v>1.3615999999999999</v>
      </c>
      <c r="F212" vm="2027">
        <f ca="1"/>
        <v>1.3629</v>
      </c>
      <c r="G212" vm="2160">
        <f ca="1"/>
        <v>1.3580000000000001</v>
      </c>
      <c r="H212" vm="2013">
        <f ca="1"/>
        <v>1.3588</v>
      </c>
      <c r="K212">
        <f ca="1">IF(ROW(T_CALC[[#This Row],[DAY]])-ROW(T_CALC[[#Headers],[DAY]])&gt;C_N_TRADING_DAYS,"",ROW(T_CALC[[#This Row],[DAY]])-ROW(T_CALC[[#Headers],[DAY]]))</f>
        <v>209</v>
      </c>
      <c r="L212" cm="1" vm="2214">
        <f t="array" aca="1" ref="L212" ca="1">IFERROR(INDEX(_xlfn.ANCHORARRAY($C$3),T_CALC[[#This Row],[DAY]]+1,1),NA())</f>
        <v>43048</v>
      </c>
      <c r="M212" cm="1" vm="2213">
        <f t="array" aca="1" ref="M212" ca="1">IFERROR(INDEX(_xlfn.ANCHORARRAY($C$3),T_CALC[[#This Row],[DAY]]+1,3),NA())</f>
        <v>1.3615999999999999</v>
      </c>
      <c r="N212" cm="1" vm="2027">
        <f t="array" aca="1" ref="N212" ca="1">IFERROR(INDEX(_xlfn.ANCHORARRAY($C$3),T_CALC[[#This Row],[DAY]]+1,4),NA())</f>
        <v>1.3629</v>
      </c>
      <c r="O212" cm="1" vm="2160">
        <f t="array" aca="1" ref="O212" ca="1">IFERROR(INDEX(_xlfn.ANCHORARRAY($C$3),T_CALC[[#This Row],[DAY]]+1,5),NA())</f>
        <v>1.3580000000000001</v>
      </c>
      <c r="P212" cm="1" vm="2013">
        <f t="array" aca="1" ref="P212" ca="1">IFERROR(INDEX(_xlfn.ANCHORARRAY($C$3),T_CALC[[#This Row],[DAY]]+1,6),NA())</f>
        <v>1.3588</v>
      </c>
      <c r="Q212" cm="1">
        <f t="array" aca="1" ref="Q212" ca="1">IFERROR(INDEX(_xlfn.ANCHORARRAY($C$3),T_CALC[[#This Row],[DAY]]+1,2),NA())</f>
        <v>0</v>
      </c>
    </row>
    <row r="213" spans="3:17">
      <c r="C213" vm="2215">
        <f ca="1"/>
        <v>43049</v>
      </c>
      <c r="D213">
        <f ca="1"/>
        <v>0</v>
      </c>
      <c r="E213" vm="2013">
        <f ca="1"/>
        <v>1.3588</v>
      </c>
      <c r="F213" vm="2032">
        <f ca="1"/>
        <v>1.3612</v>
      </c>
      <c r="G213" vm="2010">
        <f ca="1"/>
        <v>1.3576999999999999</v>
      </c>
      <c r="H213" vm="2216">
        <f ca="1"/>
        <v>1.36</v>
      </c>
      <c r="K213">
        <f ca="1">IF(ROW(T_CALC[[#This Row],[DAY]])-ROW(T_CALC[[#Headers],[DAY]])&gt;C_N_TRADING_DAYS,"",ROW(T_CALC[[#This Row],[DAY]])-ROW(T_CALC[[#Headers],[DAY]]))</f>
        <v>210</v>
      </c>
      <c r="L213" cm="1" vm="2215">
        <f t="array" aca="1" ref="L213" ca="1">IFERROR(INDEX(_xlfn.ANCHORARRAY($C$3),T_CALC[[#This Row],[DAY]]+1,1),NA())</f>
        <v>43049</v>
      </c>
      <c r="M213" cm="1" vm="2013">
        <f t="array" aca="1" ref="M213" ca="1">IFERROR(INDEX(_xlfn.ANCHORARRAY($C$3),T_CALC[[#This Row],[DAY]]+1,3),NA())</f>
        <v>1.3588</v>
      </c>
      <c r="N213" cm="1" vm="2032">
        <f t="array" aca="1" ref="N213" ca="1">IFERROR(INDEX(_xlfn.ANCHORARRAY($C$3),T_CALC[[#This Row],[DAY]]+1,4),NA())</f>
        <v>1.3612</v>
      </c>
      <c r="O213" cm="1" vm="2010">
        <f t="array" aca="1" ref="O213" ca="1">IFERROR(INDEX(_xlfn.ANCHORARRAY($C$3),T_CALC[[#This Row],[DAY]]+1,5),NA())</f>
        <v>1.3576999999999999</v>
      </c>
      <c r="P213" cm="1" vm="2216">
        <f t="array" aca="1" ref="P213" ca="1">IFERROR(INDEX(_xlfn.ANCHORARRAY($C$3),T_CALC[[#This Row],[DAY]]+1,6),NA())</f>
        <v>1.36</v>
      </c>
      <c r="Q213" cm="1">
        <f t="array" aca="1" ref="Q213" ca="1">IFERROR(INDEX(_xlfn.ANCHORARRAY($C$3),T_CALC[[#This Row],[DAY]]+1,2),NA())</f>
        <v>0</v>
      </c>
    </row>
    <row r="214" spans="3:17">
      <c r="C214" vm="2217">
        <f ca="1"/>
        <v>43052</v>
      </c>
      <c r="D214">
        <f ca="1"/>
        <v>0</v>
      </c>
      <c r="E214" vm="2218">
        <f ca="1"/>
        <v>1.3596999999999999</v>
      </c>
      <c r="F214" vm="2192">
        <f ca="1"/>
        <v>1.3623000000000001</v>
      </c>
      <c r="G214" vm="2058">
        <f ca="1"/>
        <v>1.3593999999999999</v>
      </c>
      <c r="H214" vm="2213">
        <f ca="1"/>
        <v>1.3615999999999999</v>
      </c>
      <c r="K214">
        <f ca="1">IF(ROW(T_CALC[[#This Row],[DAY]])-ROW(T_CALC[[#Headers],[DAY]])&gt;C_N_TRADING_DAYS,"",ROW(T_CALC[[#This Row],[DAY]])-ROW(T_CALC[[#Headers],[DAY]]))</f>
        <v>211</v>
      </c>
      <c r="L214" cm="1" vm="2217">
        <f t="array" aca="1" ref="L214" ca="1">IFERROR(INDEX(_xlfn.ANCHORARRAY($C$3),T_CALC[[#This Row],[DAY]]+1,1),NA())</f>
        <v>43052</v>
      </c>
      <c r="M214" cm="1" vm="2218">
        <f t="array" aca="1" ref="M214" ca="1">IFERROR(INDEX(_xlfn.ANCHORARRAY($C$3),T_CALC[[#This Row],[DAY]]+1,3),NA())</f>
        <v>1.3596999999999999</v>
      </c>
      <c r="N214" cm="1" vm="2192">
        <f t="array" aca="1" ref="N214" ca="1">IFERROR(INDEX(_xlfn.ANCHORARRAY($C$3),T_CALC[[#This Row],[DAY]]+1,4),NA())</f>
        <v>1.3623000000000001</v>
      </c>
      <c r="O214" cm="1" vm="2058">
        <f t="array" aca="1" ref="O214" ca="1">IFERROR(INDEX(_xlfn.ANCHORARRAY($C$3),T_CALC[[#This Row],[DAY]]+1,5),NA())</f>
        <v>1.3593999999999999</v>
      </c>
      <c r="P214" cm="1" vm="2213">
        <f t="array" aca="1" ref="P214" ca="1">IFERROR(INDEX(_xlfn.ANCHORARRAY($C$3),T_CALC[[#This Row],[DAY]]+1,6),NA())</f>
        <v>1.3615999999999999</v>
      </c>
      <c r="Q214" cm="1">
        <f t="array" aca="1" ref="Q214" ca="1">IFERROR(INDEX(_xlfn.ANCHORARRAY($C$3),T_CALC[[#This Row],[DAY]]+1,2),NA())</f>
        <v>0</v>
      </c>
    </row>
    <row r="215" spans="3:17">
      <c r="C215" vm="2219">
        <f ca="1"/>
        <v>43053</v>
      </c>
      <c r="D215">
        <f ca="1"/>
        <v>0</v>
      </c>
      <c r="E215" vm="2060">
        <f ca="1"/>
        <v>1.3616999999999999</v>
      </c>
      <c r="F215" vm="2027">
        <f ca="1"/>
        <v>1.3629</v>
      </c>
      <c r="G215" vm="2160">
        <f ca="1"/>
        <v>1.3580000000000001</v>
      </c>
      <c r="H215" vm="2013">
        <f ca="1"/>
        <v>1.3588</v>
      </c>
      <c r="K215">
        <f ca="1">IF(ROW(T_CALC[[#This Row],[DAY]])-ROW(T_CALC[[#Headers],[DAY]])&gt;C_N_TRADING_DAYS,"",ROW(T_CALC[[#This Row],[DAY]])-ROW(T_CALC[[#Headers],[DAY]]))</f>
        <v>212</v>
      </c>
      <c r="L215" cm="1" vm="2219">
        <f t="array" aca="1" ref="L215" ca="1">IFERROR(INDEX(_xlfn.ANCHORARRAY($C$3),T_CALC[[#This Row],[DAY]]+1,1),NA())</f>
        <v>43053</v>
      </c>
      <c r="M215" cm="1" vm="2060">
        <f t="array" aca="1" ref="M215" ca="1">IFERROR(INDEX(_xlfn.ANCHORARRAY($C$3),T_CALC[[#This Row],[DAY]]+1,3),NA())</f>
        <v>1.3616999999999999</v>
      </c>
      <c r="N215" cm="1" vm="2027">
        <f t="array" aca="1" ref="N215" ca="1">IFERROR(INDEX(_xlfn.ANCHORARRAY($C$3),T_CALC[[#This Row],[DAY]]+1,4),NA())</f>
        <v>1.3629</v>
      </c>
      <c r="O215" cm="1" vm="2160">
        <f t="array" aca="1" ref="O215" ca="1">IFERROR(INDEX(_xlfn.ANCHORARRAY($C$3),T_CALC[[#This Row],[DAY]]+1,5),NA())</f>
        <v>1.3580000000000001</v>
      </c>
      <c r="P215" cm="1" vm="2013">
        <f t="array" aca="1" ref="P215" ca="1">IFERROR(INDEX(_xlfn.ANCHORARRAY($C$3),T_CALC[[#This Row],[DAY]]+1,6),NA())</f>
        <v>1.3588</v>
      </c>
      <c r="Q215" cm="1">
        <f t="array" aca="1" ref="Q215" ca="1">IFERROR(INDEX(_xlfn.ANCHORARRAY($C$3),T_CALC[[#This Row],[DAY]]+1,2),NA())</f>
        <v>0</v>
      </c>
    </row>
    <row r="216" spans="3:17">
      <c r="C216" vm="2220">
        <f ca="1"/>
        <v>43054</v>
      </c>
      <c r="D216">
        <f ca="1"/>
        <v>0</v>
      </c>
      <c r="E216" vm="2221">
        <f ca="1"/>
        <v>1.3589</v>
      </c>
      <c r="F216" vm="2216">
        <f ca="1"/>
        <v>1.36</v>
      </c>
      <c r="G216" vm="2172">
        <f ca="1"/>
        <v>1.3528</v>
      </c>
      <c r="H216" vm="2012">
        <f ca="1"/>
        <v>1.3565</v>
      </c>
      <c r="K216">
        <f ca="1">IF(ROW(T_CALC[[#This Row],[DAY]])-ROW(T_CALC[[#Headers],[DAY]])&gt;C_N_TRADING_DAYS,"",ROW(T_CALC[[#This Row],[DAY]])-ROW(T_CALC[[#Headers],[DAY]]))</f>
        <v>213</v>
      </c>
      <c r="L216" cm="1" vm="2220">
        <f t="array" aca="1" ref="L216" ca="1">IFERROR(INDEX(_xlfn.ANCHORARRAY($C$3),T_CALC[[#This Row],[DAY]]+1,1),NA())</f>
        <v>43054</v>
      </c>
      <c r="M216" cm="1" vm="2221">
        <f t="array" aca="1" ref="M216" ca="1">IFERROR(INDEX(_xlfn.ANCHORARRAY($C$3),T_CALC[[#This Row],[DAY]]+1,3),NA())</f>
        <v>1.3589</v>
      </c>
      <c r="N216" cm="1" vm="2216">
        <f t="array" aca="1" ref="N216" ca="1">IFERROR(INDEX(_xlfn.ANCHORARRAY($C$3),T_CALC[[#This Row],[DAY]]+1,4),NA())</f>
        <v>1.36</v>
      </c>
      <c r="O216" cm="1" vm="2172">
        <f t="array" aca="1" ref="O216" ca="1">IFERROR(INDEX(_xlfn.ANCHORARRAY($C$3),T_CALC[[#This Row],[DAY]]+1,5),NA())</f>
        <v>1.3528</v>
      </c>
      <c r="P216" cm="1" vm="2012">
        <f t="array" aca="1" ref="P216" ca="1">IFERROR(INDEX(_xlfn.ANCHORARRAY($C$3),T_CALC[[#This Row],[DAY]]+1,6),NA())</f>
        <v>1.3565</v>
      </c>
      <c r="Q216" cm="1">
        <f t="array" aca="1" ref="Q216" ca="1">IFERROR(INDEX(_xlfn.ANCHORARRAY($C$3),T_CALC[[#This Row],[DAY]]+1,2),NA())</f>
        <v>0</v>
      </c>
    </row>
    <row r="217" spans="3:17">
      <c r="C217" vm="2222">
        <f ca="1"/>
        <v>43055</v>
      </c>
      <c r="D217">
        <f ca="1"/>
        <v>0</v>
      </c>
      <c r="E217" vm="1998">
        <f ca="1"/>
        <v>1.3564000000000001</v>
      </c>
      <c r="F217" vm="2010">
        <f ca="1"/>
        <v>1.3576999999999999</v>
      </c>
      <c r="G217" vm="2003">
        <f ca="1"/>
        <v>1.3545</v>
      </c>
      <c r="H217" vm="2223">
        <f ca="1"/>
        <v>1.3562000000000001</v>
      </c>
      <c r="K217">
        <f ca="1">IF(ROW(T_CALC[[#This Row],[DAY]])-ROW(T_CALC[[#Headers],[DAY]])&gt;C_N_TRADING_DAYS,"",ROW(T_CALC[[#This Row],[DAY]])-ROW(T_CALC[[#Headers],[DAY]]))</f>
        <v>214</v>
      </c>
      <c r="L217" cm="1" vm="2222">
        <f t="array" aca="1" ref="L217" ca="1">IFERROR(INDEX(_xlfn.ANCHORARRAY($C$3),T_CALC[[#This Row],[DAY]]+1,1),NA())</f>
        <v>43055</v>
      </c>
      <c r="M217" cm="1" vm="1998">
        <f t="array" aca="1" ref="M217" ca="1">IFERROR(INDEX(_xlfn.ANCHORARRAY($C$3),T_CALC[[#This Row],[DAY]]+1,3),NA())</f>
        <v>1.3564000000000001</v>
      </c>
      <c r="N217" cm="1" vm="2010">
        <f t="array" aca="1" ref="N217" ca="1">IFERROR(INDEX(_xlfn.ANCHORARRAY($C$3),T_CALC[[#This Row],[DAY]]+1,4),NA())</f>
        <v>1.3576999999999999</v>
      </c>
      <c r="O217" cm="1" vm="2003">
        <f t="array" aca="1" ref="O217" ca="1">IFERROR(INDEX(_xlfn.ANCHORARRAY($C$3),T_CALC[[#This Row],[DAY]]+1,5),NA())</f>
        <v>1.3545</v>
      </c>
      <c r="P217" cm="1" vm="2223">
        <f t="array" aca="1" ref="P217" ca="1">IFERROR(INDEX(_xlfn.ANCHORARRAY($C$3),T_CALC[[#This Row],[DAY]]+1,6),NA())</f>
        <v>1.3562000000000001</v>
      </c>
      <c r="Q217" cm="1">
        <f t="array" aca="1" ref="Q217" ca="1">IFERROR(INDEX(_xlfn.ANCHORARRAY($C$3),T_CALC[[#This Row],[DAY]]+1,2),NA())</f>
        <v>0</v>
      </c>
    </row>
    <row r="218" spans="3:17">
      <c r="C218" vm="2224">
        <f ca="1"/>
        <v>43056</v>
      </c>
      <c r="D218">
        <f ca="1"/>
        <v>0</v>
      </c>
      <c r="E218" vm="2225">
        <f ca="1"/>
        <v>1.3561000000000001</v>
      </c>
      <c r="F218" vm="2183">
        <f ca="1"/>
        <v>1.3577999999999999</v>
      </c>
      <c r="G218" vm="2226">
        <f ca="1"/>
        <v>1.3529</v>
      </c>
      <c r="H218" vm="1988">
        <f ca="1"/>
        <v>1.3552</v>
      </c>
      <c r="K218">
        <f ca="1">IF(ROW(T_CALC[[#This Row],[DAY]])-ROW(T_CALC[[#Headers],[DAY]])&gt;C_N_TRADING_DAYS,"",ROW(T_CALC[[#This Row],[DAY]])-ROW(T_CALC[[#Headers],[DAY]]))</f>
        <v>215</v>
      </c>
      <c r="L218" cm="1" vm="2224">
        <f t="array" aca="1" ref="L218" ca="1">IFERROR(INDEX(_xlfn.ANCHORARRAY($C$3),T_CALC[[#This Row],[DAY]]+1,1),NA())</f>
        <v>43056</v>
      </c>
      <c r="M218" cm="1" vm="2225">
        <f t="array" aca="1" ref="M218" ca="1">IFERROR(INDEX(_xlfn.ANCHORARRAY($C$3),T_CALC[[#This Row],[DAY]]+1,3),NA())</f>
        <v>1.3561000000000001</v>
      </c>
      <c r="N218" cm="1" vm="2183">
        <f t="array" aca="1" ref="N218" ca="1">IFERROR(INDEX(_xlfn.ANCHORARRAY($C$3),T_CALC[[#This Row],[DAY]]+1,4),NA())</f>
        <v>1.3577999999999999</v>
      </c>
      <c r="O218" cm="1" vm="2226">
        <f t="array" aca="1" ref="O218" ca="1">IFERROR(INDEX(_xlfn.ANCHORARRAY($C$3),T_CALC[[#This Row],[DAY]]+1,5),NA())</f>
        <v>1.3529</v>
      </c>
      <c r="P218" cm="1" vm="1988">
        <f t="array" aca="1" ref="P218" ca="1">IFERROR(INDEX(_xlfn.ANCHORARRAY($C$3),T_CALC[[#This Row],[DAY]]+1,6),NA())</f>
        <v>1.3552</v>
      </c>
      <c r="Q218" cm="1">
        <f t="array" aca="1" ref="Q218" ca="1">IFERROR(INDEX(_xlfn.ANCHORARRAY($C$3),T_CALC[[#This Row],[DAY]]+1,2),NA())</f>
        <v>0</v>
      </c>
    </row>
    <row r="219" spans="3:17">
      <c r="C219" vm="2227">
        <f ca="1"/>
        <v>43059</v>
      </c>
      <c r="D219">
        <f ca="1"/>
        <v>0</v>
      </c>
      <c r="E219" vm="2153">
        <f ca="1"/>
        <v>1.3551</v>
      </c>
      <c r="F219" vm="2183">
        <f ca="1"/>
        <v>1.3577999999999999</v>
      </c>
      <c r="G219" vm="2228">
        <f ca="1"/>
        <v>1.3539000000000001</v>
      </c>
      <c r="H219" vm="2084">
        <f ca="1"/>
        <v>1.3566</v>
      </c>
      <c r="K219">
        <f ca="1">IF(ROW(T_CALC[[#This Row],[DAY]])-ROW(T_CALC[[#Headers],[DAY]])&gt;C_N_TRADING_DAYS,"",ROW(T_CALC[[#This Row],[DAY]])-ROW(T_CALC[[#Headers],[DAY]]))</f>
        <v>216</v>
      </c>
      <c r="L219" cm="1" vm="2227">
        <f t="array" aca="1" ref="L219" ca="1">IFERROR(INDEX(_xlfn.ANCHORARRAY($C$3),T_CALC[[#This Row],[DAY]]+1,1),NA())</f>
        <v>43059</v>
      </c>
      <c r="M219" cm="1" vm="2153">
        <f t="array" aca="1" ref="M219" ca="1">IFERROR(INDEX(_xlfn.ANCHORARRAY($C$3),T_CALC[[#This Row],[DAY]]+1,3),NA())</f>
        <v>1.3551</v>
      </c>
      <c r="N219" cm="1" vm="2183">
        <f t="array" aca="1" ref="N219" ca="1">IFERROR(INDEX(_xlfn.ANCHORARRAY($C$3),T_CALC[[#This Row],[DAY]]+1,4),NA())</f>
        <v>1.3577999999999999</v>
      </c>
      <c r="O219" cm="1" vm="2228">
        <f t="array" aca="1" ref="O219" ca="1">IFERROR(INDEX(_xlfn.ANCHORARRAY($C$3),T_CALC[[#This Row],[DAY]]+1,5),NA())</f>
        <v>1.3539000000000001</v>
      </c>
      <c r="P219" cm="1" vm="2084">
        <f t="array" aca="1" ref="P219" ca="1">IFERROR(INDEX(_xlfn.ANCHORARRAY($C$3),T_CALC[[#This Row],[DAY]]+1,6),NA())</f>
        <v>1.3566</v>
      </c>
      <c r="Q219" cm="1">
        <f t="array" aca="1" ref="Q219" ca="1">IFERROR(INDEX(_xlfn.ANCHORARRAY($C$3),T_CALC[[#This Row],[DAY]]+1,2),NA())</f>
        <v>0</v>
      </c>
    </row>
    <row r="220" spans="3:17">
      <c r="C220" vm="2229">
        <f ca="1"/>
        <v>43060</v>
      </c>
      <c r="D220">
        <f ca="1"/>
        <v>0</v>
      </c>
      <c r="E220" vm="2230">
        <f ca="1"/>
        <v>1.3567</v>
      </c>
      <c r="F220" vm="2231">
        <f ca="1"/>
        <v>1.3579000000000001</v>
      </c>
      <c r="G220" vm="2172">
        <f ca="1"/>
        <v>1.3528</v>
      </c>
      <c r="H220" vm="2005">
        <f ca="1"/>
        <v>1.3542000000000001</v>
      </c>
      <c r="K220">
        <f ca="1">IF(ROW(T_CALC[[#This Row],[DAY]])-ROW(T_CALC[[#Headers],[DAY]])&gt;C_N_TRADING_DAYS,"",ROW(T_CALC[[#This Row],[DAY]])-ROW(T_CALC[[#Headers],[DAY]]))</f>
        <v>217</v>
      </c>
      <c r="L220" cm="1" vm="2229">
        <f t="array" aca="1" ref="L220" ca="1">IFERROR(INDEX(_xlfn.ANCHORARRAY($C$3),T_CALC[[#This Row],[DAY]]+1,1),NA())</f>
        <v>43060</v>
      </c>
      <c r="M220" cm="1" vm="2230">
        <f t="array" aca="1" ref="M220" ca="1">IFERROR(INDEX(_xlfn.ANCHORARRAY($C$3),T_CALC[[#This Row],[DAY]]+1,3),NA())</f>
        <v>1.3567</v>
      </c>
      <c r="N220" cm="1" vm="2231">
        <f t="array" aca="1" ref="N220" ca="1">IFERROR(INDEX(_xlfn.ANCHORARRAY($C$3),T_CALC[[#This Row],[DAY]]+1,4),NA())</f>
        <v>1.3579000000000001</v>
      </c>
      <c r="O220" cm="1" vm="2172">
        <f t="array" aca="1" ref="O220" ca="1">IFERROR(INDEX(_xlfn.ANCHORARRAY($C$3),T_CALC[[#This Row],[DAY]]+1,5),NA())</f>
        <v>1.3528</v>
      </c>
      <c r="P220" cm="1" vm="2005">
        <f t="array" aca="1" ref="P220" ca="1">IFERROR(INDEX(_xlfn.ANCHORARRAY($C$3),T_CALC[[#This Row],[DAY]]+1,6),NA())</f>
        <v>1.3542000000000001</v>
      </c>
      <c r="Q220" cm="1">
        <f t="array" aca="1" ref="Q220" ca="1">IFERROR(INDEX(_xlfn.ANCHORARRAY($C$3),T_CALC[[#This Row],[DAY]]+1,2),NA())</f>
        <v>0</v>
      </c>
    </row>
    <row r="221" spans="3:17">
      <c r="C221" vm="2232">
        <f ca="1"/>
        <v>43061</v>
      </c>
      <c r="D221">
        <f ca="1"/>
        <v>0</v>
      </c>
      <c r="E221" vm="2228">
        <f ca="1"/>
        <v>1.3539000000000001</v>
      </c>
      <c r="F221" vm="2077">
        <f ca="1"/>
        <v>1.355</v>
      </c>
      <c r="G221" vm="2120">
        <f ca="1"/>
        <v>1.3462000000000001</v>
      </c>
      <c r="H221" vm="2113">
        <f ca="1"/>
        <v>1.3468</v>
      </c>
      <c r="K221">
        <f ca="1">IF(ROW(T_CALC[[#This Row],[DAY]])-ROW(T_CALC[[#Headers],[DAY]])&gt;C_N_TRADING_DAYS,"",ROW(T_CALC[[#This Row],[DAY]])-ROW(T_CALC[[#Headers],[DAY]]))</f>
        <v>218</v>
      </c>
      <c r="L221" cm="1" vm="2232">
        <f t="array" aca="1" ref="L221" ca="1">IFERROR(INDEX(_xlfn.ANCHORARRAY($C$3),T_CALC[[#This Row],[DAY]]+1,1),NA())</f>
        <v>43061</v>
      </c>
      <c r="M221" cm="1" vm="2228">
        <f t="array" aca="1" ref="M221" ca="1">IFERROR(INDEX(_xlfn.ANCHORARRAY($C$3),T_CALC[[#This Row],[DAY]]+1,3),NA())</f>
        <v>1.3539000000000001</v>
      </c>
      <c r="N221" cm="1" vm="2077">
        <f t="array" aca="1" ref="N221" ca="1">IFERROR(INDEX(_xlfn.ANCHORARRAY($C$3),T_CALC[[#This Row],[DAY]]+1,4),NA())</f>
        <v>1.355</v>
      </c>
      <c r="O221" cm="1" vm="2120">
        <f t="array" aca="1" ref="O221" ca="1">IFERROR(INDEX(_xlfn.ANCHORARRAY($C$3),T_CALC[[#This Row],[DAY]]+1,5),NA())</f>
        <v>1.3462000000000001</v>
      </c>
      <c r="P221" cm="1" vm="2113">
        <f t="array" aca="1" ref="P221" ca="1">IFERROR(INDEX(_xlfn.ANCHORARRAY($C$3),T_CALC[[#This Row],[DAY]]+1,6),NA())</f>
        <v>1.3468</v>
      </c>
      <c r="Q221" cm="1">
        <f t="array" aca="1" ref="Q221" ca="1">IFERROR(INDEX(_xlfn.ANCHORARRAY($C$3),T_CALC[[#This Row],[DAY]]+1,2),NA())</f>
        <v>0</v>
      </c>
    </row>
    <row r="222" spans="3:17">
      <c r="C222" vm="2233">
        <f ca="1"/>
        <v>43062</v>
      </c>
      <c r="D222">
        <f ca="1"/>
        <v>0</v>
      </c>
      <c r="E222" vm="2104">
        <f ca="1"/>
        <v>1.3469</v>
      </c>
      <c r="F222" vm="2135">
        <f ca="1"/>
        <v>1.3486</v>
      </c>
      <c r="G222" vm="2234">
        <f ca="1"/>
        <v>1.3445</v>
      </c>
      <c r="H222" vm="2235">
        <f ca="1"/>
        <v>1.3452</v>
      </c>
      <c r="K222">
        <f ca="1">IF(ROW(T_CALC[[#This Row],[DAY]])-ROW(T_CALC[[#Headers],[DAY]])&gt;C_N_TRADING_DAYS,"",ROW(T_CALC[[#This Row],[DAY]])-ROW(T_CALC[[#Headers],[DAY]]))</f>
        <v>219</v>
      </c>
      <c r="L222" cm="1" vm="2233">
        <f t="array" aca="1" ref="L222" ca="1">IFERROR(INDEX(_xlfn.ANCHORARRAY($C$3),T_CALC[[#This Row],[DAY]]+1,1),NA())</f>
        <v>43062</v>
      </c>
      <c r="M222" cm="1" vm="2104">
        <f t="array" aca="1" ref="M222" ca="1">IFERROR(INDEX(_xlfn.ANCHORARRAY($C$3),T_CALC[[#This Row],[DAY]]+1,3),NA())</f>
        <v>1.3469</v>
      </c>
      <c r="N222" cm="1" vm="2135">
        <f t="array" aca="1" ref="N222" ca="1">IFERROR(INDEX(_xlfn.ANCHORARRAY($C$3),T_CALC[[#This Row],[DAY]]+1,4),NA())</f>
        <v>1.3486</v>
      </c>
      <c r="O222" cm="1" vm="2234">
        <f t="array" aca="1" ref="O222" ca="1">IFERROR(INDEX(_xlfn.ANCHORARRAY($C$3),T_CALC[[#This Row],[DAY]]+1,5),NA())</f>
        <v>1.3445</v>
      </c>
      <c r="P222" cm="1" vm="2235">
        <f t="array" aca="1" ref="P222" ca="1">IFERROR(INDEX(_xlfn.ANCHORARRAY($C$3),T_CALC[[#This Row],[DAY]]+1,6),NA())</f>
        <v>1.3452</v>
      </c>
      <c r="Q222" cm="1">
        <f t="array" aca="1" ref="Q222" ca="1">IFERROR(INDEX(_xlfn.ANCHORARRAY($C$3),T_CALC[[#This Row],[DAY]]+1,2),NA())</f>
        <v>0</v>
      </c>
    </row>
    <row r="223" spans="3:17">
      <c r="C223" vm="2236">
        <f ca="1"/>
        <v>43063</v>
      </c>
      <c r="D223">
        <f ca="1"/>
        <v>0</v>
      </c>
      <c r="E223" vm="2235">
        <f ca="1"/>
        <v>1.3452</v>
      </c>
      <c r="F223" vm="2127">
        <f ca="1"/>
        <v>1.3475999999999999</v>
      </c>
      <c r="G223" vm="2237">
        <f ca="1"/>
        <v>1.3442000000000001</v>
      </c>
      <c r="H223" vm="2125">
        <f ca="1"/>
        <v>1.3451</v>
      </c>
      <c r="K223">
        <f ca="1">IF(ROW(T_CALC[[#This Row],[DAY]])-ROW(T_CALC[[#Headers],[DAY]])&gt;C_N_TRADING_DAYS,"",ROW(T_CALC[[#This Row],[DAY]])-ROW(T_CALC[[#Headers],[DAY]]))</f>
        <v>220</v>
      </c>
      <c r="L223" cm="1" vm="2236">
        <f t="array" aca="1" ref="L223" ca="1">IFERROR(INDEX(_xlfn.ANCHORARRAY($C$3),T_CALC[[#This Row],[DAY]]+1,1),NA())</f>
        <v>43063</v>
      </c>
      <c r="M223" cm="1" vm="2235">
        <f t="array" aca="1" ref="M223" ca="1">IFERROR(INDEX(_xlfn.ANCHORARRAY($C$3),T_CALC[[#This Row],[DAY]]+1,3),NA())</f>
        <v>1.3452</v>
      </c>
      <c r="N223" cm="1" vm="2127">
        <f t="array" aca="1" ref="N223" ca="1">IFERROR(INDEX(_xlfn.ANCHORARRAY($C$3),T_CALC[[#This Row],[DAY]]+1,4),NA())</f>
        <v>1.3475999999999999</v>
      </c>
      <c r="O223" cm="1" vm="2237">
        <f t="array" aca="1" ref="O223" ca="1">IFERROR(INDEX(_xlfn.ANCHORARRAY($C$3),T_CALC[[#This Row],[DAY]]+1,5),NA())</f>
        <v>1.3442000000000001</v>
      </c>
      <c r="P223" cm="1" vm="2125">
        <f t="array" aca="1" ref="P223" ca="1">IFERROR(INDEX(_xlfn.ANCHORARRAY($C$3),T_CALC[[#This Row],[DAY]]+1,6),NA())</f>
        <v>1.3451</v>
      </c>
      <c r="Q223" cm="1">
        <f t="array" aca="1" ref="Q223" ca="1">IFERROR(INDEX(_xlfn.ANCHORARRAY($C$3),T_CALC[[#This Row],[DAY]]+1,2),NA())</f>
        <v>0</v>
      </c>
    </row>
    <row r="224" spans="3:17">
      <c r="C224" vm="2238">
        <f ca="1"/>
        <v>43066</v>
      </c>
      <c r="D224">
        <f ca="1"/>
        <v>0</v>
      </c>
      <c r="E224" vm="2239">
        <f ca="1"/>
        <v>1.3454999999999999</v>
      </c>
      <c r="F224" vm="2240">
        <f ca="1"/>
        <v>1.3480000000000001</v>
      </c>
      <c r="G224" vm="2140">
        <f ca="1"/>
        <v>1.343</v>
      </c>
      <c r="H224" vm="2130">
        <f ca="1"/>
        <v>1.3464</v>
      </c>
      <c r="K224">
        <f ca="1">IF(ROW(T_CALC[[#This Row],[DAY]])-ROW(T_CALC[[#Headers],[DAY]])&gt;C_N_TRADING_DAYS,"",ROW(T_CALC[[#This Row],[DAY]])-ROW(T_CALC[[#Headers],[DAY]]))</f>
        <v>221</v>
      </c>
      <c r="L224" cm="1" vm="2238">
        <f t="array" aca="1" ref="L224" ca="1">IFERROR(INDEX(_xlfn.ANCHORARRAY($C$3),T_CALC[[#This Row],[DAY]]+1,1),NA())</f>
        <v>43066</v>
      </c>
      <c r="M224" cm="1" vm="2239">
        <f t="array" aca="1" ref="M224" ca="1">IFERROR(INDEX(_xlfn.ANCHORARRAY($C$3),T_CALC[[#This Row],[DAY]]+1,3),NA())</f>
        <v>1.3454999999999999</v>
      </c>
      <c r="N224" cm="1" vm="2240">
        <f t="array" aca="1" ref="N224" ca="1">IFERROR(INDEX(_xlfn.ANCHORARRAY($C$3),T_CALC[[#This Row],[DAY]]+1,4),NA())</f>
        <v>1.3480000000000001</v>
      </c>
      <c r="O224" cm="1" vm="2140">
        <f t="array" aca="1" ref="O224" ca="1">IFERROR(INDEX(_xlfn.ANCHORARRAY($C$3),T_CALC[[#This Row],[DAY]]+1,5),NA())</f>
        <v>1.343</v>
      </c>
      <c r="P224" cm="1" vm="2130">
        <f t="array" aca="1" ref="P224" ca="1">IFERROR(INDEX(_xlfn.ANCHORARRAY($C$3),T_CALC[[#This Row],[DAY]]+1,6),NA())</f>
        <v>1.3464</v>
      </c>
      <c r="Q224" cm="1">
        <f t="array" aca="1" ref="Q224" ca="1">IFERROR(INDEX(_xlfn.ANCHORARRAY($C$3),T_CALC[[#This Row],[DAY]]+1,2),NA())</f>
        <v>0</v>
      </c>
    </row>
    <row r="225" spans="3:17">
      <c r="C225" vm="2241">
        <f ca="1"/>
        <v>43067</v>
      </c>
      <c r="D225">
        <f ca="1"/>
        <v>0</v>
      </c>
      <c r="E225" vm="2130">
        <f ca="1"/>
        <v>1.3464</v>
      </c>
      <c r="F225" vm="2242">
        <f ca="1"/>
        <v>1.3474999999999999</v>
      </c>
      <c r="G225" vm="2243">
        <f ca="1"/>
        <v>1.3434999999999999</v>
      </c>
      <c r="H225" vm="2244">
        <f ca="1"/>
        <v>1.3459000000000001</v>
      </c>
      <c r="K225">
        <f ca="1">IF(ROW(T_CALC[[#This Row],[DAY]])-ROW(T_CALC[[#Headers],[DAY]])&gt;C_N_TRADING_DAYS,"",ROW(T_CALC[[#This Row],[DAY]])-ROW(T_CALC[[#Headers],[DAY]]))</f>
        <v>222</v>
      </c>
      <c r="L225" cm="1" vm="2241">
        <f t="array" aca="1" ref="L225" ca="1">IFERROR(INDEX(_xlfn.ANCHORARRAY($C$3),T_CALC[[#This Row],[DAY]]+1,1),NA())</f>
        <v>43067</v>
      </c>
      <c r="M225" cm="1" vm="2130">
        <f t="array" aca="1" ref="M225" ca="1">IFERROR(INDEX(_xlfn.ANCHORARRAY($C$3),T_CALC[[#This Row],[DAY]]+1,3),NA())</f>
        <v>1.3464</v>
      </c>
      <c r="N225" cm="1" vm="2242">
        <f t="array" aca="1" ref="N225" ca="1">IFERROR(INDEX(_xlfn.ANCHORARRAY($C$3),T_CALC[[#This Row],[DAY]]+1,4),NA())</f>
        <v>1.3474999999999999</v>
      </c>
      <c r="O225" cm="1" vm="2243">
        <f t="array" aca="1" ref="O225" ca="1">IFERROR(INDEX(_xlfn.ANCHORARRAY($C$3),T_CALC[[#This Row],[DAY]]+1,5),NA())</f>
        <v>1.3434999999999999</v>
      </c>
      <c r="P225" cm="1" vm="2244">
        <f t="array" aca="1" ref="P225" ca="1">IFERROR(INDEX(_xlfn.ANCHORARRAY($C$3),T_CALC[[#This Row],[DAY]]+1,6),NA())</f>
        <v>1.3459000000000001</v>
      </c>
      <c r="Q225" cm="1">
        <f t="array" aca="1" ref="Q225" ca="1">IFERROR(INDEX(_xlfn.ANCHORARRAY($C$3),T_CALC[[#This Row],[DAY]]+1,2),NA())</f>
        <v>0</v>
      </c>
    </row>
    <row r="226" spans="3:17">
      <c r="C226" vm="2245">
        <f ca="1"/>
        <v>43068</v>
      </c>
      <c r="D226">
        <f ca="1"/>
        <v>0</v>
      </c>
      <c r="E226" vm="2244">
        <f ca="1"/>
        <v>1.3459000000000001</v>
      </c>
      <c r="F226" vm="2090">
        <f ca="1"/>
        <v>1.3476999999999999</v>
      </c>
      <c r="G226" vm="2246">
        <f ca="1"/>
        <v>1.3435999999999999</v>
      </c>
      <c r="H226" vm="2104">
        <f ca="1"/>
        <v>1.3469</v>
      </c>
      <c r="K226">
        <f ca="1">IF(ROW(T_CALC[[#This Row],[DAY]])-ROW(T_CALC[[#Headers],[DAY]])&gt;C_N_TRADING_DAYS,"",ROW(T_CALC[[#This Row],[DAY]])-ROW(T_CALC[[#Headers],[DAY]]))</f>
        <v>223</v>
      </c>
      <c r="L226" cm="1" vm="2245">
        <f t="array" aca="1" ref="L226" ca="1">IFERROR(INDEX(_xlfn.ANCHORARRAY($C$3),T_CALC[[#This Row],[DAY]]+1,1),NA())</f>
        <v>43068</v>
      </c>
      <c r="M226" cm="1" vm="2244">
        <f t="array" aca="1" ref="M226" ca="1">IFERROR(INDEX(_xlfn.ANCHORARRAY($C$3),T_CALC[[#This Row],[DAY]]+1,3),NA())</f>
        <v>1.3459000000000001</v>
      </c>
      <c r="N226" cm="1" vm="2090">
        <f t="array" aca="1" ref="N226" ca="1">IFERROR(INDEX(_xlfn.ANCHORARRAY($C$3),T_CALC[[#This Row],[DAY]]+1,4),NA())</f>
        <v>1.3476999999999999</v>
      </c>
      <c r="O226" cm="1" vm="2246">
        <f t="array" aca="1" ref="O226" ca="1">IFERROR(INDEX(_xlfn.ANCHORARRAY($C$3),T_CALC[[#This Row],[DAY]]+1,5),NA())</f>
        <v>1.3435999999999999</v>
      </c>
      <c r="P226" cm="1" vm="2104">
        <f t="array" aca="1" ref="P226" ca="1">IFERROR(INDEX(_xlfn.ANCHORARRAY($C$3),T_CALC[[#This Row],[DAY]]+1,6),NA())</f>
        <v>1.3469</v>
      </c>
      <c r="Q226" cm="1">
        <f t="array" aca="1" ref="Q226" ca="1">IFERROR(INDEX(_xlfn.ANCHORARRAY($C$3),T_CALC[[#This Row],[DAY]]+1,2),NA())</f>
        <v>0</v>
      </c>
    </row>
    <row r="227" spans="3:17">
      <c r="C227" vm="2247">
        <f ca="1"/>
        <v>43069</v>
      </c>
      <c r="D227">
        <f ca="1"/>
        <v>0</v>
      </c>
      <c r="E227" vm="2113">
        <f ca="1"/>
        <v>1.3468</v>
      </c>
      <c r="F227" vm="2117">
        <f ca="1"/>
        <v>1.3507</v>
      </c>
      <c r="G227" vm="2248">
        <f ca="1"/>
        <v>1.3456999999999999</v>
      </c>
      <c r="H227" vm="2133">
        <f ca="1"/>
        <v>1.3484</v>
      </c>
      <c r="K227">
        <f ca="1">IF(ROW(T_CALC[[#This Row],[DAY]])-ROW(T_CALC[[#Headers],[DAY]])&gt;C_N_TRADING_DAYS,"",ROW(T_CALC[[#This Row],[DAY]])-ROW(T_CALC[[#Headers],[DAY]]))</f>
        <v>224</v>
      </c>
      <c r="L227" cm="1" vm="2247">
        <f t="array" aca="1" ref="L227" ca="1">IFERROR(INDEX(_xlfn.ANCHORARRAY($C$3),T_CALC[[#This Row],[DAY]]+1,1),NA())</f>
        <v>43069</v>
      </c>
      <c r="M227" cm="1" vm="2113">
        <f t="array" aca="1" ref="M227" ca="1">IFERROR(INDEX(_xlfn.ANCHORARRAY($C$3),T_CALC[[#This Row],[DAY]]+1,3),NA())</f>
        <v>1.3468</v>
      </c>
      <c r="N227" cm="1" vm="2117">
        <f t="array" aca="1" ref="N227" ca="1">IFERROR(INDEX(_xlfn.ANCHORARRAY($C$3),T_CALC[[#This Row],[DAY]]+1,4),NA())</f>
        <v>1.3507</v>
      </c>
      <c r="O227" cm="1" vm="2248">
        <f t="array" aca="1" ref="O227" ca="1">IFERROR(INDEX(_xlfn.ANCHORARRAY($C$3),T_CALC[[#This Row],[DAY]]+1,5),NA())</f>
        <v>1.3456999999999999</v>
      </c>
      <c r="P227" cm="1" vm="2133">
        <f t="array" aca="1" ref="P227" ca="1">IFERROR(INDEX(_xlfn.ANCHORARRAY($C$3),T_CALC[[#This Row],[DAY]]+1,6),NA())</f>
        <v>1.3484</v>
      </c>
      <c r="Q227" cm="1">
        <f t="array" aca="1" ref="Q227" ca="1">IFERROR(INDEX(_xlfn.ANCHORARRAY($C$3),T_CALC[[#This Row],[DAY]]+1,2),NA())</f>
        <v>0</v>
      </c>
    </row>
    <row r="228" spans="3:17">
      <c r="C228" vm="2249">
        <f ca="1"/>
        <v>43070</v>
      </c>
      <c r="D228">
        <f ca="1"/>
        <v>0</v>
      </c>
      <c r="E228" vm="2250">
        <f ca="1"/>
        <v>1.3483000000000001</v>
      </c>
      <c r="F228" vm="2129">
        <f ca="1"/>
        <v>1.3493999999999999</v>
      </c>
      <c r="G228" vm="2251">
        <f ca="1"/>
        <v>1.3414999999999999</v>
      </c>
      <c r="H228" vm="2108">
        <f ca="1"/>
        <v>1.3465</v>
      </c>
      <c r="K228">
        <f ca="1">IF(ROW(T_CALC[[#This Row],[DAY]])-ROW(T_CALC[[#Headers],[DAY]])&gt;C_N_TRADING_DAYS,"",ROW(T_CALC[[#This Row],[DAY]])-ROW(T_CALC[[#Headers],[DAY]]))</f>
        <v>225</v>
      </c>
      <c r="L228" cm="1" vm="2249">
        <f t="array" aca="1" ref="L228" ca="1">IFERROR(INDEX(_xlfn.ANCHORARRAY($C$3),T_CALC[[#This Row],[DAY]]+1,1),NA())</f>
        <v>43070</v>
      </c>
      <c r="M228" cm="1" vm="2250">
        <f t="array" aca="1" ref="M228" ca="1">IFERROR(INDEX(_xlfn.ANCHORARRAY($C$3),T_CALC[[#This Row],[DAY]]+1,3),NA())</f>
        <v>1.3483000000000001</v>
      </c>
      <c r="N228" cm="1" vm="2129">
        <f t="array" aca="1" ref="N228" ca="1">IFERROR(INDEX(_xlfn.ANCHORARRAY($C$3),T_CALC[[#This Row],[DAY]]+1,4),NA())</f>
        <v>1.3493999999999999</v>
      </c>
      <c r="O228" cm="1" vm="2251">
        <f t="array" aca="1" ref="O228" ca="1">IFERROR(INDEX(_xlfn.ANCHORARRAY($C$3),T_CALC[[#This Row],[DAY]]+1,5),NA())</f>
        <v>1.3414999999999999</v>
      </c>
      <c r="P228" cm="1" vm="2108">
        <f t="array" aca="1" ref="P228" ca="1">IFERROR(INDEX(_xlfn.ANCHORARRAY($C$3),T_CALC[[#This Row],[DAY]]+1,6),NA())</f>
        <v>1.3465</v>
      </c>
      <c r="Q228" cm="1">
        <f t="array" aca="1" ref="Q228" ca="1">IFERROR(INDEX(_xlfn.ANCHORARRAY($C$3),T_CALC[[#This Row],[DAY]]+1,2),NA())</f>
        <v>0</v>
      </c>
    </row>
    <row r="229" spans="3:17">
      <c r="C229" vm="2252">
        <f ca="1"/>
        <v>43073</v>
      </c>
      <c r="D229">
        <f ca="1"/>
        <v>0</v>
      </c>
      <c r="E229" vm="2108">
        <f ca="1"/>
        <v>1.3465</v>
      </c>
      <c r="F229" vm="2091">
        <f ca="1"/>
        <v>1.35</v>
      </c>
      <c r="G229" vm="2248">
        <f ca="1"/>
        <v>1.3456999999999999</v>
      </c>
      <c r="H229" vm="2253">
        <f ca="1"/>
        <v>1.3472</v>
      </c>
      <c r="K229">
        <f ca="1">IF(ROW(T_CALC[[#This Row],[DAY]])-ROW(T_CALC[[#Headers],[DAY]])&gt;C_N_TRADING_DAYS,"",ROW(T_CALC[[#This Row],[DAY]])-ROW(T_CALC[[#Headers],[DAY]]))</f>
        <v>226</v>
      </c>
      <c r="L229" cm="1" vm="2252">
        <f t="array" aca="1" ref="L229" ca="1">IFERROR(INDEX(_xlfn.ANCHORARRAY($C$3),T_CALC[[#This Row],[DAY]]+1,1),NA())</f>
        <v>43073</v>
      </c>
      <c r="M229" cm="1" vm="2108">
        <f t="array" aca="1" ref="M229" ca="1">IFERROR(INDEX(_xlfn.ANCHORARRAY($C$3),T_CALC[[#This Row],[DAY]]+1,3),NA())</f>
        <v>1.3465</v>
      </c>
      <c r="N229" cm="1" vm="2091">
        <f t="array" aca="1" ref="N229" ca="1">IFERROR(INDEX(_xlfn.ANCHORARRAY($C$3),T_CALC[[#This Row],[DAY]]+1,4),NA())</f>
        <v>1.35</v>
      </c>
      <c r="O229" cm="1" vm="2248">
        <f t="array" aca="1" ref="O229" ca="1">IFERROR(INDEX(_xlfn.ANCHORARRAY($C$3),T_CALC[[#This Row],[DAY]]+1,5),NA())</f>
        <v>1.3456999999999999</v>
      </c>
      <c r="P229" cm="1" vm="2253">
        <f t="array" aca="1" ref="P229" ca="1">IFERROR(INDEX(_xlfn.ANCHORARRAY($C$3),T_CALC[[#This Row],[DAY]]+1,6),NA())</f>
        <v>1.3472</v>
      </c>
      <c r="Q229" cm="1">
        <f t="array" aca="1" ref="Q229" ca="1">IFERROR(INDEX(_xlfn.ANCHORARRAY($C$3),T_CALC[[#This Row],[DAY]]+1,2),NA())</f>
        <v>0</v>
      </c>
    </row>
    <row r="230" spans="3:17">
      <c r="C230" vm="2254">
        <f ca="1"/>
        <v>43074</v>
      </c>
      <c r="D230">
        <f ca="1"/>
        <v>0</v>
      </c>
      <c r="E230" vm="2111">
        <f ca="1"/>
        <v>1.3472999999999999</v>
      </c>
      <c r="F230" vm="2255">
        <f ca="1"/>
        <v>1.3482000000000001</v>
      </c>
      <c r="G230" vm="2256">
        <f ca="1"/>
        <v>1.3448</v>
      </c>
      <c r="H230" vm="2257">
        <f ca="1"/>
        <v>1.3471</v>
      </c>
      <c r="K230">
        <f ca="1">IF(ROW(T_CALC[[#This Row],[DAY]])-ROW(T_CALC[[#Headers],[DAY]])&gt;C_N_TRADING_DAYS,"",ROW(T_CALC[[#This Row],[DAY]])-ROW(T_CALC[[#Headers],[DAY]]))</f>
        <v>227</v>
      </c>
      <c r="L230" cm="1" vm="2254">
        <f t="array" aca="1" ref="L230" ca="1">IFERROR(INDEX(_xlfn.ANCHORARRAY($C$3),T_CALC[[#This Row],[DAY]]+1,1),NA())</f>
        <v>43074</v>
      </c>
      <c r="M230" cm="1" vm="2111">
        <f t="array" aca="1" ref="M230" ca="1">IFERROR(INDEX(_xlfn.ANCHORARRAY($C$3),T_CALC[[#This Row],[DAY]]+1,3),NA())</f>
        <v>1.3472999999999999</v>
      </c>
      <c r="N230" cm="1" vm="2255">
        <f t="array" aca="1" ref="N230" ca="1">IFERROR(INDEX(_xlfn.ANCHORARRAY($C$3),T_CALC[[#This Row],[DAY]]+1,4),NA())</f>
        <v>1.3482000000000001</v>
      </c>
      <c r="O230" cm="1" vm="2256">
        <f t="array" aca="1" ref="O230" ca="1">IFERROR(INDEX(_xlfn.ANCHORARRAY($C$3),T_CALC[[#This Row],[DAY]]+1,5),NA())</f>
        <v>1.3448</v>
      </c>
      <c r="P230" cm="1" vm="2257">
        <f t="array" aca="1" ref="P230" ca="1">IFERROR(INDEX(_xlfn.ANCHORARRAY($C$3),T_CALC[[#This Row],[DAY]]+1,6),NA())</f>
        <v>1.3471</v>
      </c>
      <c r="Q230" cm="1">
        <f t="array" aca="1" ref="Q230" ca="1">IFERROR(INDEX(_xlfn.ANCHORARRAY($C$3),T_CALC[[#This Row],[DAY]]+1,2),NA())</f>
        <v>0</v>
      </c>
    </row>
    <row r="231" spans="3:17">
      <c r="C231" vm="2258">
        <f ca="1"/>
        <v>43075</v>
      </c>
      <c r="D231">
        <f ca="1"/>
        <v>0</v>
      </c>
      <c r="E231" vm="2113">
        <f ca="1"/>
        <v>1.3468</v>
      </c>
      <c r="F231" vm="2146">
        <f ca="1"/>
        <v>1.3496999999999999</v>
      </c>
      <c r="G231" vm="2244">
        <f ca="1"/>
        <v>1.3459000000000001</v>
      </c>
      <c r="H231" vm="2259">
        <f ca="1"/>
        <v>1.3489</v>
      </c>
      <c r="K231">
        <f ca="1">IF(ROW(T_CALC[[#This Row],[DAY]])-ROW(T_CALC[[#Headers],[DAY]])&gt;C_N_TRADING_DAYS,"",ROW(T_CALC[[#This Row],[DAY]])-ROW(T_CALC[[#Headers],[DAY]]))</f>
        <v>228</v>
      </c>
      <c r="L231" cm="1" vm="2258">
        <f t="array" aca="1" ref="L231" ca="1">IFERROR(INDEX(_xlfn.ANCHORARRAY($C$3),T_CALC[[#This Row],[DAY]]+1,1),NA())</f>
        <v>43075</v>
      </c>
      <c r="M231" cm="1" vm="2113">
        <f t="array" aca="1" ref="M231" ca="1">IFERROR(INDEX(_xlfn.ANCHORARRAY($C$3),T_CALC[[#This Row],[DAY]]+1,3),NA())</f>
        <v>1.3468</v>
      </c>
      <c r="N231" cm="1" vm="2146">
        <f t="array" aca="1" ref="N231" ca="1">IFERROR(INDEX(_xlfn.ANCHORARRAY($C$3),T_CALC[[#This Row],[DAY]]+1,4),NA())</f>
        <v>1.3496999999999999</v>
      </c>
      <c r="O231" cm="1" vm="2244">
        <f t="array" aca="1" ref="O231" ca="1">IFERROR(INDEX(_xlfn.ANCHORARRAY($C$3),T_CALC[[#This Row],[DAY]]+1,5),NA())</f>
        <v>1.3459000000000001</v>
      </c>
      <c r="P231" cm="1" vm="2259">
        <f t="array" aca="1" ref="P231" ca="1">IFERROR(INDEX(_xlfn.ANCHORARRAY($C$3),T_CALC[[#This Row],[DAY]]+1,6),NA())</f>
        <v>1.3489</v>
      </c>
      <c r="Q231" cm="1">
        <f t="array" aca="1" ref="Q231" ca="1">IFERROR(INDEX(_xlfn.ANCHORARRAY($C$3),T_CALC[[#This Row],[DAY]]+1,2),NA())</f>
        <v>0</v>
      </c>
    </row>
    <row r="232" spans="3:17">
      <c r="C232" vm="2260">
        <f ca="1"/>
        <v>43076</v>
      </c>
      <c r="D232">
        <f ca="1"/>
        <v>0</v>
      </c>
      <c r="E232" vm="2181">
        <f ca="1"/>
        <v>1.3488</v>
      </c>
      <c r="F232" vm="2261">
        <f ca="1"/>
        <v>1.3514999999999999</v>
      </c>
      <c r="G232" vm="2262">
        <f ca="1"/>
        <v>1.3473999999999999</v>
      </c>
      <c r="H232" vm="2263">
        <f ca="1"/>
        <v>1.3513999999999999</v>
      </c>
      <c r="K232">
        <f ca="1">IF(ROW(T_CALC[[#This Row],[DAY]])-ROW(T_CALC[[#Headers],[DAY]])&gt;C_N_TRADING_DAYS,"",ROW(T_CALC[[#This Row],[DAY]])-ROW(T_CALC[[#Headers],[DAY]]))</f>
        <v>229</v>
      </c>
      <c r="L232" cm="1" vm="2260">
        <f t="array" aca="1" ref="L232" ca="1">IFERROR(INDEX(_xlfn.ANCHORARRAY($C$3),T_CALC[[#This Row],[DAY]]+1,1),NA())</f>
        <v>43076</v>
      </c>
      <c r="M232" cm="1" vm="2181">
        <f t="array" aca="1" ref="M232" ca="1">IFERROR(INDEX(_xlfn.ANCHORARRAY($C$3),T_CALC[[#This Row],[DAY]]+1,3),NA())</f>
        <v>1.3488</v>
      </c>
      <c r="N232" cm="1" vm="2261">
        <f t="array" aca="1" ref="N232" ca="1">IFERROR(INDEX(_xlfn.ANCHORARRAY($C$3),T_CALC[[#This Row],[DAY]]+1,4),NA())</f>
        <v>1.3514999999999999</v>
      </c>
      <c r="O232" cm="1" vm="2262">
        <f t="array" aca="1" ref="O232" ca="1">IFERROR(INDEX(_xlfn.ANCHORARRAY($C$3),T_CALC[[#This Row],[DAY]]+1,5),NA())</f>
        <v>1.3473999999999999</v>
      </c>
      <c r="P232" cm="1" vm="2263">
        <f t="array" aca="1" ref="P232" ca="1">IFERROR(INDEX(_xlfn.ANCHORARRAY($C$3),T_CALC[[#This Row],[DAY]]+1,6),NA())</f>
        <v>1.3513999999999999</v>
      </c>
      <c r="Q232" cm="1">
        <f t="array" aca="1" ref="Q232" ca="1">IFERROR(INDEX(_xlfn.ANCHORARRAY($C$3),T_CALC[[#This Row],[DAY]]+1,2),NA())</f>
        <v>0</v>
      </c>
    </row>
    <row r="233" spans="3:17">
      <c r="C233" vm="2264">
        <f ca="1"/>
        <v>43077</v>
      </c>
      <c r="D233">
        <f ca="1"/>
        <v>0</v>
      </c>
      <c r="E233" vm="2263">
        <f ca="1"/>
        <v>1.3513999999999999</v>
      </c>
      <c r="F233" vm="2089">
        <f ca="1"/>
        <v>1.3537999999999999</v>
      </c>
      <c r="G233" vm="2175">
        <f ca="1"/>
        <v>1.3504</v>
      </c>
      <c r="H233" vm="2265">
        <f ca="1"/>
        <v>1.3520000000000001</v>
      </c>
      <c r="K233">
        <f ca="1">IF(ROW(T_CALC[[#This Row],[DAY]])-ROW(T_CALC[[#Headers],[DAY]])&gt;C_N_TRADING_DAYS,"",ROW(T_CALC[[#This Row],[DAY]])-ROW(T_CALC[[#Headers],[DAY]]))</f>
        <v>230</v>
      </c>
      <c r="L233" cm="1" vm="2264">
        <f t="array" aca="1" ref="L233" ca="1">IFERROR(INDEX(_xlfn.ANCHORARRAY($C$3),T_CALC[[#This Row],[DAY]]+1,1),NA())</f>
        <v>43077</v>
      </c>
      <c r="M233" cm="1" vm="2263">
        <f t="array" aca="1" ref="M233" ca="1">IFERROR(INDEX(_xlfn.ANCHORARRAY($C$3),T_CALC[[#This Row],[DAY]]+1,3),NA())</f>
        <v>1.3513999999999999</v>
      </c>
      <c r="N233" cm="1" vm="2089">
        <f t="array" aca="1" ref="N233" ca="1">IFERROR(INDEX(_xlfn.ANCHORARRAY($C$3),T_CALC[[#This Row],[DAY]]+1,4),NA())</f>
        <v>1.3537999999999999</v>
      </c>
      <c r="O233" cm="1" vm="2175">
        <f t="array" aca="1" ref="O233" ca="1">IFERROR(INDEX(_xlfn.ANCHORARRAY($C$3),T_CALC[[#This Row],[DAY]]+1,5),NA())</f>
        <v>1.3504</v>
      </c>
      <c r="P233" cm="1" vm="2265">
        <f t="array" aca="1" ref="P233" ca="1">IFERROR(INDEX(_xlfn.ANCHORARRAY($C$3),T_CALC[[#This Row],[DAY]]+1,6),NA())</f>
        <v>1.3520000000000001</v>
      </c>
      <c r="Q233" cm="1">
        <f t="array" aca="1" ref="Q233" ca="1">IFERROR(INDEX(_xlfn.ANCHORARRAY($C$3),T_CALC[[#This Row],[DAY]]+1,2),NA())</f>
        <v>0</v>
      </c>
    </row>
    <row r="234" spans="3:17">
      <c r="C234" vm="2266">
        <f ca="1"/>
        <v>43080</v>
      </c>
      <c r="D234">
        <f ca="1"/>
        <v>0</v>
      </c>
      <c r="E234" vm="2066">
        <f ca="1"/>
        <v>1.3524</v>
      </c>
      <c r="F234" vm="2069">
        <f ca="1"/>
        <v>1.353</v>
      </c>
      <c r="G234" vm="2267">
        <f ca="1"/>
        <v>1.3498000000000001</v>
      </c>
      <c r="H234" vm="2114">
        <f ca="1"/>
        <v>1.3512999999999999</v>
      </c>
      <c r="K234">
        <f ca="1">IF(ROW(T_CALC[[#This Row],[DAY]])-ROW(T_CALC[[#Headers],[DAY]])&gt;C_N_TRADING_DAYS,"",ROW(T_CALC[[#This Row],[DAY]])-ROW(T_CALC[[#Headers],[DAY]]))</f>
        <v>231</v>
      </c>
      <c r="L234" cm="1" vm="2266">
        <f t="array" aca="1" ref="L234" ca="1">IFERROR(INDEX(_xlfn.ANCHORARRAY($C$3),T_CALC[[#This Row],[DAY]]+1,1),NA())</f>
        <v>43080</v>
      </c>
      <c r="M234" cm="1" vm="2066">
        <f t="array" aca="1" ref="M234" ca="1">IFERROR(INDEX(_xlfn.ANCHORARRAY($C$3),T_CALC[[#This Row],[DAY]]+1,3),NA())</f>
        <v>1.3524</v>
      </c>
      <c r="N234" cm="1" vm="2069">
        <f t="array" aca="1" ref="N234" ca="1">IFERROR(INDEX(_xlfn.ANCHORARRAY($C$3),T_CALC[[#This Row],[DAY]]+1,4),NA())</f>
        <v>1.353</v>
      </c>
      <c r="O234" cm="1" vm="2267">
        <f t="array" aca="1" ref="O234" ca="1">IFERROR(INDEX(_xlfn.ANCHORARRAY($C$3),T_CALC[[#This Row],[DAY]]+1,5),NA())</f>
        <v>1.3498000000000001</v>
      </c>
      <c r="P234" cm="1" vm="2114">
        <f t="array" aca="1" ref="P234" ca="1">IFERROR(INDEX(_xlfn.ANCHORARRAY($C$3),T_CALC[[#This Row],[DAY]]+1,6),NA())</f>
        <v>1.3512999999999999</v>
      </c>
      <c r="Q234" cm="1">
        <f t="array" aca="1" ref="Q234" ca="1">IFERROR(INDEX(_xlfn.ANCHORARRAY($C$3),T_CALC[[#This Row],[DAY]]+1,2),NA())</f>
        <v>0</v>
      </c>
    </row>
    <row r="235" spans="3:17">
      <c r="C235" vm="2268">
        <f ca="1"/>
        <v>43081</v>
      </c>
      <c r="D235">
        <f ca="1"/>
        <v>0</v>
      </c>
      <c r="E235" vm="2145">
        <f ca="1"/>
        <v>1.3512</v>
      </c>
      <c r="F235" vm="2089">
        <f ca="1"/>
        <v>1.3537999999999999</v>
      </c>
      <c r="G235" vm="2080">
        <f ca="1"/>
        <v>1.3501000000000001</v>
      </c>
      <c r="H235" vm="2269">
        <f ca="1"/>
        <v>1.3519000000000001</v>
      </c>
      <c r="K235">
        <f ca="1">IF(ROW(T_CALC[[#This Row],[DAY]])-ROW(T_CALC[[#Headers],[DAY]])&gt;C_N_TRADING_DAYS,"",ROW(T_CALC[[#This Row],[DAY]])-ROW(T_CALC[[#Headers],[DAY]]))</f>
        <v>232</v>
      </c>
      <c r="L235" cm="1" vm="2268">
        <f t="array" aca="1" ref="L235" ca="1">IFERROR(INDEX(_xlfn.ANCHORARRAY($C$3),T_CALC[[#This Row],[DAY]]+1,1),NA())</f>
        <v>43081</v>
      </c>
      <c r="M235" cm="1" vm="2145">
        <f t="array" aca="1" ref="M235" ca="1">IFERROR(INDEX(_xlfn.ANCHORARRAY($C$3),T_CALC[[#This Row],[DAY]]+1,3),NA())</f>
        <v>1.3512</v>
      </c>
      <c r="N235" cm="1" vm="2089">
        <f t="array" aca="1" ref="N235" ca="1">IFERROR(INDEX(_xlfn.ANCHORARRAY($C$3),T_CALC[[#This Row],[DAY]]+1,4),NA())</f>
        <v>1.3537999999999999</v>
      </c>
      <c r="O235" cm="1" vm="2080">
        <f t="array" aca="1" ref="O235" ca="1">IFERROR(INDEX(_xlfn.ANCHORARRAY($C$3),T_CALC[[#This Row],[DAY]]+1,5),NA())</f>
        <v>1.3501000000000001</v>
      </c>
      <c r="P235" cm="1" vm="2269">
        <f t="array" aca="1" ref="P235" ca="1">IFERROR(INDEX(_xlfn.ANCHORARRAY($C$3),T_CALC[[#This Row],[DAY]]+1,6),NA())</f>
        <v>1.3519000000000001</v>
      </c>
      <c r="Q235" cm="1">
        <f t="array" aca="1" ref="Q235" ca="1">IFERROR(INDEX(_xlfn.ANCHORARRAY($C$3),T_CALC[[#This Row],[DAY]]+1,2),NA())</f>
        <v>0</v>
      </c>
    </row>
    <row r="236" spans="3:17">
      <c r="C236" vm="2270">
        <f ca="1"/>
        <v>43082</v>
      </c>
      <c r="D236">
        <f ca="1"/>
        <v>0</v>
      </c>
      <c r="E236" vm="2269">
        <f ca="1"/>
        <v>1.3519000000000001</v>
      </c>
      <c r="F236" vm="2073">
        <f ca="1"/>
        <v>1.3532</v>
      </c>
      <c r="G236" vm="2248">
        <f ca="1"/>
        <v>1.3456999999999999</v>
      </c>
      <c r="H236" vm="2120">
        <f ca="1"/>
        <v>1.3462000000000001</v>
      </c>
      <c r="K236">
        <f ca="1">IF(ROW(T_CALC[[#This Row],[DAY]])-ROW(T_CALC[[#Headers],[DAY]])&gt;C_N_TRADING_DAYS,"",ROW(T_CALC[[#This Row],[DAY]])-ROW(T_CALC[[#Headers],[DAY]]))</f>
        <v>233</v>
      </c>
      <c r="L236" cm="1" vm="2270">
        <f t="array" aca="1" ref="L236" ca="1">IFERROR(INDEX(_xlfn.ANCHORARRAY($C$3),T_CALC[[#This Row],[DAY]]+1,1),NA())</f>
        <v>43082</v>
      </c>
      <c r="M236" cm="1" vm="2269">
        <f t="array" aca="1" ref="M236" ca="1">IFERROR(INDEX(_xlfn.ANCHORARRAY($C$3),T_CALC[[#This Row],[DAY]]+1,3),NA())</f>
        <v>1.3519000000000001</v>
      </c>
      <c r="N236" cm="1" vm="2073">
        <f t="array" aca="1" ref="N236" ca="1">IFERROR(INDEX(_xlfn.ANCHORARRAY($C$3),T_CALC[[#This Row],[DAY]]+1,4),NA())</f>
        <v>1.3532</v>
      </c>
      <c r="O236" cm="1" vm="2248">
        <f t="array" aca="1" ref="O236" ca="1">IFERROR(INDEX(_xlfn.ANCHORARRAY($C$3),T_CALC[[#This Row],[DAY]]+1,5),NA())</f>
        <v>1.3456999999999999</v>
      </c>
      <c r="P236" cm="1" vm="2120">
        <f t="array" aca="1" ref="P236" ca="1">IFERROR(INDEX(_xlfn.ANCHORARRAY($C$3),T_CALC[[#This Row],[DAY]]+1,6),NA())</f>
        <v>1.3462000000000001</v>
      </c>
      <c r="Q236" cm="1">
        <f t="array" aca="1" ref="Q236" ca="1">IFERROR(INDEX(_xlfn.ANCHORARRAY($C$3),T_CALC[[#This Row],[DAY]]+1,2),NA())</f>
        <v>0</v>
      </c>
    </row>
    <row r="237" spans="3:17">
      <c r="C237" vm="2271">
        <f ca="1"/>
        <v>43083</v>
      </c>
      <c r="D237">
        <f ca="1"/>
        <v>0</v>
      </c>
      <c r="E237" vm="2130">
        <f ca="1"/>
        <v>1.3464</v>
      </c>
      <c r="F237" vm="2133">
        <f ca="1"/>
        <v>1.3484</v>
      </c>
      <c r="G237" vm="2272">
        <f ca="1"/>
        <v>1.3438000000000001</v>
      </c>
      <c r="H237" vm="2239">
        <f ca="1"/>
        <v>1.3454999999999999</v>
      </c>
      <c r="K237">
        <f ca="1">IF(ROW(T_CALC[[#This Row],[DAY]])-ROW(T_CALC[[#Headers],[DAY]])&gt;C_N_TRADING_DAYS,"",ROW(T_CALC[[#This Row],[DAY]])-ROW(T_CALC[[#Headers],[DAY]]))</f>
        <v>234</v>
      </c>
      <c r="L237" cm="1" vm="2271">
        <f t="array" aca="1" ref="L237" ca="1">IFERROR(INDEX(_xlfn.ANCHORARRAY($C$3),T_CALC[[#This Row],[DAY]]+1,1),NA())</f>
        <v>43083</v>
      </c>
      <c r="M237" cm="1" vm="2130">
        <f t="array" aca="1" ref="M237" ca="1">IFERROR(INDEX(_xlfn.ANCHORARRAY($C$3),T_CALC[[#This Row],[DAY]]+1,3),NA())</f>
        <v>1.3464</v>
      </c>
      <c r="N237" cm="1" vm="2133">
        <f t="array" aca="1" ref="N237" ca="1">IFERROR(INDEX(_xlfn.ANCHORARRAY($C$3),T_CALC[[#This Row],[DAY]]+1,4),NA())</f>
        <v>1.3484</v>
      </c>
      <c r="O237" cm="1" vm="2272">
        <f t="array" aca="1" ref="O237" ca="1">IFERROR(INDEX(_xlfn.ANCHORARRAY($C$3),T_CALC[[#This Row],[DAY]]+1,5),NA())</f>
        <v>1.3438000000000001</v>
      </c>
      <c r="P237" cm="1" vm="2239">
        <f t="array" aca="1" ref="P237" ca="1">IFERROR(INDEX(_xlfn.ANCHORARRAY($C$3),T_CALC[[#This Row],[DAY]]+1,6),NA())</f>
        <v>1.3454999999999999</v>
      </c>
      <c r="Q237" cm="1">
        <f t="array" aca="1" ref="Q237" ca="1">IFERROR(INDEX(_xlfn.ANCHORARRAY($C$3),T_CALC[[#This Row],[DAY]]+1,2),NA())</f>
        <v>0</v>
      </c>
    </row>
    <row r="238" spans="3:17">
      <c r="C238" vm="2273">
        <f ca="1"/>
        <v>43084</v>
      </c>
      <c r="D238">
        <f ca="1"/>
        <v>0</v>
      </c>
      <c r="E238" vm="2143">
        <f ca="1"/>
        <v>1.3452999999999999</v>
      </c>
      <c r="F238" vm="2259">
        <f ca="1"/>
        <v>1.3489</v>
      </c>
      <c r="G238" vm="2274">
        <f ca="1"/>
        <v>1.3447</v>
      </c>
      <c r="H238" vm="2255">
        <f ca="1"/>
        <v>1.3482000000000001</v>
      </c>
      <c r="K238">
        <f ca="1">IF(ROW(T_CALC[[#This Row],[DAY]])-ROW(T_CALC[[#Headers],[DAY]])&gt;C_N_TRADING_DAYS,"",ROW(T_CALC[[#This Row],[DAY]])-ROW(T_CALC[[#Headers],[DAY]]))</f>
        <v>235</v>
      </c>
      <c r="L238" cm="1" vm="2273">
        <f t="array" aca="1" ref="L238" ca="1">IFERROR(INDEX(_xlfn.ANCHORARRAY($C$3),T_CALC[[#This Row],[DAY]]+1,1),NA())</f>
        <v>43084</v>
      </c>
      <c r="M238" cm="1" vm="2143">
        <f t="array" aca="1" ref="M238" ca="1">IFERROR(INDEX(_xlfn.ANCHORARRAY($C$3),T_CALC[[#This Row],[DAY]]+1,3),NA())</f>
        <v>1.3452999999999999</v>
      </c>
      <c r="N238" cm="1" vm="2259">
        <f t="array" aca="1" ref="N238" ca="1">IFERROR(INDEX(_xlfn.ANCHORARRAY($C$3),T_CALC[[#This Row],[DAY]]+1,4),NA())</f>
        <v>1.3489</v>
      </c>
      <c r="O238" cm="1" vm="2274">
        <f t="array" aca="1" ref="O238" ca="1">IFERROR(INDEX(_xlfn.ANCHORARRAY($C$3),T_CALC[[#This Row],[DAY]]+1,5),NA())</f>
        <v>1.3447</v>
      </c>
      <c r="P238" cm="1" vm="2255">
        <f t="array" aca="1" ref="P238" ca="1">IFERROR(INDEX(_xlfn.ANCHORARRAY($C$3),T_CALC[[#This Row],[DAY]]+1,6),NA())</f>
        <v>1.3482000000000001</v>
      </c>
      <c r="Q238" cm="1">
        <f t="array" aca="1" ref="Q238" ca="1">IFERROR(INDEX(_xlfn.ANCHORARRAY($C$3),T_CALC[[#This Row],[DAY]]+1,2),NA())</f>
        <v>0</v>
      </c>
    </row>
    <row r="239" spans="3:17">
      <c r="C239" vm="2275">
        <f ca="1"/>
        <v>43087</v>
      </c>
      <c r="D239">
        <f ca="1"/>
        <v>0</v>
      </c>
      <c r="E239" vm="2255">
        <f ca="1"/>
        <v>1.3482000000000001</v>
      </c>
      <c r="F239" vm="2126">
        <f ca="1"/>
        <v>1.3495999999999999</v>
      </c>
      <c r="G239" vm="2244">
        <f ca="1"/>
        <v>1.3459000000000001</v>
      </c>
      <c r="H239" vm="2253">
        <f ca="1"/>
        <v>1.3472</v>
      </c>
      <c r="K239">
        <f ca="1">IF(ROW(T_CALC[[#This Row],[DAY]])-ROW(T_CALC[[#Headers],[DAY]])&gt;C_N_TRADING_DAYS,"",ROW(T_CALC[[#This Row],[DAY]])-ROW(T_CALC[[#Headers],[DAY]]))</f>
        <v>236</v>
      </c>
      <c r="L239" cm="1" vm="2275">
        <f t="array" aca="1" ref="L239" ca="1">IFERROR(INDEX(_xlfn.ANCHORARRAY($C$3),T_CALC[[#This Row],[DAY]]+1,1),NA())</f>
        <v>43087</v>
      </c>
      <c r="M239" cm="1" vm="2255">
        <f t="array" aca="1" ref="M239" ca="1">IFERROR(INDEX(_xlfn.ANCHORARRAY($C$3),T_CALC[[#This Row],[DAY]]+1,3),NA())</f>
        <v>1.3482000000000001</v>
      </c>
      <c r="N239" cm="1" vm="2126">
        <f t="array" aca="1" ref="N239" ca="1">IFERROR(INDEX(_xlfn.ANCHORARRAY($C$3),T_CALC[[#This Row],[DAY]]+1,4),NA())</f>
        <v>1.3495999999999999</v>
      </c>
      <c r="O239" cm="1" vm="2244">
        <f t="array" aca="1" ref="O239" ca="1">IFERROR(INDEX(_xlfn.ANCHORARRAY($C$3),T_CALC[[#This Row],[DAY]]+1,5),NA())</f>
        <v>1.3459000000000001</v>
      </c>
      <c r="P239" cm="1" vm="2253">
        <f t="array" aca="1" ref="P239" ca="1">IFERROR(INDEX(_xlfn.ANCHORARRAY($C$3),T_CALC[[#This Row],[DAY]]+1,6),NA())</f>
        <v>1.3472</v>
      </c>
      <c r="Q239" cm="1">
        <f t="array" aca="1" ref="Q239" ca="1">IFERROR(INDEX(_xlfn.ANCHORARRAY($C$3),T_CALC[[#This Row],[DAY]]+1,2),NA())</f>
        <v>0</v>
      </c>
    </row>
    <row r="240" spans="3:17">
      <c r="C240" vm="2276">
        <f ca="1"/>
        <v>43088</v>
      </c>
      <c r="D240">
        <f ca="1"/>
        <v>0</v>
      </c>
      <c r="E240" vm="2257">
        <f ca="1"/>
        <v>1.3471</v>
      </c>
      <c r="F240" vm="2133">
        <f ca="1"/>
        <v>1.3484</v>
      </c>
      <c r="G240" vm="2248">
        <f ca="1"/>
        <v>1.3456999999999999</v>
      </c>
      <c r="H240" vm="2130">
        <f ca="1"/>
        <v>1.3464</v>
      </c>
      <c r="K240">
        <f ca="1">IF(ROW(T_CALC[[#This Row],[DAY]])-ROW(T_CALC[[#Headers],[DAY]])&gt;C_N_TRADING_DAYS,"",ROW(T_CALC[[#This Row],[DAY]])-ROW(T_CALC[[#Headers],[DAY]]))</f>
        <v>237</v>
      </c>
      <c r="L240" cm="1" vm="2276">
        <f t="array" aca="1" ref="L240" ca="1">IFERROR(INDEX(_xlfn.ANCHORARRAY($C$3),T_CALC[[#This Row],[DAY]]+1,1),NA())</f>
        <v>43088</v>
      </c>
      <c r="M240" cm="1" vm="2257">
        <f t="array" aca="1" ref="M240" ca="1">IFERROR(INDEX(_xlfn.ANCHORARRAY($C$3),T_CALC[[#This Row],[DAY]]+1,3),NA())</f>
        <v>1.3471</v>
      </c>
      <c r="N240" cm="1" vm="2133">
        <f t="array" aca="1" ref="N240" ca="1">IFERROR(INDEX(_xlfn.ANCHORARRAY($C$3),T_CALC[[#This Row],[DAY]]+1,4),NA())</f>
        <v>1.3484</v>
      </c>
      <c r="O240" cm="1" vm="2248">
        <f t="array" aca="1" ref="O240" ca="1">IFERROR(INDEX(_xlfn.ANCHORARRAY($C$3),T_CALC[[#This Row],[DAY]]+1,5),NA())</f>
        <v>1.3456999999999999</v>
      </c>
      <c r="P240" cm="1" vm="2130">
        <f t="array" aca="1" ref="P240" ca="1">IFERROR(INDEX(_xlfn.ANCHORARRAY($C$3),T_CALC[[#This Row],[DAY]]+1,6),NA())</f>
        <v>1.3464</v>
      </c>
      <c r="Q240" cm="1">
        <f t="array" aca="1" ref="Q240" ca="1">IFERROR(INDEX(_xlfn.ANCHORARRAY($C$3),T_CALC[[#This Row],[DAY]]+1,2),NA())</f>
        <v>0</v>
      </c>
    </row>
    <row r="241" spans="3:17">
      <c r="C241" vm="2277">
        <f ca="1"/>
        <v>43089</v>
      </c>
      <c r="D241">
        <f ca="1"/>
        <v>0</v>
      </c>
      <c r="E241" vm="2120">
        <f ca="1"/>
        <v>1.3462000000000001</v>
      </c>
      <c r="F241" vm="2111">
        <f ca="1"/>
        <v>1.3472999999999999</v>
      </c>
      <c r="G241" vm="2278">
        <f ca="1"/>
        <v>1.3429</v>
      </c>
      <c r="H241" vm="2279">
        <f ca="1"/>
        <v>1.3436999999999999</v>
      </c>
      <c r="K241">
        <f ca="1">IF(ROW(T_CALC[[#This Row],[DAY]])-ROW(T_CALC[[#Headers],[DAY]])&gt;C_N_TRADING_DAYS,"",ROW(T_CALC[[#This Row],[DAY]])-ROW(T_CALC[[#Headers],[DAY]]))</f>
        <v>238</v>
      </c>
      <c r="L241" cm="1" vm="2277">
        <f t="array" aca="1" ref="L241" ca="1">IFERROR(INDEX(_xlfn.ANCHORARRAY($C$3),T_CALC[[#This Row],[DAY]]+1,1),NA())</f>
        <v>43089</v>
      </c>
      <c r="M241" cm="1" vm="2120">
        <f t="array" aca="1" ref="M241" ca="1">IFERROR(INDEX(_xlfn.ANCHORARRAY($C$3),T_CALC[[#This Row],[DAY]]+1,3),NA())</f>
        <v>1.3462000000000001</v>
      </c>
      <c r="N241" cm="1" vm="2111">
        <f t="array" aca="1" ref="N241" ca="1">IFERROR(INDEX(_xlfn.ANCHORARRAY($C$3),T_CALC[[#This Row],[DAY]]+1,4),NA())</f>
        <v>1.3472999999999999</v>
      </c>
      <c r="O241" cm="1" vm="2278">
        <f t="array" aca="1" ref="O241" ca="1">IFERROR(INDEX(_xlfn.ANCHORARRAY($C$3),T_CALC[[#This Row],[DAY]]+1,5),NA())</f>
        <v>1.3429</v>
      </c>
      <c r="P241" cm="1" vm="2279">
        <f t="array" aca="1" ref="P241" ca="1">IFERROR(INDEX(_xlfn.ANCHORARRAY($C$3),T_CALC[[#This Row],[DAY]]+1,6),NA())</f>
        <v>1.3436999999999999</v>
      </c>
      <c r="Q241" cm="1">
        <f t="array" aca="1" ref="Q241" ca="1">IFERROR(INDEX(_xlfn.ANCHORARRAY($C$3),T_CALC[[#This Row],[DAY]]+1,2),NA())</f>
        <v>0</v>
      </c>
    </row>
    <row r="242" spans="3:17">
      <c r="C242" vm="2280">
        <f ca="1"/>
        <v>43090</v>
      </c>
      <c r="D242">
        <f ca="1"/>
        <v>0</v>
      </c>
      <c r="E242" vm="2272">
        <f ca="1"/>
        <v>1.3438000000000001</v>
      </c>
      <c r="F242" vm="2281">
        <f ca="1"/>
        <v>1.3461000000000001</v>
      </c>
      <c r="G242" vm="2282">
        <f ca="1"/>
        <v>1.3426</v>
      </c>
      <c r="H242" vm="2110">
        <f ca="1"/>
        <v>1.3431999999999999</v>
      </c>
      <c r="K242">
        <f ca="1">IF(ROW(T_CALC[[#This Row],[DAY]])-ROW(T_CALC[[#Headers],[DAY]])&gt;C_N_TRADING_DAYS,"",ROW(T_CALC[[#This Row],[DAY]])-ROW(T_CALC[[#Headers],[DAY]]))</f>
        <v>239</v>
      </c>
      <c r="L242" cm="1" vm="2280">
        <f t="array" aca="1" ref="L242" ca="1">IFERROR(INDEX(_xlfn.ANCHORARRAY($C$3),T_CALC[[#This Row],[DAY]]+1,1),NA())</f>
        <v>43090</v>
      </c>
      <c r="M242" cm="1" vm="2272">
        <f t="array" aca="1" ref="M242" ca="1">IFERROR(INDEX(_xlfn.ANCHORARRAY($C$3),T_CALC[[#This Row],[DAY]]+1,3),NA())</f>
        <v>1.3438000000000001</v>
      </c>
      <c r="N242" cm="1" vm="2281">
        <f t="array" aca="1" ref="N242" ca="1">IFERROR(INDEX(_xlfn.ANCHORARRAY($C$3),T_CALC[[#This Row],[DAY]]+1,4),NA())</f>
        <v>1.3461000000000001</v>
      </c>
      <c r="O242" cm="1" vm="2282">
        <f t="array" aca="1" ref="O242" ca="1">IFERROR(INDEX(_xlfn.ANCHORARRAY($C$3),T_CALC[[#This Row],[DAY]]+1,5),NA())</f>
        <v>1.3426</v>
      </c>
      <c r="P242" cm="1" vm="2110">
        <f t="array" aca="1" ref="P242" ca="1">IFERROR(INDEX(_xlfn.ANCHORARRAY($C$3),T_CALC[[#This Row],[DAY]]+1,6),NA())</f>
        <v>1.3431999999999999</v>
      </c>
      <c r="Q242" cm="1">
        <f t="array" aca="1" ref="Q242" ca="1">IFERROR(INDEX(_xlfn.ANCHORARRAY($C$3),T_CALC[[#This Row],[DAY]]+1,2),NA())</f>
        <v>0</v>
      </c>
    </row>
    <row r="243" spans="3:17">
      <c r="C243" vm="2283">
        <f ca="1"/>
        <v>43091</v>
      </c>
      <c r="D243">
        <f ca="1"/>
        <v>0</v>
      </c>
      <c r="E243" vm="2284">
        <f ca="1"/>
        <v>1.3431</v>
      </c>
      <c r="F243" vm="2143">
        <f ca="1"/>
        <v>1.3452999999999999</v>
      </c>
      <c r="G243" vm="2278">
        <f ca="1"/>
        <v>1.3429</v>
      </c>
      <c r="H243" vm="2243">
        <f ca="1"/>
        <v>1.3434999999999999</v>
      </c>
      <c r="K243">
        <f ca="1">IF(ROW(T_CALC[[#This Row],[DAY]])-ROW(T_CALC[[#Headers],[DAY]])&gt;C_N_TRADING_DAYS,"",ROW(T_CALC[[#This Row],[DAY]])-ROW(T_CALC[[#Headers],[DAY]]))</f>
        <v>240</v>
      </c>
      <c r="L243" cm="1" vm="2283">
        <f t="array" aca="1" ref="L243" ca="1">IFERROR(INDEX(_xlfn.ANCHORARRAY($C$3),T_CALC[[#This Row],[DAY]]+1,1),NA())</f>
        <v>43091</v>
      </c>
      <c r="M243" cm="1" vm="2284">
        <f t="array" aca="1" ref="M243" ca="1">IFERROR(INDEX(_xlfn.ANCHORARRAY($C$3),T_CALC[[#This Row],[DAY]]+1,3),NA())</f>
        <v>1.3431</v>
      </c>
      <c r="N243" cm="1" vm="2143">
        <f t="array" aca="1" ref="N243" ca="1">IFERROR(INDEX(_xlfn.ANCHORARRAY($C$3),T_CALC[[#This Row],[DAY]]+1,4),NA())</f>
        <v>1.3452999999999999</v>
      </c>
      <c r="O243" cm="1" vm="2278">
        <f t="array" aca="1" ref="O243" ca="1">IFERROR(INDEX(_xlfn.ANCHORARRAY($C$3),T_CALC[[#This Row],[DAY]]+1,5),NA())</f>
        <v>1.3429</v>
      </c>
      <c r="P243" cm="1" vm="2243">
        <f t="array" aca="1" ref="P243" ca="1">IFERROR(INDEX(_xlfn.ANCHORARRAY($C$3),T_CALC[[#This Row],[DAY]]+1,6),NA())</f>
        <v>1.3434999999999999</v>
      </c>
      <c r="Q243" cm="1">
        <f t="array" aca="1" ref="Q243" ca="1">IFERROR(INDEX(_xlfn.ANCHORARRAY($C$3),T_CALC[[#This Row],[DAY]]+1,2),NA())</f>
        <v>0</v>
      </c>
    </row>
    <row r="244" spans="3:17">
      <c r="C244" vm="2285">
        <f ca="1"/>
        <v>43094</v>
      </c>
      <c r="D244">
        <f ca="1"/>
        <v>0</v>
      </c>
      <c r="E244" vm="2243">
        <f ca="1"/>
        <v>1.3434999999999999</v>
      </c>
      <c r="F244" vm="2286">
        <f ca="1"/>
        <v>1.3443000000000001</v>
      </c>
      <c r="G244" vm="2287">
        <f ca="1"/>
        <v>1.3427</v>
      </c>
      <c r="H244" vm="2272">
        <f ca="1"/>
        <v>1.3438000000000001</v>
      </c>
      <c r="K244">
        <f ca="1">IF(ROW(T_CALC[[#This Row],[DAY]])-ROW(T_CALC[[#Headers],[DAY]])&gt;C_N_TRADING_DAYS,"",ROW(T_CALC[[#This Row],[DAY]])-ROW(T_CALC[[#Headers],[DAY]]))</f>
        <v>241</v>
      </c>
      <c r="L244" cm="1" vm="2285">
        <f t="array" aca="1" ref="L244" ca="1">IFERROR(INDEX(_xlfn.ANCHORARRAY($C$3),T_CALC[[#This Row],[DAY]]+1,1),NA())</f>
        <v>43094</v>
      </c>
      <c r="M244" cm="1" vm="2243">
        <f t="array" aca="1" ref="M244" ca="1">IFERROR(INDEX(_xlfn.ANCHORARRAY($C$3),T_CALC[[#This Row],[DAY]]+1,3),NA())</f>
        <v>1.3434999999999999</v>
      </c>
      <c r="N244" cm="1" vm="2286">
        <f t="array" aca="1" ref="N244" ca="1">IFERROR(INDEX(_xlfn.ANCHORARRAY($C$3),T_CALC[[#This Row],[DAY]]+1,4),NA())</f>
        <v>1.3443000000000001</v>
      </c>
      <c r="O244" cm="1" vm="2287">
        <f t="array" aca="1" ref="O244" ca="1">IFERROR(INDEX(_xlfn.ANCHORARRAY($C$3),T_CALC[[#This Row],[DAY]]+1,5),NA())</f>
        <v>1.3427</v>
      </c>
      <c r="P244" cm="1" vm="2272">
        <f t="array" aca="1" ref="P244" ca="1">IFERROR(INDEX(_xlfn.ANCHORARRAY($C$3),T_CALC[[#This Row],[DAY]]+1,6),NA())</f>
        <v>1.3438000000000001</v>
      </c>
      <c r="Q244" cm="1">
        <f t="array" aca="1" ref="Q244" ca="1">IFERROR(INDEX(_xlfn.ANCHORARRAY($C$3),T_CALC[[#This Row],[DAY]]+1,2),NA())</f>
        <v>0</v>
      </c>
    </row>
    <row r="245" spans="3:17">
      <c r="C245" vm="2288">
        <f ca="1"/>
        <v>43095</v>
      </c>
      <c r="D245">
        <f ca="1"/>
        <v>0</v>
      </c>
      <c r="E245" vm="2272">
        <f ca="1"/>
        <v>1.3438000000000001</v>
      </c>
      <c r="F245" vm="2289">
        <f ca="1"/>
        <v>1.3444</v>
      </c>
      <c r="G245" vm="2099">
        <f ca="1"/>
        <v>1.3425</v>
      </c>
      <c r="H245" vm="2110">
        <f ca="1"/>
        <v>1.3431999999999999</v>
      </c>
      <c r="K245">
        <f ca="1">IF(ROW(T_CALC[[#This Row],[DAY]])-ROW(T_CALC[[#Headers],[DAY]])&gt;C_N_TRADING_DAYS,"",ROW(T_CALC[[#This Row],[DAY]])-ROW(T_CALC[[#Headers],[DAY]]))</f>
        <v>242</v>
      </c>
      <c r="L245" cm="1" vm="2288">
        <f t="array" aca="1" ref="L245" ca="1">IFERROR(INDEX(_xlfn.ANCHORARRAY($C$3),T_CALC[[#This Row],[DAY]]+1,1),NA())</f>
        <v>43095</v>
      </c>
      <c r="M245" cm="1" vm="2272">
        <f t="array" aca="1" ref="M245" ca="1">IFERROR(INDEX(_xlfn.ANCHORARRAY($C$3),T_CALC[[#This Row],[DAY]]+1,3),NA())</f>
        <v>1.3438000000000001</v>
      </c>
      <c r="N245" cm="1" vm="2289">
        <f t="array" aca="1" ref="N245" ca="1">IFERROR(INDEX(_xlfn.ANCHORARRAY($C$3),T_CALC[[#This Row],[DAY]]+1,4),NA())</f>
        <v>1.3444</v>
      </c>
      <c r="O245" cm="1" vm="2099">
        <f t="array" aca="1" ref="O245" ca="1">IFERROR(INDEX(_xlfn.ANCHORARRAY($C$3),T_CALC[[#This Row],[DAY]]+1,5),NA())</f>
        <v>1.3425</v>
      </c>
      <c r="P245" cm="1" vm="2110">
        <f t="array" aca="1" ref="P245" ca="1">IFERROR(INDEX(_xlfn.ANCHORARRAY($C$3),T_CALC[[#This Row],[DAY]]+1,6),NA())</f>
        <v>1.3431999999999999</v>
      </c>
      <c r="Q245" cm="1">
        <f t="array" aca="1" ref="Q245" ca="1">IFERROR(INDEX(_xlfn.ANCHORARRAY($C$3),T_CALC[[#This Row],[DAY]]+1,2),NA())</f>
        <v>0</v>
      </c>
    </row>
    <row r="246" spans="3:17">
      <c r="C246" vm="2290">
        <f ca="1"/>
        <v>43096</v>
      </c>
      <c r="D246">
        <f ca="1"/>
        <v>0</v>
      </c>
      <c r="E246" vm="2110">
        <f ca="1"/>
        <v>1.3431999999999999</v>
      </c>
      <c r="F246" vm="2246">
        <f ca="1"/>
        <v>1.3435999999999999</v>
      </c>
      <c r="G246" vm="2291">
        <f ca="1"/>
        <v>1.3382000000000001</v>
      </c>
      <c r="H246" vm="2292">
        <f ca="1"/>
        <v>1.3395999999999999</v>
      </c>
      <c r="K246">
        <f ca="1">IF(ROW(T_CALC[[#This Row],[DAY]])-ROW(T_CALC[[#Headers],[DAY]])&gt;C_N_TRADING_DAYS,"",ROW(T_CALC[[#This Row],[DAY]])-ROW(T_CALC[[#Headers],[DAY]]))</f>
        <v>243</v>
      </c>
      <c r="L246" cm="1" vm="2290">
        <f t="array" aca="1" ref="L246" ca="1">IFERROR(INDEX(_xlfn.ANCHORARRAY($C$3),T_CALC[[#This Row],[DAY]]+1,1),NA())</f>
        <v>43096</v>
      </c>
      <c r="M246" cm="1" vm="2110">
        <f t="array" aca="1" ref="M246" ca="1">IFERROR(INDEX(_xlfn.ANCHORARRAY($C$3),T_CALC[[#This Row],[DAY]]+1,3),NA())</f>
        <v>1.3431999999999999</v>
      </c>
      <c r="N246" cm="1" vm="2246">
        <f t="array" aca="1" ref="N246" ca="1">IFERROR(INDEX(_xlfn.ANCHORARRAY($C$3),T_CALC[[#This Row],[DAY]]+1,4),NA())</f>
        <v>1.3435999999999999</v>
      </c>
      <c r="O246" cm="1" vm="2291">
        <f t="array" aca="1" ref="O246" ca="1">IFERROR(INDEX(_xlfn.ANCHORARRAY($C$3),T_CALC[[#This Row],[DAY]]+1,5),NA())</f>
        <v>1.3382000000000001</v>
      </c>
      <c r="P246" cm="1" vm="2292">
        <f t="array" aca="1" ref="P246" ca="1">IFERROR(INDEX(_xlfn.ANCHORARRAY($C$3),T_CALC[[#This Row],[DAY]]+1,6),NA())</f>
        <v>1.3395999999999999</v>
      </c>
      <c r="Q246" cm="1">
        <f t="array" aca="1" ref="Q246" ca="1">IFERROR(INDEX(_xlfn.ANCHORARRAY($C$3),T_CALC[[#This Row],[DAY]]+1,2),NA())</f>
        <v>0</v>
      </c>
    </row>
    <row r="247" spans="3:17">
      <c r="C247" vm="2293">
        <f ca="1"/>
        <v>43097</v>
      </c>
      <c r="D247">
        <f ca="1"/>
        <v>0</v>
      </c>
      <c r="E247" vm="2294">
        <f ca="1"/>
        <v>1.3396999999999999</v>
      </c>
      <c r="F247" vm="2295">
        <f ca="1"/>
        <v>1.3407</v>
      </c>
      <c r="G247" vm="2296">
        <f ca="1"/>
        <v>1.3366</v>
      </c>
      <c r="H247" vm="2297">
        <f ca="1"/>
        <v>1.3374999999999999</v>
      </c>
      <c r="K247">
        <f ca="1">IF(ROW(T_CALC[[#This Row],[DAY]])-ROW(T_CALC[[#Headers],[DAY]])&gt;C_N_TRADING_DAYS,"",ROW(T_CALC[[#This Row],[DAY]])-ROW(T_CALC[[#Headers],[DAY]]))</f>
        <v>244</v>
      </c>
      <c r="L247" cm="1" vm="2293">
        <f t="array" aca="1" ref="L247" ca="1">IFERROR(INDEX(_xlfn.ANCHORARRAY($C$3),T_CALC[[#This Row],[DAY]]+1,1),NA())</f>
        <v>43097</v>
      </c>
      <c r="M247" cm="1" vm="2294">
        <f t="array" aca="1" ref="M247" ca="1">IFERROR(INDEX(_xlfn.ANCHORARRAY($C$3),T_CALC[[#This Row],[DAY]]+1,3),NA())</f>
        <v>1.3396999999999999</v>
      </c>
      <c r="N247" cm="1" vm="2295">
        <f t="array" aca="1" ref="N247" ca="1">IFERROR(INDEX(_xlfn.ANCHORARRAY($C$3),T_CALC[[#This Row],[DAY]]+1,4),NA())</f>
        <v>1.3407</v>
      </c>
      <c r="O247" cm="1" vm="2296">
        <f t="array" aca="1" ref="O247" ca="1">IFERROR(INDEX(_xlfn.ANCHORARRAY($C$3),T_CALC[[#This Row],[DAY]]+1,5),NA())</f>
        <v>1.3366</v>
      </c>
      <c r="P247" cm="1" vm="2297">
        <f t="array" aca="1" ref="P247" ca="1">IFERROR(INDEX(_xlfn.ANCHORARRAY($C$3),T_CALC[[#This Row],[DAY]]+1,6),NA())</f>
        <v>1.3374999999999999</v>
      </c>
      <c r="Q247" cm="1">
        <f t="array" aca="1" ref="Q247" ca="1">IFERROR(INDEX(_xlfn.ANCHORARRAY($C$3),T_CALC[[#This Row],[DAY]]+1,2),NA())</f>
        <v>0</v>
      </c>
    </row>
    <row r="248" spans="3:17">
      <c r="C248" vm="2298">
        <f ca="1"/>
        <v>43098</v>
      </c>
      <c r="D248">
        <f ca="1"/>
        <v>0</v>
      </c>
      <c r="E248" vm="2297">
        <f ca="1"/>
        <v>1.3374999999999999</v>
      </c>
      <c r="F248" vm="2291">
        <f ca="1"/>
        <v>1.3382000000000001</v>
      </c>
      <c r="G248" vm="2299">
        <f ca="1"/>
        <v>1.335</v>
      </c>
      <c r="H248" vm="2300">
        <f ca="1"/>
        <v>1.3372999999999999</v>
      </c>
      <c r="K248">
        <f ca="1">IF(ROW(T_CALC[[#This Row],[DAY]])-ROW(T_CALC[[#Headers],[DAY]])&gt;C_N_TRADING_DAYS,"",ROW(T_CALC[[#This Row],[DAY]])-ROW(T_CALC[[#Headers],[DAY]]))</f>
        <v>245</v>
      </c>
      <c r="L248" cm="1" vm="2298">
        <f t="array" aca="1" ref="L248" ca="1">IFERROR(INDEX(_xlfn.ANCHORARRAY($C$3),T_CALC[[#This Row],[DAY]]+1,1),NA())</f>
        <v>43098</v>
      </c>
      <c r="M248" cm="1" vm="2297">
        <f t="array" aca="1" ref="M248" ca="1">IFERROR(INDEX(_xlfn.ANCHORARRAY($C$3),T_CALC[[#This Row],[DAY]]+1,3),NA())</f>
        <v>1.3374999999999999</v>
      </c>
      <c r="N248" cm="1" vm="2291">
        <f t="array" aca="1" ref="N248" ca="1">IFERROR(INDEX(_xlfn.ANCHORARRAY($C$3),T_CALC[[#This Row],[DAY]]+1,4),NA())</f>
        <v>1.3382000000000001</v>
      </c>
      <c r="O248" cm="1" vm="2299">
        <f t="array" aca="1" ref="O248" ca="1">IFERROR(INDEX(_xlfn.ANCHORARRAY($C$3),T_CALC[[#This Row],[DAY]]+1,5),NA())</f>
        <v>1.335</v>
      </c>
      <c r="P248" cm="1" vm="2300">
        <f t="array" aca="1" ref="P248" ca="1">IFERROR(INDEX(_xlfn.ANCHORARRAY($C$3),T_CALC[[#This Row],[DAY]]+1,6),NA())</f>
        <v>1.3372999999999999</v>
      </c>
      <c r="Q248" cm="1">
        <f t="array" aca="1" ref="Q248" ca="1">IFERROR(INDEX(_xlfn.ANCHORARRAY($C$3),T_CALC[[#This Row],[DAY]]+1,2),NA())</f>
        <v>0</v>
      </c>
    </row>
    <row r="249" spans="3:17">
      <c r="C249" vm="2301">
        <f ca="1"/>
        <v>43101</v>
      </c>
      <c r="D249">
        <f ca="1"/>
        <v>0</v>
      </c>
      <c r="E249" vm="2300">
        <f ca="1"/>
        <v>1.3372999999999999</v>
      </c>
      <c r="F249" vm="2297">
        <f ca="1"/>
        <v>1.3374999999999999</v>
      </c>
      <c r="G249" vm="2302">
        <f ca="1"/>
        <v>1.3368</v>
      </c>
      <c r="H249" vm="2302">
        <f ca="1"/>
        <v>1.3368</v>
      </c>
      <c r="K249">
        <f ca="1">IF(ROW(T_CALC[[#This Row],[DAY]])-ROW(T_CALC[[#Headers],[DAY]])&gt;C_N_TRADING_DAYS,"",ROW(T_CALC[[#This Row],[DAY]])-ROW(T_CALC[[#Headers],[DAY]]))</f>
        <v>246</v>
      </c>
      <c r="L249" cm="1" vm="2301">
        <f t="array" aca="1" ref="L249" ca="1">IFERROR(INDEX(_xlfn.ANCHORARRAY($C$3),T_CALC[[#This Row],[DAY]]+1,1),NA())</f>
        <v>43101</v>
      </c>
      <c r="M249" cm="1" vm="2300">
        <f t="array" aca="1" ref="M249" ca="1">IFERROR(INDEX(_xlfn.ANCHORARRAY($C$3),T_CALC[[#This Row],[DAY]]+1,3),NA())</f>
        <v>1.3372999999999999</v>
      </c>
      <c r="N249" cm="1" vm="2297">
        <f t="array" aca="1" ref="N249" ca="1">IFERROR(INDEX(_xlfn.ANCHORARRAY($C$3),T_CALC[[#This Row],[DAY]]+1,4),NA())</f>
        <v>1.3374999999999999</v>
      </c>
      <c r="O249" cm="1" vm="2302">
        <f t="array" aca="1" ref="O249" ca="1">IFERROR(INDEX(_xlfn.ANCHORARRAY($C$3),T_CALC[[#This Row],[DAY]]+1,5),NA())</f>
        <v>1.3368</v>
      </c>
      <c r="P249" cm="1" vm="2302">
        <f t="array" aca="1" ref="P249" ca="1">IFERROR(INDEX(_xlfn.ANCHORARRAY($C$3),T_CALC[[#This Row],[DAY]]+1,6),NA())</f>
        <v>1.3368</v>
      </c>
      <c r="Q249" cm="1">
        <f t="array" aca="1" ref="Q249" ca="1">IFERROR(INDEX(_xlfn.ANCHORARRAY($C$3),T_CALC[[#This Row],[DAY]]+1,2),NA())</f>
        <v>0</v>
      </c>
    </row>
    <row r="250" spans="3:17">
      <c r="C250" vm="2303">
        <f ca="1"/>
        <v>43102</v>
      </c>
      <c r="D250">
        <f ca="1"/>
        <v>0</v>
      </c>
      <c r="E250" vm="2302">
        <f ca="1"/>
        <v>1.3368</v>
      </c>
      <c r="F250" vm="2297">
        <f ca="1"/>
        <v>1.3374999999999999</v>
      </c>
      <c r="G250" vm="2304">
        <f ca="1"/>
        <v>1.3270999999999999</v>
      </c>
      <c r="H250" vm="2305">
        <f ca="1"/>
        <v>1.3289</v>
      </c>
      <c r="K250">
        <f ca="1">IF(ROW(T_CALC[[#This Row],[DAY]])-ROW(T_CALC[[#Headers],[DAY]])&gt;C_N_TRADING_DAYS,"",ROW(T_CALC[[#This Row],[DAY]])-ROW(T_CALC[[#Headers],[DAY]]))</f>
        <v>247</v>
      </c>
      <c r="L250" cm="1" vm="2303">
        <f t="array" aca="1" ref="L250" ca="1">IFERROR(INDEX(_xlfn.ANCHORARRAY($C$3),T_CALC[[#This Row],[DAY]]+1,1),NA())</f>
        <v>43102</v>
      </c>
      <c r="M250" cm="1" vm="2302">
        <f t="array" aca="1" ref="M250" ca="1">IFERROR(INDEX(_xlfn.ANCHORARRAY($C$3),T_CALC[[#This Row],[DAY]]+1,3),NA())</f>
        <v>1.3368</v>
      </c>
      <c r="N250" cm="1" vm="2297">
        <f t="array" aca="1" ref="N250" ca="1">IFERROR(INDEX(_xlfn.ANCHORARRAY($C$3),T_CALC[[#This Row],[DAY]]+1,4),NA())</f>
        <v>1.3374999999999999</v>
      </c>
      <c r="O250" cm="1" vm="2304">
        <f t="array" aca="1" ref="O250" ca="1">IFERROR(INDEX(_xlfn.ANCHORARRAY($C$3),T_CALC[[#This Row],[DAY]]+1,5),NA())</f>
        <v>1.3270999999999999</v>
      </c>
      <c r="P250" cm="1" vm="2305">
        <f t="array" aca="1" ref="P250" ca="1">IFERROR(INDEX(_xlfn.ANCHORARRAY($C$3),T_CALC[[#This Row],[DAY]]+1,6),NA())</f>
        <v>1.3289</v>
      </c>
      <c r="Q250" cm="1">
        <f t="array" aca="1" ref="Q250" ca="1">IFERROR(INDEX(_xlfn.ANCHORARRAY($C$3),T_CALC[[#This Row],[DAY]]+1,2),NA())</f>
        <v>0</v>
      </c>
    </row>
    <row r="251" spans="3:17">
      <c r="C251" vm="2306">
        <f ca="1"/>
        <v>43103</v>
      </c>
      <c r="D251">
        <f ca="1"/>
        <v>0</v>
      </c>
      <c r="E251" vm="2305">
        <f ca="1"/>
        <v>1.3289</v>
      </c>
      <c r="F251" vm="2307">
        <f ca="1"/>
        <v>1.3309</v>
      </c>
      <c r="G251" vm="2308">
        <f ca="1"/>
        <v>1.3275999999999999</v>
      </c>
      <c r="H251" vm="2309">
        <f ca="1"/>
        <v>1.3291999999999999</v>
      </c>
      <c r="K251">
        <f ca="1">IF(ROW(T_CALC[[#This Row],[DAY]])-ROW(T_CALC[[#Headers],[DAY]])&gt;C_N_TRADING_DAYS,"",ROW(T_CALC[[#This Row],[DAY]])-ROW(T_CALC[[#Headers],[DAY]]))</f>
        <v>248</v>
      </c>
      <c r="L251" cm="1" vm="2306">
        <f t="array" aca="1" ref="L251" ca="1">IFERROR(INDEX(_xlfn.ANCHORARRAY($C$3),T_CALC[[#This Row],[DAY]]+1,1),NA())</f>
        <v>43103</v>
      </c>
      <c r="M251" cm="1" vm="2305">
        <f t="array" aca="1" ref="M251" ca="1">IFERROR(INDEX(_xlfn.ANCHORARRAY($C$3),T_CALC[[#This Row],[DAY]]+1,3),NA())</f>
        <v>1.3289</v>
      </c>
      <c r="N251" cm="1" vm="2307">
        <f t="array" aca="1" ref="N251" ca="1">IFERROR(INDEX(_xlfn.ANCHORARRAY($C$3),T_CALC[[#This Row],[DAY]]+1,4),NA())</f>
        <v>1.3309</v>
      </c>
      <c r="O251" cm="1" vm="2308">
        <f t="array" aca="1" ref="O251" ca="1">IFERROR(INDEX(_xlfn.ANCHORARRAY($C$3),T_CALC[[#This Row],[DAY]]+1,5),NA())</f>
        <v>1.3275999999999999</v>
      </c>
      <c r="P251" cm="1" vm="2309">
        <f t="array" aca="1" ref="P251" ca="1">IFERROR(INDEX(_xlfn.ANCHORARRAY($C$3),T_CALC[[#This Row],[DAY]]+1,6),NA())</f>
        <v>1.3291999999999999</v>
      </c>
      <c r="Q251" cm="1">
        <f t="array" aca="1" ref="Q251" ca="1">IFERROR(INDEX(_xlfn.ANCHORARRAY($C$3),T_CALC[[#This Row],[DAY]]+1,2),NA())</f>
        <v>0</v>
      </c>
    </row>
    <row r="252" spans="3:17">
      <c r="C252" vm="2310">
        <f ca="1"/>
        <v>43104</v>
      </c>
      <c r="D252">
        <f ca="1"/>
        <v>0</v>
      </c>
      <c r="E252" vm="2305">
        <f ca="1"/>
        <v>1.3289</v>
      </c>
      <c r="F252" vm="2311">
        <f ca="1"/>
        <v>1.3313999999999999</v>
      </c>
      <c r="G252" vm="2312">
        <f ca="1"/>
        <v>1.3265</v>
      </c>
      <c r="H252" vm="2308">
        <f ca="1"/>
        <v>1.3275999999999999</v>
      </c>
      <c r="K252">
        <f ca="1">IF(ROW(T_CALC[[#This Row],[DAY]])-ROW(T_CALC[[#Headers],[DAY]])&gt;C_N_TRADING_DAYS,"",ROW(T_CALC[[#This Row],[DAY]])-ROW(T_CALC[[#Headers],[DAY]]))</f>
        <v>249</v>
      </c>
      <c r="L252" cm="1" vm="2310">
        <f t="array" aca="1" ref="L252" ca="1">IFERROR(INDEX(_xlfn.ANCHORARRAY($C$3),T_CALC[[#This Row],[DAY]]+1,1),NA())</f>
        <v>43104</v>
      </c>
      <c r="M252" cm="1" vm="2305">
        <f t="array" aca="1" ref="M252" ca="1">IFERROR(INDEX(_xlfn.ANCHORARRAY($C$3),T_CALC[[#This Row],[DAY]]+1,3),NA())</f>
        <v>1.3289</v>
      </c>
      <c r="N252" cm="1" vm="2311">
        <f t="array" aca="1" ref="N252" ca="1">IFERROR(INDEX(_xlfn.ANCHORARRAY($C$3),T_CALC[[#This Row],[DAY]]+1,4),NA())</f>
        <v>1.3313999999999999</v>
      </c>
      <c r="O252" cm="1" vm="2312">
        <f t="array" aca="1" ref="O252" ca="1">IFERROR(INDEX(_xlfn.ANCHORARRAY($C$3),T_CALC[[#This Row],[DAY]]+1,5),NA())</f>
        <v>1.3265</v>
      </c>
      <c r="P252" cm="1" vm="2308">
        <f t="array" aca="1" ref="P252" ca="1">IFERROR(INDEX(_xlfn.ANCHORARRAY($C$3),T_CALC[[#This Row],[DAY]]+1,6),NA())</f>
        <v>1.3275999999999999</v>
      </c>
      <c r="Q252" cm="1">
        <f t="array" aca="1" ref="Q252" ca="1">IFERROR(INDEX(_xlfn.ANCHORARRAY($C$3),T_CALC[[#This Row],[DAY]]+1,2),NA())</f>
        <v>0</v>
      </c>
    </row>
    <row r="253" spans="3:17">
      <c r="C253" vm="2313">
        <f ca="1"/>
        <v>43105</v>
      </c>
      <c r="D253">
        <f ca="1"/>
        <v>0</v>
      </c>
      <c r="E253" vm="2308">
        <f ca="1"/>
        <v>1.3275999999999999</v>
      </c>
      <c r="F253" vm="2314">
        <f ca="1"/>
        <v>1.3282</v>
      </c>
      <c r="G253" vm="2315">
        <f ca="1"/>
        <v>1.325</v>
      </c>
      <c r="H253" vm="2316">
        <f ca="1"/>
        <v>1.3261000000000001</v>
      </c>
      <c r="K253">
        <f ca="1">IF(ROW(T_CALC[[#This Row],[DAY]])-ROW(T_CALC[[#Headers],[DAY]])&gt;C_N_TRADING_DAYS,"",ROW(T_CALC[[#This Row],[DAY]])-ROW(T_CALC[[#Headers],[DAY]]))</f>
        <v>250</v>
      </c>
      <c r="L253" cm="1" vm="2313">
        <f t="array" aca="1" ref="L253" ca="1">IFERROR(INDEX(_xlfn.ANCHORARRAY($C$3),T_CALC[[#This Row],[DAY]]+1,1),NA())</f>
        <v>43105</v>
      </c>
      <c r="M253" cm="1" vm="2308">
        <f t="array" aca="1" ref="M253" ca="1">IFERROR(INDEX(_xlfn.ANCHORARRAY($C$3),T_CALC[[#This Row],[DAY]]+1,3),NA())</f>
        <v>1.3275999999999999</v>
      </c>
      <c r="N253" cm="1" vm="2314">
        <f t="array" aca="1" ref="N253" ca="1">IFERROR(INDEX(_xlfn.ANCHORARRAY($C$3),T_CALC[[#This Row],[DAY]]+1,4),NA())</f>
        <v>1.3282</v>
      </c>
      <c r="O253" cm="1" vm="2315">
        <f t="array" aca="1" ref="O253" ca="1">IFERROR(INDEX(_xlfn.ANCHORARRAY($C$3),T_CALC[[#This Row],[DAY]]+1,5),NA())</f>
        <v>1.325</v>
      </c>
      <c r="P253" cm="1" vm="2316">
        <f t="array" aca="1" ref="P253" ca="1">IFERROR(INDEX(_xlfn.ANCHORARRAY($C$3),T_CALC[[#This Row],[DAY]]+1,6),NA())</f>
        <v>1.3261000000000001</v>
      </c>
      <c r="Q253" cm="1">
        <f t="array" aca="1" ref="Q253" ca="1">IFERROR(INDEX(_xlfn.ANCHORARRAY($C$3),T_CALC[[#This Row],[DAY]]+1,2),NA())</f>
        <v>0</v>
      </c>
    </row>
    <row r="254" spans="3:17">
      <c r="C254" vm="2317">
        <f ca="1"/>
        <v>43108</v>
      </c>
      <c r="D254">
        <f ca="1"/>
        <v>0</v>
      </c>
      <c r="E254" vm="2318">
        <f ca="1"/>
        <v>1.327</v>
      </c>
      <c r="F254" vm="2319">
        <f ca="1"/>
        <v>1.333</v>
      </c>
      <c r="G254" vm="2320">
        <f ca="1"/>
        <v>1.3252999999999999</v>
      </c>
      <c r="H254" vm="2321">
        <f ca="1"/>
        <v>1.3321000000000001</v>
      </c>
      <c r="K254">
        <f ca="1">IF(ROW(T_CALC[[#This Row],[DAY]])-ROW(T_CALC[[#Headers],[DAY]])&gt;C_N_TRADING_DAYS,"",ROW(T_CALC[[#This Row],[DAY]])-ROW(T_CALC[[#Headers],[DAY]]))</f>
        <v>251</v>
      </c>
      <c r="L254" cm="1" vm="2317">
        <f t="array" aca="1" ref="L254" ca="1">IFERROR(INDEX(_xlfn.ANCHORARRAY($C$3),T_CALC[[#This Row],[DAY]]+1,1),NA())</f>
        <v>43108</v>
      </c>
      <c r="M254" cm="1" vm="2318">
        <f t="array" aca="1" ref="M254" ca="1">IFERROR(INDEX(_xlfn.ANCHORARRAY($C$3),T_CALC[[#This Row],[DAY]]+1,3),NA())</f>
        <v>1.327</v>
      </c>
      <c r="N254" cm="1" vm="2319">
        <f t="array" aca="1" ref="N254" ca="1">IFERROR(INDEX(_xlfn.ANCHORARRAY($C$3),T_CALC[[#This Row],[DAY]]+1,4),NA())</f>
        <v>1.333</v>
      </c>
      <c r="O254" cm="1" vm="2320">
        <f t="array" aca="1" ref="O254" ca="1">IFERROR(INDEX(_xlfn.ANCHORARRAY($C$3),T_CALC[[#This Row],[DAY]]+1,5),NA())</f>
        <v>1.3252999999999999</v>
      </c>
      <c r="P254" cm="1" vm="2321">
        <f t="array" aca="1" ref="P254" ca="1">IFERROR(INDEX(_xlfn.ANCHORARRAY($C$3),T_CALC[[#This Row],[DAY]]+1,6),NA())</f>
        <v>1.3321000000000001</v>
      </c>
      <c r="Q254" cm="1">
        <f t="array" aca="1" ref="Q254" ca="1">IFERROR(INDEX(_xlfn.ANCHORARRAY($C$3),T_CALC[[#This Row],[DAY]]+1,2),NA())</f>
        <v>0</v>
      </c>
    </row>
    <row r="255" spans="3:17">
      <c r="C255" vm="2322">
        <f ca="1"/>
        <v>43109</v>
      </c>
      <c r="D255">
        <f ca="1"/>
        <v>0</v>
      </c>
      <c r="E255" vm="2323">
        <f ca="1"/>
        <v>1.3323</v>
      </c>
      <c r="F255" vm="2324">
        <f ca="1"/>
        <v>1.3367</v>
      </c>
      <c r="G255" vm="2325">
        <f ca="1"/>
        <v>1.3302</v>
      </c>
      <c r="H255" vm="2326">
        <f ca="1"/>
        <v>1.3351</v>
      </c>
      <c r="K255">
        <f ca="1">IF(ROW(T_CALC[[#This Row],[DAY]])-ROW(T_CALC[[#Headers],[DAY]])&gt;C_N_TRADING_DAYS,"",ROW(T_CALC[[#This Row],[DAY]])-ROW(T_CALC[[#Headers],[DAY]]))</f>
        <v>252</v>
      </c>
      <c r="L255" cm="1" vm="2322">
        <f t="array" aca="1" ref="L255" ca="1">IFERROR(INDEX(_xlfn.ANCHORARRAY($C$3),T_CALC[[#This Row],[DAY]]+1,1),NA())</f>
        <v>43109</v>
      </c>
      <c r="M255" cm="1" vm="2323">
        <f t="array" aca="1" ref="M255" ca="1">IFERROR(INDEX(_xlfn.ANCHORARRAY($C$3),T_CALC[[#This Row],[DAY]]+1,3),NA())</f>
        <v>1.3323</v>
      </c>
      <c r="N255" cm="1" vm="2324">
        <f t="array" aca="1" ref="N255" ca="1">IFERROR(INDEX(_xlfn.ANCHORARRAY($C$3),T_CALC[[#This Row],[DAY]]+1,4),NA())</f>
        <v>1.3367</v>
      </c>
      <c r="O255" cm="1" vm="2325">
        <f t="array" aca="1" ref="O255" ca="1">IFERROR(INDEX(_xlfn.ANCHORARRAY($C$3),T_CALC[[#This Row],[DAY]]+1,5),NA())</f>
        <v>1.3302</v>
      </c>
      <c r="P255" cm="1" vm="2326">
        <f t="array" aca="1" ref="P255" ca="1">IFERROR(INDEX(_xlfn.ANCHORARRAY($C$3),T_CALC[[#This Row],[DAY]]+1,6),NA())</f>
        <v>1.3351</v>
      </c>
      <c r="Q255" cm="1">
        <f t="array" aca="1" ref="Q255" ca="1">IFERROR(INDEX(_xlfn.ANCHORARRAY($C$3),T_CALC[[#This Row],[DAY]]+1,2),NA())</f>
        <v>0</v>
      </c>
    </row>
    <row r="256" spans="3:17">
      <c r="C256" vm="2327">
        <f ca="1"/>
        <v>43110</v>
      </c>
      <c r="D256">
        <f ca="1"/>
        <v>0</v>
      </c>
      <c r="E256" vm="2328">
        <f ca="1"/>
        <v>1.3353999999999999</v>
      </c>
      <c r="F256" vm="2329">
        <f ca="1"/>
        <v>1.3369</v>
      </c>
      <c r="G256" vm="2330">
        <f ca="1"/>
        <v>1.3303</v>
      </c>
      <c r="H256" vm="2331">
        <f ca="1"/>
        <v>1.3340000000000001</v>
      </c>
      <c r="K256">
        <f ca="1">IF(ROW(T_CALC[[#This Row],[DAY]])-ROW(T_CALC[[#Headers],[DAY]])&gt;C_N_TRADING_DAYS,"",ROW(T_CALC[[#This Row],[DAY]])-ROW(T_CALC[[#Headers],[DAY]]))</f>
        <v>253</v>
      </c>
      <c r="L256" cm="1" vm="2327">
        <f t="array" aca="1" ref="L256" ca="1">IFERROR(INDEX(_xlfn.ANCHORARRAY($C$3),T_CALC[[#This Row],[DAY]]+1,1),NA())</f>
        <v>43110</v>
      </c>
      <c r="M256" cm="1" vm="2328">
        <f t="array" aca="1" ref="M256" ca="1">IFERROR(INDEX(_xlfn.ANCHORARRAY($C$3),T_CALC[[#This Row],[DAY]]+1,3),NA())</f>
        <v>1.3353999999999999</v>
      </c>
      <c r="N256" cm="1" vm="2329">
        <f t="array" aca="1" ref="N256" ca="1">IFERROR(INDEX(_xlfn.ANCHORARRAY($C$3),T_CALC[[#This Row],[DAY]]+1,4),NA())</f>
        <v>1.3369</v>
      </c>
      <c r="O256" cm="1" vm="2330">
        <f t="array" aca="1" ref="O256" ca="1">IFERROR(INDEX(_xlfn.ANCHORARRAY($C$3),T_CALC[[#This Row],[DAY]]+1,5),NA())</f>
        <v>1.3303</v>
      </c>
      <c r="P256" cm="1" vm="2331">
        <f t="array" aca="1" ref="P256" ca="1">IFERROR(INDEX(_xlfn.ANCHORARRAY($C$3),T_CALC[[#This Row],[DAY]]+1,6),NA())</f>
        <v>1.3340000000000001</v>
      </c>
      <c r="Q256" cm="1">
        <f t="array" aca="1" ref="Q256" ca="1">IFERROR(INDEX(_xlfn.ANCHORARRAY($C$3),T_CALC[[#This Row],[DAY]]+1,2),NA())</f>
        <v>0</v>
      </c>
    </row>
    <row r="257" spans="3:17">
      <c r="C257" vm="2332">
        <f ca="1"/>
        <v>43111</v>
      </c>
      <c r="D257">
        <f ca="1"/>
        <v>0</v>
      </c>
      <c r="E257" vm="2100">
        <f ca="1"/>
        <v>1.3342000000000001</v>
      </c>
      <c r="F257" vm="2333">
        <f ca="1"/>
        <v>1.3352999999999999</v>
      </c>
      <c r="G257" vm="2334">
        <f ca="1"/>
        <v>1.3284</v>
      </c>
      <c r="H257" vm="2309">
        <f ca="1"/>
        <v>1.3291999999999999</v>
      </c>
      <c r="K257">
        <f ca="1">IF(ROW(T_CALC[[#This Row],[DAY]])-ROW(T_CALC[[#Headers],[DAY]])&gt;C_N_TRADING_DAYS,"",ROW(T_CALC[[#This Row],[DAY]])-ROW(T_CALC[[#Headers],[DAY]]))</f>
        <v>254</v>
      </c>
      <c r="L257" cm="1" vm="2332">
        <f t="array" aca="1" ref="L257" ca="1">IFERROR(INDEX(_xlfn.ANCHORARRAY($C$3),T_CALC[[#This Row],[DAY]]+1,1),NA())</f>
        <v>43111</v>
      </c>
      <c r="M257" cm="1" vm="2100">
        <f t="array" aca="1" ref="M257" ca="1">IFERROR(INDEX(_xlfn.ANCHORARRAY($C$3),T_CALC[[#This Row],[DAY]]+1,3),NA())</f>
        <v>1.3342000000000001</v>
      </c>
      <c r="N257" cm="1" vm="2333">
        <f t="array" aca="1" ref="N257" ca="1">IFERROR(INDEX(_xlfn.ANCHORARRAY($C$3),T_CALC[[#This Row],[DAY]]+1,4),NA())</f>
        <v>1.3352999999999999</v>
      </c>
      <c r="O257" cm="1" vm="2334">
        <f t="array" aca="1" ref="O257" ca="1">IFERROR(INDEX(_xlfn.ANCHORARRAY($C$3),T_CALC[[#This Row],[DAY]]+1,5),NA())</f>
        <v>1.3284</v>
      </c>
      <c r="P257" cm="1" vm="2309">
        <f t="array" aca="1" ref="P257" ca="1">IFERROR(INDEX(_xlfn.ANCHORARRAY($C$3),T_CALC[[#This Row],[DAY]]+1,6),NA())</f>
        <v>1.3291999999999999</v>
      </c>
      <c r="Q257" cm="1">
        <f t="array" aca="1" ref="Q257" ca="1">IFERROR(INDEX(_xlfn.ANCHORARRAY($C$3),T_CALC[[#This Row],[DAY]]+1,2),NA())</f>
        <v>0</v>
      </c>
    </row>
    <row r="258" spans="3:17">
      <c r="C258" vm="2335">
        <f ca="1"/>
        <v>43112</v>
      </c>
      <c r="D258">
        <f ca="1"/>
        <v>0</v>
      </c>
      <c r="E258" vm="2336">
        <f ca="1"/>
        <v>1.3290999999999999</v>
      </c>
      <c r="F258" vm="2337">
        <f ca="1"/>
        <v>1.3301000000000001</v>
      </c>
      <c r="G258" vm="2338">
        <f ca="1"/>
        <v>1.3247</v>
      </c>
      <c r="H258" vm="2339">
        <f ca="1"/>
        <v>1.3250999999999999</v>
      </c>
      <c r="K258">
        <f ca="1">IF(ROW(T_CALC[[#This Row],[DAY]])-ROW(T_CALC[[#Headers],[DAY]])&gt;C_N_TRADING_DAYS,"",ROW(T_CALC[[#This Row],[DAY]])-ROW(T_CALC[[#Headers],[DAY]]))</f>
        <v>255</v>
      </c>
      <c r="L258" cm="1" vm="2335">
        <f t="array" aca="1" ref="L258" ca="1">IFERROR(INDEX(_xlfn.ANCHORARRAY($C$3),T_CALC[[#This Row],[DAY]]+1,1),NA())</f>
        <v>43112</v>
      </c>
      <c r="M258" cm="1" vm="2336">
        <f t="array" aca="1" ref="M258" ca="1">IFERROR(INDEX(_xlfn.ANCHORARRAY($C$3),T_CALC[[#This Row],[DAY]]+1,3),NA())</f>
        <v>1.3290999999999999</v>
      </c>
      <c r="N258" cm="1" vm="2337">
        <f t="array" aca="1" ref="N258" ca="1">IFERROR(INDEX(_xlfn.ANCHORARRAY($C$3),T_CALC[[#This Row],[DAY]]+1,4),NA())</f>
        <v>1.3301000000000001</v>
      </c>
      <c r="O258" cm="1" vm="2338">
        <f t="array" aca="1" ref="O258" ca="1">IFERROR(INDEX(_xlfn.ANCHORARRAY($C$3),T_CALC[[#This Row],[DAY]]+1,5),NA())</f>
        <v>1.3247</v>
      </c>
      <c r="P258" cm="1" vm="2339">
        <f t="array" aca="1" ref="P258" ca="1">IFERROR(INDEX(_xlfn.ANCHORARRAY($C$3),T_CALC[[#This Row],[DAY]]+1,6),NA())</f>
        <v>1.3250999999999999</v>
      </c>
      <c r="Q258" cm="1">
        <f t="array" aca="1" ref="Q258" ca="1">IFERROR(INDEX(_xlfn.ANCHORARRAY($C$3),T_CALC[[#This Row],[DAY]]+1,2),NA())</f>
        <v>0</v>
      </c>
    </row>
    <row r="259" spans="3:17">
      <c r="C259" vm="2340">
        <f ca="1"/>
        <v>43115</v>
      </c>
      <c r="D259">
        <f ca="1"/>
        <v>0</v>
      </c>
      <c r="E259" vm="2341">
        <f ca="1"/>
        <v>1.3226</v>
      </c>
      <c r="F259" vm="2320">
        <f ca="1"/>
        <v>1.3252999999999999</v>
      </c>
      <c r="G259" vm="2342">
        <f ca="1"/>
        <v>1.3197000000000001</v>
      </c>
      <c r="H259" vm="2343">
        <f ca="1"/>
        <v>1.3207</v>
      </c>
      <c r="K259">
        <f ca="1">IF(ROW(T_CALC[[#This Row],[DAY]])-ROW(T_CALC[[#Headers],[DAY]])&gt;C_N_TRADING_DAYS,"",ROW(T_CALC[[#This Row],[DAY]])-ROW(T_CALC[[#Headers],[DAY]]))</f>
        <v>256</v>
      </c>
      <c r="L259" cm="1" vm="2340">
        <f t="array" aca="1" ref="L259" ca="1">IFERROR(INDEX(_xlfn.ANCHORARRAY($C$3),T_CALC[[#This Row],[DAY]]+1,1),NA())</f>
        <v>43115</v>
      </c>
      <c r="M259" cm="1" vm="2341">
        <f t="array" aca="1" ref="M259" ca="1">IFERROR(INDEX(_xlfn.ANCHORARRAY($C$3),T_CALC[[#This Row],[DAY]]+1,3),NA())</f>
        <v>1.3226</v>
      </c>
      <c r="N259" cm="1" vm="2320">
        <f t="array" aca="1" ref="N259" ca="1">IFERROR(INDEX(_xlfn.ANCHORARRAY($C$3),T_CALC[[#This Row],[DAY]]+1,4),NA())</f>
        <v>1.3252999999999999</v>
      </c>
      <c r="O259" cm="1" vm="2342">
        <f t="array" aca="1" ref="O259" ca="1">IFERROR(INDEX(_xlfn.ANCHORARRAY($C$3),T_CALC[[#This Row],[DAY]]+1,5),NA())</f>
        <v>1.3197000000000001</v>
      </c>
      <c r="P259" cm="1" vm="2343">
        <f t="array" aca="1" ref="P259" ca="1">IFERROR(INDEX(_xlfn.ANCHORARRAY($C$3),T_CALC[[#This Row],[DAY]]+1,6),NA())</f>
        <v>1.3207</v>
      </c>
      <c r="Q259" cm="1">
        <f t="array" aca="1" ref="Q259" ca="1">IFERROR(INDEX(_xlfn.ANCHORARRAY($C$3),T_CALC[[#This Row],[DAY]]+1,2),NA())</f>
        <v>0</v>
      </c>
    </row>
    <row r="260" spans="3:17">
      <c r="C260" vm="2344">
        <f ca="1"/>
        <v>43116</v>
      </c>
      <c r="D260">
        <f ca="1"/>
        <v>0</v>
      </c>
      <c r="E260" vm="2345">
        <f ca="1"/>
        <v>1.3211999999999999</v>
      </c>
      <c r="F260" vm="2346">
        <f ca="1"/>
        <v>1.3248</v>
      </c>
      <c r="G260" vm="2347">
        <f ca="1"/>
        <v>1.3192999999999999</v>
      </c>
      <c r="H260" vm="2343">
        <f ca="1"/>
        <v>1.3207</v>
      </c>
      <c r="K260">
        <f ca="1">IF(ROW(T_CALC[[#This Row],[DAY]])-ROW(T_CALC[[#Headers],[DAY]])&gt;C_N_TRADING_DAYS,"",ROW(T_CALC[[#This Row],[DAY]])-ROW(T_CALC[[#Headers],[DAY]]))</f>
        <v>257</v>
      </c>
      <c r="L260" cm="1" vm="2344">
        <f t="array" aca="1" ref="L260" ca="1">IFERROR(INDEX(_xlfn.ANCHORARRAY($C$3),T_CALC[[#This Row],[DAY]]+1,1),NA())</f>
        <v>43116</v>
      </c>
      <c r="M260" cm="1" vm="2345">
        <f t="array" aca="1" ref="M260" ca="1">IFERROR(INDEX(_xlfn.ANCHORARRAY($C$3),T_CALC[[#This Row],[DAY]]+1,3),NA())</f>
        <v>1.3211999999999999</v>
      </c>
      <c r="N260" cm="1" vm="2346">
        <f t="array" aca="1" ref="N260" ca="1">IFERROR(INDEX(_xlfn.ANCHORARRAY($C$3),T_CALC[[#This Row],[DAY]]+1,4),NA())</f>
        <v>1.3248</v>
      </c>
      <c r="O260" cm="1" vm="2347">
        <f t="array" aca="1" ref="O260" ca="1">IFERROR(INDEX(_xlfn.ANCHORARRAY($C$3),T_CALC[[#This Row],[DAY]]+1,5),NA())</f>
        <v>1.3192999999999999</v>
      </c>
      <c r="P260" cm="1" vm="2343">
        <f t="array" aca="1" ref="P260" ca="1">IFERROR(INDEX(_xlfn.ANCHORARRAY($C$3),T_CALC[[#This Row],[DAY]]+1,6),NA())</f>
        <v>1.3207</v>
      </c>
      <c r="Q260" cm="1">
        <f t="array" aca="1" ref="Q260" ca="1">IFERROR(INDEX(_xlfn.ANCHORARRAY($C$3),T_CALC[[#This Row],[DAY]]+1,2),NA())</f>
        <v>0</v>
      </c>
    </row>
    <row r="261" spans="3:17">
      <c r="C261" vm="2348">
        <f ca="1"/>
        <v>43117</v>
      </c>
      <c r="D261">
        <f ca="1"/>
        <v>0</v>
      </c>
      <c r="E261" vm="2349">
        <f ca="1"/>
        <v>1.3204</v>
      </c>
      <c r="F261" vm="2350">
        <f ca="1"/>
        <v>1.3253999999999999</v>
      </c>
      <c r="G261" vm="2351">
        <f ca="1"/>
        <v>1.3179000000000001</v>
      </c>
      <c r="H261" vm="2352">
        <f ca="1"/>
        <v>1.3244</v>
      </c>
      <c r="K261">
        <f ca="1">IF(ROW(T_CALC[[#This Row],[DAY]])-ROW(T_CALC[[#Headers],[DAY]])&gt;C_N_TRADING_DAYS,"",ROW(T_CALC[[#This Row],[DAY]])-ROW(T_CALC[[#Headers],[DAY]]))</f>
        <v>258</v>
      </c>
      <c r="L261" cm="1" vm="2348">
        <f t="array" aca="1" ref="L261" ca="1">IFERROR(INDEX(_xlfn.ANCHORARRAY($C$3),T_CALC[[#This Row],[DAY]]+1,1),NA())</f>
        <v>43117</v>
      </c>
      <c r="M261" cm="1" vm="2349">
        <f t="array" aca="1" ref="M261" ca="1">IFERROR(INDEX(_xlfn.ANCHORARRAY($C$3),T_CALC[[#This Row],[DAY]]+1,3),NA())</f>
        <v>1.3204</v>
      </c>
      <c r="N261" cm="1" vm="2350">
        <f t="array" aca="1" ref="N261" ca="1">IFERROR(INDEX(_xlfn.ANCHORARRAY($C$3),T_CALC[[#This Row],[DAY]]+1,4),NA())</f>
        <v>1.3253999999999999</v>
      </c>
      <c r="O261" cm="1" vm="2351">
        <f t="array" aca="1" ref="O261" ca="1">IFERROR(INDEX(_xlfn.ANCHORARRAY($C$3),T_CALC[[#This Row],[DAY]]+1,5),NA())</f>
        <v>1.3179000000000001</v>
      </c>
      <c r="P261" cm="1" vm="2352">
        <f t="array" aca="1" ref="P261" ca="1">IFERROR(INDEX(_xlfn.ANCHORARRAY($C$3),T_CALC[[#This Row],[DAY]]+1,6),NA())</f>
        <v>1.3244</v>
      </c>
      <c r="Q261" cm="1">
        <f t="array" aca="1" ref="Q261" ca="1">IFERROR(INDEX(_xlfn.ANCHORARRAY($C$3),T_CALC[[#This Row],[DAY]]+1,2),NA())</f>
        <v>0</v>
      </c>
    </row>
    <row r="262" spans="3:17">
      <c r="C262" vm="2353">
        <f ca="1"/>
        <v>43118</v>
      </c>
      <c r="D262">
        <f ca="1"/>
        <v>0</v>
      </c>
      <c r="E262" vm="2354">
        <f ca="1"/>
        <v>1.3243</v>
      </c>
      <c r="F262" vm="2355">
        <f ca="1"/>
        <v>1.3272999999999999</v>
      </c>
      <c r="G262" vm="2342">
        <f ca="1"/>
        <v>1.3197000000000001</v>
      </c>
      <c r="H262" vm="2343">
        <f ca="1"/>
        <v>1.3207</v>
      </c>
      <c r="K262">
        <f ca="1">IF(ROW(T_CALC[[#This Row],[DAY]])-ROW(T_CALC[[#Headers],[DAY]])&gt;C_N_TRADING_DAYS,"",ROW(T_CALC[[#This Row],[DAY]])-ROW(T_CALC[[#Headers],[DAY]]))</f>
        <v>259</v>
      </c>
      <c r="L262" cm="1" vm="2353">
        <f t="array" aca="1" ref="L262" ca="1">IFERROR(INDEX(_xlfn.ANCHORARRAY($C$3),T_CALC[[#This Row],[DAY]]+1,1),NA())</f>
        <v>43118</v>
      </c>
      <c r="M262" cm="1" vm="2354">
        <f t="array" aca="1" ref="M262" ca="1">IFERROR(INDEX(_xlfn.ANCHORARRAY($C$3),T_CALC[[#This Row],[DAY]]+1,3),NA())</f>
        <v>1.3243</v>
      </c>
      <c r="N262" cm="1" vm="2355">
        <f t="array" aca="1" ref="N262" ca="1">IFERROR(INDEX(_xlfn.ANCHORARRAY($C$3),T_CALC[[#This Row],[DAY]]+1,4),NA())</f>
        <v>1.3272999999999999</v>
      </c>
      <c r="O262" cm="1" vm="2342">
        <f t="array" aca="1" ref="O262" ca="1">IFERROR(INDEX(_xlfn.ANCHORARRAY($C$3),T_CALC[[#This Row],[DAY]]+1,5),NA())</f>
        <v>1.3197000000000001</v>
      </c>
      <c r="P262" cm="1" vm="2343">
        <f t="array" aca="1" ref="P262" ca="1">IFERROR(INDEX(_xlfn.ANCHORARRAY($C$3),T_CALC[[#This Row],[DAY]]+1,6),NA())</f>
        <v>1.3207</v>
      </c>
      <c r="Q262" cm="1">
        <f t="array" aca="1" ref="Q262" ca="1">IFERROR(INDEX(_xlfn.ANCHORARRAY($C$3),T_CALC[[#This Row],[DAY]]+1,2),NA())</f>
        <v>0</v>
      </c>
    </row>
    <row r="263" spans="3:17">
      <c r="C263" vm="2356">
        <f ca="1"/>
        <v>43119</v>
      </c>
      <c r="D263">
        <f ca="1"/>
        <v>0</v>
      </c>
      <c r="E263" vm="2343">
        <f ca="1"/>
        <v>1.3207</v>
      </c>
      <c r="F263" vm="2357">
        <f ca="1"/>
        <v>1.3213999999999999</v>
      </c>
      <c r="G263" vm="2358">
        <f ca="1"/>
        <v>1.3168</v>
      </c>
      <c r="H263" vm="2343">
        <f ca="1"/>
        <v>1.3207</v>
      </c>
      <c r="K263">
        <f ca="1">IF(ROW(T_CALC[[#This Row],[DAY]])-ROW(T_CALC[[#Headers],[DAY]])&gt;C_N_TRADING_DAYS,"",ROW(T_CALC[[#This Row],[DAY]])-ROW(T_CALC[[#Headers],[DAY]]))</f>
        <v>260</v>
      </c>
      <c r="L263" cm="1" vm="2356">
        <f t="array" aca="1" ref="L263" ca="1">IFERROR(INDEX(_xlfn.ANCHORARRAY($C$3),T_CALC[[#This Row],[DAY]]+1,1),NA())</f>
        <v>43119</v>
      </c>
      <c r="M263" cm="1" vm="2343">
        <f t="array" aca="1" ref="M263" ca="1">IFERROR(INDEX(_xlfn.ANCHORARRAY($C$3),T_CALC[[#This Row],[DAY]]+1,3),NA())</f>
        <v>1.3207</v>
      </c>
      <c r="N263" cm="1" vm="2357">
        <f t="array" aca="1" ref="N263" ca="1">IFERROR(INDEX(_xlfn.ANCHORARRAY($C$3),T_CALC[[#This Row],[DAY]]+1,4),NA())</f>
        <v>1.3213999999999999</v>
      </c>
      <c r="O263" cm="1" vm="2358">
        <f t="array" aca="1" ref="O263" ca="1">IFERROR(INDEX(_xlfn.ANCHORARRAY($C$3),T_CALC[[#This Row],[DAY]]+1,5),NA())</f>
        <v>1.3168</v>
      </c>
      <c r="P263" cm="1" vm="2343">
        <f t="array" aca="1" ref="P263" ca="1">IFERROR(INDEX(_xlfn.ANCHORARRAY($C$3),T_CALC[[#This Row],[DAY]]+1,6),NA())</f>
        <v>1.3207</v>
      </c>
      <c r="Q263" cm="1">
        <f t="array" aca="1" ref="Q263" ca="1">IFERROR(INDEX(_xlfn.ANCHORARRAY($C$3),T_CALC[[#This Row],[DAY]]+1,2),NA())</f>
        <v>0</v>
      </c>
    </row>
    <row r="264" spans="3:17">
      <c r="C264" vm="2359">
        <f ca="1"/>
        <v>43122</v>
      </c>
      <c r="D264">
        <f ca="1"/>
        <v>0</v>
      </c>
      <c r="E264" vm="2360">
        <f ca="1"/>
        <v>1.3199000000000001</v>
      </c>
      <c r="F264" vm="2361">
        <f ca="1"/>
        <v>1.3223</v>
      </c>
      <c r="G264" vm="2362">
        <f ca="1"/>
        <v>1.3180000000000001</v>
      </c>
      <c r="H264" vm="2363">
        <f ca="1"/>
        <v>1.3187</v>
      </c>
      <c r="K264">
        <f ca="1">IF(ROW(T_CALC[[#This Row],[DAY]])-ROW(T_CALC[[#Headers],[DAY]])&gt;C_N_TRADING_DAYS,"",ROW(T_CALC[[#This Row],[DAY]])-ROW(T_CALC[[#Headers],[DAY]]))</f>
        <v>261</v>
      </c>
      <c r="L264" cm="1" vm="2359">
        <f t="array" aca="1" ref="L264" ca="1">IFERROR(INDEX(_xlfn.ANCHORARRAY($C$3),T_CALC[[#This Row],[DAY]]+1,1),NA())</f>
        <v>43122</v>
      </c>
      <c r="M264" cm="1" vm="2360">
        <f t="array" aca="1" ref="M264" ca="1">IFERROR(INDEX(_xlfn.ANCHORARRAY($C$3),T_CALC[[#This Row],[DAY]]+1,3),NA())</f>
        <v>1.3199000000000001</v>
      </c>
      <c r="N264" cm="1" vm="2361">
        <f t="array" aca="1" ref="N264" ca="1">IFERROR(INDEX(_xlfn.ANCHORARRAY($C$3),T_CALC[[#This Row],[DAY]]+1,4),NA())</f>
        <v>1.3223</v>
      </c>
      <c r="O264" cm="1" vm="2362">
        <f t="array" aca="1" ref="O264" ca="1">IFERROR(INDEX(_xlfn.ANCHORARRAY($C$3),T_CALC[[#This Row],[DAY]]+1,5),NA())</f>
        <v>1.3180000000000001</v>
      </c>
      <c r="P264" cm="1" vm="2363">
        <f t="array" aca="1" ref="P264" ca="1">IFERROR(INDEX(_xlfn.ANCHORARRAY($C$3),T_CALC[[#This Row],[DAY]]+1,6),NA())</f>
        <v>1.3187</v>
      </c>
      <c r="Q264" cm="1">
        <f t="array" aca="1" ref="Q264" ca="1">IFERROR(INDEX(_xlfn.ANCHORARRAY($C$3),T_CALC[[#This Row],[DAY]]+1,2),NA())</f>
        <v>0</v>
      </c>
    </row>
    <row r="265" spans="3:17">
      <c r="C265" vm="2364">
        <f ca="1"/>
        <v>43123</v>
      </c>
      <c r="D265">
        <f ca="1"/>
        <v>0</v>
      </c>
      <c r="E265" vm="2365">
        <f ca="1"/>
        <v>1.3188</v>
      </c>
      <c r="F265" vm="2366">
        <f ca="1"/>
        <v>1.3208</v>
      </c>
      <c r="G265" vm="2367">
        <f ca="1"/>
        <v>1.3165</v>
      </c>
      <c r="H265" vm="2368">
        <f ca="1"/>
        <v>1.3169</v>
      </c>
      <c r="K265">
        <f ca="1">IF(ROW(T_CALC[[#This Row],[DAY]])-ROW(T_CALC[[#Headers],[DAY]])&gt;C_N_TRADING_DAYS,"",ROW(T_CALC[[#This Row],[DAY]])-ROW(T_CALC[[#Headers],[DAY]]))</f>
        <v>262</v>
      </c>
      <c r="L265" cm="1" vm="2364">
        <f t="array" aca="1" ref="L265" ca="1">IFERROR(INDEX(_xlfn.ANCHORARRAY($C$3),T_CALC[[#This Row],[DAY]]+1,1),NA())</f>
        <v>43123</v>
      </c>
      <c r="M265" cm="1" vm="2365">
        <f t="array" aca="1" ref="M265" ca="1">IFERROR(INDEX(_xlfn.ANCHORARRAY($C$3),T_CALC[[#This Row],[DAY]]+1,3),NA())</f>
        <v>1.3188</v>
      </c>
      <c r="N265" cm="1" vm="2366">
        <f t="array" aca="1" ref="N265" ca="1">IFERROR(INDEX(_xlfn.ANCHORARRAY($C$3),T_CALC[[#This Row],[DAY]]+1,4),NA())</f>
        <v>1.3208</v>
      </c>
      <c r="O265" cm="1" vm="2367">
        <f t="array" aca="1" ref="O265" ca="1">IFERROR(INDEX(_xlfn.ANCHORARRAY($C$3),T_CALC[[#This Row],[DAY]]+1,5),NA())</f>
        <v>1.3165</v>
      </c>
      <c r="P265" cm="1" vm="2368">
        <f t="array" aca="1" ref="P265" ca="1">IFERROR(INDEX(_xlfn.ANCHORARRAY($C$3),T_CALC[[#This Row],[DAY]]+1,6),NA())</f>
        <v>1.3169</v>
      </c>
      <c r="Q265" cm="1">
        <f t="array" aca="1" ref="Q265" ca="1">IFERROR(INDEX(_xlfn.ANCHORARRAY($C$3),T_CALC[[#This Row],[DAY]]+1,2),NA())</f>
        <v>0</v>
      </c>
    </row>
    <row r="266" spans="3:17">
      <c r="C266" vm="2369">
        <f ca="1"/>
        <v>43124</v>
      </c>
      <c r="D266">
        <f ca="1"/>
        <v>0</v>
      </c>
      <c r="E266" vm="2370">
        <f ca="1"/>
        <v>1.3169999999999999</v>
      </c>
      <c r="F266" vm="2371">
        <f ca="1"/>
        <v>1.3176000000000001</v>
      </c>
      <c r="G266" vm="2372">
        <f ca="1"/>
        <v>1.3065</v>
      </c>
      <c r="H266" vm="2373">
        <f ca="1"/>
        <v>1.3069999999999999</v>
      </c>
      <c r="K266">
        <f ca="1">IF(ROW(T_CALC[[#This Row],[DAY]])-ROW(T_CALC[[#Headers],[DAY]])&gt;C_N_TRADING_DAYS,"",ROW(T_CALC[[#This Row],[DAY]])-ROW(T_CALC[[#Headers],[DAY]]))</f>
        <v>263</v>
      </c>
      <c r="L266" cm="1" vm="2369">
        <f t="array" aca="1" ref="L266" ca="1">IFERROR(INDEX(_xlfn.ANCHORARRAY($C$3),T_CALC[[#This Row],[DAY]]+1,1),NA())</f>
        <v>43124</v>
      </c>
      <c r="M266" cm="1" vm="2370">
        <f t="array" aca="1" ref="M266" ca="1">IFERROR(INDEX(_xlfn.ANCHORARRAY($C$3),T_CALC[[#This Row],[DAY]]+1,3),NA())</f>
        <v>1.3169999999999999</v>
      </c>
      <c r="N266" cm="1" vm="2371">
        <f t="array" aca="1" ref="N266" ca="1">IFERROR(INDEX(_xlfn.ANCHORARRAY($C$3),T_CALC[[#This Row],[DAY]]+1,4),NA())</f>
        <v>1.3176000000000001</v>
      </c>
      <c r="O266" cm="1" vm="2372">
        <f t="array" aca="1" ref="O266" ca="1">IFERROR(INDEX(_xlfn.ANCHORARRAY($C$3),T_CALC[[#This Row],[DAY]]+1,5),NA())</f>
        <v>1.3065</v>
      </c>
      <c r="P266" cm="1" vm="2373">
        <f t="array" aca="1" ref="P266" ca="1">IFERROR(INDEX(_xlfn.ANCHORARRAY($C$3),T_CALC[[#This Row],[DAY]]+1,6),NA())</f>
        <v>1.3069999999999999</v>
      </c>
      <c r="Q266" cm="1">
        <f t="array" aca="1" ref="Q266" ca="1">IFERROR(INDEX(_xlfn.ANCHORARRAY($C$3),T_CALC[[#This Row],[DAY]]+1,2),NA())</f>
        <v>0</v>
      </c>
    </row>
    <row r="267" spans="3:17">
      <c r="C267" vm="2374">
        <f ca="1"/>
        <v>43125</v>
      </c>
      <c r="D267">
        <f ca="1"/>
        <v>0</v>
      </c>
      <c r="E267" vm="2375">
        <f ca="1"/>
        <v>1.3070999999999999</v>
      </c>
      <c r="F267" vm="2376">
        <f ca="1"/>
        <v>1.3126</v>
      </c>
      <c r="G267" vm="2377">
        <f ca="1"/>
        <v>1.3004</v>
      </c>
      <c r="H267" vm="2378">
        <f ca="1"/>
        <v>1.3103</v>
      </c>
      <c r="K267">
        <f ca="1">IF(ROW(T_CALC[[#This Row],[DAY]])-ROW(T_CALC[[#Headers],[DAY]])&gt;C_N_TRADING_DAYS,"",ROW(T_CALC[[#This Row],[DAY]])-ROW(T_CALC[[#Headers],[DAY]]))</f>
        <v>264</v>
      </c>
      <c r="L267" cm="1" vm="2374">
        <f t="array" aca="1" ref="L267" ca="1">IFERROR(INDEX(_xlfn.ANCHORARRAY($C$3),T_CALC[[#This Row],[DAY]]+1,1),NA())</f>
        <v>43125</v>
      </c>
      <c r="M267" cm="1" vm="2375">
        <f t="array" aca="1" ref="M267" ca="1">IFERROR(INDEX(_xlfn.ANCHORARRAY($C$3),T_CALC[[#This Row],[DAY]]+1,3),NA())</f>
        <v>1.3070999999999999</v>
      </c>
      <c r="N267" cm="1" vm="2376">
        <f t="array" aca="1" ref="N267" ca="1">IFERROR(INDEX(_xlfn.ANCHORARRAY($C$3),T_CALC[[#This Row],[DAY]]+1,4),NA())</f>
        <v>1.3126</v>
      </c>
      <c r="O267" cm="1" vm="2377">
        <f t="array" aca="1" ref="O267" ca="1">IFERROR(INDEX(_xlfn.ANCHORARRAY($C$3),T_CALC[[#This Row],[DAY]]+1,5),NA())</f>
        <v>1.3004</v>
      </c>
      <c r="P267" cm="1" vm="2378">
        <f t="array" aca="1" ref="P267" ca="1">IFERROR(INDEX(_xlfn.ANCHORARRAY($C$3),T_CALC[[#This Row],[DAY]]+1,6),NA())</f>
        <v>1.3103</v>
      </c>
      <c r="Q267" cm="1">
        <f t="array" aca="1" ref="Q267" ca="1">IFERROR(INDEX(_xlfn.ANCHORARRAY($C$3),T_CALC[[#This Row],[DAY]]+1,2),NA())</f>
        <v>0</v>
      </c>
    </row>
    <row r="268" spans="3:17">
      <c r="C268" vm="2379">
        <f ca="1"/>
        <v>43126</v>
      </c>
      <c r="D268">
        <f ca="1"/>
        <v>0</v>
      </c>
      <c r="E268" vm="2380">
        <f ca="1"/>
        <v>1.3097000000000001</v>
      </c>
      <c r="F268" vm="2381">
        <f ca="1"/>
        <v>1.3125</v>
      </c>
      <c r="G268" vm="2382">
        <f ca="1"/>
        <v>1.3039000000000001</v>
      </c>
      <c r="H268" vm="2383">
        <f ca="1"/>
        <v>1.3075000000000001</v>
      </c>
      <c r="K268">
        <f ca="1">IF(ROW(T_CALC[[#This Row],[DAY]])-ROW(T_CALC[[#Headers],[DAY]])&gt;C_N_TRADING_DAYS,"",ROW(T_CALC[[#This Row],[DAY]])-ROW(T_CALC[[#Headers],[DAY]]))</f>
        <v>265</v>
      </c>
      <c r="L268" cm="1" vm="2379">
        <f t="array" aca="1" ref="L268" ca="1">IFERROR(INDEX(_xlfn.ANCHORARRAY($C$3),T_CALC[[#This Row],[DAY]]+1,1),NA())</f>
        <v>43126</v>
      </c>
      <c r="M268" cm="1" vm="2380">
        <f t="array" aca="1" ref="M268" ca="1">IFERROR(INDEX(_xlfn.ANCHORARRAY($C$3),T_CALC[[#This Row],[DAY]]+1,3),NA())</f>
        <v>1.3097000000000001</v>
      </c>
      <c r="N268" cm="1" vm="2381">
        <f t="array" aca="1" ref="N268" ca="1">IFERROR(INDEX(_xlfn.ANCHORARRAY($C$3),T_CALC[[#This Row],[DAY]]+1,4),NA())</f>
        <v>1.3125</v>
      </c>
      <c r="O268" cm="1" vm="2382">
        <f t="array" aca="1" ref="O268" ca="1">IFERROR(INDEX(_xlfn.ANCHORARRAY($C$3),T_CALC[[#This Row],[DAY]]+1,5),NA())</f>
        <v>1.3039000000000001</v>
      </c>
      <c r="P268" cm="1" vm="2383">
        <f t="array" aca="1" ref="P268" ca="1">IFERROR(INDEX(_xlfn.ANCHORARRAY($C$3),T_CALC[[#This Row],[DAY]]+1,6),NA())</f>
        <v>1.3075000000000001</v>
      </c>
      <c r="Q268" cm="1">
        <f t="array" aca="1" ref="Q268" ca="1">IFERROR(INDEX(_xlfn.ANCHORARRAY($C$3),T_CALC[[#This Row],[DAY]]+1,2),NA())</f>
        <v>0</v>
      </c>
    </row>
    <row r="269" spans="3:17">
      <c r="C269" vm="2384">
        <f ca="1"/>
        <v>43129</v>
      </c>
      <c r="D269">
        <f ca="1"/>
        <v>0</v>
      </c>
      <c r="E269" vm="2385">
        <f ca="1"/>
        <v>1.3067</v>
      </c>
      <c r="F269" vm="2376">
        <f ca="1"/>
        <v>1.3126</v>
      </c>
      <c r="G269" vm="2386">
        <f ca="1"/>
        <v>1.3056000000000001</v>
      </c>
      <c r="H269" vm="2387">
        <f ca="1"/>
        <v>1.3099000000000001</v>
      </c>
      <c r="K269">
        <f ca="1">IF(ROW(T_CALC[[#This Row],[DAY]])-ROW(T_CALC[[#Headers],[DAY]])&gt;C_N_TRADING_DAYS,"",ROW(T_CALC[[#This Row],[DAY]])-ROW(T_CALC[[#Headers],[DAY]]))</f>
        <v>266</v>
      </c>
      <c r="L269" cm="1" vm="2384">
        <f t="array" aca="1" ref="L269" ca="1">IFERROR(INDEX(_xlfn.ANCHORARRAY($C$3),T_CALC[[#This Row],[DAY]]+1,1),NA())</f>
        <v>43129</v>
      </c>
      <c r="M269" cm="1" vm="2385">
        <f t="array" aca="1" ref="M269" ca="1">IFERROR(INDEX(_xlfn.ANCHORARRAY($C$3),T_CALC[[#This Row],[DAY]]+1,3),NA())</f>
        <v>1.3067</v>
      </c>
      <c r="N269" cm="1" vm="2376">
        <f t="array" aca="1" ref="N269" ca="1">IFERROR(INDEX(_xlfn.ANCHORARRAY($C$3),T_CALC[[#This Row],[DAY]]+1,4),NA())</f>
        <v>1.3126</v>
      </c>
      <c r="O269" cm="1" vm="2386">
        <f t="array" aca="1" ref="O269" ca="1">IFERROR(INDEX(_xlfn.ANCHORARRAY($C$3),T_CALC[[#This Row],[DAY]]+1,5),NA())</f>
        <v>1.3056000000000001</v>
      </c>
      <c r="P269" cm="1" vm="2387">
        <f t="array" aca="1" ref="P269" ca="1">IFERROR(INDEX(_xlfn.ANCHORARRAY($C$3),T_CALC[[#This Row],[DAY]]+1,6),NA())</f>
        <v>1.3099000000000001</v>
      </c>
      <c r="Q269" cm="1">
        <f t="array" aca="1" ref="Q269" ca="1">IFERROR(INDEX(_xlfn.ANCHORARRAY($C$3),T_CALC[[#This Row],[DAY]]+1,2),NA())</f>
        <v>0</v>
      </c>
    </row>
    <row r="270" spans="3:17">
      <c r="C270" vm="2388">
        <f ca="1"/>
        <v>43130</v>
      </c>
      <c r="D270">
        <f ca="1"/>
        <v>0</v>
      </c>
      <c r="E270" vm="2387">
        <f ca="1"/>
        <v>1.3099000000000001</v>
      </c>
      <c r="F270" vm="2389">
        <f ca="1"/>
        <v>1.3149</v>
      </c>
      <c r="G270" vm="2390">
        <f ca="1"/>
        <v>1.3080000000000001</v>
      </c>
      <c r="H270" vm="2391">
        <f ca="1"/>
        <v>1.3112999999999999</v>
      </c>
      <c r="K270">
        <f ca="1">IF(ROW(T_CALC[[#This Row],[DAY]])-ROW(T_CALC[[#Headers],[DAY]])&gt;C_N_TRADING_DAYS,"",ROW(T_CALC[[#This Row],[DAY]])-ROW(T_CALC[[#Headers],[DAY]]))</f>
        <v>267</v>
      </c>
      <c r="L270" cm="1" vm="2388">
        <f t="array" aca="1" ref="L270" ca="1">IFERROR(INDEX(_xlfn.ANCHORARRAY($C$3),T_CALC[[#This Row],[DAY]]+1,1),NA())</f>
        <v>43130</v>
      </c>
      <c r="M270" cm="1" vm="2387">
        <f t="array" aca="1" ref="M270" ca="1">IFERROR(INDEX(_xlfn.ANCHORARRAY($C$3),T_CALC[[#This Row],[DAY]]+1,3),NA())</f>
        <v>1.3099000000000001</v>
      </c>
      <c r="N270" cm="1" vm="2389">
        <f t="array" aca="1" ref="N270" ca="1">IFERROR(INDEX(_xlfn.ANCHORARRAY($C$3),T_CALC[[#This Row],[DAY]]+1,4),NA())</f>
        <v>1.3149</v>
      </c>
      <c r="O270" cm="1" vm="2390">
        <f t="array" aca="1" ref="O270" ca="1">IFERROR(INDEX(_xlfn.ANCHORARRAY($C$3),T_CALC[[#This Row],[DAY]]+1,5),NA())</f>
        <v>1.3080000000000001</v>
      </c>
      <c r="P270" cm="1" vm="2391">
        <f t="array" aca="1" ref="P270" ca="1">IFERROR(INDEX(_xlfn.ANCHORARRAY($C$3),T_CALC[[#This Row],[DAY]]+1,6),NA())</f>
        <v>1.3112999999999999</v>
      </c>
      <c r="Q270" cm="1">
        <f t="array" aca="1" ref="Q270" ca="1">IFERROR(INDEX(_xlfn.ANCHORARRAY($C$3),T_CALC[[#This Row],[DAY]]+1,2),NA())</f>
        <v>0</v>
      </c>
    </row>
    <row r="271" spans="3:17">
      <c r="C271" vm="2392">
        <f ca="1"/>
        <v>43131</v>
      </c>
      <c r="D271">
        <f ca="1"/>
        <v>0</v>
      </c>
      <c r="E271" vm="2391">
        <f ca="1"/>
        <v>1.3112999999999999</v>
      </c>
      <c r="F271" vm="2393">
        <f ca="1"/>
        <v>1.3137000000000001</v>
      </c>
      <c r="G271" vm="2394">
        <f ca="1"/>
        <v>1.3066</v>
      </c>
      <c r="H271" vm="2395">
        <f ca="1"/>
        <v>1.3117000000000001</v>
      </c>
      <c r="K271">
        <f ca="1">IF(ROW(T_CALC[[#This Row],[DAY]])-ROW(T_CALC[[#Headers],[DAY]])&gt;C_N_TRADING_DAYS,"",ROW(T_CALC[[#This Row],[DAY]])-ROW(T_CALC[[#Headers],[DAY]]))</f>
        <v>268</v>
      </c>
      <c r="L271" cm="1" vm="2392">
        <f t="array" aca="1" ref="L271" ca="1">IFERROR(INDEX(_xlfn.ANCHORARRAY($C$3),T_CALC[[#This Row],[DAY]]+1,1),NA())</f>
        <v>43131</v>
      </c>
      <c r="M271" cm="1" vm="2391">
        <f t="array" aca="1" ref="M271" ca="1">IFERROR(INDEX(_xlfn.ANCHORARRAY($C$3),T_CALC[[#This Row],[DAY]]+1,3),NA())</f>
        <v>1.3112999999999999</v>
      </c>
      <c r="N271" cm="1" vm="2393">
        <f t="array" aca="1" ref="N271" ca="1">IFERROR(INDEX(_xlfn.ANCHORARRAY($C$3),T_CALC[[#This Row],[DAY]]+1,4),NA())</f>
        <v>1.3137000000000001</v>
      </c>
      <c r="O271" cm="1" vm="2394">
        <f t="array" aca="1" ref="O271" ca="1">IFERROR(INDEX(_xlfn.ANCHORARRAY($C$3),T_CALC[[#This Row],[DAY]]+1,5),NA())</f>
        <v>1.3066</v>
      </c>
      <c r="P271" cm="1" vm="2395">
        <f t="array" aca="1" ref="P271" ca="1">IFERROR(INDEX(_xlfn.ANCHORARRAY($C$3),T_CALC[[#This Row],[DAY]]+1,6),NA())</f>
        <v>1.3117000000000001</v>
      </c>
      <c r="Q271" cm="1">
        <f t="array" aca="1" ref="Q271" ca="1">IFERROR(INDEX(_xlfn.ANCHORARRAY($C$3),T_CALC[[#This Row],[DAY]]+1,2),NA())</f>
        <v>0</v>
      </c>
    </row>
    <row r="272" spans="3:17">
      <c r="C272" vm="2396">
        <f ca="1"/>
        <v>43132</v>
      </c>
      <c r="D272">
        <f ca="1"/>
        <v>0</v>
      </c>
      <c r="E272" vm="2397">
        <f ca="1"/>
        <v>1.3118000000000001</v>
      </c>
      <c r="F272" vm="2398">
        <f ca="1"/>
        <v>1.3141</v>
      </c>
      <c r="G272" vm="2399">
        <f ca="1"/>
        <v>1.3071999999999999</v>
      </c>
      <c r="H272" vm="2390">
        <f ca="1"/>
        <v>1.3080000000000001</v>
      </c>
      <c r="K272">
        <f ca="1">IF(ROW(T_CALC[[#This Row],[DAY]])-ROW(T_CALC[[#Headers],[DAY]])&gt;C_N_TRADING_DAYS,"",ROW(T_CALC[[#This Row],[DAY]])-ROW(T_CALC[[#Headers],[DAY]]))</f>
        <v>269</v>
      </c>
      <c r="L272" cm="1" vm="2396">
        <f t="array" aca="1" ref="L272" ca="1">IFERROR(INDEX(_xlfn.ANCHORARRAY($C$3),T_CALC[[#This Row],[DAY]]+1,1),NA())</f>
        <v>43132</v>
      </c>
      <c r="M272" cm="1" vm="2397">
        <f t="array" aca="1" ref="M272" ca="1">IFERROR(INDEX(_xlfn.ANCHORARRAY($C$3),T_CALC[[#This Row],[DAY]]+1,3),NA())</f>
        <v>1.3118000000000001</v>
      </c>
      <c r="N272" cm="1" vm="2398">
        <f t="array" aca="1" ref="N272" ca="1">IFERROR(INDEX(_xlfn.ANCHORARRAY($C$3),T_CALC[[#This Row],[DAY]]+1,4),NA())</f>
        <v>1.3141</v>
      </c>
      <c r="O272" cm="1" vm="2399">
        <f t="array" aca="1" ref="O272" ca="1">IFERROR(INDEX(_xlfn.ANCHORARRAY($C$3),T_CALC[[#This Row],[DAY]]+1,5),NA())</f>
        <v>1.3071999999999999</v>
      </c>
      <c r="P272" cm="1" vm="2390">
        <f t="array" aca="1" ref="P272" ca="1">IFERROR(INDEX(_xlfn.ANCHORARRAY($C$3),T_CALC[[#This Row],[DAY]]+1,6),NA())</f>
        <v>1.3080000000000001</v>
      </c>
      <c r="Q272" cm="1">
        <f t="array" aca="1" ref="Q272" ca="1">IFERROR(INDEX(_xlfn.ANCHORARRAY($C$3),T_CALC[[#This Row],[DAY]]+1,2),NA())</f>
        <v>0</v>
      </c>
    </row>
    <row r="273" spans="3:17">
      <c r="C273" vm="2400">
        <f ca="1"/>
        <v>43133</v>
      </c>
      <c r="D273">
        <f ca="1"/>
        <v>0</v>
      </c>
      <c r="E273" vm="2401">
        <f ca="1"/>
        <v>1.3079000000000001</v>
      </c>
      <c r="F273" vm="2402">
        <f ca="1"/>
        <v>1.3198000000000001</v>
      </c>
      <c r="G273" vm="2403">
        <f ca="1"/>
        <v>1.3072999999999999</v>
      </c>
      <c r="H273" vm="2347">
        <f ca="1"/>
        <v>1.3192999999999999</v>
      </c>
      <c r="K273">
        <f ca="1">IF(ROW(T_CALC[[#This Row],[DAY]])-ROW(T_CALC[[#Headers],[DAY]])&gt;C_N_TRADING_DAYS,"",ROW(T_CALC[[#This Row],[DAY]])-ROW(T_CALC[[#Headers],[DAY]]))</f>
        <v>270</v>
      </c>
      <c r="L273" cm="1" vm="2400">
        <f t="array" aca="1" ref="L273" ca="1">IFERROR(INDEX(_xlfn.ANCHORARRAY($C$3),T_CALC[[#This Row],[DAY]]+1,1),NA())</f>
        <v>43133</v>
      </c>
      <c r="M273" cm="1" vm="2401">
        <f t="array" aca="1" ref="M273" ca="1">IFERROR(INDEX(_xlfn.ANCHORARRAY($C$3),T_CALC[[#This Row],[DAY]]+1,3),NA())</f>
        <v>1.3079000000000001</v>
      </c>
      <c r="N273" cm="1" vm="2402">
        <f t="array" aca="1" ref="N273" ca="1">IFERROR(INDEX(_xlfn.ANCHORARRAY($C$3),T_CALC[[#This Row],[DAY]]+1,4),NA())</f>
        <v>1.3198000000000001</v>
      </c>
      <c r="O273" cm="1" vm="2403">
        <f t="array" aca="1" ref="O273" ca="1">IFERROR(INDEX(_xlfn.ANCHORARRAY($C$3),T_CALC[[#This Row],[DAY]]+1,5),NA())</f>
        <v>1.3072999999999999</v>
      </c>
      <c r="P273" cm="1" vm="2347">
        <f t="array" aca="1" ref="P273" ca="1">IFERROR(INDEX(_xlfn.ANCHORARRAY($C$3),T_CALC[[#This Row],[DAY]]+1,6),NA())</f>
        <v>1.3192999999999999</v>
      </c>
      <c r="Q273" cm="1">
        <f t="array" aca="1" ref="Q273" ca="1">IFERROR(INDEX(_xlfn.ANCHORARRAY($C$3),T_CALC[[#This Row],[DAY]]+1,2),NA())</f>
        <v>0</v>
      </c>
    </row>
    <row r="274" spans="3:17">
      <c r="C274" vm="2404">
        <f ca="1"/>
        <v>43136</v>
      </c>
      <c r="D274">
        <f ca="1"/>
        <v>0</v>
      </c>
      <c r="E274" vm="2405">
        <f ca="1"/>
        <v>1.3190999999999999</v>
      </c>
      <c r="F274" vm="2406">
        <f ca="1"/>
        <v>1.3219000000000001</v>
      </c>
      <c r="G274" vm="2407">
        <f ca="1"/>
        <v>1.3154999999999999</v>
      </c>
      <c r="H274" vm="2408">
        <f ca="1"/>
        <v>1.3214999999999999</v>
      </c>
      <c r="K274">
        <f ca="1">IF(ROW(T_CALC[[#This Row],[DAY]])-ROW(T_CALC[[#Headers],[DAY]])&gt;C_N_TRADING_DAYS,"",ROW(T_CALC[[#This Row],[DAY]])-ROW(T_CALC[[#Headers],[DAY]]))</f>
        <v>271</v>
      </c>
      <c r="L274" cm="1" vm="2404">
        <f t="array" aca="1" ref="L274" ca="1">IFERROR(INDEX(_xlfn.ANCHORARRAY($C$3),T_CALC[[#This Row],[DAY]]+1,1),NA())</f>
        <v>43136</v>
      </c>
      <c r="M274" cm="1" vm="2405">
        <f t="array" aca="1" ref="M274" ca="1">IFERROR(INDEX(_xlfn.ANCHORARRAY($C$3),T_CALC[[#This Row],[DAY]]+1,3),NA())</f>
        <v>1.3190999999999999</v>
      </c>
      <c r="N274" cm="1" vm="2406">
        <f t="array" aca="1" ref="N274" ca="1">IFERROR(INDEX(_xlfn.ANCHORARRAY($C$3),T_CALC[[#This Row],[DAY]]+1,4),NA())</f>
        <v>1.3219000000000001</v>
      </c>
      <c r="O274" cm="1" vm="2407">
        <f t="array" aca="1" ref="O274" ca="1">IFERROR(INDEX(_xlfn.ANCHORARRAY($C$3),T_CALC[[#This Row],[DAY]]+1,5),NA())</f>
        <v>1.3154999999999999</v>
      </c>
      <c r="P274" cm="1" vm="2408">
        <f t="array" aca="1" ref="P274" ca="1">IFERROR(INDEX(_xlfn.ANCHORARRAY($C$3),T_CALC[[#This Row],[DAY]]+1,6),NA())</f>
        <v>1.3214999999999999</v>
      </c>
      <c r="Q274" cm="1">
        <f t="array" aca="1" ref="Q274" ca="1">IFERROR(INDEX(_xlfn.ANCHORARRAY($C$3),T_CALC[[#This Row],[DAY]]+1,2),NA())</f>
        <v>0</v>
      </c>
    </row>
    <row r="275" spans="3:17">
      <c r="C275" vm="2409">
        <f ca="1"/>
        <v>43137</v>
      </c>
      <c r="D275">
        <f ca="1"/>
        <v>0</v>
      </c>
      <c r="E275" vm="2408">
        <f ca="1"/>
        <v>1.3214999999999999</v>
      </c>
      <c r="F275" vm="2410">
        <f ca="1"/>
        <v>1.3237000000000001</v>
      </c>
      <c r="G275" vm="2411">
        <f ca="1"/>
        <v>1.3182</v>
      </c>
      <c r="H275" vm="2363">
        <f ca="1"/>
        <v>1.3187</v>
      </c>
      <c r="K275">
        <f ca="1">IF(ROW(T_CALC[[#This Row],[DAY]])-ROW(T_CALC[[#Headers],[DAY]])&gt;C_N_TRADING_DAYS,"",ROW(T_CALC[[#This Row],[DAY]])-ROW(T_CALC[[#Headers],[DAY]]))</f>
        <v>272</v>
      </c>
      <c r="L275" cm="1" vm="2409">
        <f t="array" aca="1" ref="L275" ca="1">IFERROR(INDEX(_xlfn.ANCHORARRAY($C$3),T_CALC[[#This Row],[DAY]]+1,1),NA())</f>
        <v>43137</v>
      </c>
      <c r="M275" cm="1" vm="2408">
        <f t="array" aca="1" ref="M275" ca="1">IFERROR(INDEX(_xlfn.ANCHORARRAY($C$3),T_CALC[[#This Row],[DAY]]+1,3),NA())</f>
        <v>1.3214999999999999</v>
      </c>
      <c r="N275" cm="1" vm="2410">
        <f t="array" aca="1" ref="N275" ca="1">IFERROR(INDEX(_xlfn.ANCHORARRAY($C$3),T_CALC[[#This Row],[DAY]]+1,4),NA())</f>
        <v>1.3237000000000001</v>
      </c>
      <c r="O275" cm="1" vm="2411">
        <f t="array" aca="1" ref="O275" ca="1">IFERROR(INDEX(_xlfn.ANCHORARRAY($C$3),T_CALC[[#This Row],[DAY]]+1,5),NA())</f>
        <v>1.3182</v>
      </c>
      <c r="P275" cm="1" vm="2363">
        <f t="array" aca="1" ref="P275" ca="1">IFERROR(INDEX(_xlfn.ANCHORARRAY($C$3),T_CALC[[#This Row],[DAY]]+1,6),NA())</f>
        <v>1.3187</v>
      </c>
      <c r="Q275" cm="1">
        <f t="array" aca="1" ref="Q275" ca="1">IFERROR(INDEX(_xlfn.ANCHORARRAY($C$3),T_CALC[[#This Row],[DAY]]+1,2),NA())</f>
        <v>0</v>
      </c>
    </row>
    <row r="276" spans="3:17">
      <c r="C276" vm="2412">
        <f ca="1"/>
        <v>43138</v>
      </c>
      <c r="D276">
        <f ca="1"/>
        <v>0</v>
      </c>
      <c r="E276" vm="2363">
        <f ca="1"/>
        <v>1.3187</v>
      </c>
      <c r="F276" vm="2320">
        <f ca="1"/>
        <v>1.3252999999999999</v>
      </c>
      <c r="G276" vm="2413">
        <f ca="1"/>
        <v>1.3163</v>
      </c>
      <c r="H276" vm="2339">
        <f ca="1"/>
        <v>1.3250999999999999</v>
      </c>
      <c r="K276">
        <f ca="1">IF(ROW(T_CALC[[#This Row],[DAY]])-ROW(T_CALC[[#Headers],[DAY]])&gt;C_N_TRADING_DAYS,"",ROW(T_CALC[[#This Row],[DAY]])-ROW(T_CALC[[#Headers],[DAY]]))</f>
        <v>273</v>
      </c>
      <c r="L276" cm="1" vm="2412">
        <f t="array" aca="1" ref="L276" ca="1">IFERROR(INDEX(_xlfn.ANCHORARRAY($C$3),T_CALC[[#This Row],[DAY]]+1,1),NA())</f>
        <v>43138</v>
      </c>
      <c r="M276" cm="1" vm="2363">
        <f t="array" aca="1" ref="M276" ca="1">IFERROR(INDEX(_xlfn.ANCHORARRAY($C$3),T_CALC[[#This Row],[DAY]]+1,3),NA())</f>
        <v>1.3187</v>
      </c>
      <c r="N276" cm="1" vm="2320">
        <f t="array" aca="1" ref="N276" ca="1">IFERROR(INDEX(_xlfn.ANCHORARRAY($C$3),T_CALC[[#This Row],[DAY]]+1,4),NA())</f>
        <v>1.3252999999999999</v>
      </c>
      <c r="O276" cm="1" vm="2413">
        <f t="array" aca="1" ref="O276" ca="1">IFERROR(INDEX(_xlfn.ANCHORARRAY($C$3),T_CALC[[#This Row],[DAY]]+1,5),NA())</f>
        <v>1.3163</v>
      </c>
      <c r="P276" cm="1" vm="2339">
        <f t="array" aca="1" ref="P276" ca="1">IFERROR(INDEX(_xlfn.ANCHORARRAY($C$3),T_CALC[[#This Row],[DAY]]+1,6),NA())</f>
        <v>1.3250999999999999</v>
      </c>
      <c r="Q276" cm="1">
        <f t="array" aca="1" ref="Q276" ca="1">IFERROR(INDEX(_xlfn.ANCHORARRAY($C$3),T_CALC[[#This Row],[DAY]]+1,2),NA())</f>
        <v>0</v>
      </c>
    </row>
    <row r="277" spans="3:17">
      <c r="C277" vm="2414">
        <f ca="1"/>
        <v>43139</v>
      </c>
      <c r="D277">
        <f ca="1"/>
        <v>0</v>
      </c>
      <c r="E277" vm="2415">
        <f ca="1"/>
        <v>1.3249</v>
      </c>
      <c r="F277" vm="2321">
        <f ca="1"/>
        <v>1.3321000000000001</v>
      </c>
      <c r="G277" vm="2416">
        <f ca="1"/>
        <v>1.3229</v>
      </c>
      <c r="H277" vm="2417">
        <f ca="1"/>
        <v>1.331</v>
      </c>
      <c r="K277">
        <f ca="1">IF(ROW(T_CALC[[#This Row],[DAY]])-ROW(T_CALC[[#Headers],[DAY]])&gt;C_N_TRADING_DAYS,"",ROW(T_CALC[[#This Row],[DAY]])-ROW(T_CALC[[#Headers],[DAY]]))</f>
        <v>274</v>
      </c>
      <c r="L277" cm="1" vm="2414">
        <f t="array" aca="1" ref="L277" ca="1">IFERROR(INDEX(_xlfn.ANCHORARRAY($C$3),T_CALC[[#This Row],[DAY]]+1,1),NA())</f>
        <v>43139</v>
      </c>
      <c r="M277" cm="1" vm="2415">
        <f t="array" aca="1" ref="M277" ca="1">IFERROR(INDEX(_xlfn.ANCHORARRAY($C$3),T_CALC[[#This Row],[DAY]]+1,3),NA())</f>
        <v>1.3249</v>
      </c>
      <c r="N277" cm="1" vm="2321">
        <f t="array" aca="1" ref="N277" ca="1">IFERROR(INDEX(_xlfn.ANCHORARRAY($C$3),T_CALC[[#This Row],[DAY]]+1,4),NA())</f>
        <v>1.3321000000000001</v>
      </c>
      <c r="O277" cm="1" vm="2416">
        <f t="array" aca="1" ref="O277" ca="1">IFERROR(INDEX(_xlfn.ANCHORARRAY($C$3),T_CALC[[#This Row],[DAY]]+1,5),NA())</f>
        <v>1.3229</v>
      </c>
      <c r="P277" cm="1" vm="2417">
        <f t="array" aca="1" ref="P277" ca="1">IFERROR(INDEX(_xlfn.ANCHORARRAY($C$3),T_CALC[[#This Row],[DAY]]+1,6),NA())</f>
        <v>1.331</v>
      </c>
      <c r="Q277" cm="1">
        <f t="array" aca="1" ref="Q277" ca="1">IFERROR(INDEX(_xlfn.ANCHORARRAY($C$3),T_CALC[[#This Row],[DAY]]+1,2),NA())</f>
        <v>0</v>
      </c>
    </row>
    <row r="278" spans="3:17">
      <c r="C278" vm="2418">
        <f ca="1"/>
        <v>43140</v>
      </c>
      <c r="D278">
        <f ca="1"/>
        <v>0</v>
      </c>
      <c r="E278" vm="2419">
        <f ca="1"/>
        <v>1.3310999999999999</v>
      </c>
      <c r="F278" vm="2420">
        <f ca="1"/>
        <v>1.3339000000000001</v>
      </c>
      <c r="G278" vm="2421">
        <f ca="1"/>
        <v>1.3274999999999999</v>
      </c>
      <c r="H278" vm="2422">
        <f ca="1"/>
        <v>1.3293999999999999</v>
      </c>
      <c r="K278">
        <f ca="1">IF(ROW(T_CALC[[#This Row],[DAY]])-ROW(T_CALC[[#Headers],[DAY]])&gt;C_N_TRADING_DAYS,"",ROW(T_CALC[[#This Row],[DAY]])-ROW(T_CALC[[#Headers],[DAY]]))</f>
        <v>275</v>
      </c>
      <c r="L278" cm="1" vm="2418">
        <f t="array" aca="1" ref="L278" ca="1">IFERROR(INDEX(_xlfn.ANCHORARRAY($C$3),T_CALC[[#This Row],[DAY]]+1,1),NA())</f>
        <v>43140</v>
      </c>
      <c r="M278" cm="1" vm="2419">
        <f t="array" aca="1" ref="M278" ca="1">IFERROR(INDEX(_xlfn.ANCHORARRAY($C$3),T_CALC[[#This Row],[DAY]]+1,3),NA())</f>
        <v>1.3310999999999999</v>
      </c>
      <c r="N278" cm="1" vm="2420">
        <f t="array" aca="1" ref="N278" ca="1">IFERROR(INDEX(_xlfn.ANCHORARRAY($C$3),T_CALC[[#This Row],[DAY]]+1,4),NA())</f>
        <v>1.3339000000000001</v>
      </c>
      <c r="O278" cm="1" vm="2421">
        <f t="array" aca="1" ref="O278" ca="1">IFERROR(INDEX(_xlfn.ANCHORARRAY($C$3),T_CALC[[#This Row],[DAY]]+1,5),NA())</f>
        <v>1.3274999999999999</v>
      </c>
      <c r="P278" cm="1" vm="2422">
        <f t="array" aca="1" ref="P278" ca="1">IFERROR(INDEX(_xlfn.ANCHORARRAY($C$3),T_CALC[[#This Row],[DAY]]+1,6),NA())</f>
        <v>1.3293999999999999</v>
      </c>
      <c r="Q278" cm="1">
        <f t="array" aca="1" ref="Q278" ca="1">IFERROR(INDEX(_xlfn.ANCHORARRAY($C$3),T_CALC[[#This Row],[DAY]]+1,2),NA())</f>
        <v>0</v>
      </c>
    </row>
    <row r="279" spans="3:17">
      <c r="C279" vm="2423">
        <f ca="1"/>
        <v>43143</v>
      </c>
      <c r="D279">
        <f ca="1"/>
        <v>0</v>
      </c>
      <c r="E279" vm="2330">
        <f ca="1"/>
        <v>1.3303</v>
      </c>
      <c r="F279" vm="2330">
        <f ca="1"/>
        <v>1.3303</v>
      </c>
      <c r="G279" vm="2424">
        <f ca="1"/>
        <v>1.3225</v>
      </c>
      <c r="H279" vm="2416">
        <f ca="1"/>
        <v>1.3229</v>
      </c>
      <c r="K279">
        <f ca="1">IF(ROW(T_CALC[[#This Row],[DAY]])-ROW(T_CALC[[#Headers],[DAY]])&gt;C_N_TRADING_DAYS,"",ROW(T_CALC[[#This Row],[DAY]])-ROW(T_CALC[[#Headers],[DAY]]))</f>
        <v>276</v>
      </c>
      <c r="L279" cm="1" vm="2423">
        <f t="array" aca="1" ref="L279" ca="1">IFERROR(INDEX(_xlfn.ANCHORARRAY($C$3),T_CALC[[#This Row],[DAY]]+1,1),NA())</f>
        <v>43143</v>
      </c>
      <c r="M279" cm="1" vm="2330">
        <f t="array" aca="1" ref="M279" ca="1">IFERROR(INDEX(_xlfn.ANCHORARRAY($C$3),T_CALC[[#This Row],[DAY]]+1,3),NA())</f>
        <v>1.3303</v>
      </c>
      <c r="N279" cm="1" vm="2330">
        <f t="array" aca="1" ref="N279" ca="1">IFERROR(INDEX(_xlfn.ANCHORARRAY($C$3),T_CALC[[#This Row],[DAY]]+1,4),NA())</f>
        <v>1.3303</v>
      </c>
      <c r="O279" cm="1" vm="2424">
        <f t="array" aca="1" ref="O279" ca="1">IFERROR(INDEX(_xlfn.ANCHORARRAY($C$3),T_CALC[[#This Row],[DAY]]+1,5),NA())</f>
        <v>1.3225</v>
      </c>
      <c r="P279" cm="1" vm="2416">
        <f t="array" aca="1" ref="P279" ca="1">IFERROR(INDEX(_xlfn.ANCHORARRAY($C$3),T_CALC[[#This Row],[DAY]]+1,6),NA())</f>
        <v>1.3229</v>
      </c>
      <c r="Q279" cm="1">
        <f t="array" aca="1" ref="Q279" ca="1">IFERROR(INDEX(_xlfn.ANCHORARRAY($C$3),T_CALC[[#This Row],[DAY]]+1,2),NA())</f>
        <v>0</v>
      </c>
    </row>
    <row r="280" spans="3:17">
      <c r="C280" vm="2425">
        <f ca="1"/>
        <v>43144</v>
      </c>
      <c r="D280">
        <f ca="1"/>
        <v>0</v>
      </c>
      <c r="E280" vm="2426">
        <f ca="1"/>
        <v>1.3228</v>
      </c>
      <c r="F280" vm="2427">
        <f ca="1"/>
        <v>1.3251999999999999</v>
      </c>
      <c r="G280" vm="2428">
        <f ca="1"/>
        <v>1.3202</v>
      </c>
      <c r="H280" vm="2429">
        <f ca="1"/>
        <v>1.3221000000000001</v>
      </c>
      <c r="K280">
        <f ca="1">IF(ROW(T_CALC[[#This Row],[DAY]])-ROW(T_CALC[[#Headers],[DAY]])&gt;C_N_TRADING_DAYS,"",ROW(T_CALC[[#This Row],[DAY]])-ROW(T_CALC[[#Headers],[DAY]]))</f>
        <v>277</v>
      </c>
      <c r="L280" cm="1" vm="2425">
        <f t="array" aca="1" ref="L280" ca="1">IFERROR(INDEX(_xlfn.ANCHORARRAY($C$3),T_CALC[[#This Row],[DAY]]+1,1),NA())</f>
        <v>43144</v>
      </c>
      <c r="M280" cm="1" vm="2426">
        <f t="array" aca="1" ref="M280" ca="1">IFERROR(INDEX(_xlfn.ANCHORARRAY($C$3),T_CALC[[#This Row],[DAY]]+1,3),NA())</f>
        <v>1.3228</v>
      </c>
      <c r="N280" cm="1" vm="2427">
        <f t="array" aca="1" ref="N280" ca="1">IFERROR(INDEX(_xlfn.ANCHORARRAY($C$3),T_CALC[[#This Row],[DAY]]+1,4),NA())</f>
        <v>1.3251999999999999</v>
      </c>
      <c r="O280" cm="1" vm="2428">
        <f t="array" aca="1" ref="O280" ca="1">IFERROR(INDEX(_xlfn.ANCHORARRAY($C$3),T_CALC[[#This Row],[DAY]]+1,5),NA())</f>
        <v>1.3202</v>
      </c>
      <c r="P280" cm="1" vm="2429">
        <f t="array" aca="1" ref="P280" ca="1">IFERROR(INDEX(_xlfn.ANCHORARRAY($C$3),T_CALC[[#This Row],[DAY]]+1,6),NA())</f>
        <v>1.3221000000000001</v>
      </c>
      <c r="Q280" cm="1">
        <f t="array" aca="1" ref="Q280" ca="1">IFERROR(INDEX(_xlfn.ANCHORARRAY($C$3),T_CALC[[#This Row],[DAY]]+1,2),NA())</f>
        <v>0</v>
      </c>
    </row>
    <row r="281" spans="3:17">
      <c r="C281" vm="2430">
        <f ca="1"/>
        <v>43145</v>
      </c>
      <c r="D281">
        <f ca="1"/>
        <v>0</v>
      </c>
      <c r="E281" vm="2341">
        <f ca="1"/>
        <v>1.3226</v>
      </c>
      <c r="F281" vm="2427">
        <f ca="1"/>
        <v>1.3251999999999999</v>
      </c>
      <c r="G281" vm="2431">
        <f ca="1"/>
        <v>1.3133999999999999</v>
      </c>
      <c r="H281" vm="2432">
        <f ca="1"/>
        <v>1.3139000000000001</v>
      </c>
      <c r="K281">
        <f ca="1">IF(ROW(T_CALC[[#This Row],[DAY]])-ROW(T_CALC[[#Headers],[DAY]])&gt;C_N_TRADING_DAYS,"",ROW(T_CALC[[#This Row],[DAY]])-ROW(T_CALC[[#Headers],[DAY]]))</f>
        <v>278</v>
      </c>
      <c r="L281" cm="1" vm="2430">
        <f t="array" aca="1" ref="L281" ca="1">IFERROR(INDEX(_xlfn.ANCHORARRAY($C$3),T_CALC[[#This Row],[DAY]]+1,1),NA())</f>
        <v>43145</v>
      </c>
      <c r="M281" cm="1" vm="2341">
        <f t="array" aca="1" ref="M281" ca="1">IFERROR(INDEX(_xlfn.ANCHORARRAY($C$3),T_CALC[[#This Row],[DAY]]+1,3),NA())</f>
        <v>1.3226</v>
      </c>
      <c r="N281" cm="1" vm="2427">
        <f t="array" aca="1" ref="N281" ca="1">IFERROR(INDEX(_xlfn.ANCHORARRAY($C$3),T_CALC[[#This Row],[DAY]]+1,4),NA())</f>
        <v>1.3251999999999999</v>
      </c>
      <c r="O281" cm="1" vm="2431">
        <f t="array" aca="1" ref="O281" ca="1">IFERROR(INDEX(_xlfn.ANCHORARRAY($C$3),T_CALC[[#This Row],[DAY]]+1,5),NA())</f>
        <v>1.3133999999999999</v>
      </c>
      <c r="P281" cm="1" vm="2432">
        <f t="array" aca="1" ref="P281" ca="1">IFERROR(INDEX(_xlfn.ANCHORARRAY($C$3),T_CALC[[#This Row],[DAY]]+1,6),NA())</f>
        <v>1.3139000000000001</v>
      </c>
      <c r="Q281" cm="1">
        <f t="array" aca="1" ref="Q281" ca="1">IFERROR(INDEX(_xlfn.ANCHORARRAY($C$3),T_CALC[[#This Row],[DAY]]+1,2),NA())</f>
        <v>0</v>
      </c>
    </row>
    <row r="282" spans="3:17">
      <c r="C282" vm="2433">
        <f ca="1"/>
        <v>43146</v>
      </c>
      <c r="D282">
        <f ca="1"/>
        <v>0</v>
      </c>
      <c r="E282" vm="2434">
        <f ca="1"/>
        <v>1.3138000000000001</v>
      </c>
      <c r="F282" vm="2435">
        <f ca="1"/>
        <v>1.3152999999999999</v>
      </c>
      <c r="G282" vm="2436">
        <f ca="1"/>
        <v>1.3078000000000001</v>
      </c>
      <c r="H282" vm="2437">
        <f ca="1"/>
        <v>1.3089999999999999</v>
      </c>
      <c r="K282">
        <f ca="1">IF(ROW(T_CALC[[#This Row],[DAY]])-ROW(T_CALC[[#Headers],[DAY]])&gt;C_N_TRADING_DAYS,"",ROW(T_CALC[[#This Row],[DAY]])-ROW(T_CALC[[#Headers],[DAY]]))</f>
        <v>279</v>
      </c>
      <c r="L282" cm="1" vm="2433">
        <f t="array" aca="1" ref="L282" ca="1">IFERROR(INDEX(_xlfn.ANCHORARRAY($C$3),T_CALC[[#This Row],[DAY]]+1,1),NA())</f>
        <v>43146</v>
      </c>
      <c r="M282" cm="1" vm="2434">
        <f t="array" aca="1" ref="M282" ca="1">IFERROR(INDEX(_xlfn.ANCHORARRAY($C$3),T_CALC[[#This Row],[DAY]]+1,3),NA())</f>
        <v>1.3138000000000001</v>
      </c>
      <c r="N282" cm="1" vm="2435">
        <f t="array" aca="1" ref="N282" ca="1">IFERROR(INDEX(_xlfn.ANCHORARRAY($C$3),T_CALC[[#This Row],[DAY]]+1,4),NA())</f>
        <v>1.3152999999999999</v>
      </c>
      <c r="O282" cm="1" vm="2436">
        <f t="array" aca="1" ref="O282" ca="1">IFERROR(INDEX(_xlfn.ANCHORARRAY($C$3),T_CALC[[#This Row],[DAY]]+1,5),NA())</f>
        <v>1.3078000000000001</v>
      </c>
      <c r="P282" cm="1" vm="2437">
        <f t="array" aca="1" ref="P282" ca="1">IFERROR(INDEX(_xlfn.ANCHORARRAY($C$3),T_CALC[[#This Row],[DAY]]+1,6),NA())</f>
        <v>1.3089999999999999</v>
      </c>
      <c r="Q282" cm="1">
        <f t="array" aca="1" ref="Q282" ca="1">IFERROR(INDEX(_xlfn.ANCHORARRAY($C$3),T_CALC[[#This Row],[DAY]]+1,2),NA())</f>
        <v>0</v>
      </c>
    </row>
    <row r="283" spans="3:17">
      <c r="C283" vm="2438">
        <f ca="1"/>
        <v>43147</v>
      </c>
      <c r="D283">
        <f ca="1"/>
        <v>0</v>
      </c>
      <c r="E283" vm="2439">
        <f ca="1"/>
        <v>1.3086</v>
      </c>
      <c r="F283" vm="2440">
        <f ca="1"/>
        <v>1.3130999999999999</v>
      </c>
      <c r="G283" vm="2441">
        <f ca="1"/>
        <v>1.3051999999999999</v>
      </c>
      <c r="H283" vm="2397">
        <f ca="1"/>
        <v>1.3118000000000001</v>
      </c>
      <c r="K283">
        <f ca="1">IF(ROW(T_CALC[[#This Row],[DAY]])-ROW(T_CALC[[#Headers],[DAY]])&gt;C_N_TRADING_DAYS,"",ROW(T_CALC[[#This Row],[DAY]])-ROW(T_CALC[[#Headers],[DAY]]))</f>
        <v>280</v>
      </c>
      <c r="L283" cm="1" vm="2438">
        <f t="array" aca="1" ref="L283" ca="1">IFERROR(INDEX(_xlfn.ANCHORARRAY($C$3),T_CALC[[#This Row],[DAY]]+1,1),NA())</f>
        <v>43147</v>
      </c>
      <c r="M283" cm="1" vm="2439">
        <f t="array" aca="1" ref="M283" ca="1">IFERROR(INDEX(_xlfn.ANCHORARRAY($C$3),T_CALC[[#This Row],[DAY]]+1,3),NA())</f>
        <v>1.3086</v>
      </c>
      <c r="N283" cm="1" vm="2440">
        <f t="array" aca="1" ref="N283" ca="1">IFERROR(INDEX(_xlfn.ANCHORARRAY($C$3),T_CALC[[#This Row],[DAY]]+1,4),NA())</f>
        <v>1.3130999999999999</v>
      </c>
      <c r="O283" cm="1" vm="2441">
        <f t="array" aca="1" ref="O283" ca="1">IFERROR(INDEX(_xlfn.ANCHORARRAY($C$3),T_CALC[[#This Row],[DAY]]+1,5),NA())</f>
        <v>1.3051999999999999</v>
      </c>
      <c r="P283" cm="1" vm="2397">
        <f t="array" aca="1" ref="P283" ca="1">IFERROR(INDEX(_xlfn.ANCHORARRAY($C$3),T_CALC[[#This Row],[DAY]]+1,6),NA())</f>
        <v>1.3118000000000001</v>
      </c>
      <c r="Q283" cm="1">
        <f t="array" aca="1" ref="Q283" ca="1">IFERROR(INDEX(_xlfn.ANCHORARRAY($C$3),T_CALC[[#This Row],[DAY]]+1,2),NA())</f>
        <v>0</v>
      </c>
    </row>
    <row r="284" spans="3:17">
      <c r="C284" vm="2442">
        <f ca="1"/>
        <v>43150</v>
      </c>
      <c r="D284">
        <f ca="1"/>
        <v>0</v>
      </c>
      <c r="E284" vm="2397">
        <f ca="1"/>
        <v>1.3118000000000001</v>
      </c>
      <c r="F284" vm="2443">
        <f ca="1"/>
        <v>1.3148</v>
      </c>
      <c r="G284" vm="2380">
        <f ca="1"/>
        <v>1.3097000000000001</v>
      </c>
      <c r="H284" vm="2431">
        <f ca="1"/>
        <v>1.3133999999999999</v>
      </c>
      <c r="K284">
        <f ca="1">IF(ROW(T_CALC[[#This Row],[DAY]])-ROW(T_CALC[[#Headers],[DAY]])&gt;C_N_TRADING_DAYS,"",ROW(T_CALC[[#This Row],[DAY]])-ROW(T_CALC[[#Headers],[DAY]]))</f>
        <v>281</v>
      </c>
      <c r="L284" cm="1" vm="2442">
        <f t="array" aca="1" ref="L284" ca="1">IFERROR(INDEX(_xlfn.ANCHORARRAY($C$3),T_CALC[[#This Row],[DAY]]+1,1),NA())</f>
        <v>43150</v>
      </c>
      <c r="M284" cm="1" vm="2397">
        <f t="array" aca="1" ref="M284" ca="1">IFERROR(INDEX(_xlfn.ANCHORARRAY($C$3),T_CALC[[#This Row],[DAY]]+1,3),NA())</f>
        <v>1.3118000000000001</v>
      </c>
      <c r="N284" cm="1" vm="2443">
        <f t="array" aca="1" ref="N284" ca="1">IFERROR(INDEX(_xlfn.ANCHORARRAY($C$3),T_CALC[[#This Row],[DAY]]+1,4),NA())</f>
        <v>1.3148</v>
      </c>
      <c r="O284" cm="1" vm="2380">
        <f t="array" aca="1" ref="O284" ca="1">IFERROR(INDEX(_xlfn.ANCHORARRAY($C$3),T_CALC[[#This Row],[DAY]]+1,5),NA())</f>
        <v>1.3097000000000001</v>
      </c>
      <c r="P284" cm="1" vm="2431">
        <f t="array" aca="1" ref="P284" ca="1">IFERROR(INDEX(_xlfn.ANCHORARRAY($C$3),T_CALC[[#This Row],[DAY]]+1,6),NA())</f>
        <v>1.3133999999999999</v>
      </c>
      <c r="Q284" cm="1">
        <f t="array" aca="1" ref="Q284" ca="1">IFERROR(INDEX(_xlfn.ANCHORARRAY($C$3),T_CALC[[#This Row],[DAY]]+1,2),NA())</f>
        <v>0</v>
      </c>
    </row>
    <row r="285" spans="3:17">
      <c r="C285" vm="2444">
        <f ca="1"/>
        <v>43151</v>
      </c>
      <c r="D285">
        <f ca="1"/>
        <v>0</v>
      </c>
      <c r="E285" vm="2445">
        <f ca="1"/>
        <v>1.3132999999999999</v>
      </c>
      <c r="F285" vm="2446">
        <f ca="1"/>
        <v>1.32</v>
      </c>
      <c r="G285" vm="2447">
        <f ca="1"/>
        <v>1.3124</v>
      </c>
      <c r="H285" vm="2448">
        <f ca="1"/>
        <v>1.319</v>
      </c>
      <c r="K285">
        <f ca="1">IF(ROW(T_CALC[[#This Row],[DAY]])-ROW(T_CALC[[#Headers],[DAY]])&gt;C_N_TRADING_DAYS,"",ROW(T_CALC[[#This Row],[DAY]])-ROW(T_CALC[[#Headers],[DAY]]))</f>
        <v>282</v>
      </c>
      <c r="L285" cm="1" vm="2444">
        <f t="array" aca="1" ref="L285" ca="1">IFERROR(INDEX(_xlfn.ANCHORARRAY($C$3),T_CALC[[#This Row],[DAY]]+1,1),NA())</f>
        <v>43151</v>
      </c>
      <c r="M285" cm="1" vm="2445">
        <f t="array" aca="1" ref="M285" ca="1">IFERROR(INDEX(_xlfn.ANCHORARRAY($C$3),T_CALC[[#This Row],[DAY]]+1,3),NA())</f>
        <v>1.3132999999999999</v>
      </c>
      <c r="N285" cm="1" vm="2446">
        <f t="array" aca="1" ref="N285" ca="1">IFERROR(INDEX(_xlfn.ANCHORARRAY($C$3),T_CALC[[#This Row],[DAY]]+1,4),NA())</f>
        <v>1.32</v>
      </c>
      <c r="O285" cm="1" vm="2447">
        <f t="array" aca="1" ref="O285" ca="1">IFERROR(INDEX(_xlfn.ANCHORARRAY($C$3),T_CALC[[#This Row],[DAY]]+1,5),NA())</f>
        <v>1.3124</v>
      </c>
      <c r="P285" cm="1" vm="2448">
        <f t="array" aca="1" ref="P285" ca="1">IFERROR(INDEX(_xlfn.ANCHORARRAY($C$3),T_CALC[[#This Row],[DAY]]+1,6),NA())</f>
        <v>1.319</v>
      </c>
      <c r="Q285" cm="1">
        <f t="array" aca="1" ref="Q285" ca="1">IFERROR(INDEX(_xlfn.ANCHORARRAY($C$3),T_CALC[[#This Row],[DAY]]+1,2),NA())</f>
        <v>0</v>
      </c>
    </row>
    <row r="286" spans="3:17">
      <c r="C286" vm="2449">
        <f ca="1"/>
        <v>43152</v>
      </c>
      <c r="D286">
        <f ca="1"/>
        <v>0</v>
      </c>
      <c r="E286" vm="2450">
        <f ca="1"/>
        <v>1.3183</v>
      </c>
      <c r="F286" vm="2451">
        <f ca="1"/>
        <v>1.3239000000000001</v>
      </c>
      <c r="G286" vm="2452">
        <f ca="1"/>
        <v>1.3164</v>
      </c>
      <c r="H286" vm="2453">
        <f ca="1"/>
        <v>1.3233999999999999</v>
      </c>
      <c r="K286">
        <f ca="1">IF(ROW(T_CALC[[#This Row],[DAY]])-ROW(T_CALC[[#Headers],[DAY]])&gt;C_N_TRADING_DAYS,"",ROW(T_CALC[[#This Row],[DAY]])-ROW(T_CALC[[#Headers],[DAY]]))</f>
        <v>283</v>
      </c>
      <c r="L286" cm="1" vm="2449">
        <f t="array" aca="1" ref="L286" ca="1">IFERROR(INDEX(_xlfn.ANCHORARRAY($C$3),T_CALC[[#This Row],[DAY]]+1,1),NA())</f>
        <v>43152</v>
      </c>
      <c r="M286" cm="1" vm="2450">
        <f t="array" aca="1" ref="M286" ca="1">IFERROR(INDEX(_xlfn.ANCHORARRAY($C$3),T_CALC[[#This Row],[DAY]]+1,3),NA())</f>
        <v>1.3183</v>
      </c>
      <c r="N286" cm="1" vm="2451">
        <f t="array" aca="1" ref="N286" ca="1">IFERROR(INDEX(_xlfn.ANCHORARRAY($C$3),T_CALC[[#This Row],[DAY]]+1,4),NA())</f>
        <v>1.3239000000000001</v>
      </c>
      <c r="O286" cm="1" vm="2452">
        <f t="array" aca="1" ref="O286" ca="1">IFERROR(INDEX(_xlfn.ANCHORARRAY($C$3),T_CALC[[#This Row],[DAY]]+1,5),NA())</f>
        <v>1.3164</v>
      </c>
      <c r="P286" cm="1" vm="2453">
        <f t="array" aca="1" ref="P286" ca="1">IFERROR(INDEX(_xlfn.ANCHORARRAY($C$3),T_CALC[[#This Row],[DAY]]+1,6),NA())</f>
        <v>1.3233999999999999</v>
      </c>
      <c r="Q286" cm="1">
        <f t="array" aca="1" ref="Q286" ca="1">IFERROR(INDEX(_xlfn.ANCHORARRAY($C$3),T_CALC[[#This Row],[DAY]]+1,2),NA())</f>
        <v>0</v>
      </c>
    </row>
    <row r="287" spans="3:17">
      <c r="C287" vm="2454">
        <f ca="1"/>
        <v>43153</v>
      </c>
      <c r="D287">
        <f ca="1"/>
        <v>0</v>
      </c>
      <c r="E287" vm="2455">
        <f ca="1"/>
        <v>1.3232999999999999</v>
      </c>
      <c r="F287" vm="2456">
        <f ca="1"/>
        <v>1.3255999999999999</v>
      </c>
      <c r="G287" vm="2368">
        <f ca="1"/>
        <v>1.3169</v>
      </c>
      <c r="H287" vm="2448">
        <f ca="1"/>
        <v>1.319</v>
      </c>
      <c r="K287">
        <f ca="1">IF(ROW(T_CALC[[#This Row],[DAY]])-ROW(T_CALC[[#Headers],[DAY]])&gt;C_N_TRADING_DAYS,"",ROW(T_CALC[[#This Row],[DAY]])-ROW(T_CALC[[#Headers],[DAY]]))</f>
        <v>284</v>
      </c>
      <c r="L287" cm="1" vm="2454">
        <f t="array" aca="1" ref="L287" ca="1">IFERROR(INDEX(_xlfn.ANCHORARRAY($C$3),T_CALC[[#This Row],[DAY]]+1,1),NA())</f>
        <v>43153</v>
      </c>
      <c r="M287" cm="1" vm="2455">
        <f t="array" aca="1" ref="M287" ca="1">IFERROR(INDEX(_xlfn.ANCHORARRAY($C$3),T_CALC[[#This Row],[DAY]]+1,3),NA())</f>
        <v>1.3232999999999999</v>
      </c>
      <c r="N287" cm="1" vm="2456">
        <f t="array" aca="1" ref="N287" ca="1">IFERROR(INDEX(_xlfn.ANCHORARRAY($C$3),T_CALC[[#This Row],[DAY]]+1,4),NA())</f>
        <v>1.3255999999999999</v>
      </c>
      <c r="O287" cm="1" vm="2368">
        <f t="array" aca="1" ref="O287" ca="1">IFERROR(INDEX(_xlfn.ANCHORARRAY($C$3),T_CALC[[#This Row],[DAY]]+1,5),NA())</f>
        <v>1.3169</v>
      </c>
      <c r="P287" cm="1" vm="2448">
        <f t="array" aca="1" ref="P287" ca="1">IFERROR(INDEX(_xlfn.ANCHORARRAY($C$3),T_CALC[[#This Row],[DAY]]+1,6),NA())</f>
        <v>1.319</v>
      </c>
      <c r="Q287" cm="1">
        <f t="array" aca="1" ref="Q287" ca="1">IFERROR(INDEX(_xlfn.ANCHORARRAY($C$3),T_CALC[[#This Row],[DAY]]+1,2),NA())</f>
        <v>0</v>
      </c>
    </row>
    <row r="288" spans="3:17">
      <c r="C288" vm="2457">
        <f ca="1"/>
        <v>43154</v>
      </c>
      <c r="D288">
        <f ca="1"/>
        <v>0</v>
      </c>
      <c r="E288" vm="2448">
        <f ca="1"/>
        <v>1.319</v>
      </c>
      <c r="F288" vm="2352">
        <f ca="1"/>
        <v>1.3244</v>
      </c>
      <c r="G288" vm="2458">
        <f ca="1"/>
        <v>1.3171999999999999</v>
      </c>
      <c r="H288" vm="2459">
        <f ca="1"/>
        <v>1.3194999999999999</v>
      </c>
      <c r="K288">
        <f ca="1">IF(ROW(T_CALC[[#This Row],[DAY]])-ROW(T_CALC[[#Headers],[DAY]])&gt;C_N_TRADING_DAYS,"",ROW(T_CALC[[#This Row],[DAY]])-ROW(T_CALC[[#Headers],[DAY]]))</f>
        <v>285</v>
      </c>
      <c r="L288" cm="1" vm="2457">
        <f t="array" aca="1" ref="L288" ca="1">IFERROR(INDEX(_xlfn.ANCHORARRAY($C$3),T_CALC[[#This Row],[DAY]]+1,1),NA())</f>
        <v>43154</v>
      </c>
      <c r="M288" cm="1" vm="2448">
        <f t="array" aca="1" ref="M288" ca="1">IFERROR(INDEX(_xlfn.ANCHORARRAY($C$3),T_CALC[[#This Row],[DAY]]+1,3),NA())</f>
        <v>1.319</v>
      </c>
      <c r="N288" cm="1" vm="2352">
        <f t="array" aca="1" ref="N288" ca="1">IFERROR(INDEX(_xlfn.ANCHORARRAY($C$3),T_CALC[[#This Row],[DAY]]+1,4),NA())</f>
        <v>1.3244</v>
      </c>
      <c r="O288" cm="1" vm="2458">
        <f t="array" aca="1" ref="O288" ca="1">IFERROR(INDEX(_xlfn.ANCHORARRAY($C$3),T_CALC[[#This Row],[DAY]]+1,5),NA())</f>
        <v>1.3171999999999999</v>
      </c>
      <c r="P288" cm="1" vm="2459">
        <f t="array" aca="1" ref="P288" ca="1">IFERROR(INDEX(_xlfn.ANCHORARRAY($C$3),T_CALC[[#This Row],[DAY]]+1,6),NA())</f>
        <v>1.3194999999999999</v>
      </c>
      <c r="Q288" cm="1">
        <f t="array" aca="1" ref="Q288" ca="1">IFERROR(INDEX(_xlfn.ANCHORARRAY($C$3),T_CALC[[#This Row],[DAY]]+1,2),NA())</f>
        <v>0</v>
      </c>
    </row>
    <row r="289" spans="3:17">
      <c r="C289" vm="2460">
        <f ca="1"/>
        <v>43157</v>
      </c>
      <c r="D289">
        <f ca="1"/>
        <v>0</v>
      </c>
      <c r="E289" vm="2347">
        <f ca="1"/>
        <v>1.3192999999999999</v>
      </c>
      <c r="F289" vm="2345">
        <f ca="1"/>
        <v>1.3211999999999999</v>
      </c>
      <c r="G289" vm="2398">
        <f ca="1"/>
        <v>1.3141</v>
      </c>
      <c r="H289" vm="2461">
        <f ca="1"/>
        <v>1.3157000000000001</v>
      </c>
      <c r="K289">
        <f ca="1">IF(ROW(T_CALC[[#This Row],[DAY]])-ROW(T_CALC[[#Headers],[DAY]])&gt;C_N_TRADING_DAYS,"",ROW(T_CALC[[#This Row],[DAY]])-ROW(T_CALC[[#Headers],[DAY]]))</f>
        <v>286</v>
      </c>
      <c r="L289" cm="1" vm="2460">
        <f t="array" aca="1" ref="L289" ca="1">IFERROR(INDEX(_xlfn.ANCHORARRAY($C$3),T_CALC[[#This Row],[DAY]]+1,1),NA())</f>
        <v>43157</v>
      </c>
      <c r="M289" cm="1" vm="2347">
        <f t="array" aca="1" ref="M289" ca="1">IFERROR(INDEX(_xlfn.ANCHORARRAY($C$3),T_CALC[[#This Row],[DAY]]+1,3),NA())</f>
        <v>1.3192999999999999</v>
      </c>
      <c r="N289" cm="1" vm="2345">
        <f t="array" aca="1" ref="N289" ca="1">IFERROR(INDEX(_xlfn.ANCHORARRAY($C$3),T_CALC[[#This Row],[DAY]]+1,4),NA())</f>
        <v>1.3211999999999999</v>
      </c>
      <c r="O289" cm="1" vm="2398">
        <f t="array" aca="1" ref="O289" ca="1">IFERROR(INDEX(_xlfn.ANCHORARRAY($C$3),T_CALC[[#This Row],[DAY]]+1,5),NA())</f>
        <v>1.3141</v>
      </c>
      <c r="P289" cm="1" vm="2461">
        <f t="array" aca="1" ref="P289" ca="1">IFERROR(INDEX(_xlfn.ANCHORARRAY($C$3),T_CALC[[#This Row],[DAY]]+1,6),NA())</f>
        <v>1.3157000000000001</v>
      </c>
      <c r="Q289" cm="1">
        <f t="array" aca="1" ref="Q289" ca="1">IFERROR(INDEX(_xlfn.ANCHORARRAY($C$3),T_CALC[[#This Row],[DAY]]+1,2),NA())</f>
        <v>0</v>
      </c>
    </row>
    <row r="290" spans="3:17">
      <c r="C290" vm="2462">
        <f ca="1"/>
        <v>43158</v>
      </c>
      <c r="D290">
        <f ca="1"/>
        <v>0</v>
      </c>
      <c r="E290" vm="2463">
        <f ca="1"/>
        <v>1.3156000000000001</v>
      </c>
      <c r="F290" vm="2352">
        <f ca="1"/>
        <v>1.3244</v>
      </c>
      <c r="G290" vm="2464">
        <f ca="1"/>
        <v>1.3140000000000001</v>
      </c>
      <c r="H290" vm="2465">
        <f ca="1"/>
        <v>1.3242</v>
      </c>
      <c r="K290">
        <f ca="1">IF(ROW(T_CALC[[#This Row],[DAY]])-ROW(T_CALC[[#Headers],[DAY]])&gt;C_N_TRADING_DAYS,"",ROW(T_CALC[[#This Row],[DAY]])-ROW(T_CALC[[#Headers],[DAY]]))</f>
        <v>287</v>
      </c>
      <c r="L290" cm="1" vm="2462">
        <f t="array" aca="1" ref="L290" ca="1">IFERROR(INDEX(_xlfn.ANCHORARRAY($C$3),T_CALC[[#This Row],[DAY]]+1,1),NA())</f>
        <v>43158</v>
      </c>
      <c r="M290" cm="1" vm="2463">
        <f t="array" aca="1" ref="M290" ca="1">IFERROR(INDEX(_xlfn.ANCHORARRAY($C$3),T_CALC[[#This Row],[DAY]]+1,3),NA())</f>
        <v>1.3156000000000001</v>
      </c>
      <c r="N290" cm="1" vm="2352">
        <f t="array" aca="1" ref="N290" ca="1">IFERROR(INDEX(_xlfn.ANCHORARRAY($C$3),T_CALC[[#This Row],[DAY]]+1,4),NA())</f>
        <v>1.3244</v>
      </c>
      <c r="O290" cm="1" vm="2464">
        <f t="array" aca="1" ref="O290" ca="1">IFERROR(INDEX(_xlfn.ANCHORARRAY($C$3),T_CALC[[#This Row],[DAY]]+1,5),NA())</f>
        <v>1.3140000000000001</v>
      </c>
      <c r="P290" cm="1" vm="2465">
        <f t="array" aca="1" ref="P290" ca="1">IFERROR(INDEX(_xlfn.ANCHORARRAY($C$3),T_CALC[[#This Row],[DAY]]+1,6),NA())</f>
        <v>1.3242</v>
      </c>
      <c r="Q290" cm="1">
        <f t="array" aca="1" ref="Q290" ca="1">IFERROR(INDEX(_xlfn.ANCHORARRAY($C$3),T_CALC[[#This Row],[DAY]]+1,2),NA())</f>
        <v>0</v>
      </c>
    </row>
    <row r="291" spans="3:17">
      <c r="C291" vm="2466">
        <f ca="1"/>
        <v>43159</v>
      </c>
      <c r="D291">
        <f ca="1"/>
        <v>0</v>
      </c>
      <c r="E291" vm="2467">
        <f ca="1"/>
        <v>1.3241000000000001</v>
      </c>
      <c r="F291" vm="2468">
        <f ca="1"/>
        <v>1.3264</v>
      </c>
      <c r="G291" vm="2469">
        <f ca="1"/>
        <v>1.3217000000000001</v>
      </c>
      <c r="H291" vm="2470">
        <f ca="1"/>
        <v>1.3246</v>
      </c>
      <c r="K291">
        <f ca="1">IF(ROW(T_CALC[[#This Row],[DAY]])-ROW(T_CALC[[#Headers],[DAY]])&gt;C_N_TRADING_DAYS,"",ROW(T_CALC[[#This Row],[DAY]])-ROW(T_CALC[[#Headers],[DAY]]))</f>
        <v>288</v>
      </c>
      <c r="L291" cm="1" vm="2466">
        <f t="array" aca="1" ref="L291" ca="1">IFERROR(INDEX(_xlfn.ANCHORARRAY($C$3),T_CALC[[#This Row],[DAY]]+1,1),NA())</f>
        <v>43159</v>
      </c>
      <c r="M291" cm="1" vm="2467">
        <f t="array" aca="1" ref="M291" ca="1">IFERROR(INDEX(_xlfn.ANCHORARRAY($C$3),T_CALC[[#This Row],[DAY]]+1,3),NA())</f>
        <v>1.3241000000000001</v>
      </c>
      <c r="N291" cm="1" vm="2468">
        <f t="array" aca="1" ref="N291" ca="1">IFERROR(INDEX(_xlfn.ANCHORARRAY($C$3),T_CALC[[#This Row],[DAY]]+1,4),NA())</f>
        <v>1.3264</v>
      </c>
      <c r="O291" cm="1" vm="2469">
        <f t="array" aca="1" ref="O291" ca="1">IFERROR(INDEX(_xlfn.ANCHORARRAY($C$3),T_CALC[[#This Row],[DAY]]+1,5),NA())</f>
        <v>1.3217000000000001</v>
      </c>
      <c r="P291" cm="1" vm="2470">
        <f t="array" aca="1" ref="P291" ca="1">IFERROR(INDEX(_xlfn.ANCHORARRAY($C$3),T_CALC[[#This Row],[DAY]]+1,6),NA())</f>
        <v>1.3246</v>
      </c>
      <c r="Q291" cm="1">
        <f t="array" aca="1" ref="Q291" ca="1">IFERROR(INDEX(_xlfn.ANCHORARRAY($C$3),T_CALC[[#This Row],[DAY]]+1,2),NA())</f>
        <v>0</v>
      </c>
    </row>
    <row r="292" spans="3:17">
      <c r="C292" vm="2471">
        <f ca="1"/>
        <v>43160</v>
      </c>
      <c r="D292">
        <f ca="1"/>
        <v>0</v>
      </c>
      <c r="E292" vm="2472">
        <f ca="1"/>
        <v>1.3245</v>
      </c>
      <c r="F292" vm="2334">
        <f ca="1"/>
        <v>1.3284</v>
      </c>
      <c r="G292" vm="2473">
        <f ca="1"/>
        <v>1.3220000000000001</v>
      </c>
      <c r="H292" vm="2474">
        <f ca="1"/>
        <v>1.3227</v>
      </c>
      <c r="K292">
        <f ca="1">IF(ROW(T_CALC[[#This Row],[DAY]])-ROW(T_CALC[[#Headers],[DAY]])&gt;C_N_TRADING_DAYS,"",ROW(T_CALC[[#This Row],[DAY]])-ROW(T_CALC[[#Headers],[DAY]]))</f>
        <v>289</v>
      </c>
      <c r="L292" cm="1" vm="2471">
        <f t="array" aca="1" ref="L292" ca="1">IFERROR(INDEX(_xlfn.ANCHORARRAY($C$3),T_CALC[[#This Row],[DAY]]+1,1),NA())</f>
        <v>43160</v>
      </c>
      <c r="M292" cm="1" vm="2472">
        <f t="array" aca="1" ref="M292" ca="1">IFERROR(INDEX(_xlfn.ANCHORARRAY($C$3),T_CALC[[#This Row],[DAY]]+1,3),NA())</f>
        <v>1.3245</v>
      </c>
      <c r="N292" cm="1" vm="2334">
        <f t="array" aca="1" ref="N292" ca="1">IFERROR(INDEX(_xlfn.ANCHORARRAY($C$3),T_CALC[[#This Row],[DAY]]+1,4),NA())</f>
        <v>1.3284</v>
      </c>
      <c r="O292" cm="1" vm="2473">
        <f t="array" aca="1" ref="O292" ca="1">IFERROR(INDEX(_xlfn.ANCHORARRAY($C$3),T_CALC[[#This Row],[DAY]]+1,5),NA())</f>
        <v>1.3220000000000001</v>
      </c>
      <c r="P292" cm="1" vm="2474">
        <f t="array" aca="1" ref="P292" ca="1">IFERROR(INDEX(_xlfn.ANCHORARRAY($C$3),T_CALC[[#This Row],[DAY]]+1,6),NA())</f>
        <v>1.3227</v>
      </c>
      <c r="Q292" cm="1">
        <f t="array" aca="1" ref="Q292" ca="1">IFERROR(INDEX(_xlfn.ANCHORARRAY($C$3),T_CALC[[#This Row],[DAY]]+1,2),NA())</f>
        <v>0</v>
      </c>
    </row>
    <row r="293" spans="3:17">
      <c r="C293" vm="2475">
        <f ca="1"/>
        <v>43161</v>
      </c>
      <c r="D293">
        <f ca="1"/>
        <v>0</v>
      </c>
      <c r="E293" vm="2416">
        <f ca="1"/>
        <v>1.3229</v>
      </c>
      <c r="F293" vm="2476">
        <f ca="1"/>
        <v>1.323</v>
      </c>
      <c r="G293" vm="2351">
        <f ca="1"/>
        <v>1.3179000000000001</v>
      </c>
      <c r="H293" vm="2477">
        <f ca="1"/>
        <v>1.3193999999999999</v>
      </c>
      <c r="K293">
        <f ca="1">IF(ROW(T_CALC[[#This Row],[DAY]])-ROW(T_CALC[[#Headers],[DAY]])&gt;C_N_TRADING_DAYS,"",ROW(T_CALC[[#This Row],[DAY]])-ROW(T_CALC[[#Headers],[DAY]]))</f>
        <v>290</v>
      </c>
      <c r="L293" cm="1" vm="2475">
        <f t="array" aca="1" ref="L293" ca="1">IFERROR(INDEX(_xlfn.ANCHORARRAY($C$3),T_CALC[[#This Row],[DAY]]+1,1),NA())</f>
        <v>43161</v>
      </c>
      <c r="M293" cm="1" vm="2416">
        <f t="array" aca="1" ref="M293" ca="1">IFERROR(INDEX(_xlfn.ANCHORARRAY($C$3),T_CALC[[#This Row],[DAY]]+1,3),NA())</f>
        <v>1.3229</v>
      </c>
      <c r="N293" cm="1" vm="2476">
        <f t="array" aca="1" ref="N293" ca="1">IFERROR(INDEX(_xlfn.ANCHORARRAY($C$3),T_CALC[[#This Row],[DAY]]+1,4),NA())</f>
        <v>1.323</v>
      </c>
      <c r="O293" cm="1" vm="2351">
        <f t="array" aca="1" ref="O293" ca="1">IFERROR(INDEX(_xlfn.ANCHORARRAY($C$3),T_CALC[[#This Row],[DAY]]+1,5),NA())</f>
        <v>1.3179000000000001</v>
      </c>
      <c r="P293" cm="1" vm="2477">
        <f t="array" aca="1" ref="P293" ca="1">IFERROR(INDEX(_xlfn.ANCHORARRAY($C$3),T_CALC[[#This Row],[DAY]]+1,6),NA())</f>
        <v>1.3193999999999999</v>
      </c>
      <c r="Q293" cm="1">
        <f t="array" aca="1" ref="Q293" ca="1">IFERROR(INDEX(_xlfn.ANCHORARRAY($C$3),T_CALC[[#This Row],[DAY]]+1,2),NA())</f>
        <v>0</v>
      </c>
    </row>
    <row r="294" spans="3:17">
      <c r="C294" vm="2478">
        <f ca="1"/>
        <v>43164</v>
      </c>
      <c r="D294">
        <f ca="1"/>
        <v>0</v>
      </c>
      <c r="E294" vm="2347">
        <f ca="1"/>
        <v>1.3192999999999999</v>
      </c>
      <c r="F294" vm="2357">
        <f ca="1"/>
        <v>1.3213999999999999</v>
      </c>
      <c r="G294" vm="2479">
        <f ca="1"/>
        <v>1.3173999999999999</v>
      </c>
      <c r="H294" vm="2362">
        <f ca="1"/>
        <v>1.3180000000000001</v>
      </c>
      <c r="K294">
        <f ca="1">IF(ROW(T_CALC[[#This Row],[DAY]])-ROW(T_CALC[[#Headers],[DAY]])&gt;C_N_TRADING_DAYS,"",ROW(T_CALC[[#This Row],[DAY]])-ROW(T_CALC[[#Headers],[DAY]]))</f>
        <v>291</v>
      </c>
      <c r="L294" cm="1" vm="2478">
        <f t="array" aca="1" ref="L294" ca="1">IFERROR(INDEX(_xlfn.ANCHORARRAY($C$3),T_CALC[[#This Row],[DAY]]+1,1),NA())</f>
        <v>43164</v>
      </c>
      <c r="M294" cm="1" vm="2347">
        <f t="array" aca="1" ref="M294" ca="1">IFERROR(INDEX(_xlfn.ANCHORARRAY($C$3),T_CALC[[#This Row],[DAY]]+1,3),NA())</f>
        <v>1.3192999999999999</v>
      </c>
      <c r="N294" cm="1" vm="2357">
        <f t="array" aca="1" ref="N294" ca="1">IFERROR(INDEX(_xlfn.ANCHORARRAY($C$3),T_CALC[[#This Row],[DAY]]+1,4),NA())</f>
        <v>1.3213999999999999</v>
      </c>
      <c r="O294" cm="1" vm="2479">
        <f t="array" aca="1" ref="O294" ca="1">IFERROR(INDEX(_xlfn.ANCHORARRAY($C$3),T_CALC[[#This Row],[DAY]]+1,5),NA())</f>
        <v>1.3173999999999999</v>
      </c>
      <c r="P294" cm="1" vm="2362">
        <f t="array" aca="1" ref="P294" ca="1">IFERROR(INDEX(_xlfn.ANCHORARRAY($C$3),T_CALC[[#This Row],[DAY]]+1,6),NA())</f>
        <v>1.3180000000000001</v>
      </c>
      <c r="Q294" cm="1">
        <f t="array" aca="1" ref="Q294" ca="1">IFERROR(INDEX(_xlfn.ANCHORARRAY($C$3),T_CALC[[#This Row],[DAY]]+1,2),NA())</f>
        <v>0</v>
      </c>
    </row>
    <row r="295" spans="3:17">
      <c r="C295" vm="2480">
        <f ca="1"/>
        <v>43165</v>
      </c>
      <c r="D295">
        <f ca="1"/>
        <v>0</v>
      </c>
      <c r="E295" vm="2481">
        <f ca="1"/>
        <v>1.3181</v>
      </c>
      <c r="F295" vm="2482">
        <f ca="1"/>
        <v>1.3201000000000001</v>
      </c>
      <c r="G295" vm="2483">
        <f ca="1"/>
        <v>1.3144</v>
      </c>
      <c r="H295" vm="2484">
        <f ca="1"/>
        <v>1.3159000000000001</v>
      </c>
      <c r="K295">
        <f ca="1">IF(ROW(T_CALC[[#This Row],[DAY]])-ROW(T_CALC[[#Headers],[DAY]])&gt;C_N_TRADING_DAYS,"",ROW(T_CALC[[#This Row],[DAY]])-ROW(T_CALC[[#Headers],[DAY]]))</f>
        <v>292</v>
      </c>
      <c r="L295" cm="1" vm="2480">
        <f t="array" aca="1" ref="L295" ca="1">IFERROR(INDEX(_xlfn.ANCHORARRAY($C$3),T_CALC[[#This Row],[DAY]]+1,1),NA())</f>
        <v>43165</v>
      </c>
      <c r="M295" cm="1" vm="2481">
        <f t="array" aca="1" ref="M295" ca="1">IFERROR(INDEX(_xlfn.ANCHORARRAY($C$3),T_CALC[[#This Row],[DAY]]+1,3),NA())</f>
        <v>1.3181</v>
      </c>
      <c r="N295" cm="1" vm="2482">
        <f t="array" aca="1" ref="N295" ca="1">IFERROR(INDEX(_xlfn.ANCHORARRAY($C$3),T_CALC[[#This Row],[DAY]]+1,4),NA())</f>
        <v>1.3201000000000001</v>
      </c>
      <c r="O295" cm="1" vm="2483">
        <f t="array" aca="1" ref="O295" ca="1">IFERROR(INDEX(_xlfn.ANCHORARRAY($C$3),T_CALC[[#This Row],[DAY]]+1,5),NA())</f>
        <v>1.3144</v>
      </c>
      <c r="P295" cm="1" vm="2484">
        <f t="array" aca="1" ref="P295" ca="1">IFERROR(INDEX(_xlfn.ANCHORARRAY($C$3),T_CALC[[#This Row],[DAY]]+1,6),NA())</f>
        <v>1.3159000000000001</v>
      </c>
      <c r="Q295" cm="1">
        <f t="array" aca="1" ref="Q295" ca="1">IFERROR(INDEX(_xlfn.ANCHORARRAY($C$3),T_CALC[[#This Row],[DAY]]+1,2),NA())</f>
        <v>0</v>
      </c>
    </row>
    <row r="296" spans="3:17">
      <c r="C296" vm="2485">
        <f ca="1"/>
        <v>43166</v>
      </c>
      <c r="D296">
        <f ca="1"/>
        <v>0</v>
      </c>
      <c r="E296" vm="2486">
        <f ca="1"/>
        <v>1.3160000000000001</v>
      </c>
      <c r="F296" vm="2363">
        <f ca="1"/>
        <v>1.3187</v>
      </c>
      <c r="G296" vm="2445">
        <f ca="1"/>
        <v>1.3132999999999999</v>
      </c>
      <c r="H296" vm="2393">
        <f ca="1"/>
        <v>1.3137000000000001</v>
      </c>
      <c r="K296">
        <f ca="1">IF(ROW(T_CALC[[#This Row],[DAY]])-ROW(T_CALC[[#Headers],[DAY]])&gt;C_N_TRADING_DAYS,"",ROW(T_CALC[[#This Row],[DAY]])-ROW(T_CALC[[#Headers],[DAY]]))</f>
        <v>293</v>
      </c>
      <c r="L296" cm="1" vm="2485">
        <f t="array" aca="1" ref="L296" ca="1">IFERROR(INDEX(_xlfn.ANCHORARRAY($C$3),T_CALC[[#This Row],[DAY]]+1,1),NA())</f>
        <v>43166</v>
      </c>
      <c r="M296" cm="1" vm="2486">
        <f t="array" aca="1" ref="M296" ca="1">IFERROR(INDEX(_xlfn.ANCHORARRAY($C$3),T_CALC[[#This Row],[DAY]]+1,3),NA())</f>
        <v>1.3160000000000001</v>
      </c>
      <c r="N296" cm="1" vm="2363">
        <f t="array" aca="1" ref="N296" ca="1">IFERROR(INDEX(_xlfn.ANCHORARRAY($C$3),T_CALC[[#This Row],[DAY]]+1,4),NA())</f>
        <v>1.3187</v>
      </c>
      <c r="O296" cm="1" vm="2445">
        <f t="array" aca="1" ref="O296" ca="1">IFERROR(INDEX(_xlfn.ANCHORARRAY($C$3),T_CALC[[#This Row],[DAY]]+1,5),NA())</f>
        <v>1.3132999999999999</v>
      </c>
      <c r="P296" cm="1" vm="2393">
        <f t="array" aca="1" ref="P296" ca="1">IFERROR(INDEX(_xlfn.ANCHORARRAY($C$3),T_CALC[[#This Row],[DAY]]+1,6),NA())</f>
        <v>1.3137000000000001</v>
      </c>
      <c r="Q296" cm="1">
        <f t="array" aca="1" ref="Q296" ca="1">IFERROR(INDEX(_xlfn.ANCHORARRAY($C$3),T_CALC[[#This Row],[DAY]]+1,2),NA())</f>
        <v>0</v>
      </c>
    </row>
    <row r="297" spans="3:17">
      <c r="C297" vm="2487">
        <f ca="1"/>
        <v>43167</v>
      </c>
      <c r="D297">
        <f ca="1"/>
        <v>0</v>
      </c>
      <c r="E297" vm="2393">
        <f ca="1"/>
        <v>1.3137000000000001</v>
      </c>
      <c r="F297" vm="2488">
        <f ca="1"/>
        <v>1.3186</v>
      </c>
      <c r="G297" vm="2440">
        <f ca="1"/>
        <v>1.3130999999999999</v>
      </c>
      <c r="H297" vm="2370">
        <f ca="1"/>
        <v>1.3169999999999999</v>
      </c>
      <c r="K297">
        <f ca="1">IF(ROW(T_CALC[[#This Row],[DAY]])-ROW(T_CALC[[#Headers],[DAY]])&gt;C_N_TRADING_DAYS,"",ROW(T_CALC[[#This Row],[DAY]])-ROW(T_CALC[[#Headers],[DAY]]))</f>
        <v>294</v>
      </c>
      <c r="L297" cm="1" vm="2487">
        <f t="array" aca="1" ref="L297" ca="1">IFERROR(INDEX(_xlfn.ANCHORARRAY($C$3),T_CALC[[#This Row],[DAY]]+1,1),NA())</f>
        <v>43167</v>
      </c>
      <c r="M297" cm="1" vm="2393">
        <f t="array" aca="1" ref="M297" ca="1">IFERROR(INDEX(_xlfn.ANCHORARRAY($C$3),T_CALC[[#This Row],[DAY]]+1,3),NA())</f>
        <v>1.3137000000000001</v>
      </c>
      <c r="N297" cm="1" vm="2488">
        <f t="array" aca="1" ref="N297" ca="1">IFERROR(INDEX(_xlfn.ANCHORARRAY($C$3),T_CALC[[#This Row],[DAY]]+1,4),NA())</f>
        <v>1.3186</v>
      </c>
      <c r="O297" cm="1" vm="2440">
        <f t="array" aca="1" ref="O297" ca="1">IFERROR(INDEX(_xlfn.ANCHORARRAY($C$3),T_CALC[[#This Row],[DAY]]+1,5),NA())</f>
        <v>1.3130999999999999</v>
      </c>
      <c r="P297" cm="1" vm="2370">
        <f t="array" aca="1" ref="P297" ca="1">IFERROR(INDEX(_xlfn.ANCHORARRAY($C$3),T_CALC[[#This Row],[DAY]]+1,6),NA())</f>
        <v>1.3169999999999999</v>
      </c>
      <c r="Q297" cm="1">
        <f t="array" aca="1" ref="Q297" ca="1">IFERROR(INDEX(_xlfn.ANCHORARRAY($C$3),T_CALC[[#This Row],[DAY]]+1,2),NA())</f>
        <v>0</v>
      </c>
    </row>
    <row r="298" spans="3:17">
      <c r="C298" vm="2489">
        <f ca="1"/>
        <v>43168</v>
      </c>
      <c r="D298">
        <f ca="1"/>
        <v>0</v>
      </c>
      <c r="E298" vm="2490">
        <f ca="1"/>
        <v>1.3170999999999999</v>
      </c>
      <c r="F298" vm="2459">
        <f ca="1"/>
        <v>1.3194999999999999</v>
      </c>
      <c r="G298" vm="2398">
        <f ca="1"/>
        <v>1.3141</v>
      </c>
      <c r="H298" vm="2452">
        <f ca="1"/>
        <v>1.3164</v>
      </c>
      <c r="K298">
        <f ca="1">IF(ROW(T_CALC[[#This Row],[DAY]])-ROW(T_CALC[[#Headers],[DAY]])&gt;C_N_TRADING_DAYS,"",ROW(T_CALC[[#This Row],[DAY]])-ROW(T_CALC[[#Headers],[DAY]]))</f>
        <v>295</v>
      </c>
      <c r="L298" cm="1" vm="2489">
        <f t="array" aca="1" ref="L298" ca="1">IFERROR(INDEX(_xlfn.ANCHORARRAY($C$3),T_CALC[[#This Row],[DAY]]+1,1),NA())</f>
        <v>43168</v>
      </c>
      <c r="M298" cm="1" vm="2490">
        <f t="array" aca="1" ref="M298" ca="1">IFERROR(INDEX(_xlfn.ANCHORARRAY($C$3),T_CALC[[#This Row],[DAY]]+1,3),NA())</f>
        <v>1.3170999999999999</v>
      </c>
      <c r="N298" cm="1" vm="2459">
        <f t="array" aca="1" ref="N298" ca="1">IFERROR(INDEX(_xlfn.ANCHORARRAY($C$3),T_CALC[[#This Row],[DAY]]+1,4),NA())</f>
        <v>1.3194999999999999</v>
      </c>
      <c r="O298" cm="1" vm="2398">
        <f t="array" aca="1" ref="O298" ca="1">IFERROR(INDEX(_xlfn.ANCHORARRAY($C$3),T_CALC[[#This Row],[DAY]]+1,5),NA())</f>
        <v>1.3141</v>
      </c>
      <c r="P298" cm="1" vm="2452">
        <f t="array" aca="1" ref="P298" ca="1">IFERROR(INDEX(_xlfn.ANCHORARRAY($C$3),T_CALC[[#This Row],[DAY]]+1,6),NA())</f>
        <v>1.3164</v>
      </c>
      <c r="Q298" cm="1">
        <f t="array" aca="1" ref="Q298" ca="1">IFERROR(INDEX(_xlfn.ANCHORARRAY($C$3),T_CALC[[#This Row],[DAY]]+1,2),NA())</f>
        <v>0</v>
      </c>
    </row>
    <row r="299" spans="3:17">
      <c r="C299" vm="2491">
        <f ca="1"/>
        <v>43171</v>
      </c>
      <c r="D299">
        <f ca="1"/>
        <v>0</v>
      </c>
      <c r="E299" vm="2492">
        <f ca="1"/>
        <v>1.3158000000000001</v>
      </c>
      <c r="F299" vm="2493">
        <f ca="1"/>
        <v>1.3167</v>
      </c>
      <c r="G299" vm="2494">
        <f ca="1"/>
        <v>1.3115000000000001</v>
      </c>
      <c r="H299" vm="2381">
        <f ca="1"/>
        <v>1.3125</v>
      </c>
      <c r="K299">
        <f ca="1">IF(ROW(T_CALC[[#This Row],[DAY]])-ROW(T_CALC[[#Headers],[DAY]])&gt;C_N_TRADING_DAYS,"",ROW(T_CALC[[#This Row],[DAY]])-ROW(T_CALC[[#Headers],[DAY]]))</f>
        <v>296</v>
      </c>
      <c r="L299" cm="1" vm="2491">
        <f t="array" aca="1" ref="L299" ca="1">IFERROR(INDEX(_xlfn.ANCHORARRAY($C$3),T_CALC[[#This Row],[DAY]]+1,1),NA())</f>
        <v>43171</v>
      </c>
      <c r="M299" cm="1" vm="2492">
        <f t="array" aca="1" ref="M299" ca="1">IFERROR(INDEX(_xlfn.ANCHORARRAY($C$3),T_CALC[[#This Row],[DAY]]+1,3),NA())</f>
        <v>1.3158000000000001</v>
      </c>
      <c r="N299" cm="1" vm="2493">
        <f t="array" aca="1" ref="N299" ca="1">IFERROR(INDEX(_xlfn.ANCHORARRAY($C$3),T_CALC[[#This Row],[DAY]]+1,4),NA())</f>
        <v>1.3167</v>
      </c>
      <c r="O299" cm="1" vm="2494">
        <f t="array" aca="1" ref="O299" ca="1">IFERROR(INDEX(_xlfn.ANCHORARRAY($C$3),T_CALC[[#This Row],[DAY]]+1,5),NA())</f>
        <v>1.3115000000000001</v>
      </c>
      <c r="P299" cm="1" vm="2381">
        <f t="array" aca="1" ref="P299" ca="1">IFERROR(INDEX(_xlfn.ANCHORARRAY($C$3),T_CALC[[#This Row],[DAY]]+1,6),NA())</f>
        <v>1.3125</v>
      </c>
      <c r="Q299" cm="1">
        <f t="array" aca="1" ref="Q299" ca="1">IFERROR(INDEX(_xlfn.ANCHORARRAY($C$3),T_CALC[[#This Row],[DAY]]+1,2),NA())</f>
        <v>0</v>
      </c>
    </row>
    <row r="300" spans="3:17">
      <c r="C300" vm="2495">
        <f ca="1"/>
        <v>43172</v>
      </c>
      <c r="D300">
        <f ca="1"/>
        <v>0</v>
      </c>
      <c r="E300" vm="2496">
        <f ca="1"/>
        <v>1.3123</v>
      </c>
      <c r="F300" vm="2497">
        <f ca="1"/>
        <v>1.3145</v>
      </c>
      <c r="G300" vm="2437">
        <f ca="1"/>
        <v>1.3089999999999999</v>
      </c>
      <c r="H300" vm="2397">
        <f ca="1"/>
        <v>1.3118000000000001</v>
      </c>
      <c r="K300">
        <f ca="1">IF(ROW(T_CALC[[#This Row],[DAY]])-ROW(T_CALC[[#Headers],[DAY]])&gt;C_N_TRADING_DAYS,"",ROW(T_CALC[[#This Row],[DAY]])-ROW(T_CALC[[#Headers],[DAY]]))</f>
        <v>297</v>
      </c>
      <c r="L300" cm="1" vm="2495">
        <f t="array" aca="1" ref="L300" ca="1">IFERROR(INDEX(_xlfn.ANCHORARRAY($C$3),T_CALC[[#This Row],[DAY]]+1,1),NA())</f>
        <v>43172</v>
      </c>
      <c r="M300" cm="1" vm="2496">
        <f t="array" aca="1" ref="M300" ca="1">IFERROR(INDEX(_xlfn.ANCHORARRAY($C$3),T_CALC[[#This Row],[DAY]]+1,3),NA())</f>
        <v>1.3123</v>
      </c>
      <c r="N300" cm="1" vm="2497">
        <f t="array" aca="1" ref="N300" ca="1">IFERROR(INDEX(_xlfn.ANCHORARRAY($C$3),T_CALC[[#This Row],[DAY]]+1,4),NA())</f>
        <v>1.3145</v>
      </c>
      <c r="O300" cm="1" vm="2437">
        <f t="array" aca="1" ref="O300" ca="1">IFERROR(INDEX(_xlfn.ANCHORARRAY($C$3),T_CALC[[#This Row],[DAY]]+1,5),NA())</f>
        <v>1.3089999999999999</v>
      </c>
      <c r="P300" cm="1" vm="2397">
        <f t="array" aca="1" ref="P300" ca="1">IFERROR(INDEX(_xlfn.ANCHORARRAY($C$3),T_CALC[[#This Row],[DAY]]+1,6),NA())</f>
        <v>1.3118000000000001</v>
      </c>
      <c r="Q300" cm="1">
        <f t="array" aca="1" ref="Q300" ca="1">IFERROR(INDEX(_xlfn.ANCHORARRAY($C$3),T_CALC[[#This Row],[DAY]]+1,2),NA())</f>
        <v>0</v>
      </c>
    </row>
    <row r="301" spans="3:17">
      <c r="C301" vm="2498">
        <f ca="1"/>
        <v>43173</v>
      </c>
      <c r="D301">
        <f ca="1"/>
        <v>0</v>
      </c>
      <c r="E301" vm="2397">
        <f ca="1"/>
        <v>1.3118000000000001</v>
      </c>
      <c r="F301" vm="2381">
        <f ca="1"/>
        <v>1.3125</v>
      </c>
      <c r="G301" vm="2499">
        <f ca="1"/>
        <v>1.3077000000000001</v>
      </c>
      <c r="H301" vm="2500">
        <f ca="1"/>
        <v>1.3089</v>
      </c>
      <c r="K301">
        <f ca="1">IF(ROW(T_CALC[[#This Row],[DAY]])-ROW(T_CALC[[#Headers],[DAY]])&gt;C_N_TRADING_DAYS,"",ROW(T_CALC[[#This Row],[DAY]])-ROW(T_CALC[[#Headers],[DAY]]))</f>
        <v>298</v>
      </c>
      <c r="L301" cm="1" vm="2498">
        <f t="array" aca="1" ref="L301" ca="1">IFERROR(INDEX(_xlfn.ANCHORARRAY($C$3),T_CALC[[#This Row],[DAY]]+1,1),NA())</f>
        <v>43173</v>
      </c>
      <c r="M301" cm="1" vm="2397">
        <f t="array" aca="1" ref="M301" ca="1">IFERROR(INDEX(_xlfn.ANCHORARRAY($C$3),T_CALC[[#This Row],[DAY]]+1,3),NA())</f>
        <v>1.3118000000000001</v>
      </c>
      <c r="N301" cm="1" vm="2381">
        <f t="array" aca="1" ref="N301" ca="1">IFERROR(INDEX(_xlfn.ANCHORARRAY($C$3),T_CALC[[#This Row],[DAY]]+1,4),NA())</f>
        <v>1.3125</v>
      </c>
      <c r="O301" cm="1" vm="2499">
        <f t="array" aca="1" ref="O301" ca="1">IFERROR(INDEX(_xlfn.ANCHORARRAY($C$3),T_CALC[[#This Row],[DAY]]+1,5),NA())</f>
        <v>1.3077000000000001</v>
      </c>
      <c r="P301" cm="1" vm="2500">
        <f t="array" aca="1" ref="P301" ca="1">IFERROR(INDEX(_xlfn.ANCHORARRAY($C$3),T_CALC[[#This Row],[DAY]]+1,6),NA())</f>
        <v>1.3089</v>
      </c>
      <c r="Q301" cm="1">
        <f t="array" aca="1" ref="Q301" ca="1">IFERROR(INDEX(_xlfn.ANCHORARRAY($C$3),T_CALC[[#This Row],[DAY]]+1,2),NA())</f>
        <v>0</v>
      </c>
    </row>
    <row r="302" spans="3:17">
      <c r="C302" vm="2501">
        <f ca="1"/>
        <v>43174</v>
      </c>
      <c r="D302">
        <f ca="1"/>
        <v>0</v>
      </c>
      <c r="E302" vm="2500">
        <f ca="1"/>
        <v>1.3089</v>
      </c>
      <c r="F302" vm="2483">
        <f ca="1"/>
        <v>1.3144</v>
      </c>
      <c r="G302" vm="2502">
        <f ca="1"/>
        <v>1.3081</v>
      </c>
      <c r="H302" vm="2503">
        <f ca="1"/>
        <v>1.3131999999999999</v>
      </c>
      <c r="K302">
        <f ca="1">IF(ROW(T_CALC[[#This Row],[DAY]])-ROW(T_CALC[[#Headers],[DAY]])&gt;C_N_TRADING_DAYS,"",ROW(T_CALC[[#This Row],[DAY]])-ROW(T_CALC[[#Headers],[DAY]]))</f>
        <v>299</v>
      </c>
      <c r="L302" cm="1" vm="2501">
        <f t="array" aca="1" ref="L302" ca="1">IFERROR(INDEX(_xlfn.ANCHORARRAY($C$3),T_CALC[[#This Row],[DAY]]+1,1),NA())</f>
        <v>43174</v>
      </c>
      <c r="M302" cm="1" vm="2500">
        <f t="array" aca="1" ref="M302" ca="1">IFERROR(INDEX(_xlfn.ANCHORARRAY($C$3),T_CALC[[#This Row],[DAY]]+1,3),NA())</f>
        <v>1.3089</v>
      </c>
      <c r="N302" cm="1" vm="2483">
        <f t="array" aca="1" ref="N302" ca="1">IFERROR(INDEX(_xlfn.ANCHORARRAY($C$3),T_CALC[[#This Row],[DAY]]+1,4),NA())</f>
        <v>1.3144</v>
      </c>
      <c r="O302" cm="1" vm="2502">
        <f t="array" aca="1" ref="O302" ca="1">IFERROR(INDEX(_xlfn.ANCHORARRAY($C$3),T_CALC[[#This Row],[DAY]]+1,5),NA())</f>
        <v>1.3081</v>
      </c>
      <c r="P302" cm="1" vm="2503">
        <f t="array" aca="1" ref="P302" ca="1">IFERROR(INDEX(_xlfn.ANCHORARRAY($C$3),T_CALC[[#This Row],[DAY]]+1,6),NA())</f>
        <v>1.3131999999999999</v>
      </c>
      <c r="Q302" cm="1">
        <f t="array" aca="1" ref="Q302" ca="1">IFERROR(INDEX(_xlfn.ANCHORARRAY($C$3),T_CALC[[#This Row],[DAY]]+1,2),NA())</f>
        <v>0</v>
      </c>
    </row>
    <row r="303" spans="3:17">
      <c r="C303" vm="2504">
        <f ca="1"/>
        <v>43175</v>
      </c>
      <c r="D303">
        <f ca="1"/>
        <v>0</v>
      </c>
      <c r="E303" vm="2445">
        <f ca="1"/>
        <v>1.3132999999999999</v>
      </c>
      <c r="F303" vm="2411">
        <f ca="1"/>
        <v>1.3182</v>
      </c>
      <c r="G303" vm="2391">
        <f ca="1"/>
        <v>1.3112999999999999</v>
      </c>
      <c r="H303" vm="2505">
        <f ca="1"/>
        <v>1.3172999999999999</v>
      </c>
      <c r="K303">
        <f ca="1">IF(ROW(T_CALC[[#This Row],[DAY]])-ROW(T_CALC[[#Headers],[DAY]])&gt;C_N_TRADING_DAYS,"",ROW(T_CALC[[#This Row],[DAY]])-ROW(T_CALC[[#Headers],[DAY]]))</f>
        <v>300</v>
      </c>
      <c r="L303" cm="1" vm="2504">
        <f t="array" aca="1" ref="L303" ca="1">IFERROR(INDEX(_xlfn.ANCHORARRAY($C$3),T_CALC[[#This Row],[DAY]]+1,1),NA())</f>
        <v>43175</v>
      </c>
      <c r="M303" cm="1" vm="2445">
        <f t="array" aca="1" ref="M303" ca="1">IFERROR(INDEX(_xlfn.ANCHORARRAY($C$3),T_CALC[[#This Row],[DAY]]+1,3),NA())</f>
        <v>1.3132999999999999</v>
      </c>
      <c r="N303" cm="1" vm="2411">
        <f t="array" aca="1" ref="N303" ca="1">IFERROR(INDEX(_xlfn.ANCHORARRAY($C$3),T_CALC[[#This Row],[DAY]]+1,4),NA())</f>
        <v>1.3182</v>
      </c>
      <c r="O303" cm="1" vm="2391">
        <f t="array" aca="1" ref="O303" ca="1">IFERROR(INDEX(_xlfn.ANCHORARRAY($C$3),T_CALC[[#This Row],[DAY]]+1,5),NA())</f>
        <v>1.3112999999999999</v>
      </c>
      <c r="P303" cm="1" vm="2505">
        <f t="array" aca="1" ref="P303" ca="1">IFERROR(INDEX(_xlfn.ANCHORARRAY($C$3),T_CALC[[#This Row],[DAY]]+1,6),NA())</f>
        <v>1.3172999999999999</v>
      </c>
      <c r="Q303" cm="1">
        <f t="array" aca="1" ref="Q303" ca="1">IFERROR(INDEX(_xlfn.ANCHORARRAY($C$3),T_CALC[[#This Row],[DAY]]+1,2),NA())</f>
        <v>0</v>
      </c>
    </row>
    <row r="304" spans="3:17">
      <c r="C304" vm="2506">
        <f ca="1"/>
        <v>43178</v>
      </c>
      <c r="D304">
        <f ca="1"/>
        <v>0</v>
      </c>
      <c r="E304" vm="2505">
        <f ca="1"/>
        <v>1.3172999999999999</v>
      </c>
      <c r="F304" vm="2507">
        <f ca="1"/>
        <v>1.3191999999999999</v>
      </c>
      <c r="G304" vm="2483">
        <f ca="1"/>
        <v>1.3144</v>
      </c>
      <c r="H304" vm="2358">
        <f ca="1"/>
        <v>1.3168</v>
      </c>
      <c r="K304">
        <f ca="1">IF(ROW(T_CALC[[#This Row],[DAY]])-ROW(T_CALC[[#Headers],[DAY]])&gt;C_N_TRADING_DAYS,"",ROW(T_CALC[[#This Row],[DAY]])-ROW(T_CALC[[#Headers],[DAY]]))</f>
        <v>301</v>
      </c>
      <c r="L304" cm="1" vm="2506">
        <f t="array" aca="1" ref="L304" ca="1">IFERROR(INDEX(_xlfn.ANCHORARRAY($C$3),T_CALC[[#This Row],[DAY]]+1,1),NA())</f>
        <v>43178</v>
      </c>
      <c r="M304" cm="1" vm="2505">
        <f t="array" aca="1" ref="M304" ca="1">IFERROR(INDEX(_xlfn.ANCHORARRAY($C$3),T_CALC[[#This Row],[DAY]]+1,3),NA())</f>
        <v>1.3172999999999999</v>
      </c>
      <c r="N304" cm="1" vm="2507">
        <f t="array" aca="1" ref="N304" ca="1">IFERROR(INDEX(_xlfn.ANCHORARRAY($C$3),T_CALC[[#This Row],[DAY]]+1,4),NA())</f>
        <v>1.3191999999999999</v>
      </c>
      <c r="O304" cm="1" vm="2483">
        <f t="array" aca="1" ref="O304" ca="1">IFERROR(INDEX(_xlfn.ANCHORARRAY($C$3),T_CALC[[#This Row],[DAY]]+1,5),NA())</f>
        <v>1.3144</v>
      </c>
      <c r="P304" cm="1" vm="2358">
        <f t="array" aca="1" ref="P304" ca="1">IFERROR(INDEX(_xlfn.ANCHORARRAY($C$3),T_CALC[[#This Row],[DAY]]+1,6),NA())</f>
        <v>1.3168</v>
      </c>
      <c r="Q304" cm="1">
        <f t="array" aca="1" ref="Q304" ca="1">IFERROR(INDEX(_xlfn.ANCHORARRAY($C$3),T_CALC[[#This Row],[DAY]]+1,2),NA())</f>
        <v>0</v>
      </c>
    </row>
    <row r="305" spans="3:17">
      <c r="C305" vm="2508">
        <f ca="1"/>
        <v>43179</v>
      </c>
      <c r="D305">
        <f ca="1"/>
        <v>0</v>
      </c>
      <c r="E305" vm="2452">
        <f ca="1"/>
        <v>1.3164</v>
      </c>
      <c r="F305" vm="2347">
        <f ca="1"/>
        <v>1.3192999999999999</v>
      </c>
      <c r="G305" vm="2393">
        <f ca="1"/>
        <v>1.3137000000000001</v>
      </c>
      <c r="H305" vm="2363">
        <f ca="1"/>
        <v>1.3187</v>
      </c>
      <c r="K305">
        <f ca="1">IF(ROW(T_CALC[[#This Row],[DAY]])-ROW(T_CALC[[#Headers],[DAY]])&gt;C_N_TRADING_DAYS,"",ROW(T_CALC[[#This Row],[DAY]])-ROW(T_CALC[[#Headers],[DAY]]))</f>
        <v>302</v>
      </c>
      <c r="L305" cm="1" vm="2508">
        <f t="array" aca="1" ref="L305" ca="1">IFERROR(INDEX(_xlfn.ANCHORARRAY($C$3),T_CALC[[#This Row],[DAY]]+1,1),NA())</f>
        <v>43179</v>
      </c>
      <c r="M305" cm="1" vm="2452">
        <f t="array" aca="1" ref="M305" ca="1">IFERROR(INDEX(_xlfn.ANCHORARRAY($C$3),T_CALC[[#This Row],[DAY]]+1,3),NA())</f>
        <v>1.3164</v>
      </c>
      <c r="N305" cm="1" vm="2347">
        <f t="array" aca="1" ref="N305" ca="1">IFERROR(INDEX(_xlfn.ANCHORARRAY($C$3),T_CALC[[#This Row],[DAY]]+1,4),NA())</f>
        <v>1.3192999999999999</v>
      </c>
      <c r="O305" cm="1" vm="2393">
        <f t="array" aca="1" ref="O305" ca="1">IFERROR(INDEX(_xlfn.ANCHORARRAY($C$3),T_CALC[[#This Row],[DAY]]+1,5),NA())</f>
        <v>1.3137000000000001</v>
      </c>
      <c r="P305" cm="1" vm="2363">
        <f t="array" aca="1" ref="P305" ca="1">IFERROR(INDEX(_xlfn.ANCHORARRAY($C$3),T_CALC[[#This Row],[DAY]]+1,6),NA())</f>
        <v>1.3187</v>
      </c>
      <c r="Q305" cm="1">
        <f t="array" aca="1" ref="Q305" ca="1">IFERROR(INDEX(_xlfn.ANCHORARRAY($C$3),T_CALC[[#This Row],[DAY]]+1,2),NA())</f>
        <v>0</v>
      </c>
    </row>
    <row r="306" spans="3:17">
      <c r="C306" vm="2509">
        <f ca="1"/>
        <v>43180</v>
      </c>
      <c r="D306">
        <f ca="1"/>
        <v>0</v>
      </c>
      <c r="E306" vm="2365">
        <f ca="1"/>
        <v>1.3188</v>
      </c>
      <c r="F306" vm="2347">
        <f ca="1"/>
        <v>1.3192999999999999</v>
      </c>
      <c r="G306" vm="2510">
        <f ca="1"/>
        <v>1.3113999999999999</v>
      </c>
      <c r="H306" vm="2511">
        <f ca="1"/>
        <v>1.3122</v>
      </c>
      <c r="K306">
        <f ca="1">IF(ROW(T_CALC[[#This Row],[DAY]])-ROW(T_CALC[[#Headers],[DAY]])&gt;C_N_TRADING_DAYS,"",ROW(T_CALC[[#This Row],[DAY]])-ROW(T_CALC[[#Headers],[DAY]]))</f>
        <v>303</v>
      </c>
      <c r="L306" cm="1" vm="2509">
        <f t="array" aca="1" ref="L306" ca="1">IFERROR(INDEX(_xlfn.ANCHORARRAY($C$3),T_CALC[[#This Row],[DAY]]+1,1),NA())</f>
        <v>43180</v>
      </c>
      <c r="M306" cm="1" vm="2365">
        <f t="array" aca="1" ref="M306" ca="1">IFERROR(INDEX(_xlfn.ANCHORARRAY($C$3),T_CALC[[#This Row],[DAY]]+1,3),NA())</f>
        <v>1.3188</v>
      </c>
      <c r="N306" cm="1" vm="2347">
        <f t="array" aca="1" ref="N306" ca="1">IFERROR(INDEX(_xlfn.ANCHORARRAY($C$3),T_CALC[[#This Row],[DAY]]+1,4),NA())</f>
        <v>1.3192999999999999</v>
      </c>
      <c r="O306" cm="1" vm="2510">
        <f t="array" aca="1" ref="O306" ca="1">IFERROR(INDEX(_xlfn.ANCHORARRAY($C$3),T_CALC[[#This Row],[DAY]]+1,5),NA())</f>
        <v>1.3113999999999999</v>
      </c>
      <c r="P306" cm="1" vm="2511">
        <f t="array" aca="1" ref="P306" ca="1">IFERROR(INDEX(_xlfn.ANCHORARRAY($C$3),T_CALC[[#This Row],[DAY]]+1,6),NA())</f>
        <v>1.3122</v>
      </c>
      <c r="Q306" cm="1">
        <f t="array" aca="1" ref="Q306" ca="1">IFERROR(INDEX(_xlfn.ANCHORARRAY($C$3),T_CALC[[#This Row],[DAY]]+1,2),NA())</f>
        <v>0</v>
      </c>
    </row>
    <row r="307" spans="3:17">
      <c r="C307" vm="2512">
        <f ca="1"/>
        <v>43181</v>
      </c>
      <c r="D307">
        <f ca="1"/>
        <v>0</v>
      </c>
      <c r="E307" vm="2496">
        <f ca="1"/>
        <v>1.3123</v>
      </c>
      <c r="F307" vm="2513">
        <f ca="1"/>
        <v>1.3177000000000001</v>
      </c>
      <c r="G307" vm="2514">
        <f ca="1"/>
        <v>1.3106</v>
      </c>
      <c r="H307" vm="2493">
        <f ca="1"/>
        <v>1.3167</v>
      </c>
      <c r="K307">
        <f ca="1">IF(ROW(T_CALC[[#This Row],[DAY]])-ROW(T_CALC[[#Headers],[DAY]])&gt;C_N_TRADING_DAYS,"",ROW(T_CALC[[#This Row],[DAY]])-ROW(T_CALC[[#Headers],[DAY]]))</f>
        <v>304</v>
      </c>
      <c r="L307" cm="1" vm="2512">
        <f t="array" aca="1" ref="L307" ca="1">IFERROR(INDEX(_xlfn.ANCHORARRAY($C$3),T_CALC[[#This Row],[DAY]]+1,1),NA())</f>
        <v>43181</v>
      </c>
      <c r="M307" cm="1" vm="2496">
        <f t="array" aca="1" ref="M307" ca="1">IFERROR(INDEX(_xlfn.ANCHORARRAY($C$3),T_CALC[[#This Row],[DAY]]+1,3),NA())</f>
        <v>1.3123</v>
      </c>
      <c r="N307" cm="1" vm="2513">
        <f t="array" aca="1" ref="N307" ca="1">IFERROR(INDEX(_xlfn.ANCHORARRAY($C$3),T_CALC[[#This Row],[DAY]]+1,4),NA())</f>
        <v>1.3177000000000001</v>
      </c>
      <c r="O307" cm="1" vm="2514">
        <f t="array" aca="1" ref="O307" ca="1">IFERROR(INDEX(_xlfn.ANCHORARRAY($C$3),T_CALC[[#This Row],[DAY]]+1,5),NA())</f>
        <v>1.3106</v>
      </c>
      <c r="P307" cm="1" vm="2493">
        <f t="array" aca="1" ref="P307" ca="1">IFERROR(INDEX(_xlfn.ANCHORARRAY($C$3),T_CALC[[#This Row],[DAY]]+1,6),NA())</f>
        <v>1.3167</v>
      </c>
      <c r="Q307" cm="1">
        <f t="array" aca="1" ref="Q307" ca="1">IFERROR(INDEX(_xlfn.ANCHORARRAY($C$3),T_CALC[[#This Row],[DAY]]+1,2),NA())</f>
        <v>0</v>
      </c>
    </row>
    <row r="308" spans="3:17">
      <c r="C308" vm="2515">
        <f ca="1"/>
        <v>43182</v>
      </c>
      <c r="D308">
        <f ca="1"/>
        <v>0</v>
      </c>
      <c r="E308" vm="2358">
        <f ca="1"/>
        <v>1.3168</v>
      </c>
      <c r="F308" vm="2490">
        <f ca="1"/>
        <v>1.3170999999999999</v>
      </c>
      <c r="G308" vm="2516">
        <f ca="1"/>
        <v>1.3120000000000001</v>
      </c>
      <c r="H308" vm="2517">
        <f ca="1"/>
        <v>1.3151999999999999</v>
      </c>
      <c r="K308">
        <f ca="1">IF(ROW(T_CALC[[#This Row],[DAY]])-ROW(T_CALC[[#Headers],[DAY]])&gt;C_N_TRADING_DAYS,"",ROW(T_CALC[[#This Row],[DAY]])-ROW(T_CALC[[#Headers],[DAY]]))</f>
        <v>305</v>
      </c>
      <c r="L308" cm="1" vm="2515">
        <f t="array" aca="1" ref="L308" ca="1">IFERROR(INDEX(_xlfn.ANCHORARRAY($C$3),T_CALC[[#This Row],[DAY]]+1,1),NA())</f>
        <v>43182</v>
      </c>
      <c r="M308" cm="1" vm="2358">
        <f t="array" aca="1" ref="M308" ca="1">IFERROR(INDEX(_xlfn.ANCHORARRAY($C$3),T_CALC[[#This Row],[DAY]]+1,3),NA())</f>
        <v>1.3168</v>
      </c>
      <c r="N308" cm="1" vm="2490">
        <f t="array" aca="1" ref="N308" ca="1">IFERROR(INDEX(_xlfn.ANCHORARRAY($C$3),T_CALC[[#This Row],[DAY]]+1,4),NA())</f>
        <v>1.3170999999999999</v>
      </c>
      <c r="O308" cm="1" vm="2516">
        <f t="array" aca="1" ref="O308" ca="1">IFERROR(INDEX(_xlfn.ANCHORARRAY($C$3),T_CALC[[#This Row],[DAY]]+1,5),NA())</f>
        <v>1.3120000000000001</v>
      </c>
      <c r="P308" cm="1" vm="2517">
        <f t="array" aca="1" ref="P308" ca="1">IFERROR(INDEX(_xlfn.ANCHORARRAY($C$3),T_CALC[[#This Row],[DAY]]+1,6),NA())</f>
        <v>1.3151999999999999</v>
      </c>
      <c r="Q308" cm="1">
        <f t="array" aca="1" ref="Q308" ca="1">IFERROR(INDEX(_xlfn.ANCHORARRAY($C$3),T_CALC[[#This Row],[DAY]]+1,2),NA())</f>
        <v>0</v>
      </c>
    </row>
    <row r="309" spans="3:17">
      <c r="C309" vm="2518">
        <f ca="1"/>
        <v>43185</v>
      </c>
      <c r="D309">
        <f ca="1"/>
        <v>0</v>
      </c>
      <c r="E309" vm="2398">
        <f ca="1"/>
        <v>1.3141</v>
      </c>
      <c r="F309" vm="2519">
        <f ca="1"/>
        <v>1.3150999999999999</v>
      </c>
      <c r="G309" vm="2499">
        <f ca="1"/>
        <v>1.3077000000000001</v>
      </c>
      <c r="H309" vm="2520">
        <f ca="1"/>
        <v>1.3085</v>
      </c>
      <c r="K309">
        <f ca="1">IF(ROW(T_CALC[[#This Row],[DAY]])-ROW(T_CALC[[#Headers],[DAY]])&gt;C_N_TRADING_DAYS,"",ROW(T_CALC[[#This Row],[DAY]])-ROW(T_CALC[[#Headers],[DAY]]))</f>
        <v>306</v>
      </c>
      <c r="L309" cm="1" vm="2518">
        <f t="array" aca="1" ref="L309" ca="1">IFERROR(INDEX(_xlfn.ANCHORARRAY($C$3),T_CALC[[#This Row],[DAY]]+1,1),NA())</f>
        <v>43185</v>
      </c>
      <c r="M309" cm="1" vm="2398">
        <f t="array" aca="1" ref="M309" ca="1">IFERROR(INDEX(_xlfn.ANCHORARRAY($C$3),T_CALC[[#This Row],[DAY]]+1,3),NA())</f>
        <v>1.3141</v>
      </c>
      <c r="N309" cm="1" vm="2519">
        <f t="array" aca="1" ref="N309" ca="1">IFERROR(INDEX(_xlfn.ANCHORARRAY($C$3),T_CALC[[#This Row],[DAY]]+1,4),NA())</f>
        <v>1.3150999999999999</v>
      </c>
      <c r="O309" cm="1" vm="2499">
        <f t="array" aca="1" ref="O309" ca="1">IFERROR(INDEX(_xlfn.ANCHORARRAY($C$3),T_CALC[[#This Row],[DAY]]+1,5),NA())</f>
        <v>1.3077000000000001</v>
      </c>
      <c r="P309" cm="1" vm="2520">
        <f t="array" aca="1" ref="P309" ca="1">IFERROR(INDEX(_xlfn.ANCHORARRAY($C$3),T_CALC[[#This Row],[DAY]]+1,6),NA())</f>
        <v>1.3085</v>
      </c>
      <c r="Q309" cm="1">
        <f t="array" aca="1" ref="Q309" ca="1">IFERROR(INDEX(_xlfn.ANCHORARRAY($C$3),T_CALC[[#This Row],[DAY]]+1,2),NA())</f>
        <v>0</v>
      </c>
    </row>
    <row r="310" spans="3:17">
      <c r="C310" vm="2521">
        <f ca="1"/>
        <v>43186</v>
      </c>
      <c r="D310">
        <f ca="1"/>
        <v>0</v>
      </c>
      <c r="E310" vm="2439">
        <f ca="1"/>
        <v>1.3086</v>
      </c>
      <c r="F310" vm="2522">
        <f ca="1"/>
        <v>1.3104</v>
      </c>
      <c r="G310" vm="2523">
        <f ca="1"/>
        <v>1.3048999999999999</v>
      </c>
      <c r="H310" vm="2524">
        <f ca="1"/>
        <v>1.3096000000000001</v>
      </c>
      <c r="K310">
        <f ca="1">IF(ROW(T_CALC[[#This Row],[DAY]])-ROW(T_CALC[[#Headers],[DAY]])&gt;C_N_TRADING_DAYS,"",ROW(T_CALC[[#This Row],[DAY]])-ROW(T_CALC[[#Headers],[DAY]]))</f>
        <v>307</v>
      </c>
      <c r="L310" cm="1" vm="2521">
        <f t="array" aca="1" ref="L310" ca="1">IFERROR(INDEX(_xlfn.ANCHORARRAY($C$3),T_CALC[[#This Row],[DAY]]+1,1),NA())</f>
        <v>43186</v>
      </c>
      <c r="M310" cm="1" vm="2439">
        <f t="array" aca="1" ref="M310" ca="1">IFERROR(INDEX(_xlfn.ANCHORARRAY($C$3),T_CALC[[#This Row],[DAY]]+1,3),NA())</f>
        <v>1.3086</v>
      </c>
      <c r="N310" cm="1" vm="2522">
        <f t="array" aca="1" ref="N310" ca="1">IFERROR(INDEX(_xlfn.ANCHORARRAY($C$3),T_CALC[[#This Row],[DAY]]+1,4),NA())</f>
        <v>1.3104</v>
      </c>
      <c r="O310" cm="1" vm="2523">
        <f t="array" aca="1" ref="O310" ca="1">IFERROR(INDEX(_xlfn.ANCHORARRAY($C$3),T_CALC[[#This Row],[DAY]]+1,5),NA())</f>
        <v>1.3048999999999999</v>
      </c>
      <c r="P310" cm="1" vm="2524">
        <f t="array" aca="1" ref="P310" ca="1">IFERROR(INDEX(_xlfn.ANCHORARRAY($C$3),T_CALC[[#This Row],[DAY]]+1,6),NA())</f>
        <v>1.3096000000000001</v>
      </c>
      <c r="Q310" cm="1">
        <f t="array" aca="1" ref="Q310" ca="1">IFERROR(INDEX(_xlfn.ANCHORARRAY($C$3),T_CALC[[#This Row],[DAY]]+1,2),NA())</f>
        <v>0</v>
      </c>
    </row>
    <row r="311" spans="3:17">
      <c r="C311" vm="2525">
        <f ca="1"/>
        <v>43187</v>
      </c>
      <c r="D311">
        <f ca="1"/>
        <v>0</v>
      </c>
      <c r="E311" vm="2387">
        <f ca="1"/>
        <v>1.3099000000000001</v>
      </c>
      <c r="F311" vm="2526">
        <f ca="1"/>
        <v>1.3128</v>
      </c>
      <c r="G311" vm="2394">
        <f ca="1"/>
        <v>1.3066</v>
      </c>
      <c r="H311" vm="2510">
        <f ca="1"/>
        <v>1.3113999999999999</v>
      </c>
      <c r="K311">
        <f ca="1">IF(ROW(T_CALC[[#This Row],[DAY]])-ROW(T_CALC[[#Headers],[DAY]])&gt;C_N_TRADING_DAYS,"",ROW(T_CALC[[#This Row],[DAY]])-ROW(T_CALC[[#Headers],[DAY]]))</f>
        <v>308</v>
      </c>
      <c r="L311" cm="1" vm="2525">
        <f t="array" aca="1" ref="L311" ca="1">IFERROR(INDEX(_xlfn.ANCHORARRAY($C$3),T_CALC[[#This Row],[DAY]]+1,1),NA())</f>
        <v>43187</v>
      </c>
      <c r="M311" cm="1" vm="2387">
        <f t="array" aca="1" ref="M311" ca="1">IFERROR(INDEX(_xlfn.ANCHORARRAY($C$3),T_CALC[[#This Row],[DAY]]+1,3),NA())</f>
        <v>1.3099000000000001</v>
      </c>
      <c r="N311" cm="1" vm="2526">
        <f t="array" aca="1" ref="N311" ca="1">IFERROR(INDEX(_xlfn.ANCHORARRAY($C$3),T_CALC[[#This Row],[DAY]]+1,4),NA())</f>
        <v>1.3128</v>
      </c>
      <c r="O311" cm="1" vm="2394">
        <f t="array" aca="1" ref="O311" ca="1">IFERROR(INDEX(_xlfn.ANCHORARRAY($C$3),T_CALC[[#This Row],[DAY]]+1,5),NA())</f>
        <v>1.3066</v>
      </c>
      <c r="P311" cm="1" vm="2510">
        <f t="array" aca="1" ref="P311" ca="1">IFERROR(INDEX(_xlfn.ANCHORARRAY($C$3),T_CALC[[#This Row],[DAY]]+1,6),NA())</f>
        <v>1.3113999999999999</v>
      </c>
      <c r="Q311" cm="1">
        <f t="array" aca="1" ref="Q311" ca="1">IFERROR(INDEX(_xlfn.ANCHORARRAY($C$3),T_CALC[[#This Row],[DAY]]+1,2),NA())</f>
        <v>0</v>
      </c>
    </row>
    <row r="312" spans="3:17">
      <c r="C312" vm="2527">
        <f ca="1"/>
        <v>43188</v>
      </c>
      <c r="D312">
        <f ca="1"/>
        <v>0</v>
      </c>
      <c r="E312" vm="2395">
        <f ca="1"/>
        <v>1.3117000000000001</v>
      </c>
      <c r="F312" vm="2528">
        <f ca="1"/>
        <v>1.3136000000000001</v>
      </c>
      <c r="G312" vm="2529">
        <f ca="1"/>
        <v>1.3092999999999999</v>
      </c>
      <c r="H312" vm="2530">
        <f ca="1"/>
        <v>1.3107</v>
      </c>
      <c r="K312">
        <f ca="1">IF(ROW(T_CALC[[#This Row],[DAY]])-ROW(T_CALC[[#Headers],[DAY]])&gt;C_N_TRADING_DAYS,"",ROW(T_CALC[[#This Row],[DAY]])-ROW(T_CALC[[#Headers],[DAY]]))</f>
        <v>309</v>
      </c>
      <c r="L312" cm="1" vm="2527">
        <f t="array" aca="1" ref="L312" ca="1">IFERROR(INDEX(_xlfn.ANCHORARRAY($C$3),T_CALC[[#This Row],[DAY]]+1,1),NA())</f>
        <v>43188</v>
      </c>
      <c r="M312" cm="1" vm="2395">
        <f t="array" aca="1" ref="M312" ca="1">IFERROR(INDEX(_xlfn.ANCHORARRAY($C$3),T_CALC[[#This Row],[DAY]]+1,3),NA())</f>
        <v>1.3117000000000001</v>
      </c>
      <c r="N312" cm="1" vm="2528">
        <f t="array" aca="1" ref="N312" ca="1">IFERROR(INDEX(_xlfn.ANCHORARRAY($C$3),T_CALC[[#This Row],[DAY]]+1,4),NA())</f>
        <v>1.3136000000000001</v>
      </c>
      <c r="O312" cm="1" vm="2529">
        <f t="array" aca="1" ref="O312" ca="1">IFERROR(INDEX(_xlfn.ANCHORARRAY($C$3),T_CALC[[#This Row],[DAY]]+1,5),NA())</f>
        <v>1.3092999999999999</v>
      </c>
      <c r="P312" cm="1" vm="2530">
        <f t="array" aca="1" ref="P312" ca="1">IFERROR(INDEX(_xlfn.ANCHORARRAY($C$3),T_CALC[[#This Row],[DAY]]+1,6),NA())</f>
        <v>1.3107</v>
      </c>
      <c r="Q312" cm="1">
        <f t="array" aca="1" ref="Q312" ca="1">IFERROR(INDEX(_xlfn.ANCHORARRAY($C$3),T_CALC[[#This Row],[DAY]]+1,2),NA())</f>
        <v>0</v>
      </c>
    </row>
    <row r="313" spans="3:17">
      <c r="C313" vm="2531">
        <f ca="1"/>
        <v>43189</v>
      </c>
      <c r="D313">
        <f ca="1"/>
        <v>0</v>
      </c>
      <c r="E313" vm="2391">
        <f ca="1"/>
        <v>1.3112999999999999</v>
      </c>
      <c r="F313" vm="2395">
        <f ca="1"/>
        <v>1.3117000000000001</v>
      </c>
      <c r="G313" vm="2532">
        <f ca="1"/>
        <v>1.3091999999999999</v>
      </c>
      <c r="H313" vm="2530">
        <f ca="1"/>
        <v>1.3107</v>
      </c>
      <c r="K313">
        <f ca="1">IF(ROW(T_CALC[[#This Row],[DAY]])-ROW(T_CALC[[#Headers],[DAY]])&gt;C_N_TRADING_DAYS,"",ROW(T_CALC[[#This Row],[DAY]])-ROW(T_CALC[[#Headers],[DAY]]))</f>
        <v>310</v>
      </c>
      <c r="L313" cm="1" vm="2531">
        <f t="array" aca="1" ref="L313" ca="1">IFERROR(INDEX(_xlfn.ANCHORARRAY($C$3),T_CALC[[#This Row],[DAY]]+1,1),NA())</f>
        <v>43189</v>
      </c>
      <c r="M313" cm="1" vm="2391">
        <f t="array" aca="1" ref="M313" ca="1">IFERROR(INDEX(_xlfn.ANCHORARRAY($C$3),T_CALC[[#This Row],[DAY]]+1,3),NA())</f>
        <v>1.3112999999999999</v>
      </c>
      <c r="N313" cm="1" vm="2395">
        <f t="array" aca="1" ref="N313" ca="1">IFERROR(INDEX(_xlfn.ANCHORARRAY($C$3),T_CALC[[#This Row],[DAY]]+1,4),NA())</f>
        <v>1.3117000000000001</v>
      </c>
      <c r="O313" cm="1" vm="2532">
        <f t="array" aca="1" ref="O313" ca="1">IFERROR(INDEX(_xlfn.ANCHORARRAY($C$3),T_CALC[[#This Row],[DAY]]+1,5),NA())</f>
        <v>1.3091999999999999</v>
      </c>
      <c r="P313" cm="1" vm="2530">
        <f t="array" aca="1" ref="P313" ca="1">IFERROR(INDEX(_xlfn.ANCHORARRAY($C$3),T_CALC[[#This Row],[DAY]]+1,6),NA())</f>
        <v>1.3107</v>
      </c>
      <c r="Q313" cm="1">
        <f t="array" aca="1" ref="Q313" ca="1">IFERROR(INDEX(_xlfn.ANCHORARRAY($C$3),T_CALC[[#This Row],[DAY]]+1,2),NA())</f>
        <v>0</v>
      </c>
    </row>
    <row r="314" spans="3:17">
      <c r="C314" vm="2533">
        <f ca="1"/>
        <v>43192</v>
      </c>
      <c r="D314">
        <f ca="1"/>
        <v>0</v>
      </c>
      <c r="E314" vm="2530">
        <f ca="1"/>
        <v>1.3107</v>
      </c>
      <c r="F314" vm="2534">
        <f ca="1"/>
        <v>1.3129999999999999</v>
      </c>
      <c r="G314" vm="2535">
        <f ca="1"/>
        <v>1.3087</v>
      </c>
      <c r="H314" vm="2447">
        <f ca="1"/>
        <v>1.3124</v>
      </c>
      <c r="K314">
        <f ca="1">IF(ROW(T_CALC[[#This Row],[DAY]])-ROW(T_CALC[[#Headers],[DAY]])&gt;C_N_TRADING_DAYS,"",ROW(T_CALC[[#This Row],[DAY]])-ROW(T_CALC[[#Headers],[DAY]]))</f>
        <v>311</v>
      </c>
      <c r="L314" cm="1" vm="2533">
        <f t="array" aca="1" ref="L314" ca="1">IFERROR(INDEX(_xlfn.ANCHORARRAY($C$3),T_CALC[[#This Row],[DAY]]+1,1),NA())</f>
        <v>43192</v>
      </c>
      <c r="M314" cm="1" vm="2530">
        <f t="array" aca="1" ref="M314" ca="1">IFERROR(INDEX(_xlfn.ANCHORARRAY($C$3),T_CALC[[#This Row],[DAY]]+1,3),NA())</f>
        <v>1.3107</v>
      </c>
      <c r="N314" cm="1" vm="2534">
        <f t="array" aca="1" ref="N314" ca="1">IFERROR(INDEX(_xlfn.ANCHORARRAY($C$3),T_CALC[[#This Row],[DAY]]+1,4),NA())</f>
        <v>1.3129999999999999</v>
      </c>
      <c r="O314" cm="1" vm="2535">
        <f t="array" aca="1" ref="O314" ca="1">IFERROR(INDEX(_xlfn.ANCHORARRAY($C$3),T_CALC[[#This Row],[DAY]]+1,5),NA())</f>
        <v>1.3087</v>
      </c>
      <c r="P314" cm="1" vm="2447">
        <f t="array" aca="1" ref="P314" ca="1">IFERROR(INDEX(_xlfn.ANCHORARRAY($C$3),T_CALC[[#This Row],[DAY]]+1,6),NA())</f>
        <v>1.3124</v>
      </c>
      <c r="Q314" cm="1">
        <f t="array" aca="1" ref="Q314" ca="1">IFERROR(INDEX(_xlfn.ANCHORARRAY($C$3),T_CALC[[#This Row],[DAY]]+1,2),NA())</f>
        <v>0</v>
      </c>
    </row>
    <row r="315" spans="3:17">
      <c r="C315" vm="2536">
        <f ca="1"/>
        <v>43193</v>
      </c>
      <c r="D315">
        <f ca="1"/>
        <v>0</v>
      </c>
      <c r="E315" vm="2447">
        <f ca="1"/>
        <v>1.3124</v>
      </c>
      <c r="F315" vm="2534">
        <f ca="1"/>
        <v>1.3129999999999999</v>
      </c>
      <c r="G315" vm="2537">
        <f ca="1"/>
        <v>1.3084</v>
      </c>
      <c r="H315" vm="2510">
        <f ca="1"/>
        <v>1.3113999999999999</v>
      </c>
      <c r="K315">
        <f ca="1">IF(ROW(T_CALC[[#This Row],[DAY]])-ROW(T_CALC[[#Headers],[DAY]])&gt;C_N_TRADING_DAYS,"",ROW(T_CALC[[#This Row],[DAY]])-ROW(T_CALC[[#Headers],[DAY]]))</f>
        <v>312</v>
      </c>
      <c r="L315" cm="1" vm="2536">
        <f t="array" aca="1" ref="L315" ca="1">IFERROR(INDEX(_xlfn.ANCHORARRAY($C$3),T_CALC[[#This Row],[DAY]]+1,1),NA())</f>
        <v>43193</v>
      </c>
      <c r="M315" cm="1" vm="2447">
        <f t="array" aca="1" ref="M315" ca="1">IFERROR(INDEX(_xlfn.ANCHORARRAY($C$3),T_CALC[[#This Row],[DAY]]+1,3),NA())</f>
        <v>1.3124</v>
      </c>
      <c r="N315" cm="1" vm="2534">
        <f t="array" aca="1" ref="N315" ca="1">IFERROR(INDEX(_xlfn.ANCHORARRAY($C$3),T_CALC[[#This Row],[DAY]]+1,4),NA())</f>
        <v>1.3129999999999999</v>
      </c>
      <c r="O315" cm="1" vm="2537">
        <f t="array" aca="1" ref="O315" ca="1">IFERROR(INDEX(_xlfn.ANCHORARRAY($C$3),T_CALC[[#This Row],[DAY]]+1,5),NA())</f>
        <v>1.3084</v>
      </c>
      <c r="P315" cm="1" vm="2510">
        <f t="array" aca="1" ref="P315" ca="1">IFERROR(INDEX(_xlfn.ANCHORARRAY($C$3),T_CALC[[#This Row],[DAY]]+1,6),NA())</f>
        <v>1.3113999999999999</v>
      </c>
      <c r="Q315" cm="1">
        <f t="array" aca="1" ref="Q315" ca="1">IFERROR(INDEX(_xlfn.ANCHORARRAY($C$3),T_CALC[[#This Row],[DAY]]+1,2),NA())</f>
        <v>0</v>
      </c>
    </row>
    <row r="316" spans="3:17">
      <c r="C316" vm="2538">
        <f ca="1"/>
        <v>43194</v>
      </c>
      <c r="D316">
        <f ca="1"/>
        <v>0</v>
      </c>
      <c r="E316" vm="2391">
        <f ca="1"/>
        <v>1.3112999999999999</v>
      </c>
      <c r="F316" vm="2407">
        <f ca="1"/>
        <v>1.3154999999999999</v>
      </c>
      <c r="G316" vm="2539">
        <f ca="1"/>
        <v>1.3090999999999999</v>
      </c>
      <c r="H316" vm="2540">
        <f ca="1"/>
        <v>1.3119000000000001</v>
      </c>
      <c r="K316">
        <f ca="1">IF(ROW(T_CALC[[#This Row],[DAY]])-ROW(T_CALC[[#Headers],[DAY]])&gt;C_N_TRADING_DAYS,"",ROW(T_CALC[[#This Row],[DAY]])-ROW(T_CALC[[#Headers],[DAY]]))</f>
        <v>313</v>
      </c>
      <c r="L316" cm="1" vm="2538">
        <f t="array" aca="1" ref="L316" ca="1">IFERROR(INDEX(_xlfn.ANCHORARRAY($C$3),T_CALC[[#This Row],[DAY]]+1,1),NA())</f>
        <v>43194</v>
      </c>
      <c r="M316" cm="1" vm="2391">
        <f t="array" aca="1" ref="M316" ca="1">IFERROR(INDEX(_xlfn.ANCHORARRAY($C$3),T_CALC[[#This Row],[DAY]]+1,3),NA())</f>
        <v>1.3112999999999999</v>
      </c>
      <c r="N316" cm="1" vm="2407">
        <f t="array" aca="1" ref="N316" ca="1">IFERROR(INDEX(_xlfn.ANCHORARRAY($C$3),T_CALC[[#This Row],[DAY]]+1,4),NA())</f>
        <v>1.3154999999999999</v>
      </c>
      <c r="O316" cm="1" vm="2539">
        <f t="array" aca="1" ref="O316" ca="1">IFERROR(INDEX(_xlfn.ANCHORARRAY($C$3),T_CALC[[#This Row],[DAY]]+1,5),NA())</f>
        <v>1.3090999999999999</v>
      </c>
      <c r="P316" cm="1" vm="2540">
        <f t="array" aca="1" ref="P316" ca="1">IFERROR(INDEX(_xlfn.ANCHORARRAY($C$3),T_CALC[[#This Row],[DAY]]+1,6),NA())</f>
        <v>1.3119000000000001</v>
      </c>
      <c r="Q316" cm="1">
        <f t="array" aca="1" ref="Q316" ca="1">IFERROR(INDEX(_xlfn.ANCHORARRAY($C$3),T_CALC[[#This Row],[DAY]]+1,2),NA())</f>
        <v>0</v>
      </c>
    </row>
    <row r="317" spans="3:17">
      <c r="C317" vm="2541">
        <f ca="1"/>
        <v>43195</v>
      </c>
      <c r="D317">
        <f ca="1"/>
        <v>0</v>
      </c>
      <c r="E317" vm="2397">
        <f ca="1"/>
        <v>1.3118000000000001</v>
      </c>
      <c r="F317" vm="2370">
        <f ca="1"/>
        <v>1.3169999999999999</v>
      </c>
      <c r="G317" vm="2542">
        <f ca="1"/>
        <v>1.3109999999999999</v>
      </c>
      <c r="H317" vm="2486">
        <f ca="1"/>
        <v>1.3160000000000001</v>
      </c>
      <c r="K317">
        <f ca="1">IF(ROW(T_CALC[[#This Row],[DAY]])-ROW(T_CALC[[#Headers],[DAY]])&gt;C_N_TRADING_DAYS,"",ROW(T_CALC[[#This Row],[DAY]])-ROW(T_CALC[[#Headers],[DAY]]))</f>
        <v>314</v>
      </c>
      <c r="L317" cm="1" vm="2541">
        <f t="array" aca="1" ref="L317" ca="1">IFERROR(INDEX(_xlfn.ANCHORARRAY($C$3),T_CALC[[#This Row],[DAY]]+1,1),NA())</f>
        <v>43195</v>
      </c>
      <c r="M317" cm="1" vm="2397">
        <f t="array" aca="1" ref="M317" ca="1">IFERROR(INDEX(_xlfn.ANCHORARRAY($C$3),T_CALC[[#This Row],[DAY]]+1,3),NA())</f>
        <v>1.3118000000000001</v>
      </c>
      <c r="N317" cm="1" vm="2370">
        <f t="array" aca="1" ref="N317" ca="1">IFERROR(INDEX(_xlfn.ANCHORARRAY($C$3),T_CALC[[#This Row],[DAY]]+1,4),NA())</f>
        <v>1.3169999999999999</v>
      </c>
      <c r="O317" cm="1" vm="2542">
        <f t="array" aca="1" ref="O317" ca="1">IFERROR(INDEX(_xlfn.ANCHORARRAY($C$3),T_CALC[[#This Row],[DAY]]+1,5),NA())</f>
        <v>1.3109999999999999</v>
      </c>
      <c r="P317" cm="1" vm="2486">
        <f t="array" aca="1" ref="P317" ca="1">IFERROR(INDEX(_xlfn.ANCHORARRAY($C$3),T_CALC[[#This Row],[DAY]]+1,6),NA())</f>
        <v>1.3160000000000001</v>
      </c>
      <c r="Q317" cm="1">
        <f t="array" aca="1" ref="Q317" ca="1">IFERROR(INDEX(_xlfn.ANCHORARRAY($C$3),T_CALC[[#This Row],[DAY]]+1,2),NA())</f>
        <v>0</v>
      </c>
    </row>
    <row r="318" spans="3:17">
      <c r="C318" vm="2543">
        <f ca="1"/>
        <v>43196</v>
      </c>
      <c r="D318">
        <f ca="1"/>
        <v>0</v>
      </c>
      <c r="E318" vm="2492">
        <f ca="1"/>
        <v>1.3158000000000001</v>
      </c>
      <c r="F318" vm="2342">
        <f ca="1"/>
        <v>1.3197000000000001</v>
      </c>
      <c r="G318" vm="2544">
        <f ca="1"/>
        <v>1.3146</v>
      </c>
      <c r="H318" vm="2545">
        <f ca="1"/>
        <v>1.3153999999999999</v>
      </c>
      <c r="K318">
        <f ca="1">IF(ROW(T_CALC[[#This Row],[DAY]])-ROW(T_CALC[[#Headers],[DAY]])&gt;C_N_TRADING_DAYS,"",ROW(T_CALC[[#This Row],[DAY]])-ROW(T_CALC[[#Headers],[DAY]]))</f>
        <v>315</v>
      </c>
      <c r="L318" cm="1" vm="2543">
        <f t="array" aca="1" ref="L318" ca="1">IFERROR(INDEX(_xlfn.ANCHORARRAY($C$3),T_CALC[[#This Row],[DAY]]+1,1),NA())</f>
        <v>43196</v>
      </c>
      <c r="M318" cm="1" vm="2492">
        <f t="array" aca="1" ref="M318" ca="1">IFERROR(INDEX(_xlfn.ANCHORARRAY($C$3),T_CALC[[#This Row],[DAY]]+1,3),NA())</f>
        <v>1.3158000000000001</v>
      </c>
      <c r="N318" cm="1" vm="2342">
        <f t="array" aca="1" ref="N318" ca="1">IFERROR(INDEX(_xlfn.ANCHORARRAY($C$3),T_CALC[[#This Row],[DAY]]+1,4),NA())</f>
        <v>1.3197000000000001</v>
      </c>
      <c r="O318" cm="1" vm="2544">
        <f t="array" aca="1" ref="O318" ca="1">IFERROR(INDEX(_xlfn.ANCHORARRAY($C$3),T_CALC[[#This Row],[DAY]]+1,5),NA())</f>
        <v>1.3146</v>
      </c>
      <c r="P318" cm="1" vm="2545">
        <f t="array" aca="1" ref="P318" ca="1">IFERROR(INDEX(_xlfn.ANCHORARRAY($C$3),T_CALC[[#This Row],[DAY]]+1,6),NA())</f>
        <v>1.3153999999999999</v>
      </c>
      <c r="Q318" cm="1">
        <f t="array" aca="1" ref="Q318" ca="1">IFERROR(INDEX(_xlfn.ANCHORARRAY($C$3),T_CALC[[#This Row],[DAY]]+1,2),NA())</f>
        <v>0</v>
      </c>
    </row>
    <row r="319" spans="3:17">
      <c r="C319" vm="2546">
        <f ca="1"/>
        <v>43199</v>
      </c>
      <c r="D319">
        <f ca="1"/>
        <v>0</v>
      </c>
      <c r="E319" vm="2407">
        <f ca="1"/>
        <v>1.3154999999999999</v>
      </c>
      <c r="F319" vm="2358">
        <f ca="1"/>
        <v>1.3168</v>
      </c>
      <c r="G319" vm="2547">
        <f ca="1"/>
        <v>1.3105</v>
      </c>
      <c r="H319" vm="2548">
        <f ca="1"/>
        <v>1.3111999999999999</v>
      </c>
      <c r="K319">
        <f ca="1">IF(ROW(T_CALC[[#This Row],[DAY]])-ROW(T_CALC[[#Headers],[DAY]])&gt;C_N_TRADING_DAYS,"",ROW(T_CALC[[#This Row],[DAY]])-ROW(T_CALC[[#Headers],[DAY]]))</f>
        <v>316</v>
      </c>
      <c r="L319" cm="1" vm="2546">
        <f t="array" aca="1" ref="L319" ca="1">IFERROR(INDEX(_xlfn.ANCHORARRAY($C$3),T_CALC[[#This Row],[DAY]]+1,1),NA())</f>
        <v>43199</v>
      </c>
      <c r="M319" cm="1" vm="2407">
        <f t="array" aca="1" ref="M319" ca="1">IFERROR(INDEX(_xlfn.ANCHORARRAY($C$3),T_CALC[[#This Row],[DAY]]+1,3),NA())</f>
        <v>1.3154999999999999</v>
      </c>
      <c r="N319" cm="1" vm="2358">
        <f t="array" aca="1" ref="N319" ca="1">IFERROR(INDEX(_xlfn.ANCHORARRAY($C$3),T_CALC[[#This Row],[DAY]]+1,4),NA())</f>
        <v>1.3168</v>
      </c>
      <c r="O319" cm="1" vm="2547">
        <f t="array" aca="1" ref="O319" ca="1">IFERROR(INDEX(_xlfn.ANCHORARRAY($C$3),T_CALC[[#This Row],[DAY]]+1,5),NA())</f>
        <v>1.3105</v>
      </c>
      <c r="P319" cm="1" vm="2548">
        <f t="array" aca="1" ref="P319" ca="1">IFERROR(INDEX(_xlfn.ANCHORARRAY($C$3),T_CALC[[#This Row],[DAY]]+1,6),NA())</f>
        <v>1.3111999999999999</v>
      </c>
      <c r="Q319" cm="1">
        <f t="array" aca="1" ref="Q319" ca="1">IFERROR(INDEX(_xlfn.ANCHORARRAY($C$3),T_CALC[[#This Row],[DAY]]+1,2),NA())</f>
        <v>0</v>
      </c>
    </row>
    <row r="320" spans="3:17">
      <c r="C320" vm="2549">
        <f ca="1"/>
        <v>43200</v>
      </c>
      <c r="D320">
        <f ca="1"/>
        <v>0</v>
      </c>
      <c r="E320" vm="2494">
        <f ca="1"/>
        <v>1.3115000000000001</v>
      </c>
      <c r="F320" vm="2395">
        <f ca="1"/>
        <v>1.3117000000000001</v>
      </c>
      <c r="G320" vm="2537">
        <f ca="1"/>
        <v>1.3084</v>
      </c>
      <c r="H320" vm="2437">
        <f ca="1"/>
        <v>1.3089999999999999</v>
      </c>
      <c r="K320">
        <f ca="1">IF(ROW(T_CALC[[#This Row],[DAY]])-ROW(T_CALC[[#Headers],[DAY]])&gt;C_N_TRADING_DAYS,"",ROW(T_CALC[[#This Row],[DAY]])-ROW(T_CALC[[#Headers],[DAY]]))</f>
        <v>317</v>
      </c>
      <c r="L320" cm="1" vm="2549">
        <f t="array" aca="1" ref="L320" ca="1">IFERROR(INDEX(_xlfn.ANCHORARRAY($C$3),T_CALC[[#This Row],[DAY]]+1,1),NA())</f>
        <v>43200</v>
      </c>
      <c r="M320" cm="1" vm="2494">
        <f t="array" aca="1" ref="M320" ca="1">IFERROR(INDEX(_xlfn.ANCHORARRAY($C$3),T_CALC[[#This Row],[DAY]]+1,3),NA())</f>
        <v>1.3115000000000001</v>
      </c>
      <c r="N320" cm="1" vm="2395">
        <f t="array" aca="1" ref="N320" ca="1">IFERROR(INDEX(_xlfn.ANCHORARRAY($C$3),T_CALC[[#This Row],[DAY]]+1,4),NA())</f>
        <v>1.3117000000000001</v>
      </c>
      <c r="O320" cm="1" vm="2537">
        <f t="array" aca="1" ref="O320" ca="1">IFERROR(INDEX(_xlfn.ANCHORARRAY($C$3),T_CALC[[#This Row],[DAY]]+1,5),NA())</f>
        <v>1.3084</v>
      </c>
      <c r="P320" cm="1" vm="2437">
        <f t="array" aca="1" ref="P320" ca="1">IFERROR(INDEX(_xlfn.ANCHORARRAY($C$3),T_CALC[[#This Row],[DAY]]+1,6),NA())</f>
        <v>1.3089999999999999</v>
      </c>
      <c r="Q320" cm="1">
        <f t="array" aca="1" ref="Q320" ca="1">IFERROR(INDEX(_xlfn.ANCHORARRAY($C$3),T_CALC[[#This Row],[DAY]]+1,2),NA())</f>
        <v>0</v>
      </c>
    </row>
    <row r="321" spans="3:17">
      <c r="C321" vm="2550">
        <f ca="1"/>
        <v>43201</v>
      </c>
      <c r="D321">
        <f ca="1"/>
        <v>0</v>
      </c>
      <c r="E321" vm="2500">
        <f ca="1"/>
        <v>1.3089</v>
      </c>
      <c r="F321" vm="2551">
        <f ca="1"/>
        <v>1.3098000000000001</v>
      </c>
      <c r="G321" vm="2375">
        <f ca="1"/>
        <v>1.3070999999999999</v>
      </c>
      <c r="H321" vm="2500">
        <f ca="1"/>
        <v>1.3089</v>
      </c>
      <c r="K321">
        <f ca="1">IF(ROW(T_CALC[[#This Row],[DAY]])-ROW(T_CALC[[#Headers],[DAY]])&gt;C_N_TRADING_DAYS,"",ROW(T_CALC[[#This Row],[DAY]])-ROW(T_CALC[[#Headers],[DAY]]))</f>
        <v>318</v>
      </c>
      <c r="L321" cm="1" vm="2550">
        <f t="array" aca="1" ref="L321" ca="1">IFERROR(INDEX(_xlfn.ANCHORARRAY($C$3),T_CALC[[#This Row],[DAY]]+1,1),NA())</f>
        <v>43201</v>
      </c>
      <c r="M321" cm="1" vm="2500">
        <f t="array" aca="1" ref="M321" ca="1">IFERROR(INDEX(_xlfn.ANCHORARRAY($C$3),T_CALC[[#This Row],[DAY]]+1,3),NA())</f>
        <v>1.3089</v>
      </c>
      <c r="N321" cm="1" vm="2551">
        <f t="array" aca="1" ref="N321" ca="1">IFERROR(INDEX(_xlfn.ANCHORARRAY($C$3),T_CALC[[#This Row],[DAY]]+1,4),NA())</f>
        <v>1.3098000000000001</v>
      </c>
      <c r="O321" cm="1" vm="2375">
        <f t="array" aca="1" ref="O321" ca="1">IFERROR(INDEX(_xlfn.ANCHORARRAY($C$3),T_CALC[[#This Row],[DAY]]+1,5),NA())</f>
        <v>1.3070999999999999</v>
      </c>
      <c r="P321" cm="1" vm="2500">
        <f t="array" aca="1" ref="P321" ca="1">IFERROR(INDEX(_xlfn.ANCHORARRAY($C$3),T_CALC[[#This Row],[DAY]]+1,6),NA())</f>
        <v>1.3089</v>
      </c>
      <c r="Q321" cm="1">
        <f t="array" aca="1" ref="Q321" ca="1">IFERROR(INDEX(_xlfn.ANCHORARRAY($C$3),T_CALC[[#This Row],[DAY]]+1,2),NA())</f>
        <v>0</v>
      </c>
    </row>
    <row r="322" spans="3:17">
      <c r="C322" vm="2552">
        <f ca="1"/>
        <v>43202</v>
      </c>
      <c r="D322">
        <f ca="1"/>
        <v>0</v>
      </c>
      <c r="E322" vm="2553">
        <f ca="1"/>
        <v>1.3083</v>
      </c>
      <c r="F322" vm="2440">
        <f ca="1"/>
        <v>1.3130999999999999</v>
      </c>
      <c r="G322" vm="2375">
        <f ca="1"/>
        <v>1.3070999999999999</v>
      </c>
      <c r="H322" vm="2496">
        <f ca="1"/>
        <v>1.3123</v>
      </c>
      <c r="K322">
        <f ca="1">IF(ROW(T_CALC[[#This Row],[DAY]])-ROW(T_CALC[[#Headers],[DAY]])&gt;C_N_TRADING_DAYS,"",ROW(T_CALC[[#This Row],[DAY]])-ROW(T_CALC[[#Headers],[DAY]]))</f>
        <v>319</v>
      </c>
      <c r="L322" cm="1" vm="2552">
        <f t="array" aca="1" ref="L322" ca="1">IFERROR(INDEX(_xlfn.ANCHORARRAY($C$3),T_CALC[[#This Row],[DAY]]+1,1),NA())</f>
        <v>43202</v>
      </c>
      <c r="M322" cm="1" vm="2553">
        <f t="array" aca="1" ref="M322" ca="1">IFERROR(INDEX(_xlfn.ANCHORARRAY($C$3),T_CALC[[#This Row],[DAY]]+1,3),NA())</f>
        <v>1.3083</v>
      </c>
      <c r="N322" cm="1" vm="2440">
        <f t="array" aca="1" ref="N322" ca="1">IFERROR(INDEX(_xlfn.ANCHORARRAY($C$3),T_CALC[[#This Row],[DAY]]+1,4),NA())</f>
        <v>1.3130999999999999</v>
      </c>
      <c r="O322" cm="1" vm="2375">
        <f t="array" aca="1" ref="O322" ca="1">IFERROR(INDEX(_xlfn.ANCHORARRAY($C$3),T_CALC[[#This Row],[DAY]]+1,5),NA())</f>
        <v>1.3070999999999999</v>
      </c>
      <c r="P322" cm="1" vm="2496">
        <f t="array" aca="1" ref="P322" ca="1">IFERROR(INDEX(_xlfn.ANCHORARRAY($C$3),T_CALC[[#This Row],[DAY]]+1,6),NA())</f>
        <v>1.3123</v>
      </c>
      <c r="Q322" cm="1">
        <f t="array" aca="1" ref="Q322" ca="1">IFERROR(INDEX(_xlfn.ANCHORARRAY($C$3),T_CALC[[#This Row],[DAY]]+1,2),NA())</f>
        <v>0</v>
      </c>
    </row>
    <row r="323" spans="3:17">
      <c r="C323" vm="2554">
        <f ca="1"/>
        <v>43203</v>
      </c>
      <c r="D323">
        <f ca="1"/>
        <v>0</v>
      </c>
      <c r="E323" vm="2447">
        <f ca="1"/>
        <v>1.3124</v>
      </c>
      <c r="F323" vm="2534">
        <f ca="1"/>
        <v>1.3129999999999999</v>
      </c>
      <c r="G323" vm="2401">
        <f ca="1"/>
        <v>1.3079000000000001</v>
      </c>
      <c r="H323" vm="2395">
        <f ca="1"/>
        <v>1.3117000000000001</v>
      </c>
      <c r="K323">
        <f ca="1">IF(ROW(T_CALC[[#This Row],[DAY]])-ROW(T_CALC[[#Headers],[DAY]])&gt;C_N_TRADING_DAYS,"",ROW(T_CALC[[#This Row],[DAY]])-ROW(T_CALC[[#Headers],[DAY]]))</f>
        <v>320</v>
      </c>
      <c r="L323" cm="1" vm="2554">
        <f t="array" aca="1" ref="L323" ca="1">IFERROR(INDEX(_xlfn.ANCHORARRAY($C$3),T_CALC[[#This Row],[DAY]]+1,1),NA())</f>
        <v>43203</v>
      </c>
      <c r="M323" cm="1" vm="2447">
        <f t="array" aca="1" ref="M323" ca="1">IFERROR(INDEX(_xlfn.ANCHORARRAY($C$3),T_CALC[[#This Row],[DAY]]+1,3),NA())</f>
        <v>1.3124</v>
      </c>
      <c r="N323" cm="1" vm="2534">
        <f t="array" aca="1" ref="N323" ca="1">IFERROR(INDEX(_xlfn.ANCHORARRAY($C$3),T_CALC[[#This Row],[DAY]]+1,4),NA())</f>
        <v>1.3129999999999999</v>
      </c>
      <c r="O323" cm="1" vm="2401">
        <f t="array" aca="1" ref="O323" ca="1">IFERROR(INDEX(_xlfn.ANCHORARRAY($C$3),T_CALC[[#This Row],[DAY]]+1,5),NA())</f>
        <v>1.3079000000000001</v>
      </c>
      <c r="P323" cm="1" vm="2395">
        <f t="array" aca="1" ref="P323" ca="1">IFERROR(INDEX(_xlfn.ANCHORARRAY($C$3),T_CALC[[#This Row],[DAY]]+1,6),NA())</f>
        <v>1.3117000000000001</v>
      </c>
      <c r="Q323" cm="1">
        <f t="array" aca="1" ref="Q323" ca="1">IFERROR(INDEX(_xlfn.ANCHORARRAY($C$3),T_CALC[[#This Row],[DAY]]+1,2),NA())</f>
        <v>0</v>
      </c>
    </row>
    <row r="324" spans="3:17">
      <c r="C324" vm="2555">
        <f ca="1"/>
        <v>43206</v>
      </c>
      <c r="D324">
        <f ca="1"/>
        <v>0</v>
      </c>
      <c r="E324" vm="2397">
        <f ca="1"/>
        <v>1.3118000000000001</v>
      </c>
      <c r="F324" vm="2445">
        <f ca="1"/>
        <v>1.3132999999999999</v>
      </c>
      <c r="G324" vm="2556">
        <f ca="1"/>
        <v>1.3095000000000001</v>
      </c>
      <c r="H324" vm="2387">
        <f ca="1"/>
        <v>1.3099000000000001</v>
      </c>
      <c r="K324">
        <f ca="1">IF(ROW(T_CALC[[#This Row],[DAY]])-ROW(T_CALC[[#Headers],[DAY]])&gt;C_N_TRADING_DAYS,"",ROW(T_CALC[[#This Row],[DAY]])-ROW(T_CALC[[#Headers],[DAY]]))</f>
        <v>321</v>
      </c>
      <c r="L324" cm="1" vm="2555">
        <f t="array" aca="1" ref="L324" ca="1">IFERROR(INDEX(_xlfn.ANCHORARRAY($C$3),T_CALC[[#This Row],[DAY]]+1,1),NA())</f>
        <v>43206</v>
      </c>
      <c r="M324" cm="1" vm="2397">
        <f t="array" aca="1" ref="M324" ca="1">IFERROR(INDEX(_xlfn.ANCHORARRAY($C$3),T_CALC[[#This Row],[DAY]]+1,3),NA())</f>
        <v>1.3118000000000001</v>
      </c>
      <c r="N324" cm="1" vm="2445">
        <f t="array" aca="1" ref="N324" ca="1">IFERROR(INDEX(_xlfn.ANCHORARRAY($C$3),T_CALC[[#This Row],[DAY]]+1,4),NA())</f>
        <v>1.3132999999999999</v>
      </c>
      <c r="O324" cm="1" vm="2556">
        <f t="array" aca="1" ref="O324" ca="1">IFERROR(INDEX(_xlfn.ANCHORARRAY($C$3),T_CALC[[#This Row],[DAY]]+1,5),NA())</f>
        <v>1.3095000000000001</v>
      </c>
      <c r="P324" cm="1" vm="2387">
        <f t="array" aca="1" ref="P324" ca="1">IFERROR(INDEX(_xlfn.ANCHORARRAY($C$3),T_CALC[[#This Row],[DAY]]+1,6),NA())</f>
        <v>1.3099000000000001</v>
      </c>
      <c r="Q324" cm="1">
        <f t="array" aca="1" ref="Q324" ca="1">IFERROR(INDEX(_xlfn.ANCHORARRAY($C$3),T_CALC[[#This Row],[DAY]]+1,2),NA())</f>
        <v>0</v>
      </c>
    </row>
    <row r="325" spans="3:17">
      <c r="C325" vm="2557">
        <f ca="1"/>
        <v>43207</v>
      </c>
      <c r="D325">
        <f ca="1"/>
        <v>0</v>
      </c>
      <c r="E325" vm="2558">
        <f ca="1"/>
        <v>1.31</v>
      </c>
      <c r="F325" vm="2397">
        <f ca="1"/>
        <v>1.3118000000000001</v>
      </c>
      <c r="G325" vm="2499">
        <f ca="1"/>
        <v>1.3077000000000001</v>
      </c>
      <c r="H325" vm="2391">
        <f ca="1"/>
        <v>1.3112999999999999</v>
      </c>
      <c r="K325">
        <f ca="1">IF(ROW(T_CALC[[#This Row],[DAY]])-ROW(T_CALC[[#Headers],[DAY]])&gt;C_N_TRADING_DAYS,"",ROW(T_CALC[[#This Row],[DAY]])-ROW(T_CALC[[#Headers],[DAY]]))</f>
        <v>322</v>
      </c>
      <c r="L325" cm="1" vm="2557">
        <f t="array" aca="1" ref="L325" ca="1">IFERROR(INDEX(_xlfn.ANCHORARRAY($C$3),T_CALC[[#This Row],[DAY]]+1,1),NA())</f>
        <v>43207</v>
      </c>
      <c r="M325" cm="1" vm="2558">
        <f t="array" aca="1" ref="M325" ca="1">IFERROR(INDEX(_xlfn.ANCHORARRAY($C$3),T_CALC[[#This Row],[DAY]]+1,3),NA())</f>
        <v>1.31</v>
      </c>
      <c r="N325" cm="1" vm="2397">
        <f t="array" aca="1" ref="N325" ca="1">IFERROR(INDEX(_xlfn.ANCHORARRAY($C$3),T_CALC[[#This Row],[DAY]]+1,4),NA())</f>
        <v>1.3118000000000001</v>
      </c>
      <c r="O325" cm="1" vm="2499">
        <f t="array" aca="1" ref="O325" ca="1">IFERROR(INDEX(_xlfn.ANCHORARRAY($C$3),T_CALC[[#This Row],[DAY]]+1,5),NA())</f>
        <v>1.3077000000000001</v>
      </c>
      <c r="P325" cm="1" vm="2391">
        <f t="array" aca="1" ref="P325" ca="1">IFERROR(INDEX(_xlfn.ANCHORARRAY($C$3),T_CALC[[#This Row],[DAY]]+1,6),NA())</f>
        <v>1.3112999999999999</v>
      </c>
      <c r="Q325" cm="1">
        <f t="array" aca="1" ref="Q325" ca="1">IFERROR(INDEX(_xlfn.ANCHORARRAY($C$3),T_CALC[[#This Row],[DAY]]+1,2),NA())</f>
        <v>0</v>
      </c>
    </row>
    <row r="326" spans="3:17">
      <c r="C326" vm="2559">
        <f ca="1"/>
        <v>43208</v>
      </c>
      <c r="D326">
        <f ca="1"/>
        <v>0</v>
      </c>
      <c r="E326" vm="2548">
        <f ca="1"/>
        <v>1.3111999999999999</v>
      </c>
      <c r="F326" vm="2516">
        <f ca="1"/>
        <v>1.3120000000000001</v>
      </c>
      <c r="G326" vm="2560">
        <f ca="1"/>
        <v>1.3088</v>
      </c>
      <c r="H326" vm="2556">
        <f ca="1"/>
        <v>1.3095000000000001</v>
      </c>
      <c r="K326">
        <f ca="1">IF(ROW(T_CALC[[#This Row],[DAY]])-ROW(T_CALC[[#Headers],[DAY]])&gt;C_N_TRADING_DAYS,"",ROW(T_CALC[[#This Row],[DAY]])-ROW(T_CALC[[#Headers],[DAY]]))</f>
        <v>323</v>
      </c>
      <c r="L326" cm="1" vm="2559">
        <f t="array" aca="1" ref="L326" ca="1">IFERROR(INDEX(_xlfn.ANCHORARRAY($C$3),T_CALC[[#This Row],[DAY]]+1,1),NA())</f>
        <v>43208</v>
      </c>
      <c r="M326" cm="1" vm="2548">
        <f t="array" aca="1" ref="M326" ca="1">IFERROR(INDEX(_xlfn.ANCHORARRAY($C$3),T_CALC[[#This Row],[DAY]]+1,3),NA())</f>
        <v>1.3111999999999999</v>
      </c>
      <c r="N326" cm="1" vm="2516">
        <f t="array" aca="1" ref="N326" ca="1">IFERROR(INDEX(_xlfn.ANCHORARRAY($C$3),T_CALC[[#This Row],[DAY]]+1,4),NA())</f>
        <v>1.3120000000000001</v>
      </c>
      <c r="O326" cm="1" vm="2560">
        <f t="array" aca="1" ref="O326" ca="1">IFERROR(INDEX(_xlfn.ANCHORARRAY($C$3),T_CALC[[#This Row],[DAY]]+1,5),NA())</f>
        <v>1.3088</v>
      </c>
      <c r="P326" cm="1" vm="2556">
        <f t="array" aca="1" ref="P326" ca="1">IFERROR(INDEX(_xlfn.ANCHORARRAY($C$3),T_CALC[[#This Row],[DAY]]+1,6),NA())</f>
        <v>1.3095000000000001</v>
      </c>
      <c r="Q326" cm="1">
        <f t="array" aca="1" ref="Q326" ca="1">IFERROR(INDEX(_xlfn.ANCHORARRAY($C$3),T_CALC[[#This Row],[DAY]]+1,2),NA())</f>
        <v>0</v>
      </c>
    </row>
    <row r="327" spans="3:17">
      <c r="C327" vm="2561">
        <f ca="1"/>
        <v>43209</v>
      </c>
      <c r="D327">
        <f ca="1"/>
        <v>0</v>
      </c>
      <c r="E327" vm="2556">
        <f ca="1"/>
        <v>1.3095000000000001</v>
      </c>
      <c r="F327" vm="2516">
        <f ca="1"/>
        <v>1.3120000000000001</v>
      </c>
      <c r="G327" vm="2562">
        <f ca="1"/>
        <v>1.3082</v>
      </c>
      <c r="H327" vm="2510">
        <f ca="1"/>
        <v>1.3113999999999999</v>
      </c>
      <c r="K327">
        <f ca="1">IF(ROW(T_CALC[[#This Row],[DAY]])-ROW(T_CALC[[#Headers],[DAY]])&gt;C_N_TRADING_DAYS,"",ROW(T_CALC[[#This Row],[DAY]])-ROW(T_CALC[[#Headers],[DAY]]))</f>
        <v>324</v>
      </c>
      <c r="L327" cm="1" vm="2561">
        <f t="array" aca="1" ref="L327" ca="1">IFERROR(INDEX(_xlfn.ANCHORARRAY($C$3),T_CALC[[#This Row],[DAY]]+1,1),NA())</f>
        <v>43209</v>
      </c>
      <c r="M327" cm="1" vm="2556">
        <f t="array" aca="1" ref="M327" ca="1">IFERROR(INDEX(_xlfn.ANCHORARRAY($C$3),T_CALC[[#This Row],[DAY]]+1,3),NA())</f>
        <v>1.3095000000000001</v>
      </c>
      <c r="N327" cm="1" vm="2516">
        <f t="array" aca="1" ref="N327" ca="1">IFERROR(INDEX(_xlfn.ANCHORARRAY($C$3),T_CALC[[#This Row],[DAY]]+1,4),NA())</f>
        <v>1.3120000000000001</v>
      </c>
      <c r="O327" cm="1" vm="2562">
        <f t="array" aca="1" ref="O327" ca="1">IFERROR(INDEX(_xlfn.ANCHORARRAY($C$3),T_CALC[[#This Row],[DAY]]+1,5),NA())</f>
        <v>1.3082</v>
      </c>
      <c r="P327" cm="1" vm="2510">
        <f t="array" aca="1" ref="P327" ca="1">IFERROR(INDEX(_xlfn.ANCHORARRAY($C$3),T_CALC[[#This Row],[DAY]]+1,6),NA())</f>
        <v>1.3113999999999999</v>
      </c>
      <c r="Q327" cm="1">
        <f t="array" aca="1" ref="Q327" ca="1">IFERROR(INDEX(_xlfn.ANCHORARRAY($C$3),T_CALC[[#This Row],[DAY]]+1,2),NA())</f>
        <v>0</v>
      </c>
    </row>
    <row r="328" spans="3:17">
      <c r="C328" vm="2563">
        <f ca="1"/>
        <v>43210</v>
      </c>
      <c r="D328">
        <f ca="1"/>
        <v>0</v>
      </c>
      <c r="E328" vm="2542">
        <f ca="1"/>
        <v>1.3109999999999999</v>
      </c>
      <c r="F328" vm="2505">
        <f ca="1"/>
        <v>1.3172999999999999</v>
      </c>
      <c r="G328" vm="2387">
        <f ca="1"/>
        <v>1.3099000000000001</v>
      </c>
      <c r="H328" vm="2564">
        <f ca="1"/>
        <v>1.3161</v>
      </c>
      <c r="K328">
        <f ca="1">IF(ROW(T_CALC[[#This Row],[DAY]])-ROW(T_CALC[[#Headers],[DAY]])&gt;C_N_TRADING_DAYS,"",ROW(T_CALC[[#This Row],[DAY]])-ROW(T_CALC[[#Headers],[DAY]]))</f>
        <v>325</v>
      </c>
      <c r="L328" cm="1" vm="2563">
        <f t="array" aca="1" ref="L328" ca="1">IFERROR(INDEX(_xlfn.ANCHORARRAY($C$3),T_CALC[[#This Row],[DAY]]+1,1),NA())</f>
        <v>43210</v>
      </c>
      <c r="M328" cm="1" vm="2542">
        <f t="array" aca="1" ref="M328" ca="1">IFERROR(INDEX(_xlfn.ANCHORARRAY($C$3),T_CALC[[#This Row],[DAY]]+1,3),NA())</f>
        <v>1.3109999999999999</v>
      </c>
      <c r="N328" cm="1" vm="2505">
        <f t="array" aca="1" ref="N328" ca="1">IFERROR(INDEX(_xlfn.ANCHORARRAY($C$3),T_CALC[[#This Row],[DAY]]+1,4),NA())</f>
        <v>1.3172999999999999</v>
      </c>
      <c r="O328" cm="1" vm="2387">
        <f t="array" aca="1" ref="O328" ca="1">IFERROR(INDEX(_xlfn.ANCHORARRAY($C$3),T_CALC[[#This Row],[DAY]]+1,5),NA())</f>
        <v>1.3099000000000001</v>
      </c>
      <c r="P328" cm="1" vm="2564">
        <f t="array" aca="1" ref="P328" ca="1">IFERROR(INDEX(_xlfn.ANCHORARRAY($C$3),T_CALC[[#This Row],[DAY]]+1,6),NA())</f>
        <v>1.3161</v>
      </c>
      <c r="Q328" cm="1">
        <f t="array" aca="1" ref="Q328" ca="1">IFERROR(INDEX(_xlfn.ANCHORARRAY($C$3),T_CALC[[#This Row],[DAY]]+1,2),NA())</f>
        <v>0</v>
      </c>
    </row>
    <row r="329" spans="3:17">
      <c r="C329" vm="2565">
        <f ca="1"/>
        <v>43213</v>
      </c>
      <c r="D329">
        <f ca="1"/>
        <v>0</v>
      </c>
      <c r="E329" vm="2564">
        <f ca="1"/>
        <v>1.3161</v>
      </c>
      <c r="F329" vm="2566">
        <f ca="1"/>
        <v>1.3262</v>
      </c>
      <c r="G329" vm="2407">
        <f ca="1"/>
        <v>1.3154999999999999</v>
      </c>
      <c r="H329" vm="2350">
        <f ca="1"/>
        <v>1.3253999999999999</v>
      </c>
      <c r="K329">
        <f ca="1">IF(ROW(T_CALC[[#This Row],[DAY]])-ROW(T_CALC[[#Headers],[DAY]])&gt;C_N_TRADING_DAYS,"",ROW(T_CALC[[#This Row],[DAY]])-ROW(T_CALC[[#Headers],[DAY]]))</f>
        <v>326</v>
      </c>
      <c r="L329" cm="1" vm="2565">
        <f t="array" aca="1" ref="L329" ca="1">IFERROR(INDEX(_xlfn.ANCHORARRAY($C$3),T_CALC[[#This Row],[DAY]]+1,1),NA())</f>
        <v>43213</v>
      </c>
      <c r="M329" cm="1" vm="2564">
        <f t="array" aca="1" ref="M329" ca="1">IFERROR(INDEX(_xlfn.ANCHORARRAY($C$3),T_CALC[[#This Row],[DAY]]+1,3),NA())</f>
        <v>1.3161</v>
      </c>
      <c r="N329" cm="1" vm="2566">
        <f t="array" aca="1" ref="N329" ca="1">IFERROR(INDEX(_xlfn.ANCHORARRAY($C$3),T_CALC[[#This Row],[DAY]]+1,4),NA())</f>
        <v>1.3262</v>
      </c>
      <c r="O329" cm="1" vm="2407">
        <f t="array" aca="1" ref="O329" ca="1">IFERROR(INDEX(_xlfn.ANCHORARRAY($C$3),T_CALC[[#This Row],[DAY]]+1,5),NA())</f>
        <v>1.3154999999999999</v>
      </c>
      <c r="P329" cm="1" vm="2350">
        <f t="array" aca="1" ref="P329" ca="1">IFERROR(INDEX(_xlfn.ANCHORARRAY($C$3),T_CALC[[#This Row],[DAY]]+1,6),NA())</f>
        <v>1.3253999999999999</v>
      </c>
      <c r="Q329" cm="1">
        <f t="array" aca="1" ref="Q329" ca="1">IFERROR(INDEX(_xlfn.ANCHORARRAY($C$3),T_CALC[[#This Row],[DAY]]+1,2),NA())</f>
        <v>0</v>
      </c>
    </row>
    <row r="330" spans="3:17">
      <c r="C330" vm="2567">
        <f ca="1"/>
        <v>43214</v>
      </c>
      <c r="D330">
        <f ca="1"/>
        <v>0</v>
      </c>
      <c r="E330" vm="2315">
        <f ca="1"/>
        <v>1.325</v>
      </c>
      <c r="F330" vm="2421">
        <f ca="1"/>
        <v>1.3274999999999999</v>
      </c>
      <c r="G330" vm="2345">
        <f ca="1"/>
        <v>1.3211999999999999</v>
      </c>
      <c r="H330" vm="2473">
        <f ca="1"/>
        <v>1.3220000000000001</v>
      </c>
      <c r="K330">
        <f ca="1">IF(ROW(T_CALC[[#This Row],[DAY]])-ROW(T_CALC[[#Headers],[DAY]])&gt;C_N_TRADING_DAYS,"",ROW(T_CALC[[#This Row],[DAY]])-ROW(T_CALC[[#Headers],[DAY]]))</f>
        <v>327</v>
      </c>
      <c r="L330" cm="1" vm="2567">
        <f t="array" aca="1" ref="L330" ca="1">IFERROR(INDEX(_xlfn.ANCHORARRAY($C$3),T_CALC[[#This Row],[DAY]]+1,1),NA())</f>
        <v>43214</v>
      </c>
      <c r="M330" cm="1" vm="2315">
        <f t="array" aca="1" ref="M330" ca="1">IFERROR(INDEX(_xlfn.ANCHORARRAY($C$3),T_CALC[[#This Row],[DAY]]+1,3),NA())</f>
        <v>1.325</v>
      </c>
      <c r="N330" cm="1" vm="2421">
        <f t="array" aca="1" ref="N330" ca="1">IFERROR(INDEX(_xlfn.ANCHORARRAY($C$3),T_CALC[[#This Row],[DAY]]+1,4),NA())</f>
        <v>1.3274999999999999</v>
      </c>
      <c r="O330" cm="1" vm="2345">
        <f t="array" aca="1" ref="O330" ca="1">IFERROR(INDEX(_xlfn.ANCHORARRAY($C$3),T_CALC[[#This Row],[DAY]]+1,5),NA())</f>
        <v>1.3211999999999999</v>
      </c>
      <c r="P330" cm="1" vm="2473">
        <f t="array" aca="1" ref="P330" ca="1">IFERROR(INDEX(_xlfn.ANCHORARRAY($C$3),T_CALC[[#This Row],[DAY]]+1,6),NA())</f>
        <v>1.3220000000000001</v>
      </c>
      <c r="Q330" cm="1">
        <f t="array" aca="1" ref="Q330" ca="1">IFERROR(INDEX(_xlfn.ANCHORARRAY($C$3),T_CALC[[#This Row],[DAY]]+1,2),NA())</f>
        <v>0</v>
      </c>
    </row>
    <row r="331" spans="3:17">
      <c r="C331" vm="2568">
        <f ca="1"/>
        <v>43215</v>
      </c>
      <c r="D331">
        <f ca="1"/>
        <v>0</v>
      </c>
      <c r="E331" vm="2473">
        <f ca="1"/>
        <v>1.3220000000000001</v>
      </c>
      <c r="F331" vm="2569">
        <f ca="1"/>
        <v>1.3295999999999999</v>
      </c>
      <c r="G331" vm="2345">
        <f ca="1"/>
        <v>1.3211999999999999</v>
      </c>
      <c r="H331" vm="2314">
        <f ca="1"/>
        <v>1.3282</v>
      </c>
      <c r="K331">
        <f ca="1">IF(ROW(T_CALC[[#This Row],[DAY]])-ROW(T_CALC[[#Headers],[DAY]])&gt;C_N_TRADING_DAYS,"",ROW(T_CALC[[#This Row],[DAY]])-ROW(T_CALC[[#Headers],[DAY]]))</f>
        <v>328</v>
      </c>
      <c r="L331" cm="1" vm="2568">
        <f t="array" aca="1" ref="L331" ca="1">IFERROR(INDEX(_xlfn.ANCHORARRAY($C$3),T_CALC[[#This Row],[DAY]]+1,1),NA())</f>
        <v>43215</v>
      </c>
      <c r="M331" cm="1" vm="2473">
        <f t="array" aca="1" ref="M331" ca="1">IFERROR(INDEX(_xlfn.ANCHORARRAY($C$3),T_CALC[[#This Row],[DAY]]+1,3),NA())</f>
        <v>1.3220000000000001</v>
      </c>
      <c r="N331" cm="1" vm="2569">
        <f t="array" aca="1" ref="N331" ca="1">IFERROR(INDEX(_xlfn.ANCHORARRAY($C$3),T_CALC[[#This Row],[DAY]]+1,4),NA())</f>
        <v>1.3295999999999999</v>
      </c>
      <c r="O331" cm="1" vm="2345">
        <f t="array" aca="1" ref="O331" ca="1">IFERROR(INDEX(_xlfn.ANCHORARRAY($C$3),T_CALC[[#This Row],[DAY]]+1,5),NA())</f>
        <v>1.3211999999999999</v>
      </c>
      <c r="P331" cm="1" vm="2314">
        <f t="array" aca="1" ref="P331" ca="1">IFERROR(INDEX(_xlfn.ANCHORARRAY($C$3),T_CALC[[#This Row],[DAY]]+1,6),NA())</f>
        <v>1.3282</v>
      </c>
      <c r="Q331" cm="1">
        <f t="array" aca="1" ref="Q331" ca="1">IFERROR(INDEX(_xlfn.ANCHORARRAY($C$3),T_CALC[[#This Row],[DAY]]+1,2),NA())</f>
        <v>0</v>
      </c>
    </row>
    <row r="332" spans="3:17">
      <c r="C332" vm="2570">
        <f ca="1"/>
        <v>43216</v>
      </c>
      <c r="D332">
        <f ca="1"/>
        <v>0</v>
      </c>
      <c r="E332" vm="2571">
        <f ca="1"/>
        <v>1.3283</v>
      </c>
      <c r="F332" vm="2572">
        <f ca="1"/>
        <v>1.3287</v>
      </c>
      <c r="G332" vm="2451">
        <f ca="1"/>
        <v>1.3239000000000001</v>
      </c>
      <c r="H332" vm="2573">
        <f ca="1"/>
        <v>1.3277000000000001</v>
      </c>
      <c r="K332">
        <f ca="1">IF(ROW(T_CALC[[#This Row],[DAY]])-ROW(T_CALC[[#Headers],[DAY]])&gt;C_N_TRADING_DAYS,"",ROW(T_CALC[[#This Row],[DAY]])-ROW(T_CALC[[#Headers],[DAY]]))</f>
        <v>329</v>
      </c>
      <c r="L332" cm="1" vm="2570">
        <f t="array" aca="1" ref="L332" ca="1">IFERROR(INDEX(_xlfn.ANCHORARRAY($C$3),T_CALC[[#This Row],[DAY]]+1,1),NA())</f>
        <v>43216</v>
      </c>
      <c r="M332" cm="1" vm="2571">
        <f t="array" aca="1" ref="M332" ca="1">IFERROR(INDEX(_xlfn.ANCHORARRAY($C$3),T_CALC[[#This Row],[DAY]]+1,3),NA())</f>
        <v>1.3283</v>
      </c>
      <c r="N332" cm="1" vm="2572">
        <f t="array" aca="1" ref="N332" ca="1">IFERROR(INDEX(_xlfn.ANCHORARRAY($C$3),T_CALC[[#This Row],[DAY]]+1,4),NA())</f>
        <v>1.3287</v>
      </c>
      <c r="O332" cm="1" vm="2451">
        <f t="array" aca="1" ref="O332" ca="1">IFERROR(INDEX(_xlfn.ANCHORARRAY($C$3),T_CALC[[#This Row],[DAY]]+1,5),NA())</f>
        <v>1.3239000000000001</v>
      </c>
      <c r="P332" cm="1" vm="2573">
        <f t="array" aca="1" ref="P332" ca="1">IFERROR(INDEX(_xlfn.ANCHORARRAY($C$3),T_CALC[[#This Row],[DAY]]+1,6),NA())</f>
        <v>1.3277000000000001</v>
      </c>
      <c r="Q332" cm="1">
        <f t="array" aca="1" ref="Q332" ca="1">IFERROR(INDEX(_xlfn.ANCHORARRAY($C$3),T_CALC[[#This Row],[DAY]]+1,2),NA())</f>
        <v>0</v>
      </c>
    </row>
    <row r="333" spans="3:17">
      <c r="C333" vm="2574">
        <f ca="1"/>
        <v>43217</v>
      </c>
      <c r="D333">
        <f ca="1"/>
        <v>0</v>
      </c>
      <c r="E333" vm="2575">
        <f ca="1"/>
        <v>1.3278000000000001</v>
      </c>
      <c r="F333" vm="2572">
        <f ca="1"/>
        <v>1.3287</v>
      </c>
      <c r="G333" vm="2426">
        <f ca="1"/>
        <v>1.3228</v>
      </c>
      <c r="H333" vm="2576">
        <f ca="1"/>
        <v>1.3234999999999999</v>
      </c>
      <c r="K333">
        <f ca="1">IF(ROW(T_CALC[[#This Row],[DAY]])-ROW(T_CALC[[#Headers],[DAY]])&gt;C_N_TRADING_DAYS,"",ROW(T_CALC[[#This Row],[DAY]])-ROW(T_CALC[[#Headers],[DAY]]))</f>
        <v>330</v>
      </c>
      <c r="L333" cm="1" vm="2574">
        <f t="array" aca="1" ref="L333" ca="1">IFERROR(INDEX(_xlfn.ANCHORARRAY($C$3),T_CALC[[#This Row],[DAY]]+1,1),NA())</f>
        <v>43217</v>
      </c>
      <c r="M333" cm="1" vm="2575">
        <f t="array" aca="1" ref="M333" ca="1">IFERROR(INDEX(_xlfn.ANCHORARRAY($C$3),T_CALC[[#This Row],[DAY]]+1,3),NA())</f>
        <v>1.3278000000000001</v>
      </c>
      <c r="N333" cm="1" vm="2572">
        <f t="array" aca="1" ref="N333" ca="1">IFERROR(INDEX(_xlfn.ANCHORARRAY($C$3),T_CALC[[#This Row],[DAY]]+1,4),NA())</f>
        <v>1.3287</v>
      </c>
      <c r="O333" cm="1" vm="2426">
        <f t="array" aca="1" ref="O333" ca="1">IFERROR(INDEX(_xlfn.ANCHORARRAY($C$3),T_CALC[[#This Row],[DAY]]+1,5),NA())</f>
        <v>1.3228</v>
      </c>
      <c r="P333" cm="1" vm="2576">
        <f t="array" aca="1" ref="P333" ca="1">IFERROR(INDEX(_xlfn.ANCHORARRAY($C$3),T_CALC[[#This Row],[DAY]]+1,6),NA())</f>
        <v>1.3234999999999999</v>
      </c>
      <c r="Q333" cm="1">
        <f t="array" aca="1" ref="Q333" ca="1">IFERROR(INDEX(_xlfn.ANCHORARRAY($C$3),T_CALC[[#This Row],[DAY]]+1,2),NA())</f>
        <v>0</v>
      </c>
    </row>
    <row r="334" spans="3:17">
      <c r="C334" vm="2577">
        <f ca="1"/>
        <v>43220</v>
      </c>
      <c r="D334">
        <f ca="1"/>
        <v>0</v>
      </c>
      <c r="E334" vm="2576">
        <f ca="1"/>
        <v>1.3234999999999999</v>
      </c>
      <c r="F334" vm="2566">
        <f ca="1"/>
        <v>1.3262</v>
      </c>
      <c r="G334" vm="2429">
        <f ca="1"/>
        <v>1.3221000000000001</v>
      </c>
      <c r="H334" vm="2578">
        <f ca="1"/>
        <v>1.3258000000000001</v>
      </c>
      <c r="K334">
        <f ca="1">IF(ROW(T_CALC[[#This Row],[DAY]])-ROW(T_CALC[[#Headers],[DAY]])&gt;C_N_TRADING_DAYS,"",ROW(T_CALC[[#This Row],[DAY]])-ROW(T_CALC[[#Headers],[DAY]]))</f>
        <v>331</v>
      </c>
      <c r="L334" cm="1" vm="2577">
        <f t="array" aca="1" ref="L334" ca="1">IFERROR(INDEX(_xlfn.ANCHORARRAY($C$3),T_CALC[[#This Row],[DAY]]+1,1),NA())</f>
        <v>43220</v>
      </c>
      <c r="M334" cm="1" vm="2576">
        <f t="array" aca="1" ref="M334" ca="1">IFERROR(INDEX(_xlfn.ANCHORARRAY($C$3),T_CALC[[#This Row],[DAY]]+1,3),NA())</f>
        <v>1.3234999999999999</v>
      </c>
      <c r="N334" cm="1" vm="2566">
        <f t="array" aca="1" ref="N334" ca="1">IFERROR(INDEX(_xlfn.ANCHORARRAY($C$3),T_CALC[[#This Row],[DAY]]+1,4),NA())</f>
        <v>1.3262</v>
      </c>
      <c r="O334" cm="1" vm="2429">
        <f t="array" aca="1" ref="O334" ca="1">IFERROR(INDEX(_xlfn.ANCHORARRAY($C$3),T_CALC[[#This Row],[DAY]]+1,5),NA())</f>
        <v>1.3221000000000001</v>
      </c>
      <c r="P334" cm="1" vm="2578">
        <f t="array" aca="1" ref="P334" ca="1">IFERROR(INDEX(_xlfn.ANCHORARRAY($C$3),T_CALC[[#This Row],[DAY]]+1,6),NA())</f>
        <v>1.3258000000000001</v>
      </c>
      <c r="Q334" cm="1">
        <f t="array" aca="1" ref="Q334" ca="1">IFERROR(INDEX(_xlfn.ANCHORARRAY($C$3),T_CALC[[#This Row],[DAY]]+1,2),NA())</f>
        <v>0</v>
      </c>
    </row>
    <row r="335" spans="3:17">
      <c r="C335" vm="2579">
        <f ca="1"/>
        <v>43221</v>
      </c>
      <c r="D335">
        <f ca="1"/>
        <v>0</v>
      </c>
      <c r="E335" vm="2456">
        <f ca="1"/>
        <v>1.3255999999999999</v>
      </c>
      <c r="F335" vm="2580">
        <f ca="1"/>
        <v>1.3343</v>
      </c>
      <c r="G335" vm="2315">
        <f ca="1"/>
        <v>1.325</v>
      </c>
      <c r="H335" vm="2581">
        <f ca="1"/>
        <v>1.3331999999999999</v>
      </c>
      <c r="K335">
        <f ca="1">IF(ROW(T_CALC[[#This Row],[DAY]])-ROW(T_CALC[[#Headers],[DAY]])&gt;C_N_TRADING_DAYS,"",ROW(T_CALC[[#This Row],[DAY]])-ROW(T_CALC[[#Headers],[DAY]]))</f>
        <v>332</v>
      </c>
      <c r="L335" cm="1" vm="2579">
        <f t="array" aca="1" ref="L335" ca="1">IFERROR(INDEX(_xlfn.ANCHORARRAY($C$3),T_CALC[[#This Row],[DAY]]+1,1),NA())</f>
        <v>43221</v>
      </c>
      <c r="M335" cm="1" vm="2456">
        <f t="array" aca="1" ref="M335" ca="1">IFERROR(INDEX(_xlfn.ANCHORARRAY($C$3),T_CALC[[#This Row],[DAY]]+1,3),NA())</f>
        <v>1.3255999999999999</v>
      </c>
      <c r="N335" cm="1" vm="2580">
        <f t="array" aca="1" ref="N335" ca="1">IFERROR(INDEX(_xlfn.ANCHORARRAY($C$3),T_CALC[[#This Row],[DAY]]+1,4),NA())</f>
        <v>1.3343</v>
      </c>
      <c r="O335" cm="1" vm="2315">
        <f t="array" aca="1" ref="O335" ca="1">IFERROR(INDEX(_xlfn.ANCHORARRAY($C$3),T_CALC[[#This Row],[DAY]]+1,5),NA())</f>
        <v>1.325</v>
      </c>
      <c r="P335" cm="1" vm="2581">
        <f t="array" aca="1" ref="P335" ca="1">IFERROR(INDEX(_xlfn.ANCHORARRAY($C$3),T_CALC[[#This Row],[DAY]]+1,6),NA())</f>
        <v>1.3331999999999999</v>
      </c>
      <c r="Q335" cm="1">
        <f t="array" aca="1" ref="Q335" ca="1">IFERROR(INDEX(_xlfn.ANCHORARRAY($C$3),T_CALC[[#This Row],[DAY]]+1,2),NA())</f>
        <v>0</v>
      </c>
    </row>
    <row r="336" spans="3:17">
      <c r="C336" vm="2582">
        <f ca="1"/>
        <v>43222</v>
      </c>
      <c r="D336">
        <f ca="1"/>
        <v>0</v>
      </c>
      <c r="E336" vm="2581">
        <f ca="1"/>
        <v>1.3331999999999999</v>
      </c>
      <c r="F336" vm="2583">
        <f ca="1"/>
        <v>1.337</v>
      </c>
      <c r="G336" vm="2419">
        <f ca="1"/>
        <v>1.3310999999999999</v>
      </c>
      <c r="H336" vm="2584">
        <f ca="1"/>
        <v>1.3362000000000001</v>
      </c>
      <c r="K336">
        <f ca="1">IF(ROW(T_CALC[[#This Row],[DAY]])-ROW(T_CALC[[#Headers],[DAY]])&gt;C_N_TRADING_DAYS,"",ROW(T_CALC[[#This Row],[DAY]])-ROW(T_CALC[[#Headers],[DAY]]))</f>
        <v>333</v>
      </c>
      <c r="L336" cm="1" vm="2582">
        <f t="array" aca="1" ref="L336" ca="1">IFERROR(INDEX(_xlfn.ANCHORARRAY($C$3),T_CALC[[#This Row],[DAY]]+1,1),NA())</f>
        <v>43222</v>
      </c>
      <c r="M336" cm="1" vm="2581">
        <f t="array" aca="1" ref="M336" ca="1">IFERROR(INDEX(_xlfn.ANCHORARRAY($C$3),T_CALC[[#This Row],[DAY]]+1,3),NA())</f>
        <v>1.3331999999999999</v>
      </c>
      <c r="N336" cm="1" vm="2583">
        <f t="array" aca="1" ref="N336" ca="1">IFERROR(INDEX(_xlfn.ANCHORARRAY($C$3),T_CALC[[#This Row],[DAY]]+1,4),NA())</f>
        <v>1.337</v>
      </c>
      <c r="O336" cm="1" vm="2419">
        <f t="array" aca="1" ref="O336" ca="1">IFERROR(INDEX(_xlfn.ANCHORARRAY($C$3),T_CALC[[#This Row],[DAY]]+1,5),NA())</f>
        <v>1.3310999999999999</v>
      </c>
      <c r="P336" cm="1" vm="2584">
        <f t="array" aca="1" ref="P336" ca="1">IFERROR(INDEX(_xlfn.ANCHORARRAY($C$3),T_CALC[[#This Row],[DAY]]+1,6),NA())</f>
        <v>1.3362000000000001</v>
      </c>
      <c r="Q336" cm="1">
        <f t="array" aca="1" ref="Q336" ca="1">IFERROR(INDEX(_xlfn.ANCHORARRAY($C$3),T_CALC[[#This Row],[DAY]]+1,2),NA())</f>
        <v>0</v>
      </c>
    </row>
    <row r="337" spans="3:17">
      <c r="C337" vm="2585">
        <f ca="1"/>
        <v>43223</v>
      </c>
      <c r="D337">
        <f ca="1"/>
        <v>0</v>
      </c>
      <c r="E337" vm="2586">
        <f ca="1"/>
        <v>1.3361000000000001</v>
      </c>
      <c r="F337" vm="2324">
        <f ca="1"/>
        <v>1.3367</v>
      </c>
      <c r="G337" vm="2587">
        <f ca="1"/>
        <v>1.3292999999999999</v>
      </c>
      <c r="H337" vm="2588">
        <f ca="1"/>
        <v>1.3305</v>
      </c>
      <c r="K337">
        <f ca="1">IF(ROW(T_CALC[[#This Row],[DAY]])-ROW(T_CALC[[#Headers],[DAY]])&gt;C_N_TRADING_DAYS,"",ROW(T_CALC[[#This Row],[DAY]])-ROW(T_CALC[[#Headers],[DAY]]))</f>
        <v>334</v>
      </c>
      <c r="L337" cm="1" vm="2585">
        <f t="array" aca="1" ref="L337" ca="1">IFERROR(INDEX(_xlfn.ANCHORARRAY($C$3),T_CALC[[#This Row],[DAY]]+1,1),NA())</f>
        <v>43223</v>
      </c>
      <c r="M337" cm="1" vm="2586">
        <f t="array" aca="1" ref="M337" ca="1">IFERROR(INDEX(_xlfn.ANCHORARRAY($C$3),T_CALC[[#This Row],[DAY]]+1,3),NA())</f>
        <v>1.3361000000000001</v>
      </c>
      <c r="N337" cm="1" vm="2324">
        <f t="array" aca="1" ref="N337" ca="1">IFERROR(INDEX(_xlfn.ANCHORARRAY($C$3),T_CALC[[#This Row],[DAY]]+1,4),NA())</f>
        <v>1.3367</v>
      </c>
      <c r="O337" cm="1" vm="2587">
        <f t="array" aca="1" ref="O337" ca="1">IFERROR(INDEX(_xlfn.ANCHORARRAY($C$3),T_CALC[[#This Row],[DAY]]+1,5),NA())</f>
        <v>1.3292999999999999</v>
      </c>
      <c r="P337" cm="1" vm="2588">
        <f t="array" aca="1" ref="P337" ca="1">IFERROR(INDEX(_xlfn.ANCHORARRAY($C$3),T_CALC[[#This Row],[DAY]]+1,6),NA())</f>
        <v>1.3305</v>
      </c>
      <c r="Q337" cm="1">
        <f t="array" aca="1" ref="Q337" ca="1">IFERROR(INDEX(_xlfn.ANCHORARRAY($C$3),T_CALC[[#This Row],[DAY]]+1,2),NA())</f>
        <v>0</v>
      </c>
    </row>
    <row r="338" spans="3:17">
      <c r="C338" vm="2589">
        <f ca="1"/>
        <v>43224</v>
      </c>
      <c r="D338">
        <f ca="1"/>
        <v>0</v>
      </c>
      <c r="E338" vm="2307">
        <f ca="1"/>
        <v>1.3309</v>
      </c>
      <c r="F338" vm="2590">
        <f ca="1"/>
        <v>1.3359000000000001</v>
      </c>
      <c r="G338" vm="2591">
        <f ca="1"/>
        <v>1.3285</v>
      </c>
      <c r="H338" vm="2592">
        <f ca="1"/>
        <v>1.3332999999999999</v>
      </c>
      <c r="K338">
        <f ca="1">IF(ROW(T_CALC[[#This Row],[DAY]])-ROW(T_CALC[[#Headers],[DAY]])&gt;C_N_TRADING_DAYS,"",ROW(T_CALC[[#This Row],[DAY]])-ROW(T_CALC[[#Headers],[DAY]]))</f>
        <v>335</v>
      </c>
      <c r="L338" cm="1" vm="2589">
        <f t="array" aca="1" ref="L338" ca="1">IFERROR(INDEX(_xlfn.ANCHORARRAY($C$3),T_CALC[[#This Row],[DAY]]+1,1),NA())</f>
        <v>43224</v>
      </c>
      <c r="M338" cm="1" vm="2307">
        <f t="array" aca="1" ref="M338" ca="1">IFERROR(INDEX(_xlfn.ANCHORARRAY($C$3),T_CALC[[#This Row],[DAY]]+1,3),NA())</f>
        <v>1.3309</v>
      </c>
      <c r="N338" cm="1" vm="2590">
        <f t="array" aca="1" ref="N338" ca="1">IFERROR(INDEX(_xlfn.ANCHORARRAY($C$3),T_CALC[[#This Row],[DAY]]+1,4),NA())</f>
        <v>1.3359000000000001</v>
      </c>
      <c r="O338" cm="1" vm="2591">
        <f t="array" aca="1" ref="O338" ca="1">IFERROR(INDEX(_xlfn.ANCHORARRAY($C$3),T_CALC[[#This Row],[DAY]]+1,5),NA())</f>
        <v>1.3285</v>
      </c>
      <c r="P338" cm="1" vm="2592">
        <f t="array" aca="1" ref="P338" ca="1">IFERROR(INDEX(_xlfn.ANCHORARRAY($C$3),T_CALC[[#This Row],[DAY]]+1,6),NA())</f>
        <v>1.3332999999999999</v>
      </c>
      <c r="Q338" cm="1">
        <f t="array" aca="1" ref="Q338" ca="1">IFERROR(INDEX(_xlfn.ANCHORARRAY($C$3),T_CALC[[#This Row],[DAY]]+1,2),NA())</f>
        <v>0</v>
      </c>
    </row>
    <row r="339" spans="3:17">
      <c r="C339" vm="2593">
        <f ca="1"/>
        <v>43227</v>
      </c>
      <c r="D339">
        <f ca="1"/>
        <v>0</v>
      </c>
      <c r="E339" vm="2592">
        <f ca="1"/>
        <v>1.3332999999999999</v>
      </c>
      <c r="F339" vm="2300">
        <f ca="1"/>
        <v>1.3372999999999999</v>
      </c>
      <c r="G339" vm="2419">
        <f ca="1"/>
        <v>1.3310999999999999</v>
      </c>
      <c r="H339" vm="2594">
        <f ca="1"/>
        <v>1.3354999999999999</v>
      </c>
      <c r="K339">
        <f ca="1">IF(ROW(T_CALC[[#This Row],[DAY]])-ROW(T_CALC[[#Headers],[DAY]])&gt;C_N_TRADING_DAYS,"",ROW(T_CALC[[#This Row],[DAY]])-ROW(T_CALC[[#Headers],[DAY]]))</f>
        <v>336</v>
      </c>
      <c r="L339" cm="1" vm="2593">
        <f t="array" aca="1" ref="L339" ca="1">IFERROR(INDEX(_xlfn.ANCHORARRAY($C$3),T_CALC[[#This Row],[DAY]]+1,1),NA())</f>
        <v>43227</v>
      </c>
      <c r="M339" cm="1" vm="2592">
        <f t="array" aca="1" ref="M339" ca="1">IFERROR(INDEX(_xlfn.ANCHORARRAY($C$3),T_CALC[[#This Row],[DAY]]+1,3),NA())</f>
        <v>1.3332999999999999</v>
      </c>
      <c r="N339" cm="1" vm="2300">
        <f t="array" aca="1" ref="N339" ca="1">IFERROR(INDEX(_xlfn.ANCHORARRAY($C$3),T_CALC[[#This Row],[DAY]]+1,4),NA())</f>
        <v>1.3372999999999999</v>
      </c>
      <c r="O339" cm="1" vm="2419">
        <f t="array" aca="1" ref="O339" ca="1">IFERROR(INDEX(_xlfn.ANCHORARRAY($C$3),T_CALC[[#This Row],[DAY]]+1,5),NA())</f>
        <v>1.3310999999999999</v>
      </c>
      <c r="P339" cm="1" vm="2594">
        <f t="array" aca="1" ref="P339" ca="1">IFERROR(INDEX(_xlfn.ANCHORARRAY($C$3),T_CALC[[#This Row],[DAY]]+1,6),NA())</f>
        <v>1.3354999999999999</v>
      </c>
      <c r="Q339" cm="1">
        <f t="array" aca="1" ref="Q339" ca="1">IFERROR(INDEX(_xlfn.ANCHORARRAY($C$3),T_CALC[[#This Row],[DAY]]+1,2),NA())</f>
        <v>0</v>
      </c>
    </row>
    <row r="340" spans="3:17">
      <c r="C340" vm="2595">
        <f ca="1"/>
        <v>43228</v>
      </c>
      <c r="D340">
        <f ca="1"/>
        <v>0</v>
      </c>
      <c r="E340" vm="2326">
        <f ca="1"/>
        <v>1.3351</v>
      </c>
      <c r="F340" vm="2596">
        <f ca="1"/>
        <v>1.3415999999999999</v>
      </c>
      <c r="G340" vm="2581">
        <f ca="1"/>
        <v>1.3331999999999999</v>
      </c>
      <c r="H340" vm="2597">
        <f ca="1"/>
        <v>1.34</v>
      </c>
      <c r="K340">
        <f ca="1">IF(ROW(T_CALC[[#This Row],[DAY]])-ROW(T_CALC[[#Headers],[DAY]])&gt;C_N_TRADING_DAYS,"",ROW(T_CALC[[#This Row],[DAY]])-ROW(T_CALC[[#Headers],[DAY]]))</f>
        <v>337</v>
      </c>
      <c r="L340" cm="1" vm="2595">
        <f t="array" aca="1" ref="L340" ca="1">IFERROR(INDEX(_xlfn.ANCHORARRAY($C$3),T_CALC[[#This Row],[DAY]]+1,1),NA())</f>
        <v>43228</v>
      </c>
      <c r="M340" cm="1" vm="2326">
        <f t="array" aca="1" ref="M340" ca="1">IFERROR(INDEX(_xlfn.ANCHORARRAY($C$3),T_CALC[[#This Row],[DAY]]+1,3),NA())</f>
        <v>1.3351</v>
      </c>
      <c r="N340" cm="1" vm="2596">
        <f t="array" aca="1" ref="N340" ca="1">IFERROR(INDEX(_xlfn.ANCHORARRAY($C$3),T_CALC[[#This Row],[DAY]]+1,4),NA())</f>
        <v>1.3415999999999999</v>
      </c>
      <c r="O340" cm="1" vm="2581">
        <f t="array" aca="1" ref="O340" ca="1">IFERROR(INDEX(_xlfn.ANCHORARRAY($C$3),T_CALC[[#This Row],[DAY]]+1,5),NA())</f>
        <v>1.3331999999999999</v>
      </c>
      <c r="P340" cm="1" vm="2597">
        <f t="array" aca="1" ref="P340" ca="1">IFERROR(INDEX(_xlfn.ANCHORARRAY($C$3),T_CALC[[#This Row],[DAY]]+1,6),NA())</f>
        <v>1.34</v>
      </c>
      <c r="Q340" cm="1">
        <f t="array" aca="1" ref="Q340" ca="1">IFERROR(INDEX(_xlfn.ANCHORARRAY($C$3),T_CALC[[#This Row],[DAY]]+1,2),NA())</f>
        <v>0</v>
      </c>
    </row>
    <row r="341" spans="3:17">
      <c r="C341" vm="2598">
        <f ca="1"/>
        <v>43229</v>
      </c>
      <c r="D341">
        <f ca="1"/>
        <v>0</v>
      </c>
      <c r="E341" vm="2292">
        <f ca="1"/>
        <v>1.3395999999999999</v>
      </c>
      <c r="F341" vm="2281">
        <f ca="1"/>
        <v>1.3461000000000001</v>
      </c>
      <c r="G341" vm="2599">
        <f ca="1"/>
        <v>1.3388</v>
      </c>
      <c r="H341" vm="2244">
        <f ca="1"/>
        <v>1.3459000000000001</v>
      </c>
      <c r="K341">
        <f ca="1">IF(ROW(T_CALC[[#This Row],[DAY]])-ROW(T_CALC[[#Headers],[DAY]])&gt;C_N_TRADING_DAYS,"",ROW(T_CALC[[#This Row],[DAY]])-ROW(T_CALC[[#Headers],[DAY]]))</f>
        <v>338</v>
      </c>
      <c r="L341" cm="1" vm="2598">
        <f t="array" aca="1" ref="L341" ca="1">IFERROR(INDEX(_xlfn.ANCHORARRAY($C$3),T_CALC[[#This Row],[DAY]]+1,1),NA())</f>
        <v>43229</v>
      </c>
      <c r="M341" cm="1" vm="2292">
        <f t="array" aca="1" ref="M341" ca="1">IFERROR(INDEX(_xlfn.ANCHORARRAY($C$3),T_CALC[[#This Row],[DAY]]+1,3),NA())</f>
        <v>1.3395999999999999</v>
      </c>
      <c r="N341" cm="1" vm="2281">
        <f t="array" aca="1" ref="N341" ca="1">IFERROR(INDEX(_xlfn.ANCHORARRAY($C$3),T_CALC[[#This Row],[DAY]]+1,4),NA())</f>
        <v>1.3461000000000001</v>
      </c>
      <c r="O341" cm="1" vm="2599">
        <f t="array" aca="1" ref="O341" ca="1">IFERROR(INDEX(_xlfn.ANCHORARRAY($C$3),T_CALC[[#This Row],[DAY]]+1,5),NA())</f>
        <v>1.3388</v>
      </c>
      <c r="P341" cm="1" vm="2244">
        <f t="array" aca="1" ref="P341" ca="1">IFERROR(INDEX(_xlfn.ANCHORARRAY($C$3),T_CALC[[#This Row],[DAY]]+1,6),NA())</f>
        <v>1.3459000000000001</v>
      </c>
      <c r="Q341" cm="1">
        <f t="array" aca="1" ref="Q341" ca="1">IFERROR(INDEX(_xlfn.ANCHORARRAY($C$3),T_CALC[[#This Row],[DAY]]+1,2),NA())</f>
        <v>0</v>
      </c>
    </row>
    <row r="342" spans="3:17">
      <c r="C342" vm="2600">
        <f ca="1"/>
        <v>43230</v>
      </c>
      <c r="D342">
        <f ca="1"/>
        <v>0</v>
      </c>
      <c r="E342" vm="2248">
        <f ca="1"/>
        <v>1.3456999999999999</v>
      </c>
      <c r="F342" vm="2259">
        <f ca="1"/>
        <v>1.3489</v>
      </c>
      <c r="G342" vm="2601">
        <f ca="1"/>
        <v>1.3358000000000001</v>
      </c>
      <c r="H342" vm="2602">
        <f ca="1"/>
        <v>1.3371999999999999</v>
      </c>
      <c r="K342">
        <f ca="1">IF(ROW(T_CALC[[#This Row],[DAY]])-ROW(T_CALC[[#Headers],[DAY]])&gt;C_N_TRADING_DAYS,"",ROW(T_CALC[[#This Row],[DAY]])-ROW(T_CALC[[#Headers],[DAY]]))</f>
        <v>339</v>
      </c>
      <c r="L342" cm="1" vm="2600">
        <f t="array" aca="1" ref="L342" ca="1">IFERROR(INDEX(_xlfn.ANCHORARRAY($C$3),T_CALC[[#This Row],[DAY]]+1,1),NA())</f>
        <v>43230</v>
      </c>
      <c r="M342" cm="1" vm="2248">
        <f t="array" aca="1" ref="M342" ca="1">IFERROR(INDEX(_xlfn.ANCHORARRAY($C$3),T_CALC[[#This Row],[DAY]]+1,3),NA())</f>
        <v>1.3456999999999999</v>
      </c>
      <c r="N342" cm="1" vm="2259">
        <f t="array" aca="1" ref="N342" ca="1">IFERROR(INDEX(_xlfn.ANCHORARRAY($C$3),T_CALC[[#This Row],[DAY]]+1,4),NA())</f>
        <v>1.3489</v>
      </c>
      <c r="O342" cm="1" vm="2601">
        <f t="array" aca="1" ref="O342" ca="1">IFERROR(INDEX(_xlfn.ANCHORARRAY($C$3),T_CALC[[#This Row],[DAY]]+1,5),NA())</f>
        <v>1.3358000000000001</v>
      </c>
      <c r="P342" cm="1" vm="2602">
        <f t="array" aca="1" ref="P342" ca="1">IFERROR(INDEX(_xlfn.ANCHORARRAY($C$3),T_CALC[[#This Row],[DAY]]+1,6),NA())</f>
        <v>1.3371999999999999</v>
      </c>
      <c r="Q342" cm="1">
        <f t="array" aca="1" ref="Q342" ca="1">IFERROR(INDEX(_xlfn.ANCHORARRAY($C$3),T_CALC[[#This Row],[DAY]]+1,2),NA())</f>
        <v>0</v>
      </c>
    </row>
    <row r="343" spans="3:17">
      <c r="C343" vm="2603">
        <f ca="1"/>
        <v>43231</v>
      </c>
      <c r="D343">
        <f ca="1"/>
        <v>0</v>
      </c>
      <c r="E343" vm="2602">
        <f ca="1"/>
        <v>1.3371999999999999</v>
      </c>
      <c r="F343" vm="2604">
        <f ca="1"/>
        <v>1.3385</v>
      </c>
      <c r="G343" vm="2323">
        <f ca="1"/>
        <v>1.3323</v>
      </c>
      <c r="H343" vm="2605">
        <f ca="1"/>
        <v>1.3360000000000001</v>
      </c>
      <c r="K343">
        <f ca="1">IF(ROW(T_CALC[[#This Row],[DAY]])-ROW(T_CALC[[#Headers],[DAY]])&gt;C_N_TRADING_DAYS,"",ROW(T_CALC[[#This Row],[DAY]])-ROW(T_CALC[[#Headers],[DAY]]))</f>
        <v>340</v>
      </c>
      <c r="L343" cm="1" vm="2603">
        <f t="array" aca="1" ref="L343" ca="1">IFERROR(INDEX(_xlfn.ANCHORARRAY($C$3),T_CALC[[#This Row],[DAY]]+1,1),NA())</f>
        <v>43231</v>
      </c>
      <c r="M343" cm="1" vm="2602">
        <f t="array" aca="1" ref="M343" ca="1">IFERROR(INDEX(_xlfn.ANCHORARRAY($C$3),T_CALC[[#This Row],[DAY]]+1,3),NA())</f>
        <v>1.3371999999999999</v>
      </c>
      <c r="N343" cm="1" vm="2604">
        <f t="array" aca="1" ref="N343" ca="1">IFERROR(INDEX(_xlfn.ANCHORARRAY($C$3),T_CALC[[#This Row],[DAY]]+1,4),NA())</f>
        <v>1.3385</v>
      </c>
      <c r="O343" cm="1" vm="2323">
        <f t="array" aca="1" ref="O343" ca="1">IFERROR(INDEX(_xlfn.ANCHORARRAY($C$3),T_CALC[[#This Row],[DAY]]+1,5),NA())</f>
        <v>1.3323</v>
      </c>
      <c r="P343" cm="1" vm="2605">
        <f t="array" aca="1" ref="P343" ca="1">IFERROR(INDEX(_xlfn.ANCHORARRAY($C$3),T_CALC[[#This Row],[DAY]]+1,6),NA())</f>
        <v>1.3360000000000001</v>
      </c>
      <c r="Q343" cm="1">
        <f t="array" aca="1" ref="Q343" ca="1">IFERROR(INDEX(_xlfn.ANCHORARRAY($C$3),T_CALC[[#This Row],[DAY]]+1,2),NA())</f>
        <v>0</v>
      </c>
    </row>
    <row r="344" spans="3:17">
      <c r="C344" vm="2606">
        <f ca="1"/>
        <v>43234</v>
      </c>
      <c r="D344">
        <f ca="1"/>
        <v>0</v>
      </c>
      <c r="E344" vm="2594">
        <f ca="1"/>
        <v>1.3354999999999999</v>
      </c>
      <c r="F344" vm="2605">
        <f ca="1"/>
        <v>1.3360000000000001</v>
      </c>
      <c r="G344" vm="2588">
        <f ca="1"/>
        <v>1.3305</v>
      </c>
      <c r="H344" vm="2590">
        <f ca="1"/>
        <v>1.3359000000000001</v>
      </c>
      <c r="K344">
        <f ca="1">IF(ROW(T_CALC[[#This Row],[DAY]])-ROW(T_CALC[[#Headers],[DAY]])&gt;C_N_TRADING_DAYS,"",ROW(T_CALC[[#This Row],[DAY]])-ROW(T_CALC[[#Headers],[DAY]]))</f>
        <v>341</v>
      </c>
      <c r="L344" cm="1" vm="2606">
        <f t="array" aca="1" ref="L344" ca="1">IFERROR(INDEX(_xlfn.ANCHORARRAY($C$3),T_CALC[[#This Row],[DAY]]+1,1),NA())</f>
        <v>43234</v>
      </c>
      <c r="M344" cm="1" vm="2594">
        <f t="array" aca="1" ref="M344" ca="1">IFERROR(INDEX(_xlfn.ANCHORARRAY($C$3),T_CALC[[#This Row],[DAY]]+1,3),NA())</f>
        <v>1.3354999999999999</v>
      </c>
      <c r="N344" cm="1" vm="2605">
        <f t="array" aca="1" ref="N344" ca="1">IFERROR(INDEX(_xlfn.ANCHORARRAY($C$3),T_CALC[[#This Row],[DAY]]+1,4),NA())</f>
        <v>1.3360000000000001</v>
      </c>
      <c r="O344" cm="1" vm="2588">
        <f t="array" aca="1" ref="O344" ca="1">IFERROR(INDEX(_xlfn.ANCHORARRAY($C$3),T_CALC[[#This Row],[DAY]]+1,5),NA())</f>
        <v>1.3305</v>
      </c>
      <c r="P344" cm="1" vm="2590">
        <f t="array" aca="1" ref="P344" ca="1">IFERROR(INDEX(_xlfn.ANCHORARRAY($C$3),T_CALC[[#This Row],[DAY]]+1,6),NA())</f>
        <v>1.3359000000000001</v>
      </c>
      <c r="Q344" cm="1">
        <f t="array" aca="1" ref="Q344" ca="1">IFERROR(INDEX(_xlfn.ANCHORARRAY($C$3),T_CALC[[#This Row],[DAY]]+1,2),NA())</f>
        <v>0</v>
      </c>
    </row>
    <row r="345" spans="3:17">
      <c r="C345" vm="2607">
        <f ca="1"/>
        <v>43235</v>
      </c>
      <c r="D345">
        <f ca="1"/>
        <v>0</v>
      </c>
      <c r="E345" vm="2590">
        <f ca="1"/>
        <v>1.3359000000000001</v>
      </c>
      <c r="F345" vm="2248">
        <f ca="1"/>
        <v>1.3456999999999999</v>
      </c>
      <c r="G345" vm="2608">
        <f ca="1"/>
        <v>1.3344</v>
      </c>
      <c r="H345" vm="2609">
        <f ca="1"/>
        <v>1.3446</v>
      </c>
      <c r="K345">
        <f ca="1">IF(ROW(T_CALC[[#This Row],[DAY]])-ROW(T_CALC[[#Headers],[DAY]])&gt;C_N_TRADING_DAYS,"",ROW(T_CALC[[#This Row],[DAY]])-ROW(T_CALC[[#Headers],[DAY]]))</f>
        <v>342</v>
      </c>
      <c r="L345" cm="1" vm="2607">
        <f t="array" aca="1" ref="L345" ca="1">IFERROR(INDEX(_xlfn.ANCHORARRAY($C$3),T_CALC[[#This Row],[DAY]]+1,1),NA())</f>
        <v>43235</v>
      </c>
      <c r="M345" cm="1" vm="2590">
        <f t="array" aca="1" ref="M345" ca="1">IFERROR(INDEX(_xlfn.ANCHORARRAY($C$3),T_CALC[[#This Row],[DAY]]+1,3),NA())</f>
        <v>1.3359000000000001</v>
      </c>
      <c r="N345" cm="1" vm="2248">
        <f t="array" aca="1" ref="N345" ca="1">IFERROR(INDEX(_xlfn.ANCHORARRAY($C$3),T_CALC[[#This Row],[DAY]]+1,4),NA())</f>
        <v>1.3456999999999999</v>
      </c>
      <c r="O345" cm="1" vm="2608">
        <f t="array" aca="1" ref="O345" ca="1">IFERROR(INDEX(_xlfn.ANCHORARRAY($C$3),T_CALC[[#This Row],[DAY]]+1,5),NA())</f>
        <v>1.3344</v>
      </c>
      <c r="P345" cm="1" vm="2609">
        <f t="array" aca="1" ref="P345" ca="1">IFERROR(INDEX(_xlfn.ANCHORARRAY($C$3),T_CALC[[#This Row],[DAY]]+1,6),NA())</f>
        <v>1.3446</v>
      </c>
      <c r="Q345" cm="1">
        <f t="array" aca="1" ref="Q345" ca="1">IFERROR(INDEX(_xlfn.ANCHORARRAY($C$3),T_CALC[[#This Row],[DAY]]+1,2),NA())</f>
        <v>0</v>
      </c>
    </row>
    <row r="346" spans="3:17">
      <c r="C346" vm="2610">
        <f ca="1"/>
        <v>43236</v>
      </c>
      <c r="D346">
        <f ca="1"/>
        <v>0</v>
      </c>
      <c r="E346" vm="2289">
        <f ca="1"/>
        <v>1.3444</v>
      </c>
      <c r="F346" vm="2611">
        <f ca="1"/>
        <v>1.3455999999999999</v>
      </c>
      <c r="G346" vm="2612">
        <f ca="1"/>
        <v>1.3383</v>
      </c>
      <c r="H346" vm="2613">
        <f ca="1"/>
        <v>1.3402000000000001</v>
      </c>
      <c r="K346">
        <f ca="1">IF(ROW(T_CALC[[#This Row],[DAY]])-ROW(T_CALC[[#Headers],[DAY]])&gt;C_N_TRADING_DAYS,"",ROW(T_CALC[[#This Row],[DAY]])-ROW(T_CALC[[#Headers],[DAY]]))</f>
        <v>343</v>
      </c>
      <c r="L346" cm="1" vm="2610">
        <f t="array" aca="1" ref="L346" ca="1">IFERROR(INDEX(_xlfn.ANCHORARRAY($C$3),T_CALC[[#This Row],[DAY]]+1,1),NA())</f>
        <v>43236</v>
      </c>
      <c r="M346" cm="1" vm="2289">
        <f t="array" aca="1" ref="M346" ca="1">IFERROR(INDEX(_xlfn.ANCHORARRAY($C$3),T_CALC[[#This Row],[DAY]]+1,3),NA())</f>
        <v>1.3444</v>
      </c>
      <c r="N346" cm="1" vm="2611">
        <f t="array" aca="1" ref="N346" ca="1">IFERROR(INDEX(_xlfn.ANCHORARRAY($C$3),T_CALC[[#This Row],[DAY]]+1,4),NA())</f>
        <v>1.3455999999999999</v>
      </c>
      <c r="O346" cm="1" vm="2612">
        <f t="array" aca="1" ref="O346" ca="1">IFERROR(INDEX(_xlfn.ANCHORARRAY($C$3),T_CALC[[#This Row],[DAY]]+1,5),NA())</f>
        <v>1.3383</v>
      </c>
      <c r="P346" cm="1" vm="2613">
        <f t="array" aca="1" ref="P346" ca="1">IFERROR(INDEX(_xlfn.ANCHORARRAY($C$3),T_CALC[[#This Row],[DAY]]+1,6),NA())</f>
        <v>1.3402000000000001</v>
      </c>
      <c r="Q346" cm="1">
        <f t="array" aca="1" ref="Q346" ca="1">IFERROR(INDEX(_xlfn.ANCHORARRAY($C$3),T_CALC[[#This Row],[DAY]]+1,2),NA())</f>
        <v>0</v>
      </c>
    </row>
    <row r="347" spans="3:17">
      <c r="C347" vm="2614">
        <f ca="1"/>
        <v>43237</v>
      </c>
      <c r="D347">
        <f ca="1"/>
        <v>0</v>
      </c>
      <c r="E347" vm="2613">
        <f ca="1"/>
        <v>1.3402000000000001</v>
      </c>
      <c r="F347" vm="2243">
        <f ca="1"/>
        <v>1.3434999999999999</v>
      </c>
      <c r="G347" vm="2329">
        <f ca="1"/>
        <v>1.3369</v>
      </c>
      <c r="H347" vm="2122">
        <f ca="1"/>
        <v>1.3420000000000001</v>
      </c>
      <c r="K347">
        <f ca="1">IF(ROW(T_CALC[[#This Row],[DAY]])-ROW(T_CALC[[#Headers],[DAY]])&gt;C_N_TRADING_DAYS,"",ROW(T_CALC[[#This Row],[DAY]])-ROW(T_CALC[[#Headers],[DAY]]))</f>
        <v>344</v>
      </c>
      <c r="L347" cm="1" vm="2614">
        <f t="array" aca="1" ref="L347" ca="1">IFERROR(INDEX(_xlfn.ANCHORARRAY($C$3),T_CALC[[#This Row],[DAY]]+1,1),NA())</f>
        <v>43237</v>
      </c>
      <c r="M347" cm="1" vm="2613">
        <f t="array" aca="1" ref="M347" ca="1">IFERROR(INDEX(_xlfn.ANCHORARRAY($C$3),T_CALC[[#This Row],[DAY]]+1,3),NA())</f>
        <v>1.3402000000000001</v>
      </c>
      <c r="N347" cm="1" vm="2243">
        <f t="array" aca="1" ref="N347" ca="1">IFERROR(INDEX(_xlfn.ANCHORARRAY($C$3),T_CALC[[#This Row],[DAY]]+1,4),NA())</f>
        <v>1.3434999999999999</v>
      </c>
      <c r="O347" cm="1" vm="2329">
        <f t="array" aca="1" ref="O347" ca="1">IFERROR(INDEX(_xlfn.ANCHORARRAY($C$3),T_CALC[[#This Row],[DAY]]+1,5),NA())</f>
        <v>1.3369</v>
      </c>
      <c r="P347" cm="1" vm="2122">
        <f t="array" aca="1" ref="P347" ca="1">IFERROR(INDEX(_xlfn.ANCHORARRAY($C$3),T_CALC[[#This Row],[DAY]]+1,6),NA())</f>
        <v>1.3420000000000001</v>
      </c>
      <c r="Q347" cm="1">
        <f t="array" aca="1" ref="Q347" ca="1">IFERROR(INDEX(_xlfn.ANCHORARRAY($C$3),T_CALC[[#This Row],[DAY]]+1,2),NA())</f>
        <v>0</v>
      </c>
    </row>
    <row r="348" spans="3:17">
      <c r="C348" vm="2615">
        <f ca="1"/>
        <v>43238</v>
      </c>
      <c r="D348">
        <f ca="1"/>
        <v>0</v>
      </c>
      <c r="E348" vm="2101">
        <f ca="1"/>
        <v>1.3419000000000001</v>
      </c>
      <c r="F348" vm="2118">
        <f ca="1"/>
        <v>1.3458000000000001</v>
      </c>
      <c r="G348" vm="2105">
        <f ca="1"/>
        <v>1.3405</v>
      </c>
      <c r="H348" vm="2282">
        <f ca="1"/>
        <v>1.3426</v>
      </c>
      <c r="K348">
        <f ca="1">IF(ROW(T_CALC[[#This Row],[DAY]])-ROW(T_CALC[[#Headers],[DAY]])&gt;C_N_TRADING_DAYS,"",ROW(T_CALC[[#This Row],[DAY]])-ROW(T_CALC[[#Headers],[DAY]]))</f>
        <v>345</v>
      </c>
      <c r="L348" cm="1" vm="2615">
        <f t="array" aca="1" ref="L348" ca="1">IFERROR(INDEX(_xlfn.ANCHORARRAY($C$3),T_CALC[[#This Row],[DAY]]+1,1),NA())</f>
        <v>43238</v>
      </c>
      <c r="M348" cm="1" vm="2101">
        <f t="array" aca="1" ref="M348" ca="1">IFERROR(INDEX(_xlfn.ANCHORARRAY($C$3),T_CALC[[#This Row],[DAY]]+1,3),NA())</f>
        <v>1.3419000000000001</v>
      </c>
      <c r="N348" cm="1" vm="2118">
        <f t="array" aca="1" ref="N348" ca="1">IFERROR(INDEX(_xlfn.ANCHORARRAY($C$3),T_CALC[[#This Row],[DAY]]+1,4),NA())</f>
        <v>1.3458000000000001</v>
      </c>
      <c r="O348" cm="1" vm="2105">
        <f t="array" aca="1" ref="O348" ca="1">IFERROR(INDEX(_xlfn.ANCHORARRAY($C$3),T_CALC[[#This Row],[DAY]]+1,5),NA())</f>
        <v>1.3405</v>
      </c>
      <c r="P348" cm="1" vm="2282">
        <f t="array" aca="1" ref="P348" ca="1">IFERROR(INDEX(_xlfn.ANCHORARRAY($C$3),T_CALC[[#This Row],[DAY]]+1,6),NA())</f>
        <v>1.3426</v>
      </c>
      <c r="Q348" cm="1">
        <f t="array" aca="1" ref="Q348" ca="1">IFERROR(INDEX(_xlfn.ANCHORARRAY($C$3),T_CALC[[#This Row],[DAY]]+1,2),NA())</f>
        <v>0</v>
      </c>
    </row>
    <row r="349" spans="3:17">
      <c r="C349" vm="2616">
        <f ca="1"/>
        <v>43241</v>
      </c>
      <c r="D349">
        <f ca="1"/>
        <v>0</v>
      </c>
      <c r="E349" vm="2272">
        <f ca="1"/>
        <v>1.3438000000000001</v>
      </c>
      <c r="F349" vm="2257">
        <f ca="1"/>
        <v>1.3471</v>
      </c>
      <c r="G349" vm="2095">
        <f ca="1"/>
        <v>1.3391</v>
      </c>
      <c r="H349" vm="2292">
        <f ca="1"/>
        <v>1.3395999999999999</v>
      </c>
      <c r="K349">
        <f ca="1">IF(ROW(T_CALC[[#This Row],[DAY]])-ROW(T_CALC[[#Headers],[DAY]])&gt;C_N_TRADING_DAYS,"",ROW(T_CALC[[#This Row],[DAY]])-ROW(T_CALC[[#Headers],[DAY]]))</f>
        <v>346</v>
      </c>
      <c r="L349" cm="1" vm="2616">
        <f t="array" aca="1" ref="L349" ca="1">IFERROR(INDEX(_xlfn.ANCHORARRAY($C$3),T_CALC[[#This Row],[DAY]]+1,1),NA())</f>
        <v>43241</v>
      </c>
      <c r="M349" cm="1" vm="2272">
        <f t="array" aca="1" ref="M349" ca="1">IFERROR(INDEX(_xlfn.ANCHORARRAY($C$3),T_CALC[[#This Row],[DAY]]+1,3),NA())</f>
        <v>1.3438000000000001</v>
      </c>
      <c r="N349" cm="1" vm="2257">
        <f t="array" aca="1" ref="N349" ca="1">IFERROR(INDEX(_xlfn.ANCHORARRAY($C$3),T_CALC[[#This Row],[DAY]]+1,4),NA())</f>
        <v>1.3471</v>
      </c>
      <c r="O349" cm="1" vm="2095">
        <f t="array" aca="1" ref="O349" ca="1">IFERROR(INDEX(_xlfn.ANCHORARRAY($C$3),T_CALC[[#This Row],[DAY]]+1,5),NA())</f>
        <v>1.3391</v>
      </c>
      <c r="P349" cm="1" vm="2292">
        <f t="array" aca="1" ref="P349" ca="1">IFERROR(INDEX(_xlfn.ANCHORARRAY($C$3),T_CALC[[#This Row],[DAY]]+1,6),NA())</f>
        <v>1.3395999999999999</v>
      </c>
      <c r="Q349" cm="1">
        <f t="array" aca="1" ref="Q349" ca="1">IFERROR(INDEX(_xlfn.ANCHORARRAY($C$3),T_CALC[[#This Row],[DAY]]+1,2),NA())</f>
        <v>0</v>
      </c>
    </row>
    <row r="350" spans="3:17">
      <c r="C350" vm="2617">
        <f ca="1"/>
        <v>43242</v>
      </c>
      <c r="D350">
        <f ca="1"/>
        <v>0</v>
      </c>
      <c r="E350" vm="2294">
        <f ca="1"/>
        <v>1.3396999999999999</v>
      </c>
      <c r="F350" vm="2618">
        <f ca="1"/>
        <v>1.3413999999999999</v>
      </c>
      <c r="G350" vm="2328">
        <f ca="1"/>
        <v>1.3353999999999999</v>
      </c>
      <c r="H350" vm="2619">
        <f ca="1"/>
        <v>1.339</v>
      </c>
      <c r="K350">
        <f ca="1">IF(ROW(T_CALC[[#This Row],[DAY]])-ROW(T_CALC[[#Headers],[DAY]])&gt;C_N_TRADING_DAYS,"",ROW(T_CALC[[#This Row],[DAY]])-ROW(T_CALC[[#Headers],[DAY]]))</f>
        <v>347</v>
      </c>
      <c r="L350" cm="1" vm="2617">
        <f t="array" aca="1" ref="L350" ca="1">IFERROR(INDEX(_xlfn.ANCHORARRAY($C$3),T_CALC[[#This Row],[DAY]]+1,1),NA())</f>
        <v>43242</v>
      </c>
      <c r="M350" cm="1" vm="2294">
        <f t="array" aca="1" ref="M350" ca="1">IFERROR(INDEX(_xlfn.ANCHORARRAY($C$3),T_CALC[[#This Row],[DAY]]+1,3),NA())</f>
        <v>1.3396999999999999</v>
      </c>
      <c r="N350" cm="1" vm="2618">
        <f t="array" aca="1" ref="N350" ca="1">IFERROR(INDEX(_xlfn.ANCHORARRAY($C$3),T_CALC[[#This Row],[DAY]]+1,4),NA())</f>
        <v>1.3413999999999999</v>
      </c>
      <c r="O350" cm="1" vm="2328">
        <f t="array" aca="1" ref="O350" ca="1">IFERROR(INDEX(_xlfn.ANCHORARRAY($C$3),T_CALC[[#This Row],[DAY]]+1,5),NA())</f>
        <v>1.3353999999999999</v>
      </c>
      <c r="P350" cm="1" vm="2619">
        <f t="array" aca="1" ref="P350" ca="1">IFERROR(INDEX(_xlfn.ANCHORARRAY($C$3),T_CALC[[#This Row],[DAY]]+1,6),NA())</f>
        <v>1.339</v>
      </c>
      <c r="Q350" cm="1">
        <f t="array" aca="1" ref="Q350" ca="1">IFERROR(INDEX(_xlfn.ANCHORARRAY($C$3),T_CALC[[#This Row],[DAY]]+1,2),NA())</f>
        <v>0</v>
      </c>
    </row>
    <row r="351" spans="3:17">
      <c r="C351" vm="2620">
        <f ca="1"/>
        <v>43243</v>
      </c>
      <c r="D351">
        <f ca="1"/>
        <v>0</v>
      </c>
      <c r="E351" vm="2621">
        <f ca="1"/>
        <v>1.3389</v>
      </c>
      <c r="F351" vm="2130">
        <f ca="1"/>
        <v>1.3464</v>
      </c>
      <c r="G351" vm="2622">
        <f ca="1"/>
        <v>1.3379000000000001</v>
      </c>
      <c r="H351" vm="2623">
        <f ca="1"/>
        <v>1.3432999999999999</v>
      </c>
      <c r="K351">
        <f ca="1">IF(ROW(T_CALC[[#This Row],[DAY]])-ROW(T_CALC[[#Headers],[DAY]])&gt;C_N_TRADING_DAYS,"",ROW(T_CALC[[#This Row],[DAY]])-ROW(T_CALC[[#Headers],[DAY]]))</f>
        <v>348</v>
      </c>
      <c r="L351" cm="1" vm="2620">
        <f t="array" aca="1" ref="L351" ca="1">IFERROR(INDEX(_xlfn.ANCHORARRAY($C$3),T_CALC[[#This Row],[DAY]]+1,1),NA())</f>
        <v>43243</v>
      </c>
      <c r="M351" cm="1" vm="2621">
        <f t="array" aca="1" ref="M351" ca="1">IFERROR(INDEX(_xlfn.ANCHORARRAY($C$3),T_CALC[[#This Row],[DAY]]+1,3),NA())</f>
        <v>1.3389</v>
      </c>
      <c r="N351" cm="1" vm="2130">
        <f t="array" aca="1" ref="N351" ca="1">IFERROR(INDEX(_xlfn.ANCHORARRAY($C$3),T_CALC[[#This Row],[DAY]]+1,4),NA())</f>
        <v>1.3464</v>
      </c>
      <c r="O351" cm="1" vm="2622">
        <f t="array" aca="1" ref="O351" ca="1">IFERROR(INDEX(_xlfn.ANCHORARRAY($C$3),T_CALC[[#This Row],[DAY]]+1,5),NA())</f>
        <v>1.3379000000000001</v>
      </c>
      <c r="P351" cm="1" vm="2623">
        <f t="array" aca="1" ref="P351" ca="1">IFERROR(INDEX(_xlfn.ANCHORARRAY($C$3),T_CALC[[#This Row],[DAY]]+1,6),NA())</f>
        <v>1.3432999999999999</v>
      </c>
      <c r="Q351" cm="1">
        <f t="array" aca="1" ref="Q351" ca="1">IFERROR(INDEX(_xlfn.ANCHORARRAY($C$3),T_CALC[[#This Row],[DAY]]+1,2),NA())</f>
        <v>0</v>
      </c>
    </row>
    <row r="352" spans="3:17">
      <c r="C352" vm="2624">
        <f ca="1"/>
        <v>43244</v>
      </c>
      <c r="D352">
        <f ca="1"/>
        <v>0</v>
      </c>
      <c r="E352" vm="2110">
        <f ca="1"/>
        <v>1.3431999999999999</v>
      </c>
      <c r="F352" vm="2256">
        <f ca="1"/>
        <v>1.3448</v>
      </c>
      <c r="G352" vm="2622">
        <f ca="1"/>
        <v>1.3379000000000001</v>
      </c>
      <c r="H352" vm="2619">
        <f ca="1"/>
        <v>1.339</v>
      </c>
      <c r="K352">
        <f ca="1">IF(ROW(T_CALC[[#This Row],[DAY]])-ROW(T_CALC[[#Headers],[DAY]])&gt;C_N_TRADING_DAYS,"",ROW(T_CALC[[#This Row],[DAY]])-ROW(T_CALC[[#Headers],[DAY]]))</f>
        <v>349</v>
      </c>
      <c r="L352" cm="1" vm="2624">
        <f t="array" aca="1" ref="L352" ca="1">IFERROR(INDEX(_xlfn.ANCHORARRAY($C$3),T_CALC[[#This Row],[DAY]]+1,1),NA())</f>
        <v>43244</v>
      </c>
      <c r="M352" cm="1" vm="2110">
        <f t="array" aca="1" ref="M352" ca="1">IFERROR(INDEX(_xlfn.ANCHORARRAY($C$3),T_CALC[[#This Row],[DAY]]+1,3),NA())</f>
        <v>1.3431999999999999</v>
      </c>
      <c r="N352" cm="1" vm="2256">
        <f t="array" aca="1" ref="N352" ca="1">IFERROR(INDEX(_xlfn.ANCHORARRAY($C$3),T_CALC[[#This Row],[DAY]]+1,4),NA())</f>
        <v>1.3448</v>
      </c>
      <c r="O352" cm="1" vm="2622">
        <f t="array" aca="1" ref="O352" ca="1">IFERROR(INDEX(_xlfn.ANCHORARRAY($C$3),T_CALC[[#This Row],[DAY]]+1,5),NA())</f>
        <v>1.3379000000000001</v>
      </c>
      <c r="P352" cm="1" vm="2619">
        <f t="array" aca="1" ref="P352" ca="1">IFERROR(INDEX(_xlfn.ANCHORARRAY($C$3),T_CALC[[#This Row],[DAY]]+1,6),NA())</f>
        <v>1.339</v>
      </c>
      <c r="Q352" cm="1">
        <f t="array" aca="1" ref="Q352" ca="1">IFERROR(INDEX(_xlfn.ANCHORARRAY($C$3),T_CALC[[#This Row],[DAY]]+1,2),NA())</f>
        <v>0</v>
      </c>
    </row>
    <row r="353" spans="3:17">
      <c r="C353" vm="2625">
        <f ca="1"/>
        <v>43245</v>
      </c>
      <c r="D353">
        <f ca="1"/>
        <v>0</v>
      </c>
      <c r="E353" vm="2626">
        <f ca="1"/>
        <v>1.3391999999999999</v>
      </c>
      <c r="F353" vm="2627">
        <f ca="1"/>
        <v>1.3423</v>
      </c>
      <c r="G353" vm="2602">
        <f ca="1"/>
        <v>1.3371999999999999</v>
      </c>
      <c r="H353" vm="2618">
        <f ca="1"/>
        <v>1.3413999999999999</v>
      </c>
      <c r="K353">
        <f ca="1">IF(ROW(T_CALC[[#This Row],[DAY]])-ROW(T_CALC[[#Headers],[DAY]])&gt;C_N_TRADING_DAYS,"",ROW(T_CALC[[#This Row],[DAY]])-ROW(T_CALC[[#Headers],[DAY]]))</f>
        <v>350</v>
      </c>
      <c r="L353" cm="1" vm="2625">
        <f t="array" aca="1" ref="L353" ca="1">IFERROR(INDEX(_xlfn.ANCHORARRAY($C$3),T_CALC[[#This Row],[DAY]]+1,1),NA())</f>
        <v>43245</v>
      </c>
      <c r="M353" cm="1" vm="2626">
        <f t="array" aca="1" ref="M353" ca="1">IFERROR(INDEX(_xlfn.ANCHORARRAY($C$3),T_CALC[[#This Row],[DAY]]+1,3),NA())</f>
        <v>1.3391999999999999</v>
      </c>
      <c r="N353" cm="1" vm="2627">
        <f t="array" aca="1" ref="N353" ca="1">IFERROR(INDEX(_xlfn.ANCHORARRAY($C$3),T_CALC[[#This Row],[DAY]]+1,4),NA())</f>
        <v>1.3423</v>
      </c>
      <c r="O353" cm="1" vm="2602">
        <f t="array" aca="1" ref="O353" ca="1">IFERROR(INDEX(_xlfn.ANCHORARRAY($C$3),T_CALC[[#This Row],[DAY]]+1,5),NA())</f>
        <v>1.3371999999999999</v>
      </c>
      <c r="P353" cm="1" vm="2618">
        <f t="array" aca="1" ref="P353" ca="1">IFERROR(INDEX(_xlfn.ANCHORARRAY($C$3),T_CALC[[#This Row],[DAY]]+1,6),NA())</f>
        <v>1.3413999999999999</v>
      </c>
      <c r="Q353" cm="1">
        <f t="array" aca="1" ref="Q353" ca="1">IFERROR(INDEX(_xlfn.ANCHORARRAY($C$3),T_CALC[[#This Row],[DAY]]+1,2),NA())</f>
        <v>0</v>
      </c>
    </row>
    <row r="354" spans="3:17">
      <c r="C354" vm="2628">
        <f ca="1"/>
        <v>43248</v>
      </c>
      <c r="D354">
        <f ca="1"/>
        <v>0</v>
      </c>
      <c r="E354" vm="2629">
        <f ca="1"/>
        <v>1.3428</v>
      </c>
      <c r="F354" vm="2140">
        <f ca="1"/>
        <v>1.343</v>
      </c>
      <c r="G354" vm="2630">
        <f ca="1"/>
        <v>1.3373999999999999</v>
      </c>
      <c r="H354" vm="2631">
        <f ca="1"/>
        <v>1.3424</v>
      </c>
      <c r="K354">
        <f ca="1">IF(ROW(T_CALC[[#This Row],[DAY]])-ROW(T_CALC[[#Headers],[DAY]])&gt;C_N_TRADING_DAYS,"",ROW(T_CALC[[#This Row],[DAY]])-ROW(T_CALC[[#Headers],[DAY]]))</f>
        <v>351</v>
      </c>
      <c r="L354" cm="1" vm="2628">
        <f t="array" aca="1" ref="L354" ca="1">IFERROR(INDEX(_xlfn.ANCHORARRAY($C$3),T_CALC[[#This Row],[DAY]]+1,1),NA())</f>
        <v>43248</v>
      </c>
      <c r="M354" cm="1" vm="2629">
        <f t="array" aca="1" ref="M354" ca="1">IFERROR(INDEX(_xlfn.ANCHORARRAY($C$3),T_CALC[[#This Row],[DAY]]+1,3),NA())</f>
        <v>1.3428</v>
      </c>
      <c r="N354" cm="1" vm="2140">
        <f t="array" aca="1" ref="N354" ca="1">IFERROR(INDEX(_xlfn.ANCHORARRAY($C$3),T_CALC[[#This Row],[DAY]]+1,4),NA())</f>
        <v>1.343</v>
      </c>
      <c r="O354" cm="1" vm="2630">
        <f t="array" aca="1" ref="O354" ca="1">IFERROR(INDEX(_xlfn.ANCHORARRAY($C$3),T_CALC[[#This Row],[DAY]]+1,5),NA())</f>
        <v>1.3373999999999999</v>
      </c>
      <c r="P354" cm="1" vm="2631">
        <f t="array" aca="1" ref="P354" ca="1">IFERROR(INDEX(_xlfn.ANCHORARRAY($C$3),T_CALC[[#This Row],[DAY]]+1,6),NA())</f>
        <v>1.3424</v>
      </c>
      <c r="Q354" cm="1">
        <f t="array" aca="1" ref="Q354" ca="1">IFERROR(INDEX(_xlfn.ANCHORARRAY($C$3),T_CALC[[#This Row],[DAY]]+1,2),NA())</f>
        <v>0</v>
      </c>
    </row>
    <row r="355" spans="3:17">
      <c r="C355" vm="2632">
        <f ca="1"/>
        <v>43249</v>
      </c>
      <c r="D355">
        <f ca="1"/>
        <v>0</v>
      </c>
      <c r="E355" vm="2627">
        <f ca="1"/>
        <v>1.3423</v>
      </c>
      <c r="F355" vm="2133">
        <f ca="1"/>
        <v>1.3484</v>
      </c>
      <c r="G355" vm="2633">
        <f ca="1"/>
        <v>1.3416999999999999</v>
      </c>
      <c r="H355" vm="2248">
        <f ca="1"/>
        <v>1.3456999999999999</v>
      </c>
      <c r="K355">
        <f ca="1">IF(ROW(T_CALC[[#This Row],[DAY]])-ROW(T_CALC[[#Headers],[DAY]])&gt;C_N_TRADING_DAYS,"",ROW(T_CALC[[#This Row],[DAY]])-ROW(T_CALC[[#Headers],[DAY]]))</f>
        <v>352</v>
      </c>
      <c r="L355" cm="1" vm="2632">
        <f t="array" aca="1" ref="L355" ca="1">IFERROR(INDEX(_xlfn.ANCHORARRAY($C$3),T_CALC[[#This Row],[DAY]]+1,1),NA())</f>
        <v>43249</v>
      </c>
      <c r="M355" cm="1" vm="2627">
        <f t="array" aca="1" ref="M355" ca="1">IFERROR(INDEX(_xlfn.ANCHORARRAY($C$3),T_CALC[[#This Row],[DAY]]+1,3),NA())</f>
        <v>1.3423</v>
      </c>
      <c r="N355" cm="1" vm="2133">
        <f t="array" aca="1" ref="N355" ca="1">IFERROR(INDEX(_xlfn.ANCHORARRAY($C$3),T_CALC[[#This Row],[DAY]]+1,4),NA())</f>
        <v>1.3484</v>
      </c>
      <c r="O355" cm="1" vm="2633">
        <f t="array" aca="1" ref="O355" ca="1">IFERROR(INDEX(_xlfn.ANCHORARRAY($C$3),T_CALC[[#This Row],[DAY]]+1,5),NA())</f>
        <v>1.3416999999999999</v>
      </c>
      <c r="P355" cm="1" vm="2248">
        <f t="array" aca="1" ref="P355" ca="1">IFERROR(INDEX(_xlfn.ANCHORARRAY($C$3),T_CALC[[#This Row],[DAY]]+1,6),NA())</f>
        <v>1.3456999999999999</v>
      </c>
      <c r="Q355" cm="1">
        <f t="array" aca="1" ref="Q355" ca="1">IFERROR(INDEX(_xlfn.ANCHORARRAY($C$3),T_CALC[[#This Row],[DAY]]+1,2),NA())</f>
        <v>0</v>
      </c>
    </row>
    <row r="356" spans="3:17">
      <c r="C356" vm="2634">
        <f ca="1"/>
        <v>43250</v>
      </c>
      <c r="D356">
        <f ca="1"/>
        <v>0</v>
      </c>
      <c r="E356" vm="2248">
        <f ca="1"/>
        <v>1.3456999999999999</v>
      </c>
      <c r="F356" vm="2104">
        <f ca="1"/>
        <v>1.3469</v>
      </c>
      <c r="G356" vm="2622">
        <f ca="1"/>
        <v>1.3379000000000001</v>
      </c>
      <c r="H356" vm="2621">
        <f ca="1"/>
        <v>1.3389</v>
      </c>
      <c r="K356">
        <f ca="1">IF(ROW(T_CALC[[#This Row],[DAY]])-ROW(T_CALC[[#Headers],[DAY]])&gt;C_N_TRADING_DAYS,"",ROW(T_CALC[[#This Row],[DAY]])-ROW(T_CALC[[#Headers],[DAY]]))</f>
        <v>353</v>
      </c>
      <c r="L356" cm="1" vm="2634">
        <f t="array" aca="1" ref="L356" ca="1">IFERROR(INDEX(_xlfn.ANCHORARRAY($C$3),T_CALC[[#This Row],[DAY]]+1,1),NA())</f>
        <v>43250</v>
      </c>
      <c r="M356" cm="1" vm="2248">
        <f t="array" aca="1" ref="M356" ca="1">IFERROR(INDEX(_xlfn.ANCHORARRAY($C$3),T_CALC[[#This Row],[DAY]]+1,3),NA())</f>
        <v>1.3456999999999999</v>
      </c>
      <c r="N356" cm="1" vm="2104">
        <f t="array" aca="1" ref="N356" ca="1">IFERROR(INDEX(_xlfn.ANCHORARRAY($C$3),T_CALC[[#This Row],[DAY]]+1,4),NA())</f>
        <v>1.3469</v>
      </c>
      <c r="O356" cm="1" vm="2622">
        <f t="array" aca="1" ref="O356" ca="1">IFERROR(INDEX(_xlfn.ANCHORARRAY($C$3),T_CALC[[#This Row],[DAY]]+1,5),NA())</f>
        <v>1.3379000000000001</v>
      </c>
      <c r="P356" cm="1" vm="2621">
        <f t="array" aca="1" ref="P356" ca="1">IFERROR(INDEX(_xlfn.ANCHORARRAY($C$3),T_CALC[[#This Row],[DAY]]+1,6),NA())</f>
        <v>1.3389</v>
      </c>
      <c r="Q356" cm="1">
        <f t="array" aca="1" ref="Q356" ca="1">IFERROR(INDEX(_xlfn.ANCHORARRAY($C$3),T_CALC[[#This Row],[DAY]]+1,2),NA())</f>
        <v>0</v>
      </c>
    </row>
    <row r="357" spans="3:17">
      <c r="C357" vm="2635">
        <f ca="1"/>
        <v>43251</v>
      </c>
      <c r="D357">
        <f ca="1"/>
        <v>0</v>
      </c>
      <c r="E357" vm="2599">
        <f ca="1"/>
        <v>1.3388</v>
      </c>
      <c r="F357" vm="2636">
        <f ca="1"/>
        <v>1.3406</v>
      </c>
      <c r="G357" vm="2594">
        <f ca="1"/>
        <v>1.3354999999999999</v>
      </c>
      <c r="H357" vm="2630">
        <f ca="1"/>
        <v>1.3373999999999999</v>
      </c>
      <c r="K357">
        <f ca="1">IF(ROW(T_CALC[[#This Row],[DAY]])-ROW(T_CALC[[#Headers],[DAY]])&gt;C_N_TRADING_DAYS,"",ROW(T_CALC[[#This Row],[DAY]])-ROW(T_CALC[[#Headers],[DAY]]))</f>
        <v>354</v>
      </c>
      <c r="L357" cm="1" vm="2635">
        <f t="array" aca="1" ref="L357" ca="1">IFERROR(INDEX(_xlfn.ANCHORARRAY($C$3),T_CALC[[#This Row],[DAY]]+1,1),NA())</f>
        <v>43251</v>
      </c>
      <c r="M357" cm="1" vm="2599">
        <f t="array" aca="1" ref="M357" ca="1">IFERROR(INDEX(_xlfn.ANCHORARRAY($C$3),T_CALC[[#This Row],[DAY]]+1,3),NA())</f>
        <v>1.3388</v>
      </c>
      <c r="N357" cm="1" vm="2636">
        <f t="array" aca="1" ref="N357" ca="1">IFERROR(INDEX(_xlfn.ANCHORARRAY($C$3),T_CALC[[#This Row],[DAY]]+1,4),NA())</f>
        <v>1.3406</v>
      </c>
      <c r="O357" cm="1" vm="2594">
        <f t="array" aca="1" ref="O357" ca="1">IFERROR(INDEX(_xlfn.ANCHORARRAY($C$3),T_CALC[[#This Row],[DAY]]+1,5),NA())</f>
        <v>1.3354999999999999</v>
      </c>
      <c r="P357" cm="1" vm="2630">
        <f t="array" aca="1" ref="P357" ca="1">IFERROR(INDEX(_xlfn.ANCHORARRAY($C$3),T_CALC[[#This Row],[DAY]]+1,6),NA())</f>
        <v>1.3373999999999999</v>
      </c>
      <c r="Q357" cm="1">
        <f t="array" aca="1" ref="Q357" ca="1">IFERROR(INDEX(_xlfn.ANCHORARRAY($C$3),T_CALC[[#This Row],[DAY]]+1,2),NA())</f>
        <v>0</v>
      </c>
    </row>
    <row r="358" spans="3:17">
      <c r="C358" vm="2637">
        <f ca="1"/>
        <v>43252</v>
      </c>
      <c r="D358">
        <f ca="1"/>
        <v>0</v>
      </c>
      <c r="E358" vm="2297">
        <f ca="1"/>
        <v>1.3374999999999999</v>
      </c>
      <c r="F358" vm="2597">
        <f ca="1"/>
        <v>1.34</v>
      </c>
      <c r="G358" vm="2586">
        <f ca="1"/>
        <v>1.3361000000000001</v>
      </c>
      <c r="H358" vm="2612">
        <f ca="1"/>
        <v>1.3383</v>
      </c>
      <c r="K358">
        <f ca="1">IF(ROW(T_CALC[[#This Row],[DAY]])-ROW(T_CALC[[#Headers],[DAY]])&gt;C_N_TRADING_DAYS,"",ROW(T_CALC[[#This Row],[DAY]])-ROW(T_CALC[[#Headers],[DAY]]))</f>
        <v>355</v>
      </c>
      <c r="L358" cm="1" vm="2637">
        <f t="array" aca="1" ref="L358" ca="1">IFERROR(INDEX(_xlfn.ANCHORARRAY($C$3),T_CALC[[#This Row],[DAY]]+1,1),NA())</f>
        <v>43252</v>
      </c>
      <c r="M358" cm="1" vm="2297">
        <f t="array" aca="1" ref="M358" ca="1">IFERROR(INDEX(_xlfn.ANCHORARRAY($C$3),T_CALC[[#This Row],[DAY]]+1,3),NA())</f>
        <v>1.3374999999999999</v>
      </c>
      <c r="N358" cm="1" vm="2597">
        <f t="array" aca="1" ref="N358" ca="1">IFERROR(INDEX(_xlfn.ANCHORARRAY($C$3),T_CALC[[#This Row],[DAY]]+1,4),NA())</f>
        <v>1.34</v>
      </c>
      <c r="O358" cm="1" vm="2586">
        <f t="array" aca="1" ref="O358" ca="1">IFERROR(INDEX(_xlfn.ANCHORARRAY($C$3),T_CALC[[#This Row],[DAY]]+1,5),NA())</f>
        <v>1.3361000000000001</v>
      </c>
      <c r="P358" cm="1" vm="2612">
        <f t="array" aca="1" ref="P358" ca="1">IFERROR(INDEX(_xlfn.ANCHORARRAY($C$3),T_CALC[[#This Row],[DAY]]+1,6),NA())</f>
        <v>1.3383</v>
      </c>
      <c r="Q358" cm="1">
        <f t="array" aca="1" ref="Q358" ca="1">IFERROR(INDEX(_xlfn.ANCHORARRAY($C$3),T_CALC[[#This Row],[DAY]]+1,2),NA())</f>
        <v>0</v>
      </c>
    </row>
    <row r="359" spans="3:17">
      <c r="C359" vm="2638">
        <f ca="1"/>
        <v>43255</v>
      </c>
      <c r="D359">
        <f ca="1"/>
        <v>0</v>
      </c>
      <c r="E359" vm="2291">
        <f ca="1"/>
        <v>1.3382000000000001</v>
      </c>
      <c r="F359" vm="2626">
        <f ca="1"/>
        <v>1.3391999999999999</v>
      </c>
      <c r="G359" vm="2639">
        <f ca="1"/>
        <v>1.3328</v>
      </c>
      <c r="H359" vm="2640">
        <f ca="1"/>
        <v>1.3365</v>
      </c>
      <c r="K359">
        <f ca="1">IF(ROW(T_CALC[[#This Row],[DAY]])-ROW(T_CALC[[#Headers],[DAY]])&gt;C_N_TRADING_DAYS,"",ROW(T_CALC[[#This Row],[DAY]])-ROW(T_CALC[[#Headers],[DAY]]))</f>
        <v>356</v>
      </c>
      <c r="L359" cm="1" vm="2638">
        <f t="array" aca="1" ref="L359" ca="1">IFERROR(INDEX(_xlfn.ANCHORARRAY($C$3),T_CALC[[#This Row],[DAY]]+1,1),NA())</f>
        <v>43255</v>
      </c>
      <c r="M359" cm="1" vm="2291">
        <f t="array" aca="1" ref="M359" ca="1">IFERROR(INDEX(_xlfn.ANCHORARRAY($C$3),T_CALC[[#This Row],[DAY]]+1,3),NA())</f>
        <v>1.3382000000000001</v>
      </c>
      <c r="N359" cm="1" vm="2626">
        <f t="array" aca="1" ref="N359" ca="1">IFERROR(INDEX(_xlfn.ANCHORARRAY($C$3),T_CALC[[#This Row],[DAY]]+1,4),NA())</f>
        <v>1.3391999999999999</v>
      </c>
      <c r="O359" cm="1" vm="2639">
        <f t="array" aca="1" ref="O359" ca="1">IFERROR(INDEX(_xlfn.ANCHORARRAY($C$3),T_CALC[[#This Row],[DAY]]+1,5),NA())</f>
        <v>1.3328</v>
      </c>
      <c r="P359" cm="1" vm="2640">
        <f t="array" aca="1" ref="P359" ca="1">IFERROR(INDEX(_xlfn.ANCHORARRAY($C$3),T_CALC[[#This Row],[DAY]]+1,6),NA())</f>
        <v>1.3365</v>
      </c>
      <c r="Q359" cm="1">
        <f t="array" aca="1" ref="Q359" ca="1">IFERROR(INDEX(_xlfn.ANCHORARRAY($C$3),T_CALC[[#This Row],[DAY]]+1,2),NA())</f>
        <v>0</v>
      </c>
    </row>
    <row r="360" spans="3:17">
      <c r="C360" vm="2641">
        <f ca="1"/>
        <v>43256</v>
      </c>
      <c r="D360">
        <f ca="1"/>
        <v>0</v>
      </c>
      <c r="E360" vm="2642">
        <f ca="1"/>
        <v>1.3363</v>
      </c>
      <c r="F360" vm="2302">
        <f ca="1"/>
        <v>1.3368</v>
      </c>
      <c r="G360" vm="2581">
        <f ca="1"/>
        <v>1.3331999999999999</v>
      </c>
      <c r="H360" vm="2643">
        <f ca="1"/>
        <v>1.3346</v>
      </c>
      <c r="K360">
        <f ca="1">IF(ROW(T_CALC[[#This Row],[DAY]])-ROW(T_CALC[[#Headers],[DAY]])&gt;C_N_TRADING_DAYS,"",ROW(T_CALC[[#This Row],[DAY]])-ROW(T_CALC[[#Headers],[DAY]]))</f>
        <v>357</v>
      </c>
      <c r="L360" cm="1" vm="2641">
        <f t="array" aca="1" ref="L360" ca="1">IFERROR(INDEX(_xlfn.ANCHORARRAY($C$3),T_CALC[[#This Row],[DAY]]+1,1),NA())</f>
        <v>43256</v>
      </c>
      <c r="M360" cm="1" vm="2642">
        <f t="array" aca="1" ref="M360" ca="1">IFERROR(INDEX(_xlfn.ANCHORARRAY($C$3),T_CALC[[#This Row],[DAY]]+1,3),NA())</f>
        <v>1.3363</v>
      </c>
      <c r="N360" cm="1" vm="2302">
        <f t="array" aca="1" ref="N360" ca="1">IFERROR(INDEX(_xlfn.ANCHORARRAY($C$3),T_CALC[[#This Row],[DAY]]+1,4),NA())</f>
        <v>1.3368</v>
      </c>
      <c r="O360" cm="1" vm="2581">
        <f t="array" aca="1" ref="O360" ca="1">IFERROR(INDEX(_xlfn.ANCHORARRAY($C$3),T_CALC[[#This Row],[DAY]]+1,5),NA())</f>
        <v>1.3331999999999999</v>
      </c>
      <c r="P360" cm="1" vm="2643">
        <f t="array" aca="1" ref="P360" ca="1">IFERROR(INDEX(_xlfn.ANCHORARRAY($C$3),T_CALC[[#This Row],[DAY]]+1,6),NA())</f>
        <v>1.3346</v>
      </c>
      <c r="Q360" cm="1">
        <f t="array" aca="1" ref="Q360" ca="1">IFERROR(INDEX(_xlfn.ANCHORARRAY($C$3),T_CALC[[#This Row],[DAY]]+1,2),NA())</f>
        <v>0</v>
      </c>
    </row>
    <row r="361" spans="3:17">
      <c r="C361" vm="2644">
        <f ca="1"/>
        <v>43257</v>
      </c>
      <c r="D361">
        <f ca="1"/>
        <v>0</v>
      </c>
      <c r="E361" vm="2643">
        <f ca="1"/>
        <v>1.3346</v>
      </c>
      <c r="F361" vm="2645">
        <f ca="1"/>
        <v>1.3347</v>
      </c>
      <c r="G361" vm="2307">
        <f ca="1"/>
        <v>1.3309</v>
      </c>
      <c r="H361" vm="2646">
        <f ca="1"/>
        <v>1.3326</v>
      </c>
      <c r="K361">
        <f ca="1">IF(ROW(T_CALC[[#This Row],[DAY]])-ROW(T_CALC[[#Headers],[DAY]])&gt;C_N_TRADING_DAYS,"",ROW(T_CALC[[#This Row],[DAY]])-ROW(T_CALC[[#Headers],[DAY]]))</f>
        <v>358</v>
      </c>
      <c r="L361" cm="1" vm="2644">
        <f t="array" aca="1" ref="L361" ca="1">IFERROR(INDEX(_xlfn.ANCHORARRAY($C$3),T_CALC[[#This Row],[DAY]]+1,1),NA())</f>
        <v>43257</v>
      </c>
      <c r="M361" cm="1" vm="2643">
        <f t="array" aca="1" ref="M361" ca="1">IFERROR(INDEX(_xlfn.ANCHORARRAY($C$3),T_CALC[[#This Row],[DAY]]+1,3),NA())</f>
        <v>1.3346</v>
      </c>
      <c r="N361" cm="1" vm="2645">
        <f t="array" aca="1" ref="N361" ca="1">IFERROR(INDEX(_xlfn.ANCHORARRAY($C$3),T_CALC[[#This Row],[DAY]]+1,4),NA())</f>
        <v>1.3347</v>
      </c>
      <c r="O361" cm="1" vm="2307">
        <f t="array" aca="1" ref="O361" ca="1">IFERROR(INDEX(_xlfn.ANCHORARRAY($C$3),T_CALC[[#This Row],[DAY]]+1,5),NA())</f>
        <v>1.3309</v>
      </c>
      <c r="P361" cm="1" vm="2646">
        <f t="array" aca="1" ref="P361" ca="1">IFERROR(INDEX(_xlfn.ANCHORARRAY($C$3),T_CALC[[#This Row],[DAY]]+1,6),NA())</f>
        <v>1.3326</v>
      </c>
      <c r="Q361" cm="1">
        <f t="array" aca="1" ref="Q361" ca="1">IFERROR(INDEX(_xlfn.ANCHORARRAY($C$3),T_CALC[[#This Row],[DAY]]+1,2),NA())</f>
        <v>0</v>
      </c>
    </row>
    <row r="362" spans="3:17">
      <c r="C362" vm="2647">
        <f ca="1"/>
        <v>43258</v>
      </c>
      <c r="D362">
        <f ca="1"/>
        <v>0</v>
      </c>
      <c r="E362" vm="2321">
        <f ca="1"/>
        <v>1.3321000000000001</v>
      </c>
      <c r="F362" vm="2100">
        <f ca="1"/>
        <v>1.3342000000000001</v>
      </c>
      <c r="G362" vm="2337">
        <f ca="1"/>
        <v>1.3301000000000001</v>
      </c>
      <c r="H362" vm="2648">
        <f ca="1"/>
        <v>1.3335999999999999</v>
      </c>
      <c r="K362">
        <f ca="1">IF(ROW(T_CALC[[#This Row],[DAY]])-ROW(T_CALC[[#Headers],[DAY]])&gt;C_N_TRADING_DAYS,"",ROW(T_CALC[[#This Row],[DAY]])-ROW(T_CALC[[#Headers],[DAY]]))</f>
        <v>359</v>
      </c>
      <c r="L362" cm="1" vm="2647">
        <f t="array" aca="1" ref="L362" ca="1">IFERROR(INDEX(_xlfn.ANCHORARRAY($C$3),T_CALC[[#This Row],[DAY]]+1,1),NA())</f>
        <v>43258</v>
      </c>
      <c r="M362" cm="1" vm="2321">
        <f t="array" aca="1" ref="M362" ca="1">IFERROR(INDEX(_xlfn.ANCHORARRAY($C$3),T_CALC[[#This Row],[DAY]]+1,3),NA())</f>
        <v>1.3321000000000001</v>
      </c>
      <c r="N362" cm="1" vm="2100">
        <f t="array" aca="1" ref="N362" ca="1">IFERROR(INDEX(_xlfn.ANCHORARRAY($C$3),T_CALC[[#This Row],[DAY]]+1,4),NA())</f>
        <v>1.3342000000000001</v>
      </c>
      <c r="O362" cm="1" vm="2337">
        <f t="array" aca="1" ref="O362" ca="1">IFERROR(INDEX(_xlfn.ANCHORARRAY($C$3),T_CALC[[#This Row],[DAY]]+1,5),NA())</f>
        <v>1.3301000000000001</v>
      </c>
      <c r="P362" cm="1" vm="2648">
        <f t="array" aca="1" ref="P362" ca="1">IFERROR(INDEX(_xlfn.ANCHORARRAY($C$3),T_CALC[[#This Row],[DAY]]+1,6),NA())</f>
        <v>1.3335999999999999</v>
      </c>
      <c r="Q362" cm="1">
        <f t="array" aca="1" ref="Q362" ca="1">IFERROR(INDEX(_xlfn.ANCHORARRAY($C$3),T_CALC[[#This Row],[DAY]]+1,2),NA())</f>
        <v>0</v>
      </c>
    </row>
    <row r="363" spans="3:17">
      <c r="C363" vm="2649">
        <f ca="1"/>
        <v>43259</v>
      </c>
      <c r="D363">
        <f ca="1"/>
        <v>0</v>
      </c>
      <c r="E363" vm="2648">
        <f ca="1"/>
        <v>1.3335999999999999</v>
      </c>
      <c r="F363" vm="2650">
        <f ca="1"/>
        <v>1.3371</v>
      </c>
      <c r="G363" vm="2651">
        <f ca="1"/>
        <v>1.3325</v>
      </c>
      <c r="H363" vm="2299">
        <f ca="1"/>
        <v>1.335</v>
      </c>
      <c r="K363">
        <f ca="1">IF(ROW(T_CALC[[#This Row],[DAY]])-ROW(T_CALC[[#Headers],[DAY]])&gt;C_N_TRADING_DAYS,"",ROW(T_CALC[[#This Row],[DAY]])-ROW(T_CALC[[#Headers],[DAY]]))</f>
        <v>360</v>
      </c>
      <c r="L363" cm="1" vm="2649">
        <f t="array" aca="1" ref="L363" ca="1">IFERROR(INDEX(_xlfn.ANCHORARRAY($C$3),T_CALC[[#This Row],[DAY]]+1,1),NA())</f>
        <v>43259</v>
      </c>
      <c r="M363" cm="1" vm="2648">
        <f t="array" aca="1" ref="M363" ca="1">IFERROR(INDEX(_xlfn.ANCHORARRAY($C$3),T_CALC[[#This Row],[DAY]]+1,3),NA())</f>
        <v>1.3335999999999999</v>
      </c>
      <c r="N363" cm="1" vm="2650">
        <f t="array" aca="1" ref="N363" ca="1">IFERROR(INDEX(_xlfn.ANCHORARRAY($C$3),T_CALC[[#This Row],[DAY]]+1,4),NA())</f>
        <v>1.3371</v>
      </c>
      <c r="O363" cm="1" vm="2651">
        <f t="array" aca="1" ref="O363" ca="1">IFERROR(INDEX(_xlfn.ANCHORARRAY($C$3),T_CALC[[#This Row],[DAY]]+1,5),NA())</f>
        <v>1.3325</v>
      </c>
      <c r="P363" cm="1" vm="2299">
        <f t="array" aca="1" ref="P363" ca="1">IFERROR(INDEX(_xlfn.ANCHORARRAY($C$3),T_CALC[[#This Row],[DAY]]+1,6),NA())</f>
        <v>1.335</v>
      </c>
      <c r="Q363" cm="1">
        <f t="array" aca="1" ref="Q363" ca="1">IFERROR(INDEX(_xlfn.ANCHORARRAY($C$3),T_CALC[[#This Row],[DAY]]+1,2),NA())</f>
        <v>0</v>
      </c>
    </row>
    <row r="364" spans="3:17">
      <c r="C364" vm="2652">
        <f ca="1"/>
        <v>43262</v>
      </c>
      <c r="D364">
        <f ca="1"/>
        <v>0</v>
      </c>
      <c r="E364" vm="2299">
        <f ca="1"/>
        <v>1.335</v>
      </c>
      <c r="F364" vm="2601">
        <f ca="1"/>
        <v>1.3358000000000001</v>
      </c>
      <c r="G364" vm="2653">
        <f ca="1"/>
        <v>1.3327</v>
      </c>
      <c r="H364" vm="2645">
        <f ca="1"/>
        <v>1.3347</v>
      </c>
      <c r="K364">
        <f ca="1">IF(ROW(T_CALC[[#This Row],[DAY]])-ROW(T_CALC[[#Headers],[DAY]])&gt;C_N_TRADING_DAYS,"",ROW(T_CALC[[#This Row],[DAY]])-ROW(T_CALC[[#Headers],[DAY]]))</f>
        <v>361</v>
      </c>
      <c r="L364" cm="1" vm="2652">
        <f t="array" aca="1" ref="L364" ca="1">IFERROR(INDEX(_xlfn.ANCHORARRAY($C$3),T_CALC[[#This Row],[DAY]]+1,1),NA())</f>
        <v>43262</v>
      </c>
      <c r="M364" cm="1" vm="2299">
        <f t="array" aca="1" ref="M364" ca="1">IFERROR(INDEX(_xlfn.ANCHORARRAY($C$3),T_CALC[[#This Row],[DAY]]+1,3),NA())</f>
        <v>1.335</v>
      </c>
      <c r="N364" cm="1" vm="2601">
        <f t="array" aca="1" ref="N364" ca="1">IFERROR(INDEX(_xlfn.ANCHORARRAY($C$3),T_CALC[[#This Row],[DAY]]+1,4),NA())</f>
        <v>1.3358000000000001</v>
      </c>
      <c r="O364" cm="1" vm="2653">
        <f t="array" aca="1" ref="O364" ca="1">IFERROR(INDEX(_xlfn.ANCHORARRAY($C$3),T_CALC[[#This Row],[DAY]]+1,5),NA())</f>
        <v>1.3327</v>
      </c>
      <c r="P364" cm="1" vm="2645">
        <f t="array" aca="1" ref="P364" ca="1">IFERROR(INDEX(_xlfn.ANCHORARRAY($C$3),T_CALC[[#This Row],[DAY]]+1,6),NA())</f>
        <v>1.3347</v>
      </c>
      <c r="Q364" cm="1">
        <f t="array" aca="1" ref="Q364" ca="1">IFERROR(INDEX(_xlfn.ANCHORARRAY($C$3),T_CALC[[#This Row],[DAY]]+1,2),NA())</f>
        <v>0</v>
      </c>
    </row>
    <row r="365" spans="3:17">
      <c r="C365" vm="2654">
        <f ca="1"/>
        <v>43263</v>
      </c>
      <c r="D365">
        <f ca="1"/>
        <v>0</v>
      </c>
      <c r="E365" vm="2655">
        <f ca="1"/>
        <v>1.3345</v>
      </c>
      <c r="F365" vm="2656">
        <f ca="1"/>
        <v>1.3375999999999999</v>
      </c>
      <c r="G365" vm="2651">
        <f ca="1"/>
        <v>1.3325</v>
      </c>
      <c r="H365" vm="2586">
        <f ca="1"/>
        <v>1.3361000000000001</v>
      </c>
      <c r="K365">
        <f ca="1">IF(ROW(T_CALC[[#This Row],[DAY]])-ROW(T_CALC[[#Headers],[DAY]])&gt;C_N_TRADING_DAYS,"",ROW(T_CALC[[#This Row],[DAY]])-ROW(T_CALC[[#Headers],[DAY]]))</f>
        <v>362</v>
      </c>
      <c r="L365" cm="1" vm="2654">
        <f t="array" aca="1" ref="L365" ca="1">IFERROR(INDEX(_xlfn.ANCHORARRAY($C$3),T_CALC[[#This Row],[DAY]]+1,1),NA())</f>
        <v>43263</v>
      </c>
      <c r="M365" cm="1" vm="2655">
        <f t="array" aca="1" ref="M365" ca="1">IFERROR(INDEX(_xlfn.ANCHORARRAY($C$3),T_CALC[[#This Row],[DAY]]+1,3),NA())</f>
        <v>1.3345</v>
      </c>
      <c r="N365" cm="1" vm="2656">
        <f t="array" aca="1" ref="N365" ca="1">IFERROR(INDEX(_xlfn.ANCHORARRAY($C$3),T_CALC[[#This Row],[DAY]]+1,4),NA())</f>
        <v>1.3375999999999999</v>
      </c>
      <c r="O365" cm="1" vm="2651">
        <f t="array" aca="1" ref="O365" ca="1">IFERROR(INDEX(_xlfn.ANCHORARRAY($C$3),T_CALC[[#This Row],[DAY]]+1,5),NA())</f>
        <v>1.3325</v>
      </c>
      <c r="P365" cm="1" vm="2586">
        <f t="array" aca="1" ref="P365" ca="1">IFERROR(INDEX(_xlfn.ANCHORARRAY($C$3),T_CALC[[#This Row],[DAY]]+1,6),NA())</f>
        <v>1.3361000000000001</v>
      </c>
      <c r="Q365" cm="1">
        <f t="array" aca="1" ref="Q365" ca="1">IFERROR(INDEX(_xlfn.ANCHORARRAY($C$3),T_CALC[[#This Row],[DAY]]+1,2),NA())</f>
        <v>0</v>
      </c>
    </row>
    <row r="366" spans="3:17">
      <c r="C366" vm="2657">
        <f ca="1"/>
        <v>43264</v>
      </c>
      <c r="D366">
        <f ca="1"/>
        <v>0</v>
      </c>
      <c r="E366" vm="2302">
        <f ca="1"/>
        <v>1.3368</v>
      </c>
      <c r="F366" vm="2658">
        <f ca="1"/>
        <v>1.3393999999999999</v>
      </c>
      <c r="G366" vm="2659">
        <f ca="1"/>
        <v>1.3338000000000001</v>
      </c>
      <c r="H366" vm="2333">
        <f ca="1"/>
        <v>1.3352999999999999</v>
      </c>
      <c r="K366">
        <f ca="1">IF(ROW(T_CALC[[#This Row],[DAY]])-ROW(T_CALC[[#Headers],[DAY]])&gt;C_N_TRADING_DAYS,"",ROW(T_CALC[[#This Row],[DAY]])-ROW(T_CALC[[#Headers],[DAY]]))</f>
        <v>363</v>
      </c>
      <c r="L366" cm="1" vm="2657">
        <f t="array" aca="1" ref="L366" ca="1">IFERROR(INDEX(_xlfn.ANCHORARRAY($C$3),T_CALC[[#This Row],[DAY]]+1,1),NA())</f>
        <v>43264</v>
      </c>
      <c r="M366" cm="1" vm="2302">
        <f t="array" aca="1" ref="M366" ca="1">IFERROR(INDEX(_xlfn.ANCHORARRAY($C$3),T_CALC[[#This Row],[DAY]]+1,3),NA())</f>
        <v>1.3368</v>
      </c>
      <c r="N366" cm="1" vm="2658">
        <f t="array" aca="1" ref="N366" ca="1">IFERROR(INDEX(_xlfn.ANCHORARRAY($C$3),T_CALC[[#This Row],[DAY]]+1,4),NA())</f>
        <v>1.3393999999999999</v>
      </c>
      <c r="O366" cm="1" vm="2659">
        <f t="array" aca="1" ref="O366" ca="1">IFERROR(INDEX(_xlfn.ANCHORARRAY($C$3),T_CALC[[#This Row],[DAY]]+1,5),NA())</f>
        <v>1.3338000000000001</v>
      </c>
      <c r="P366" cm="1" vm="2333">
        <f t="array" aca="1" ref="P366" ca="1">IFERROR(INDEX(_xlfn.ANCHORARRAY($C$3),T_CALC[[#This Row],[DAY]]+1,6),NA())</f>
        <v>1.3352999999999999</v>
      </c>
      <c r="Q366" cm="1">
        <f t="array" aca="1" ref="Q366" ca="1">IFERROR(INDEX(_xlfn.ANCHORARRAY($C$3),T_CALC[[#This Row],[DAY]]+1,2),NA())</f>
        <v>0</v>
      </c>
    </row>
    <row r="367" spans="3:17">
      <c r="C367" vm="2660">
        <f ca="1"/>
        <v>43265</v>
      </c>
      <c r="D367">
        <f ca="1"/>
        <v>0</v>
      </c>
      <c r="E367" vm="2299">
        <f ca="1"/>
        <v>1.335</v>
      </c>
      <c r="F367" vm="2661">
        <f ca="1"/>
        <v>1.3449</v>
      </c>
      <c r="G367" vm="2653">
        <f ca="1"/>
        <v>1.3327</v>
      </c>
      <c r="H367" vm="2256">
        <f ca="1"/>
        <v>1.3448</v>
      </c>
      <c r="K367">
        <f ca="1">IF(ROW(T_CALC[[#This Row],[DAY]])-ROW(T_CALC[[#Headers],[DAY]])&gt;C_N_TRADING_DAYS,"",ROW(T_CALC[[#This Row],[DAY]])-ROW(T_CALC[[#Headers],[DAY]]))</f>
        <v>364</v>
      </c>
      <c r="L367" cm="1" vm="2660">
        <f t="array" aca="1" ref="L367" ca="1">IFERROR(INDEX(_xlfn.ANCHORARRAY($C$3),T_CALC[[#This Row],[DAY]]+1,1),NA())</f>
        <v>43265</v>
      </c>
      <c r="M367" cm="1" vm="2299">
        <f t="array" aca="1" ref="M367" ca="1">IFERROR(INDEX(_xlfn.ANCHORARRAY($C$3),T_CALC[[#This Row],[DAY]]+1,3),NA())</f>
        <v>1.335</v>
      </c>
      <c r="N367" cm="1" vm="2661">
        <f t="array" aca="1" ref="N367" ca="1">IFERROR(INDEX(_xlfn.ANCHORARRAY($C$3),T_CALC[[#This Row],[DAY]]+1,4),NA())</f>
        <v>1.3449</v>
      </c>
      <c r="O367" cm="1" vm="2653">
        <f t="array" aca="1" ref="O367" ca="1">IFERROR(INDEX(_xlfn.ANCHORARRAY($C$3),T_CALC[[#This Row],[DAY]]+1,5),NA())</f>
        <v>1.3327</v>
      </c>
      <c r="P367" cm="1" vm="2256">
        <f t="array" aca="1" ref="P367" ca="1">IFERROR(INDEX(_xlfn.ANCHORARRAY($C$3),T_CALC[[#This Row],[DAY]]+1,6),NA())</f>
        <v>1.3448</v>
      </c>
      <c r="Q367" cm="1">
        <f t="array" aca="1" ref="Q367" ca="1">IFERROR(INDEX(_xlfn.ANCHORARRAY($C$3),T_CALC[[#This Row],[DAY]]+1,2),NA())</f>
        <v>0</v>
      </c>
    </row>
    <row r="368" spans="3:17">
      <c r="C368" vm="2662">
        <f ca="1"/>
        <v>43266</v>
      </c>
      <c r="D368">
        <f ca="1"/>
        <v>0</v>
      </c>
      <c r="E368" vm="2274">
        <f ca="1"/>
        <v>1.3447</v>
      </c>
      <c r="F368" vm="2663">
        <f ca="1"/>
        <v>1.3517999999999999</v>
      </c>
      <c r="G368" vm="2099">
        <f ca="1"/>
        <v>1.3425</v>
      </c>
      <c r="H368" vm="2139">
        <f ca="1"/>
        <v>1.3506</v>
      </c>
      <c r="K368">
        <f ca="1">IF(ROW(T_CALC[[#This Row],[DAY]])-ROW(T_CALC[[#Headers],[DAY]])&gt;C_N_TRADING_DAYS,"",ROW(T_CALC[[#This Row],[DAY]])-ROW(T_CALC[[#Headers],[DAY]]))</f>
        <v>365</v>
      </c>
      <c r="L368" cm="1" vm="2662">
        <f t="array" aca="1" ref="L368" ca="1">IFERROR(INDEX(_xlfn.ANCHORARRAY($C$3),T_CALC[[#This Row],[DAY]]+1,1),NA())</f>
        <v>43266</v>
      </c>
      <c r="M368" cm="1" vm="2274">
        <f t="array" aca="1" ref="M368" ca="1">IFERROR(INDEX(_xlfn.ANCHORARRAY($C$3),T_CALC[[#This Row],[DAY]]+1,3),NA())</f>
        <v>1.3447</v>
      </c>
      <c r="N368" cm="1" vm="2663">
        <f t="array" aca="1" ref="N368" ca="1">IFERROR(INDEX(_xlfn.ANCHORARRAY($C$3),T_CALC[[#This Row],[DAY]]+1,4),NA())</f>
        <v>1.3517999999999999</v>
      </c>
      <c r="O368" cm="1" vm="2099">
        <f t="array" aca="1" ref="O368" ca="1">IFERROR(INDEX(_xlfn.ANCHORARRAY($C$3),T_CALC[[#This Row],[DAY]]+1,5),NA())</f>
        <v>1.3425</v>
      </c>
      <c r="P368" cm="1" vm="2139">
        <f t="array" aca="1" ref="P368" ca="1">IFERROR(INDEX(_xlfn.ANCHORARRAY($C$3),T_CALC[[#This Row],[DAY]]+1,6),NA())</f>
        <v>1.3506</v>
      </c>
      <c r="Q368" cm="1">
        <f t="array" aca="1" ref="Q368" ca="1">IFERROR(INDEX(_xlfn.ANCHORARRAY($C$3),T_CALC[[#This Row],[DAY]]+1,2),NA())</f>
        <v>0</v>
      </c>
    </row>
    <row r="369" spans="3:17">
      <c r="C369" vm="2664">
        <f ca="1"/>
        <v>43269</v>
      </c>
      <c r="D369">
        <f ca="1"/>
        <v>0</v>
      </c>
      <c r="E369" vm="2139">
        <f ca="1"/>
        <v>1.3506</v>
      </c>
      <c r="F369" vm="2067">
        <f ca="1"/>
        <v>1.3533999999999999</v>
      </c>
      <c r="G369" vm="2179">
        <f ca="1"/>
        <v>1.349</v>
      </c>
      <c r="H369" vm="2086">
        <f ca="1"/>
        <v>1.351</v>
      </c>
      <c r="K369">
        <f ca="1">IF(ROW(T_CALC[[#This Row],[DAY]])-ROW(T_CALC[[#Headers],[DAY]])&gt;C_N_TRADING_DAYS,"",ROW(T_CALC[[#This Row],[DAY]])-ROW(T_CALC[[#Headers],[DAY]]))</f>
        <v>366</v>
      </c>
      <c r="L369" cm="1" vm="2664">
        <f t="array" aca="1" ref="L369" ca="1">IFERROR(INDEX(_xlfn.ANCHORARRAY($C$3),T_CALC[[#This Row],[DAY]]+1,1),NA())</f>
        <v>43269</v>
      </c>
      <c r="M369" cm="1" vm="2139">
        <f t="array" aca="1" ref="M369" ca="1">IFERROR(INDEX(_xlfn.ANCHORARRAY($C$3),T_CALC[[#This Row],[DAY]]+1,3),NA())</f>
        <v>1.3506</v>
      </c>
      <c r="N369" cm="1" vm="2067">
        <f t="array" aca="1" ref="N369" ca="1">IFERROR(INDEX(_xlfn.ANCHORARRAY($C$3),T_CALC[[#This Row],[DAY]]+1,4),NA())</f>
        <v>1.3533999999999999</v>
      </c>
      <c r="O369" cm="1" vm="2179">
        <f t="array" aca="1" ref="O369" ca="1">IFERROR(INDEX(_xlfn.ANCHORARRAY($C$3),T_CALC[[#This Row],[DAY]]+1,5),NA())</f>
        <v>1.349</v>
      </c>
      <c r="P369" cm="1" vm="2086">
        <f t="array" aca="1" ref="P369" ca="1">IFERROR(INDEX(_xlfn.ANCHORARRAY($C$3),T_CALC[[#This Row],[DAY]]+1,6),NA())</f>
        <v>1.351</v>
      </c>
      <c r="Q369" cm="1">
        <f t="array" aca="1" ref="Q369" ca="1">IFERROR(INDEX(_xlfn.ANCHORARRAY($C$3),T_CALC[[#This Row],[DAY]]+1,2),NA())</f>
        <v>0</v>
      </c>
    </row>
    <row r="370" spans="3:17">
      <c r="C370" vm="2665">
        <f ca="1"/>
        <v>43270</v>
      </c>
      <c r="D370">
        <f ca="1"/>
        <v>0</v>
      </c>
      <c r="E370" vm="2666">
        <f ca="1"/>
        <v>1.3511</v>
      </c>
      <c r="F370" vm="2667">
        <f ca="1"/>
        <v>1.3599000000000001</v>
      </c>
      <c r="G370" vm="2267">
        <f ca="1"/>
        <v>1.3498000000000001</v>
      </c>
      <c r="H370" vm="2230">
        <f ca="1"/>
        <v>1.3567</v>
      </c>
      <c r="K370">
        <f ca="1">IF(ROW(T_CALC[[#This Row],[DAY]])-ROW(T_CALC[[#Headers],[DAY]])&gt;C_N_TRADING_DAYS,"",ROW(T_CALC[[#This Row],[DAY]])-ROW(T_CALC[[#Headers],[DAY]]))</f>
        <v>367</v>
      </c>
      <c r="L370" cm="1" vm="2665">
        <f t="array" aca="1" ref="L370" ca="1">IFERROR(INDEX(_xlfn.ANCHORARRAY($C$3),T_CALC[[#This Row],[DAY]]+1,1),NA())</f>
        <v>43270</v>
      </c>
      <c r="M370" cm="1" vm="2666">
        <f t="array" aca="1" ref="M370" ca="1">IFERROR(INDEX(_xlfn.ANCHORARRAY($C$3),T_CALC[[#This Row],[DAY]]+1,3),NA())</f>
        <v>1.3511</v>
      </c>
      <c r="N370" cm="1" vm="2667">
        <f t="array" aca="1" ref="N370" ca="1">IFERROR(INDEX(_xlfn.ANCHORARRAY($C$3),T_CALC[[#This Row],[DAY]]+1,4),NA())</f>
        <v>1.3599000000000001</v>
      </c>
      <c r="O370" cm="1" vm="2267">
        <f t="array" aca="1" ref="O370" ca="1">IFERROR(INDEX(_xlfn.ANCHORARRAY($C$3),T_CALC[[#This Row],[DAY]]+1,5),NA())</f>
        <v>1.3498000000000001</v>
      </c>
      <c r="P370" cm="1" vm="2230">
        <f t="array" aca="1" ref="P370" ca="1">IFERROR(INDEX(_xlfn.ANCHORARRAY($C$3),T_CALC[[#This Row],[DAY]]+1,6),NA())</f>
        <v>1.3567</v>
      </c>
      <c r="Q370" cm="1">
        <f t="array" aca="1" ref="Q370" ca="1">IFERROR(INDEX(_xlfn.ANCHORARRAY($C$3),T_CALC[[#This Row],[DAY]]+1,2),NA())</f>
        <v>0</v>
      </c>
    </row>
    <row r="371" spans="3:17">
      <c r="C371" vm="2668">
        <f ca="1"/>
        <v>43271</v>
      </c>
      <c r="D371">
        <f ca="1"/>
        <v>0</v>
      </c>
      <c r="E371" vm="2000">
        <f ca="1"/>
        <v>1.3569</v>
      </c>
      <c r="F371" vm="2221">
        <f ca="1"/>
        <v>1.3589</v>
      </c>
      <c r="G371" vm="2003">
        <f ca="1"/>
        <v>1.3545</v>
      </c>
      <c r="H371" vm="2083">
        <f ca="1"/>
        <v>1.3584000000000001</v>
      </c>
      <c r="K371">
        <f ca="1">IF(ROW(T_CALC[[#This Row],[DAY]])-ROW(T_CALC[[#Headers],[DAY]])&gt;C_N_TRADING_DAYS,"",ROW(T_CALC[[#This Row],[DAY]])-ROW(T_CALC[[#Headers],[DAY]]))</f>
        <v>368</v>
      </c>
      <c r="L371" cm="1" vm="2668">
        <f t="array" aca="1" ref="L371" ca="1">IFERROR(INDEX(_xlfn.ANCHORARRAY($C$3),T_CALC[[#This Row],[DAY]]+1,1),NA())</f>
        <v>43271</v>
      </c>
      <c r="M371" cm="1" vm="2000">
        <f t="array" aca="1" ref="M371" ca="1">IFERROR(INDEX(_xlfn.ANCHORARRAY($C$3),T_CALC[[#This Row],[DAY]]+1,3),NA())</f>
        <v>1.3569</v>
      </c>
      <c r="N371" cm="1" vm="2221">
        <f t="array" aca="1" ref="N371" ca="1">IFERROR(INDEX(_xlfn.ANCHORARRAY($C$3),T_CALC[[#This Row],[DAY]]+1,4),NA())</f>
        <v>1.3589</v>
      </c>
      <c r="O371" cm="1" vm="2003">
        <f t="array" aca="1" ref="O371" ca="1">IFERROR(INDEX(_xlfn.ANCHORARRAY($C$3),T_CALC[[#This Row],[DAY]]+1,5),NA())</f>
        <v>1.3545</v>
      </c>
      <c r="P371" cm="1" vm="2083">
        <f t="array" aca="1" ref="P371" ca="1">IFERROR(INDEX(_xlfn.ANCHORARRAY($C$3),T_CALC[[#This Row],[DAY]]+1,6),NA())</f>
        <v>1.3584000000000001</v>
      </c>
      <c r="Q371" cm="1">
        <f t="array" aca="1" ref="Q371" ca="1">IFERROR(INDEX(_xlfn.ANCHORARRAY($C$3),T_CALC[[#This Row],[DAY]]+1,2),NA())</f>
        <v>0</v>
      </c>
    </row>
    <row r="372" spans="3:17">
      <c r="C372" vm="2669">
        <f ca="1"/>
        <v>43272</v>
      </c>
      <c r="D372">
        <f ca="1"/>
        <v>0</v>
      </c>
      <c r="E372" vm="2006">
        <f ca="1"/>
        <v>1.3585</v>
      </c>
      <c r="F372" vm="2026">
        <f ca="1"/>
        <v>1.3641000000000001</v>
      </c>
      <c r="G372" vm="2225">
        <f ca="1"/>
        <v>1.3561000000000001</v>
      </c>
      <c r="H372" vm="2160">
        <f ca="1"/>
        <v>1.3580000000000001</v>
      </c>
      <c r="K372">
        <f ca="1">IF(ROW(T_CALC[[#This Row],[DAY]])-ROW(T_CALC[[#Headers],[DAY]])&gt;C_N_TRADING_DAYS,"",ROW(T_CALC[[#This Row],[DAY]])-ROW(T_CALC[[#Headers],[DAY]]))</f>
        <v>369</v>
      </c>
      <c r="L372" cm="1" vm="2669">
        <f t="array" aca="1" ref="L372" ca="1">IFERROR(INDEX(_xlfn.ANCHORARRAY($C$3),T_CALC[[#This Row],[DAY]]+1,1),NA())</f>
        <v>43272</v>
      </c>
      <c r="M372" cm="1" vm="2006">
        <f t="array" aca="1" ref="M372" ca="1">IFERROR(INDEX(_xlfn.ANCHORARRAY($C$3),T_CALC[[#This Row],[DAY]]+1,3),NA())</f>
        <v>1.3585</v>
      </c>
      <c r="N372" cm="1" vm="2026">
        <f t="array" aca="1" ref="N372" ca="1">IFERROR(INDEX(_xlfn.ANCHORARRAY($C$3),T_CALC[[#This Row],[DAY]]+1,4),NA())</f>
        <v>1.3641000000000001</v>
      </c>
      <c r="O372" cm="1" vm="2225">
        <f t="array" aca="1" ref="O372" ca="1">IFERROR(INDEX(_xlfn.ANCHORARRAY($C$3),T_CALC[[#This Row],[DAY]]+1,5),NA())</f>
        <v>1.3561000000000001</v>
      </c>
      <c r="P372" cm="1" vm="2160">
        <f t="array" aca="1" ref="P372" ca="1">IFERROR(INDEX(_xlfn.ANCHORARRAY($C$3),T_CALC[[#This Row],[DAY]]+1,6),NA())</f>
        <v>1.3580000000000001</v>
      </c>
      <c r="Q372" cm="1">
        <f t="array" aca="1" ref="Q372" ca="1">IFERROR(INDEX(_xlfn.ANCHORARRAY($C$3),T_CALC[[#This Row],[DAY]]+1,2),NA())</f>
        <v>0</v>
      </c>
    </row>
    <row r="373" spans="3:17">
      <c r="C373" vm="2670">
        <f ca="1"/>
        <v>43273</v>
      </c>
      <c r="D373">
        <f ca="1"/>
        <v>0</v>
      </c>
      <c r="E373" vm="2075">
        <f ca="1"/>
        <v>1.3581000000000001</v>
      </c>
      <c r="F373" vm="2051">
        <f ca="1"/>
        <v>1.3594999999999999</v>
      </c>
      <c r="G373" vm="2671">
        <f ca="1"/>
        <v>1.3531</v>
      </c>
      <c r="H373" vm="2160">
        <f ca="1"/>
        <v>1.3580000000000001</v>
      </c>
      <c r="K373">
        <f ca="1">IF(ROW(T_CALC[[#This Row],[DAY]])-ROW(T_CALC[[#Headers],[DAY]])&gt;C_N_TRADING_DAYS,"",ROW(T_CALC[[#This Row],[DAY]])-ROW(T_CALC[[#Headers],[DAY]]))</f>
        <v>370</v>
      </c>
      <c r="L373" cm="1" vm="2670">
        <f t="array" aca="1" ref="L373" ca="1">IFERROR(INDEX(_xlfn.ANCHORARRAY($C$3),T_CALC[[#This Row],[DAY]]+1,1),NA())</f>
        <v>43273</v>
      </c>
      <c r="M373" cm="1" vm="2075">
        <f t="array" aca="1" ref="M373" ca="1">IFERROR(INDEX(_xlfn.ANCHORARRAY($C$3),T_CALC[[#This Row],[DAY]]+1,3),NA())</f>
        <v>1.3581000000000001</v>
      </c>
      <c r="N373" cm="1" vm="2051">
        <f t="array" aca="1" ref="N373" ca="1">IFERROR(INDEX(_xlfn.ANCHORARRAY($C$3),T_CALC[[#This Row],[DAY]]+1,4),NA())</f>
        <v>1.3594999999999999</v>
      </c>
      <c r="O373" cm="1" vm="2671">
        <f t="array" aca="1" ref="O373" ca="1">IFERROR(INDEX(_xlfn.ANCHORARRAY($C$3),T_CALC[[#This Row],[DAY]]+1,5),NA())</f>
        <v>1.3531</v>
      </c>
      <c r="P373" cm="1" vm="2160">
        <f t="array" aca="1" ref="P373" ca="1">IFERROR(INDEX(_xlfn.ANCHORARRAY($C$3),T_CALC[[#This Row],[DAY]]+1,6),NA())</f>
        <v>1.3580000000000001</v>
      </c>
      <c r="Q373" cm="1">
        <f t="array" aca="1" ref="Q373" ca="1">IFERROR(INDEX(_xlfn.ANCHORARRAY($C$3),T_CALC[[#This Row],[DAY]]+1,2),NA())</f>
        <v>0</v>
      </c>
    </row>
    <row r="374" spans="3:17">
      <c r="C374" vm="2672">
        <f ca="1"/>
        <v>43276</v>
      </c>
      <c r="D374">
        <f ca="1"/>
        <v>0</v>
      </c>
      <c r="E374" vm="2160">
        <f ca="1"/>
        <v>1.3580000000000001</v>
      </c>
      <c r="F374" vm="2165">
        <f ca="1"/>
        <v>1.3653</v>
      </c>
      <c r="G374" vm="2015">
        <f ca="1"/>
        <v>1.3573999999999999</v>
      </c>
      <c r="H374" vm="1986">
        <f ca="1"/>
        <v>1.3619000000000001</v>
      </c>
      <c r="K374">
        <f ca="1">IF(ROW(T_CALC[[#This Row],[DAY]])-ROW(T_CALC[[#Headers],[DAY]])&gt;C_N_TRADING_DAYS,"",ROW(T_CALC[[#This Row],[DAY]])-ROW(T_CALC[[#Headers],[DAY]]))</f>
        <v>371</v>
      </c>
      <c r="L374" cm="1" vm="2672">
        <f t="array" aca="1" ref="L374" ca="1">IFERROR(INDEX(_xlfn.ANCHORARRAY($C$3),T_CALC[[#This Row],[DAY]]+1,1),NA())</f>
        <v>43276</v>
      </c>
      <c r="M374" cm="1" vm="2160">
        <f t="array" aca="1" ref="M374" ca="1">IFERROR(INDEX(_xlfn.ANCHORARRAY($C$3),T_CALC[[#This Row],[DAY]]+1,3),NA())</f>
        <v>1.3580000000000001</v>
      </c>
      <c r="N374" cm="1" vm="2165">
        <f t="array" aca="1" ref="N374" ca="1">IFERROR(INDEX(_xlfn.ANCHORARRAY($C$3),T_CALC[[#This Row],[DAY]]+1,4),NA())</f>
        <v>1.3653</v>
      </c>
      <c r="O374" cm="1" vm="2015">
        <f t="array" aca="1" ref="O374" ca="1">IFERROR(INDEX(_xlfn.ANCHORARRAY($C$3),T_CALC[[#This Row],[DAY]]+1,5),NA())</f>
        <v>1.3573999999999999</v>
      </c>
      <c r="P374" cm="1" vm="1986">
        <f t="array" aca="1" ref="P374" ca="1">IFERROR(INDEX(_xlfn.ANCHORARRAY($C$3),T_CALC[[#This Row],[DAY]]+1,6),NA())</f>
        <v>1.3619000000000001</v>
      </c>
      <c r="Q374" cm="1">
        <f t="array" aca="1" ref="Q374" ca="1">IFERROR(INDEX(_xlfn.ANCHORARRAY($C$3),T_CALC[[#This Row],[DAY]]+1,2),NA())</f>
        <v>0</v>
      </c>
    </row>
    <row r="375" spans="3:17">
      <c r="C375" vm="2673">
        <f ca="1"/>
        <v>43277</v>
      </c>
      <c r="D375">
        <f ca="1"/>
        <v>0</v>
      </c>
      <c r="E375" vm="2213">
        <f ca="1"/>
        <v>1.3615999999999999</v>
      </c>
      <c r="F375" vm="2021">
        <f ca="1"/>
        <v>1.3637999999999999</v>
      </c>
      <c r="G375" vm="2022">
        <f ca="1"/>
        <v>1.3587</v>
      </c>
      <c r="H375" vm="2050">
        <f ca="1"/>
        <v>1.363</v>
      </c>
      <c r="K375">
        <f ca="1">IF(ROW(T_CALC[[#This Row],[DAY]])-ROW(T_CALC[[#Headers],[DAY]])&gt;C_N_TRADING_DAYS,"",ROW(T_CALC[[#This Row],[DAY]])-ROW(T_CALC[[#Headers],[DAY]]))</f>
        <v>372</v>
      </c>
      <c r="L375" cm="1" vm="2673">
        <f t="array" aca="1" ref="L375" ca="1">IFERROR(INDEX(_xlfn.ANCHORARRAY($C$3),T_CALC[[#This Row],[DAY]]+1,1),NA())</f>
        <v>43277</v>
      </c>
      <c r="M375" cm="1" vm="2213">
        <f t="array" aca="1" ref="M375" ca="1">IFERROR(INDEX(_xlfn.ANCHORARRAY($C$3),T_CALC[[#This Row],[DAY]]+1,3),NA())</f>
        <v>1.3615999999999999</v>
      </c>
      <c r="N375" cm="1" vm="2021">
        <f t="array" aca="1" ref="N375" ca="1">IFERROR(INDEX(_xlfn.ANCHORARRAY($C$3),T_CALC[[#This Row],[DAY]]+1,4),NA())</f>
        <v>1.3637999999999999</v>
      </c>
      <c r="O375" cm="1" vm="2022">
        <f t="array" aca="1" ref="O375" ca="1">IFERROR(INDEX(_xlfn.ANCHORARRAY($C$3),T_CALC[[#This Row],[DAY]]+1,5),NA())</f>
        <v>1.3587</v>
      </c>
      <c r="P375" cm="1" vm="2050">
        <f t="array" aca="1" ref="P375" ca="1">IFERROR(INDEX(_xlfn.ANCHORARRAY($C$3),T_CALC[[#This Row],[DAY]]+1,6),NA())</f>
        <v>1.363</v>
      </c>
      <c r="Q375" cm="1">
        <f t="array" aca="1" ref="Q375" ca="1">IFERROR(INDEX(_xlfn.ANCHORARRAY($C$3),T_CALC[[#This Row],[DAY]]+1,2),NA())</f>
        <v>0</v>
      </c>
    </row>
    <row r="376" spans="3:17">
      <c r="C376" vm="2674">
        <f ca="1"/>
        <v>43278</v>
      </c>
      <c r="D376">
        <f ca="1"/>
        <v>0</v>
      </c>
      <c r="E376" vm="2675">
        <f ca="1"/>
        <v>1.3627</v>
      </c>
      <c r="F376" vm="2676">
        <f ca="1"/>
        <v>1.3685</v>
      </c>
      <c r="G376" vm="2011">
        <f ca="1"/>
        <v>1.3611</v>
      </c>
      <c r="H376" vm="2198">
        <f ca="1"/>
        <v>1.3672</v>
      </c>
      <c r="K376">
        <f ca="1">IF(ROW(T_CALC[[#This Row],[DAY]])-ROW(T_CALC[[#Headers],[DAY]])&gt;C_N_TRADING_DAYS,"",ROW(T_CALC[[#This Row],[DAY]])-ROW(T_CALC[[#Headers],[DAY]]))</f>
        <v>373</v>
      </c>
      <c r="L376" cm="1" vm="2674">
        <f t="array" aca="1" ref="L376" ca="1">IFERROR(INDEX(_xlfn.ANCHORARRAY($C$3),T_CALC[[#This Row],[DAY]]+1,1),NA())</f>
        <v>43278</v>
      </c>
      <c r="M376" cm="1" vm="2675">
        <f t="array" aca="1" ref="M376" ca="1">IFERROR(INDEX(_xlfn.ANCHORARRAY($C$3),T_CALC[[#This Row],[DAY]]+1,3),NA())</f>
        <v>1.3627</v>
      </c>
      <c r="N376" cm="1" vm="2676">
        <f t="array" aca="1" ref="N376" ca="1">IFERROR(INDEX(_xlfn.ANCHORARRAY($C$3),T_CALC[[#This Row],[DAY]]+1,4),NA())</f>
        <v>1.3685</v>
      </c>
      <c r="O376" cm="1" vm="2011">
        <f t="array" aca="1" ref="O376" ca="1">IFERROR(INDEX(_xlfn.ANCHORARRAY($C$3),T_CALC[[#This Row],[DAY]]+1,5),NA())</f>
        <v>1.3611</v>
      </c>
      <c r="P376" cm="1" vm="2198">
        <f t="array" aca="1" ref="P376" ca="1">IFERROR(INDEX(_xlfn.ANCHORARRAY($C$3),T_CALC[[#This Row],[DAY]]+1,6),NA())</f>
        <v>1.3672</v>
      </c>
      <c r="Q376" cm="1">
        <f t="array" aca="1" ref="Q376" ca="1">IFERROR(INDEX(_xlfn.ANCHORARRAY($C$3),T_CALC[[#This Row],[DAY]]+1,2),NA())</f>
        <v>0</v>
      </c>
    </row>
    <row r="377" spans="3:17">
      <c r="C377" vm="2677">
        <f ca="1"/>
        <v>43279</v>
      </c>
      <c r="D377">
        <f ca="1"/>
        <v>0</v>
      </c>
      <c r="E377" vm="2196">
        <f ca="1"/>
        <v>1.3668</v>
      </c>
      <c r="F377" vm="2678">
        <f ca="1"/>
        <v>1.3705000000000001</v>
      </c>
      <c r="G377" vm="2165">
        <f ca="1"/>
        <v>1.3653</v>
      </c>
      <c r="H377" vm="1973">
        <f ca="1"/>
        <v>1.3674999999999999</v>
      </c>
      <c r="K377">
        <f ca="1">IF(ROW(T_CALC[[#This Row],[DAY]])-ROW(T_CALC[[#Headers],[DAY]])&gt;C_N_TRADING_DAYS,"",ROW(T_CALC[[#This Row],[DAY]])-ROW(T_CALC[[#Headers],[DAY]]))</f>
        <v>374</v>
      </c>
      <c r="L377" cm="1" vm="2677">
        <f t="array" aca="1" ref="L377" ca="1">IFERROR(INDEX(_xlfn.ANCHORARRAY($C$3),T_CALC[[#This Row],[DAY]]+1,1),NA())</f>
        <v>43279</v>
      </c>
      <c r="M377" cm="1" vm="2196">
        <f t="array" aca="1" ref="M377" ca="1">IFERROR(INDEX(_xlfn.ANCHORARRAY($C$3),T_CALC[[#This Row],[DAY]]+1,3),NA())</f>
        <v>1.3668</v>
      </c>
      <c r="N377" cm="1" vm="2678">
        <f t="array" aca="1" ref="N377" ca="1">IFERROR(INDEX(_xlfn.ANCHORARRAY($C$3),T_CALC[[#This Row],[DAY]]+1,4),NA())</f>
        <v>1.3705000000000001</v>
      </c>
      <c r="O377" cm="1" vm="2165">
        <f t="array" aca="1" ref="O377" ca="1">IFERROR(INDEX(_xlfn.ANCHORARRAY($C$3),T_CALC[[#This Row],[DAY]]+1,5),NA())</f>
        <v>1.3653</v>
      </c>
      <c r="P377" cm="1" vm="1973">
        <f t="array" aca="1" ref="P377" ca="1">IFERROR(INDEX(_xlfn.ANCHORARRAY($C$3),T_CALC[[#This Row],[DAY]]+1,6),NA())</f>
        <v>1.3674999999999999</v>
      </c>
      <c r="Q377" cm="1">
        <f t="array" aca="1" ref="Q377" ca="1">IFERROR(INDEX(_xlfn.ANCHORARRAY($C$3),T_CALC[[#This Row],[DAY]]+1,2),NA())</f>
        <v>0</v>
      </c>
    </row>
    <row r="378" spans="3:17">
      <c r="C378" vm="2679">
        <f ca="1"/>
        <v>43280</v>
      </c>
      <c r="D378">
        <f ca="1"/>
        <v>0</v>
      </c>
      <c r="E378" vm="2198">
        <f ca="1"/>
        <v>1.3672</v>
      </c>
      <c r="F378" vm="2680">
        <f ca="1"/>
        <v>1.3687</v>
      </c>
      <c r="G378" vm="2040">
        <f ca="1"/>
        <v>1.3614999999999999</v>
      </c>
      <c r="H378" vm="2023">
        <f ca="1"/>
        <v>1.3626</v>
      </c>
      <c r="K378">
        <f ca="1">IF(ROW(T_CALC[[#This Row],[DAY]])-ROW(T_CALC[[#Headers],[DAY]])&gt;C_N_TRADING_DAYS,"",ROW(T_CALC[[#This Row],[DAY]])-ROW(T_CALC[[#Headers],[DAY]]))</f>
        <v>375</v>
      </c>
      <c r="L378" cm="1" vm="2679">
        <f t="array" aca="1" ref="L378" ca="1">IFERROR(INDEX(_xlfn.ANCHORARRAY($C$3),T_CALC[[#This Row],[DAY]]+1,1),NA())</f>
        <v>43280</v>
      </c>
      <c r="M378" cm="1" vm="2198">
        <f t="array" aca="1" ref="M378" ca="1">IFERROR(INDEX(_xlfn.ANCHORARRAY($C$3),T_CALC[[#This Row],[DAY]]+1,3),NA())</f>
        <v>1.3672</v>
      </c>
      <c r="N378" cm="1" vm="2680">
        <f t="array" aca="1" ref="N378" ca="1">IFERROR(INDEX(_xlfn.ANCHORARRAY($C$3),T_CALC[[#This Row],[DAY]]+1,4),NA())</f>
        <v>1.3687</v>
      </c>
      <c r="O378" cm="1" vm="2040">
        <f t="array" aca="1" ref="O378" ca="1">IFERROR(INDEX(_xlfn.ANCHORARRAY($C$3),T_CALC[[#This Row],[DAY]]+1,5),NA())</f>
        <v>1.3614999999999999</v>
      </c>
      <c r="P378" cm="1" vm="2023">
        <f t="array" aca="1" ref="P378" ca="1">IFERROR(INDEX(_xlfn.ANCHORARRAY($C$3),T_CALC[[#This Row],[DAY]]+1,6),NA())</f>
        <v>1.3626</v>
      </c>
      <c r="Q378" cm="1">
        <f t="array" aca="1" ref="Q378" ca="1">IFERROR(INDEX(_xlfn.ANCHORARRAY($C$3),T_CALC[[#This Row],[DAY]]+1,2),NA())</f>
        <v>0</v>
      </c>
    </row>
    <row r="379" spans="3:17">
      <c r="C379" vm="2681">
        <f ca="1"/>
        <v>43283</v>
      </c>
      <c r="D379">
        <f ca="1"/>
        <v>0</v>
      </c>
      <c r="E379" vm="2675">
        <f ca="1"/>
        <v>1.3627</v>
      </c>
      <c r="F379" vm="2682">
        <f ca="1"/>
        <v>1.3714999999999999</v>
      </c>
      <c r="G379" vm="1986">
        <f ca="1"/>
        <v>1.3619000000000001</v>
      </c>
      <c r="H379" vm="1958">
        <f ca="1"/>
        <v>1.369</v>
      </c>
      <c r="K379">
        <f ca="1">IF(ROW(T_CALC[[#This Row],[DAY]])-ROW(T_CALC[[#Headers],[DAY]])&gt;C_N_TRADING_DAYS,"",ROW(T_CALC[[#This Row],[DAY]])-ROW(T_CALC[[#Headers],[DAY]]))</f>
        <v>376</v>
      </c>
      <c r="L379" cm="1" vm="2681">
        <f t="array" aca="1" ref="L379" ca="1">IFERROR(INDEX(_xlfn.ANCHORARRAY($C$3),T_CALC[[#This Row],[DAY]]+1,1),NA())</f>
        <v>43283</v>
      </c>
      <c r="M379" cm="1" vm="2675">
        <f t="array" aca="1" ref="M379" ca="1">IFERROR(INDEX(_xlfn.ANCHORARRAY($C$3),T_CALC[[#This Row],[DAY]]+1,3),NA())</f>
        <v>1.3627</v>
      </c>
      <c r="N379" cm="1" vm="2682">
        <f t="array" aca="1" ref="N379" ca="1">IFERROR(INDEX(_xlfn.ANCHORARRAY($C$3),T_CALC[[#This Row],[DAY]]+1,4),NA())</f>
        <v>1.3714999999999999</v>
      </c>
      <c r="O379" cm="1" vm="1986">
        <f t="array" aca="1" ref="O379" ca="1">IFERROR(INDEX(_xlfn.ANCHORARRAY($C$3),T_CALC[[#This Row],[DAY]]+1,5),NA())</f>
        <v>1.3619000000000001</v>
      </c>
      <c r="P379" cm="1" vm="1958">
        <f t="array" aca="1" ref="P379" ca="1">IFERROR(INDEX(_xlfn.ANCHORARRAY($C$3),T_CALC[[#This Row],[DAY]]+1,6),NA())</f>
        <v>1.369</v>
      </c>
      <c r="Q379" cm="1">
        <f t="array" aca="1" ref="Q379" ca="1">IFERROR(INDEX(_xlfn.ANCHORARRAY($C$3),T_CALC[[#This Row],[DAY]]+1,2),NA())</f>
        <v>0</v>
      </c>
    </row>
    <row r="380" spans="3:17">
      <c r="C380" vm="2683">
        <f ca="1"/>
        <v>43284</v>
      </c>
      <c r="D380">
        <f ca="1"/>
        <v>0</v>
      </c>
      <c r="E380" vm="1958">
        <f ca="1"/>
        <v>1.369</v>
      </c>
      <c r="F380" vm="2684">
        <f ca="1"/>
        <v>1.3745000000000001</v>
      </c>
      <c r="G380" vm="2193">
        <f ca="1"/>
        <v>1.3638999999999999</v>
      </c>
      <c r="H380" vm="2685">
        <f ca="1"/>
        <v>1.3645</v>
      </c>
      <c r="K380">
        <f ca="1">IF(ROW(T_CALC[[#This Row],[DAY]])-ROW(T_CALC[[#Headers],[DAY]])&gt;C_N_TRADING_DAYS,"",ROW(T_CALC[[#This Row],[DAY]])-ROW(T_CALC[[#Headers],[DAY]]))</f>
        <v>377</v>
      </c>
      <c r="L380" cm="1" vm="2683">
        <f t="array" aca="1" ref="L380" ca="1">IFERROR(INDEX(_xlfn.ANCHORARRAY($C$3),T_CALC[[#This Row],[DAY]]+1,1),NA())</f>
        <v>43284</v>
      </c>
      <c r="M380" cm="1" vm="1958">
        <f t="array" aca="1" ref="M380" ca="1">IFERROR(INDEX(_xlfn.ANCHORARRAY($C$3),T_CALC[[#This Row],[DAY]]+1,3),NA())</f>
        <v>1.369</v>
      </c>
      <c r="N380" cm="1" vm="2684">
        <f t="array" aca="1" ref="N380" ca="1">IFERROR(INDEX(_xlfn.ANCHORARRAY($C$3),T_CALC[[#This Row],[DAY]]+1,4),NA())</f>
        <v>1.3745000000000001</v>
      </c>
      <c r="O380" cm="1" vm="2193">
        <f t="array" aca="1" ref="O380" ca="1">IFERROR(INDEX(_xlfn.ANCHORARRAY($C$3),T_CALC[[#This Row],[DAY]]+1,5),NA())</f>
        <v>1.3638999999999999</v>
      </c>
      <c r="P380" cm="1" vm="2685">
        <f t="array" aca="1" ref="P380" ca="1">IFERROR(INDEX(_xlfn.ANCHORARRAY($C$3),T_CALC[[#This Row],[DAY]]+1,6),NA())</f>
        <v>1.3645</v>
      </c>
      <c r="Q380" cm="1">
        <f t="array" aca="1" ref="Q380" ca="1">IFERROR(INDEX(_xlfn.ANCHORARRAY($C$3),T_CALC[[#This Row],[DAY]]+1,2),NA())</f>
        <v>0</v>
      </c>
    </row>
    <row r="381" spans="3:17">
      <c r="C381" vm="2686">
        <f ca="1"/>
        <v>43285</v>
      </c>
      <c r="D381">
        <f ca="1"/>
        <v>0</v>
      </c>
      <c r="E381" vm="2685">
        <f ca="1"/>
        <v>1.3645</v>
      </c>
      <c r="F381" vm="2687">
        <f ca="1"/>
        <v>1.3656999999999999</v>
      </c>
      <c r="G381" vm="2020">
        <f ca="1"/>
        <v>1.3603000000000001</v>
      </c>
      <c r="H381" vm="2029">
        <f ca="1"/>
        <v>1.3647</v>
      </c>
      <c r="K381">
        <f ca="1">IF(ROW(T_CALC[[#This Row],[DAY]])-ROW(T_CALC[[#Headers],[DAY]])&gt;C_N_TRADING_DAYS,"",ROW(T_CALC[[#This Row],[DAY]])-ROW(T_CALC[[#Headers],[DAY]]))</f>
        <v>378</v>
      </c>
      <c r="L381" cm="1" vm="2686">
        <f t="array" aca="1" ref="L381" ca="1">IFERROR(INDEX(_xlfn.ANCHORARRAY($C$3),T_CALC[[#This Row],[DAY]]+1,1),NA())</f>
        <v>43285</v>
      </c>
      <c r="M381" cm="1" vm="2685">
        <f t="array" aca="1" ref="M381" ca="1">IFERROR(INDEX(_xlfn.ANCHORARRAY($C$3),T_CALC[[#This Row],[DAY]]+1,3),NA())</f>
        <v>1.3645</v>
      </c>
      <c r="N381" cm="1" vm="2687">
        <f t="array" aca="1" ref="N381" ca="1">IFERROR(INDEX(_xlfn.ANCHORARRAY($C$3),T_CALC[[#This Row],[DAY]]+1,4),NA())</f>
        <v>1.3656999999999999</v>
      </c>
      <c r="O381" cm="1" vm="2020">
        <f t="array" aca="1" ref="O381" ca="1">IFERROR(INDEX(_xlfn.ANCHORARRAY($C$3),T_CALC[[#This Row],[DAY]]+1,5),NA())</f>
        <v>1.3603000000000001</v>
      </c>
      <c r="P381" cm="1" vm="2029">
        <f t="array" aca="1" ref="P381" ca="1">IFERROR(INDEX(_xlfn.ANCHORARRAY($C$3),T_CALC[[#This Row],[DAY]]+1,6),NA())</f>
        <v>1.3647</v>
      </c>
      <c r="Q381" cm="1">
        <f t="array" aca="1" ref="Q381" ca="1">IFERROR(INDEX(_xlfn.ANCHORARRAY($C$3),T_CALC[[#This Row],[DAY]]+1,2),NA())</f>
        <v>0</v>
      </c>
    </row>
    <row r="382" spans="3:17">
      <c r="C382" vm="2688">
        <f ca="1"/>
        <v>43286</v>
      </c>
      <c r="D382">
        <f ca="1"/>
        <v>0</v>
      </c>
      <c r="E382" vm="2200">
        <f ca="1"/>
        <v>1.3652</v>
      </c>
      <c r="F382" vm="1973">
        <f ca="1"/>
        <v>1.3674999999999999</v>
      </c>
      <c r="G382" vm="2192">
        <f ca="1"/>
        <v>1.3623000000000001</v>
      </c>
      <c r="H382" vm="2685">
        <f ca="1"/>
        <v>1.3645</v>
      </c>
      <c r="K382">
        <f ca="1">IF(ROW(T_CALC[[#This Row],[DAY]])-ROW(T_CALC[[#Headers],[DAY]])&gt;C_N_TRADING_DAYS,"",ROW(T_CALC[[#This Row],[DAY]])-ROW(T_CALC[[#Headers],[DAY]]))</f>
        <v>379</v>
      </c>
      <c r="L382" cm="1" vm="2688">
        <f t="array" aca="1" ref="L382" ca="1">IFERROR(INDEX(_xlfn.ANCHORARRAY($C$3),T_CALC[[#This Row],[DAY]]+1,1),NA())</f>
        <v>43286</v>
      </c>
      <c r="M382" cm="1" vm="2200">
        <f t="array" aca="1" ref="M382" ca="1">IFERROR(INDEX(_xlfn.ANCHORARRAY($C$3),T_CALC[[#This Row],[DAY]]+1,3),NA())</f>
        <v>1.3652</v>
      </c>
      <c r="N382" cm="1" vm="1973">
        <f t="array" aca="1" ref="N382" ca="1">IFERROR(INDEX(_xlfn.ANCHORARRAY($C$3),T_CALC[[#This Row],[DAY]]+1,4),NA())</f>
        <v>1.3674999999999999</v>
      </c>
      <c r="O382" cm="1" vm="2192">
        <f t="array" aca="1" ref="O382" ca="1">IFERROR(INDEX(_xlfn.ANCHORARRAY($C$3),T_CALC[[#This Row],[DAY]]+1,5),NA())</f>
        <v>1.3623000000000001</v>
      </c>
      <c r="P382" cm="1" vm="2685">
        <f t="array" aca="1" ref="P382" ca="1">IFERROR(INDEX(_xlfn.ANCHORARRAY($C$3),T_CALC[[#This Row],[DAY]]+1,6),NA())</f>
        <v>1.3645</v>
      </c>
      <c r="Q382" cm="1">
        <f t="array" aca="1" ref="Q382" ca="1">IFERROR(INDEX(_xlfn.ANCHORARRAY($C$3),T_CALC[[#This Row],[DAY]]+1,2),NA())</f>
        <v>0</v>
      </c>
    </row>
    <row r="383" spans="3:17">
      <c r="C383" vm="2689">
        <f ca="1"/>
        <v>43287</v>
      </c>
      <c r="D383">
        <f ca="1"/>
        <v>0</v>
      </c>
      <c r="E383" vm="2685">
        <f ca="1"/>
        <v>1.3645</v>
      </c>
      <c r="F383" vm="1962">
        <f ca="1"/>
        <v>1.3662000000000001</v>
      </c>
      <c r="G383" vm="1998">
        <f ca="1"/>
        <v>1.3564000000000001</v>
      </c>
      <c r="H383" vm="1989">
        <f ca="1"/>
        <v>1.3571</v>
      </c>
      <c r="K383">
        <f ca="1">IF(ROW(T_CALC[[#This Row],[DAY]])-ROW(T_CALC[[#Headers],[DAY]])&gt;C_N_TRADING_DAYS,"",ROW(T_CALC[[#This Row],[DAY]])-ROW(T_CALC[[#Headers],[DAY]]))</f>
        <v>380</v>
      </c>
      <c r="L383" cm="1" vm="2689">
        <f t="array" aca="1" ref="L383" ca="1">IFERROR(INDEX(_xlfn.ANCHORARRAY($C$3),T_CALC[[#This Row],[DAY]]+1,1),NA())</f>
        <v>43287</v>
      </c>
      <c r="M383" cm="1" vm="2685">
        <f t="array" aca="1" ref="M383" ca="1">IFERROR(INDEX(_xlfn.ANCHORARRAY($C$3),T_CALC[[#This Row],[DAY]]+1,3),NA())</f>
        <v>1.3645</v>
      </c>
      <c r="N383" cm="1" vm="1962">
        <f t="array" aca="1" ref="N383" ca="1">IFERROR(INDEX(_xlfn.ANCHORARRAY($C$3),T_CALC[[#This Row],[DAY]]+1,4),NA())</f>
        <v>1.3662000000000001</v>
      </c>
      <c r="O383" cm="1" vm="1998">
        <f t="array" aca="1" ref="O383" ca="1">IFERROR(INDEX(_xlfn.ANCHORARRAY($C$3),T_CALC[[#This Row],[DAY]]+1,5),NA())</f>
        <v>1.3564000000000001</v>
      </c>
      <c r="P383" cm="1" vm="1989">
        <f t="array" aca="1" ref="P383" ca="1">IFERROR(INDEX(_xlfn.ANCHORARRAY($C$3),T_CALC[[#This Row],[DAY]]+1,6),NA())</f>
        <v>1.3571</v>
      </c>
      <c r="Q383" cm="1">
        <f t="array" aca="1" ref="Q383" ca="1">IFERROR(INDEX(_xlfn.ANCHORARRAY($C$3),T_CALC[[#This Row],[DAY]]+1,2),NA())</f>
        <v>0</v>
      </c>
    </row>
    <row r="384" spans="3:17">
      <c r="C384" vm="2690">
        <f ca="1"/>
        <v>43290</v>
      </c>
      <c r="D384">
        <f ca="1"/>
        <v>0</v>
      </c>
      <c r="E384" vm="2160">
        <f ca="1"/>
        <v>1.3580000000000001</v>
      </c>
      <c r="F384" vm="2001">
        <f ca="1"/>
        <v>1.3583000000000001</v>
      </c>
      <c r="G384" vm="2178">
        <f ca="1"/>
        <v>1.3523000000000001</v>
      </c>
      <c r="H384" vm="2084">
        <f ca="1"/>
        <v>1.3566</v>
      </c>
      <c r="K384">
        <f ca="1">IF(ROW(T_CALC[[#This Row],[DAY]])-ROW(T_CALC[[#Headers],[DAY]])&gt;C_N_TRADING_DAYS,"",ROW(T_CALC[[#This Row],[DAY]])-ROW(T_CALC[[#Headers],[DAY]]))</f>
        <v>381</v>
      </c>
      <c r="L384" cm="1" vm="2690">
        <f t="array" aca="1" ref="L384" ca="1">IFERROR(INDEX(_xlfn.ANCHORARRAY($C$3),T_CALC[[#This Row],[DAY]]+1,1),NA())</f>
        <v>43290</v>
      </c>
      <c r="M384" cm="1" vm="2160">
        <f t="array" aca="1" ref="M384" ca="1">IFERROR(INDEX(_xlfn.ANCHORARRAY($C$3),T_CALC[[#This Row],[DAY]]+1,3),NA())</f>
        <v>1.3580000000000001</v>
      </c>
      <c r="N384" cm="1" vm="2001">
        <f t="array" aca="1" ref="N384" ca="1">IFERROR(INDEX(_xlfn.ANCHORARRAY($C$3),T_CALC[[#This Row],[DAY]]+1,4),NA())</f>
        <v>1.3583000000000001</v>
      </c>
      <c r="O384" cm="1" vm="2178">
        <f t="array" aca="1" ref="O384" ca="1">IFERROR(INDEX(_xlfn.ANCHORARRAY($C$3),T_CALC[[#This Row],[DAY]]+1,5),NA())</f>
        <v>1.3523000000000001</v>
      </c>
      <c r="P384" cm="1" vm="2084">
        <f t="array" aca="1" ref="P384" ca="1">IFERROR(INDEX(_xlfn.ANCHORARRAY($C$3),T_CALC[[#This Row],[DAY]]+1,6),NA())</f>
        <v>1.3566</v>
      </c>
      <c r="Q384" cm="1">
        <f t="array" aca="1" ref="Q384" ca="1">IFERROR(INDEX(_xlfn.ANCHORARRAY($C$3),T_CALC[[#This Row],[DAY]]+1,2),NA())</f>
        <v>0</v>
      </c>
    </row>
    <row r="385" spans="3:17">
      <c r="C385" vm="2691">
        <f ca="1"/>
        <v>43291</v>
      </c>
      <c r="D385">
        <f ca="1"/>
        <v>0</v>
      </c>
      <c r="E385" vm="1998">
        <f ca="1"/>
        <v>1.3564000000000001</v>
      </c>
      <c r="F385" vm="2006">
        <f ca="1"/>
        <v>1.3585</v>
      </c>
      <c r="G385" vm="2692">
        <f ca="1"/>
        <v>1.3525</v>
      </c>
      <c r="H385" vm="2065">
        <f ca="1"/>
        <v>1.3568</v>
      </c>
      <c r="K385">
        <f ca="1">IF(ROW(T_CALC[[#This Row],[DAY]])-ROW(T_CALC[[#Headers],[DAY]])&gt;C_N_TRADING_DAYS,"",ROW(T_CALC[[#This Row],[DAY]])-ROW(T_CALC[[#Headers],[DAY]]))</f>
        <v>382</v>
      </c>
      <c r="L385" cm="1" vm="2691">
        <f t="array" aca="1" ref="L385" ca="1">IFERROR(INDEX(_xlfn.ANCHORARRAY($C$3),T_CALC[[#This Row],[DAY]]+1,1),NA())</f>
        <v>43291</v>
      </c>
      <c r="M385" cm="1" vm="1998">
        <f t="array" aca="1" ref="M385" ca="1">IFERROR(INDEX(_xlfn.ANCHORARRAY($C$3),T_CALC[[#This Row],[DAY]]+1,3),NA())</f>
        <v>1.3564000000000001</v>
      </c>
      <c r="N385" cm="1" vm="2006">
        <f t="array" aca="1" ref="N385" ca="1">IFERROR(INDEX(_xlfn.ANCHORARRAY($C$3),T_CALC[[#This Row],[DAY]]+1,4),NA())</f>
        <v>1.3585</v>
      </c>
      <c r="O385" cm="1" vm="2692">
        <f t="array" aca="1" ref="O385" ca="1">IFERROR(INDEX(_xlfn.ANCHORARRAY($C$3),T_CALC[[#This Row],[DAY]]+1,5),NA())</f>
        <v>1.3525</v>
      </c>
      <c r="P385" cm="1" vm="2065">
        <f t="array" aca="1" ref="P385" ca="1">IFERROR(INDEX(_xlfn.ANCHORARRAY($C$3),T_CALC[[#This Row],[DAY]]+1,6),NA())</f>
        <v>1.3568</v>
      </c>
      <c r="Q385" cm="1">
        <f t="array" aca="1" ref="Q385" ca="1">IFERROR(INDEX(_xlfn.ANCHORARRAY($C$3),T_CALC[[#This Row],[DAY]]+1,2),NA())</f>
        <v>0</v>
      </c>
    </row>
    <row r="386" spans="3:17">
      <c r="C386" vm="2693">
        <f ca="1"/>
        <v>43292</v>
      </c>
      <c r="D386">
        <f ca="1"/>
        <v>0</v>
      </c>
      <c r="E386" vm="2230">
        <f ca="1"/>
        <v>1.3567</v>
      </c>
      <c r="F386" vm="1970">
        <f ca="1"/>
        <v>1.3643000000000001</v>
      </c>
      <c r="G386" vm="2070">
        <f ca="1"/>
        <v>1.3563000000000001</v>
      </c>
      <c r="H386" vm="2193">
        <f ca="1"/>
        <v>1.3638999999999999</v>
      </c>
      <c r="K386">
        <f ca="1">IF(ROW(T_CALC[[#This Row],[DAY]])-ROW(T_CALC[[#Headers],[DAY]])&gt;C_N_TRADING_DAYS,"",ROW(T_CALC[[#This Row],[DAY]])-ROW(T_CALC[[#Headers],[DAY]]))</f>
        <v>383</v>
      </c>
      <c r="L386" cm="1" vm="2693">
        <f t="array" aca="1" ref="L386" ca="1">IFERROR(INDEX(_xlfn.ANCHORARRAY($C$3),T_CALC[[#This Row],[DAY]]+1,1),NA())</f>
        <v>43292</v>
      </c>
      <c r="M386" cm="1" vm="2230">
        <f t="array" aca="1" ref="M386" ca="1">IFERROR(INDEX(_xlfn.ANCHORARRAY($C$3),T_CALC[[#This Row],[DAY]]+1,3),NA())</f>
        <v>1.3567</v>
      </c>
      <c r="N386" cm="1" vm="1970">
        <f t="array" aca="1" ref="N386" ca="1">IFERROR(INDEX(_xlfn.ANCHORARRAY($C$3),T_CALC[[#This Row],[DAY]]+1,4),NA())</f>
        <v>1.3643000000000001</v>
      </c>
      <c r="O386" cm="1" vm="2070">
        <f t="array" aca="1" ref="O386" ca="1">IFERROR(INDEX(_xlfn.ANCHORARRAY($C$3),T_CALC[[#This Row],[DAY]]+1,5),NA())</f>
        <v>1.3563000000000001</v>
      </c>
      <c r="P386" cm="1" vm="2193">
        <f t="array" aca="1" ref="P386" ca="1">IFERROR(INDEX(_xlfn.ANCHORARRAY($C$3),T_CALC[[#This Row],[DAY]]+1,6),NA())</f>
        <v>1.3638999999999999</v>
      </c>
      <c r="Q386" cm="1">
        <f t="array" aca="1" ref="Q386" ca="1">IFERROR(INDEX(_xlfn.ANCHORARRAY($C$3),T_CALC[[#This Row],[DAY]]+1,2),NA())</f>
        <v>0</v>
      </c>
    </row>
    <row r="387" spans="3:17">
      <c r="C387" vm="2694">
        <f ca="1"/>
        <v>43293</v>
      </c>
      <c r="D387">
        <f ca="1"/>
        <v>0</v>
      </c>
      <c r="E387" vm="2162">
        <f ca="1"/>
        <v>1.3640000000000001</v>
      </c>
      <c r="F387" vm="2208">
        <f ca="1"/>
        <v>1.3651</v>
      </c>
      <c r="G387" vm="2695">
        <f ca="1"/>
        <v>1.3601000000000001</v>
      </c>
      <c r="H387" vm="2050">
        <f ca="1"/>
        <v>1.363</v>
      </c>
      <c r="K387">
        <f ca="1">IF(ROW(T_CALC[[#This Row],[DAY]])-ROW(T_CALC[[#Headers],[DAY]])&gt;C_N_TRADING_DAYS,"",ROW(T_CALC[[#This Row],[DAY]])-ROW(T_CALC[[#Headers],[DAY]]))</f>
        <v>384</v>
      </c>
      <c r="L387" cm="1" vm="2694">
        <f t="array" aca="1" ref="L387" ca="1">IFERROR(INDEX(_xlfn.ANCHORARRAY($C$3),T_CALC[[#This Row],[DAY]]+1,1),NA())</f>
        <v>43293</v>
      </c>
      <c r="M387" cm="1" vm="2162">
        <f t="array" aca="1" ref="M387" ca="1">IFERROR(INDEX(_xlfn.ANCHORARRAY($C$3),T_CALC[[#This Row],[DAY]]+1,3),NA())</f>
        <v>1.3640000000000001</v>
      </c>
      <c r="N387" cm="1" vm="2208">
        <f t="array" aca="1" ref="N387" ca="1">IFERROR(INDEX(_xlfn.ANCHORARRAY($C$3),T_CALC[[#This Row],[DAY]]+1,4),NA())</f>
        <v>1.3651</v>
      </c>
      <c r="O387" cm="1" vm="2695">
        <f t="array" aca="1" ref="O387" ca="1">IFERROR(INDEX(_xlfn.ANCHORARRAY($C$3),T_CALC[[#This Row],[DAY]]+1,5),NA())</f>
        <v>1.3601000000000001</v>
      </c>
      <c r="P387" cm="1" vm="2050">
        <f t="array" aca="1" ref="P387" ca="1">IFERROR(INDEX(_xlfn.ANCHORARRAY($C$3),T_CALC[[#This Row],[DAY]]+1,6),NA())</f>
        <v>1.363</v>
      </c>
      <c r="Q387" cm="1">
        <f t="array" aca="1" ref="Q387" ca="1">IFERROR(INDEX(_xlfn.ANCHORARRAY($C$3),T_CALC[[#This Row],[DAY]]+1,2),NA())</f>
        <v>0</v>
      </c>
    </row>
    <row r="388" spans="3:17">
      <c r="C388" vm="2696">
        <f ca="1"/>
        <v>43294</v>
      </c>
      <c r="D388">
        <f ca="1"/>
        <v>0</v>
      </c>
      <c r="E388" vm="2050">
        <f ca="1"/>
        <v>1.363</v>
      </c>
      <c r="F388" vm="2697">
        <f ca="1"/>
        <v>1.3689</v>
      </c>
      <c r="G388" vm="2032">
        <f ca="1"/>
        <v>1.3612</v>
      </c>
      <c r="H388" vm="2031">
        <f ca="1"/>
        <v>1.3653999999999999</v>
      </c>
      <c r="K388">
        <f ca="1">IF(ROW(T_CALC[[#This Row],[DAY]])-ROW(T_CALC[[#Headers],[DAY]])&gt;C_N_TRADING_DAYS,"",ROW(T_CALC[[#This Row],[DAY]])-ROW(T_CALC[[#Headers],[DAY]]))</f>
        <v>385</v>
      </c>
      <c r="L388" cm="1" vm="2696">
        <f t="array" aca="1" ref="L388" ca="1">IFERROR(INDEX(_xlfn.ANCHORARRAY($C$3),T_CALC[[#This Row],[DAY]]+1,1),NA())</f>
        <v>43294</v>
      </c>
      <c r="M388" cm="1" vm="2050">
        <f t="array" aca="1" ref="M388" ca="1">IFERROR(INDEX(_xlfn.ANCHORARRAY($C$3),T_CALC[[#This Row],[DAY]]+1,3),NA())</f>
        <v>1.363</v>
      </c>
      <c r="N388" cm="1" vm="2697">
        <f t="array" aca="1" ref="N388" ca="1">IFERROR(INDEX(_xlfn.ANCHORARRAY($C$3),T_CALC[[#This Row],[DAY]]+1,4),NA())</f>
        <v>1.3689</v>
      </c>
      <c r="O388" cm="1" vm="2032">
        <f t="array" aca="1" ref="O388" ca="1">IFERROR(INDEX(_xlfn.ANCHORARRAY($C$3),T_CALC[[#This Row],[DAY]]+1,5),NA())</f>
        <v>1.3612</v>
      </c>
      <c r="P388" cm="1" vm="2031">
        <f t="array" aca="1" ref="P388" ca="1">IFERROR(INDEX(_xlfn.ANCHORARRAY($C$3),T_CALC[[#This Row],[DAY]]+1,6),NA())</f>
        <v>1.3653999999999999</v>
      </c>
      <c r="Q388" cm="1">
        <f t="array" aca="1" ref="Q388" ca="1">IFERROR(INDEX(_xlfn.ANCHORARRAY($C$3),T_CALC[[#This Row],[DAY]]+1,2),NA())</f>
        <v>0</v>
      </c>
    </row>
    <row r="389" spans="3:17">
      <c r="C389" vm="2698">
        <f ca="1"/>
        <v>43297</v>
      </c>
      <c r="D389">
        <f ca="1"/>
        <v>0</v>
      </c>
      <c r="E389" vm="2208">
        <f ca="1"/>
        <v>1.3651</v>
      </c>
      <c r="F389" vm="1962">
        <f ca="1"/>
        <v>1.3662000000000001</v>
      </c>
      <c r="G389" vm="2020">
        <f ca="1"/>
        <v>1.3603000000000001</v>
      </c>
      <c r="H389" vm="1986">
        <f ca="1"/>
        <v>1.3619000000000001</v>
      </c>
      <c r="K389">
        <f ca="1">IF(ROW(T_CALC[[#This Row],[DAY]])-ROW(T_CALC[[#Headers],[DAY]])&gt;C_N_TRADING_DAYS,"",ROW(T_CALC[[#This Row],[DAY]])-ROW(T_CALC[[#Headers],[DAY]]))</f>
        <v>386</v>
      </c>
      <c r="L389" cm="1" vm="2698">
        <f t="array" aca="1" ref="L389" ca="1">IFERROR(INDEX(_xlfn.ANCHORARRAY($C$3),T_CALC[[#This Row],[DAY]]+1,1),NA())</f>
        <v>43297</v>
      </c>
      <c r="M389" cm="1" vm="2208">
        <f t="array" aca="1" ref="M389" ca="1">IFERROR(INDEX(_xlfn.ANCHORARRAY($C$3),T_CALC[[#This Row],[DAY]]+1,3),NA())</f>
        <v>1.3651</v>
      </c>
      <c r="N389" cm="1" vm="1962">
        <f t="array" aca="1" ref="N389" ca="1">IFERROR(INDEX(_xlfn.ANCHORARRAY($C$3),T_CALC[[#This Row],[DAY]]+1,4),NA())</f>
        <v>1.3662000000000001</v>
      </c>
      <c r="O389" cm="1" vm="2020">
        <f t="array" aca="1" ref="O389" ca="1">IFERROR(INDEX(_xlfn.ANCHORARRAY($C$3),T_CALC[[#This Row],[DAY]]+1,5),NA())</f>
        <v>1.3603000000000001</v>
      </c>
      <c r="P389" cm="1" vm="1986">
        <f t="array" aca="1" ref="P389" ca="1">IFERROR(INDEX(_xlfn.ANCHORARRAY($C$3),T_CALC[[#This Row],[DAY]]+1,6),NA())</f>
        <v>1.3619000000000001</v>
      </c>
      <c r="Q389" cm="1">
        <f t="array" aca="1" ref="Q389" ca="1">IFERROR(INDEX(_xlfn.ANCHORARRAY($C$3),T_CALC[[#This Row],[DAY]]+1,2),NA())</f>
        <v>0</v>
      </c>
    </row>
    <row r="390" spans="3:17">
      <c r="C390" vm="2699">
        <f ca="1"/>
        <v>43298</v>
      </c>
      <c r="D390">
        <f ca="1"/>
        <v>0</v>
      </c>
      <c r="E390" vm="1996">
        <f ca="1"/>
        <v>1.3613999999999999</v>
      </c>
      <c r="F390" vm="2166">
        <f ca="1"/>
        <v>1.3654999999999999</v>
      </c>
      <c r="G390" vm="2160">
        <f ca="1"/>
        <v>1.3580000000000001</v>
      </c>
      <c r="H390" vm="2150">
        <f ca="1"/>
        <v>1.3646</v>
      </c>
      <c r="K390">
        <f ca="1">IF(ROW(T_CALC[[#This Row],[DAY]])-ROW(T_CALC[[#Headers],[DAY]])&gt;C_N_TRADING_DAYS,"",ROW(T_CALC[[#This Row],[DAY]])-ROW(T_CALC[[#Headers],[DAY]]))</f>
        <v>387</v>
      </c>
      <c r="L390" cm="1" vm="2699">
        <f t="array" aca="1" ref="L390" ca="1">IFERROR(INDEX(_xlfn.ANCHORARRAY($C$3),T_CALC[[#This Row],[DAY]]+1,1),NA())</f>
        <v>43298</v>
      </c>
      <c r="M390" cm="1" vm="1996">
        <f t="array" aca="1" ref="M390" ca="1">IFERROR(INDEX(_xlfn.ANCHORARRAY($C$3),T_CALC[[#This Row],[DAY]]+1,3),NA())</f>
        <v>1.3613999999999999</v>
      </c>
      <c r="N390" cm="1" vm="2166">
        <f t="array" aca="1" ref="N390" ca="1">IFERROR(INDEX(_xlfn.ANCHORARRAY($C$3),T_CALC[[#This Row],[DAY]]+1,4),NA())</f>
        <v>1.3654999999999999</v>
      </c>
      <c r="O390" cm="1" vm="2160">
        <f t="array" aca="1" ref="O390" ca="1">IFERROR(INDEX(_xlfn.ANCHORARRAY($C$3),T_CALC[[#This Row],[DAY]]+1,5),NA())</f>
        <v>1.3580000000000001</v>
      </c>
      <c r="P390" cm="1" vm="2150">
        <f t="array" aca="1" ref="P390" ca="1">IFERROR(INDEX(_xlfn.ANCHORARRAY($C$3),T_CALC[[#This Row],[DAY]]+1,6),NA())</f>
        <v>1.3646</v>
      </c>
      <c r="Q390" cm="1">
        <f t="array" aca="1" ref="Q390" ca="1">IFERROR(INDEX(_xlfn.ANCHORARRAY($C$3),T_CALC[[#This Row],[DAY]]+1,2),NA())</f>
        <v>0</v>
      </c>
    </row>
    <row r="391" spans="3:17">
      <c r="C391" vm="2700">
        <f ca="1"/>
        <v>43299</v>
      </c>
      <c r="D391">
        <f ca="1"/>
        <v>0</v>
      </c>
      <c r="E391" vm="2685">
        <f ca="1"/>
        <v>1.3645</v>
      </c>
      <c r="F391" vm="1965">
        <f ca="1"/>
        <v>1.3698999999999999</v>
      </c>
      <c r="G391" vm="1978">
        <f ca="1"/>
        <v>1.3634999999999999</v>
      </c>
      <c r="H391" vm="2150">
        <f ca="1"/>
        <v>1.3646</v>
      </c>
      <c r="K391">
        <f ca="1">IF(ROW(T_CALC[[#This Row],[DAY]])-ROW(T_CALC[[#Headers],[DAY]])&gt;C_N_TRADING_DAYS,"",ROW(T_CALC[[#This Row],[DAY]])-ROW(T_CALC[[#Headers],[DAY]]))</f>
        <v>388</v>
      </c>
      <c r="L391" cm="1" vm="2700">
        <f t="array" aca="1" ref="L391" ca="1">IFERROR(INDEX(_xlfn.ANCHORARRAY($C$3),T_CALC[[#This Row],[DAY]]+1,1),NA())</f>
        <v>43299</v>
      </c>
      <c r="M391" cm="1" vm="2685">
        <f t="array" aca="1" ref="M391" ca="1">IFERROR(INDEX(_xlfn.ANCHORARRAY($C$3),T_CALC[[#This Row],[DAY]]+1,3),NA())</f>
        <v>1.3645</v>
      </c>
      <c r="N391" cm="1" vm="1965">
        <f t="array" aca="1" ref="N391" ca="1">IFERROR(INDEX(_xlfn.ANCHORARRAY($C$3),T_CALC[[#This Row],[DAY]]+1,4),NA())</f>
        <v>1.3698999999999999</v>
      </c>
      <c r="O391" cm="1" vm="1978">
        <f t="array" aca="1" ref="O391" ca="1">IFERROR(INDEX(_xlfn.ANCHORARRAY($C$3),T_CALC[[#This Row],[DAY]]+1,5),NA())</f>
        <v>1.3634999999999999</v>
      </c>
      <c r="P391" cm="1" vm="2150">
        <f t="array" aca="1" ref="P391" ca="1">IFERROR(INDEX(_xlfn.ANCHORARRAY($C$3),T_CALC[[#This Row],[DAY]]+1,6),NA())</f>
        <v>1.3646</v>
      </c>
      <c r="Q391" cm="1">
        <f t="array" aca="1" ref="Q391" ca="1">IFERROR(INDEX(_xlfn.ANCHORARRAY($C$3),T_CALC[[#This Row],[DAY]]+1,2),NA())</f>
        <v>0</v>
      </c>
    </row>
    <row r="392" spans="3:17">
      <c r="C392" vm="2701">
        <f ca="1"/>
        <v>43300</v>
      </c>
      <c r="D392">
        <f ca="1"/>
        <v>0</v>
      </c>
      <c r="E392" vm="2702">
        <f ca="1"/>
        <v>1.365</v>
      </c>
      <c r="F392" vm="2684">
        <f ca="1"/>
        <v>1.3745000000000001</v>
      </c>
      <c r="G392" vm="2193">
        <f ca="1"/>
        <v>1.3638999999999999</v>
      </c>
      <c r="H392" vm="2678">
        <f ca="1"/>
        <v>1.3705000000000001</v>
      </c>
      <c r="K392">
        <f ca="1">IF(ROW(T_CALC[[#This Row],[DAY]])-ROW(T_CALC[[#Headers],[DAY]])&gt;C_N_TRADING_DAYS,"",ROW(T_CALC[[#This Row],[DAY]])-ROW(T_CALC[[#Headers],[DAY]]))</f>
        <v>389</v>
      </c>
      <c r="L392" cm="1" vm="2701">
        <f t="array" aca="1" ref="L392" ca="1">IFERROR(INDEX(_xlfn.ANCHORARRAY($C$3),T_CALC[[#This Row],[DAY]]+1,1),NA())</f>
        <v>43300</v>
      </c>
      <c r="M392" cm="1" vm="2702">
        <f t="array" aca="1" ref="M392" ca="1">IFERROR(INDEX(_xlfn.ANCHORARRAY($C$3),T_CALC[[#This Row],[DAY]]+1,3),NA())</f>
        <v>1.365</v>
      </c>
      <c r="N392" cm="1" vm="2684">
        <f t="array" aca="1" ref="N392" ca="1">IFERROR(INDEX(_xlfn.ANCHORARRAY($C$3),T_CALC[[#This Row],[DAY]]+1,4),NA())</f>
        <v>1.3745000000000001</v>
      </c>
      <c r="O392" cm="1" vm="2193">
        <f t="array" aca="1" ref="O392" ca="1">IFERROR(INDEX(_xlfn.ANCHORARRAY($C$3),T_CALC[[#This Row],[DAY]]+1,5),NA())</f>
        <v>1.3638999999999999</v>
      </c>
      <c r="P392" cm="1" vm="2678">
        <f t="array" aca="1" ref="P392" ca="1">IFERROR(INDEX(_xlfn.ANCHORARRAY($C$3),T_CALC[[#This Row],[DAY]]+1,6),NA())</f>
        <v>1.3705000000000001</v>
      </c>
      <c r="Q392" cm="1">
        <f t="array" aca="1" ref="Q392" ca="1">IFERROR(INDEX(_xlfn.ANCHORARRAY($C$3),T_CALC[[#This Row],[DAY]]+1,2),NA())</f>
        <v>0</v>
      </c>
    </row>
    <row r="393" spans="3:17">
      <c r="C393" vm="2703">
        <f ca="1"/>
        <v>43301</v>
      </c>
      <c r="D393">
        <f ca="1"/>
        <v>0</v>
      </c>
      <c r="E393" vm="1881">
        <f ca="1"/>
        <v>1.3704000000000001</v>
      </c>
      <c r="F393" vm="1948">
        <f ca="1"/>
        <v>1.3735999999999999</v>
      </c>
      <c r="G393" vm="2156">
        <f ca="1"/>
        <v>1.3613</v>
      </c>
      <c r="H393" vm="2054">
        <f ca="1"/>
        <v>1.3622000000000001</v>
      </c>
      <c r="K393">
        <f ca="1">IF(ROW(T_CALC[[#This Row],[DAY]])-ROW(T_CALC[[#Headers],[DAY]])&gt;C_N_TRADING_DAYS,"",ROW(T_CALC[[#This Row],[DAY]])-ROW(T_CALC[[#Headers],[DAY]]))</f>
        <v>390</v>
      </c>
      <c r="L393" cm="1" vm="2703">
        <f t="array" aca="1" ref="L393" ca="1">IFERROR(INDEX(_xlfn.ANCHORARRAY($C$3),T_CALC[[#This Row],[DAY]]+1,1),NA())</f>
        <v>43301</v>
      </c>
      <c r="M393" cm="1" vm="1881">
        <f t="array" aca="1" ref="M393" ca="1">IFERROR(INDEX(_xlfn.ANCHORARRAY($C$3),T_CALC[[#This Row],[DAY]]+1,3),NA())</f>
        <v>1.3704000000000001</v>
      </c>
      <c r="N393" cm="1" vm="1948">
        <f t="array" aca="1" ref="N393" ca="1">IFERROR(INDEX(_xlfn.ANCHORARRAY($C$3),T_CALC[[#This Row],[DAY]]+1,4),NA())</f>
        <v>1.3735999999999999</v>
      </c>
      <c r="O393" cm="1" vm="2156">
        <f t="array" aca="1" ref="O393" ca="1">IFERROR(INDEX(_xlfn.ANCHORARRAY($C$3),T_CALC[[#This Row],[DAY]]+1,5),NA())</f>
        <v>1.3613</v>
      </c>
      <c r="P393" cm="1" vm="2054">
        <f t="array" aca="1" ref="P393" ca="1">IFERROR(INDEX(_xlfn.ANCHORARRAY($C$3),T_CALC[[#This Row],[DAY]]+1,6),NA())</f>
        <v>1.3622000000000001</v>
      </c>
      <c r="Q393" cm="1">
        <f t="array" aca="1" ref="Q393" ca="1">IFERROR(INDEX(_xlfn.ANCHORARRAY($C$3),T_CALC[[#This Row],[DAY]]+1,2),NA())</f>
        <v>0</v>
      </c>
    </row>
    <row r="394" spans="3:17">
      <c r="C394" vm="2704">
        <f ca="1"/>
        <v>43304</v>
      </c>
      <c r="D394">
        <f ca="1"/>
        <v>0</v>
      </c>
      <c r="E394" vm="1984">
        <f ca="1"/>
        <v>1.3620000000000001</v>
      </c>
      <c r="F394" vm="2705">
        <f ca="1"/>
        <v>1.3660000000000001</v>
      </c>
      <c r="G394" vm="2013">
        <f ca="1"/>
        <v>1.3588</v>
      </c>
      <c r="H394" vm="2208">
        <f ca="1"/>
        <v>1.3651</v>
      </c>
      <c r="K394">
        <f ca="1">IF(ROW(T_CALC[[#This Row],[DAY]])-ROW(T_CALC[[#Headers],[DAY]])&gt;C_N_TRADING_DAYS,"",ROW(T_CALC[[#This Row],[DAY]])-ROW(T_CALC[[#Headers],[DAY]]))</f>
        <v>391</v>
      </c>
      <c r="L394" cm="1" vm="2704">
        <f t="array" aca="1" ref="L394" ca="1">IFERROR(INDEX(_xlfn.ANCHORARRAY($C$3),T_CALC[[#This Row],[DAY]]+1,1),NA())</f>
        <v>43304</v>
      </c>
      <c r="M394" cm="1" vm="1984">
        <f t="array" aca="1" ref="M394" ca="1">IFERROR(INDEX(_xlfn.ANCHORARRAY($C$3),T_CALC[[#This Row],[DAY]]+1,3),NA())</f>
        <v>1.3620000000000001</v>
      </c>
      <c r="N394" cm="1" vm="2705">
        <f t="array" aca="1" ref="N394" ca="1">IFERROR(INDEX(_xlfn.ANCHORARRAY($C$3),T_CALC[[#This Row],[DAY]]+1,4),NA())</f>
        <v>1.3660000000000001</v>
      </c>
      <c r="O394" cm="1" vm="2013">
        <f t="array" aca="1" ref="O394" ca="1">IFERROR(INDEX(_xlfn.ANCHORARRAY($C$3),T_CALC[[#This Row],[DAY]]+1,5),NA())</f>
        <v>1.3588</v>
      </c>
      <c r="P394" cm="1" vm="2208">
        <f t="array" aca="1" ref="P394" ca="1">IFERROR(INDEX(_xlfn.ANCHORARRAY($C$3),T_CALC[[#This Row],[DAY]]+1,6),NA())</f>
        <v>1.3651</v>
      </c>
      <c r="Q394" cm="1">
        <f t="array" aca="1" ref="Q394" ca="1">IFERROR(INDEX(_xlfn.ANCHORARRAY($C$3),T_CALC[[#This Row],[DAY]]+1,2),NA())</f>
        <v>0</v>
      </c>
    </row>
    <row r="395" spans="3:17">
      <c r="C395" vm="2706">
        <f ca="1"/>
        <v>43305</v>
      </c>
      <c r="D395">
        <f ca="1"/>
        <v>0</v>
      </c>
      <c r="E395" vm="2208">
        <f ca="1"/>
        <v>1.3651</v>
      </c>
      <c r="F395" vm="1966">
        <f ca="1"/>
        <v>1.3676999999999999</v>
      </c>
      <c r="G395" vm="2213">
        <f ca="1"/>
        <v>1.3615999999999999</v>
      </c>
      <c r="H395" vm="2707">
        <f ca="1"/>
        <v>1.3636999999999999</v>
      </c>
      <c r="K395">
        <f ca="1">IF(ROW(T_CALC[[#This Row],[DAY]])-ROW(T_CALC[[#Headers],[DAY]])&gt;C_N_TRADING_DAYS,"",ROW(T_CALC[[#This Row],[DAY]])-ROW(T_CALC[[#Headers],[DAY]]))</f>
        <v>392</v>
      </c>
      <c r="L395" cm="1" vm="2706">
        <f t="array" aca="1" ref="L395" ca="1">IFERROR(INDEX(_xlfn.ANCHORARRAY($C$3),T_CALC[[#This Row],[DAY]]+1,1),NA())</f>
        <v>43305</v>
      </c>
      <c r="M395" cm="1" vm="2208">
        <f t="array" aca="1" ref="M395" ca="1">IFERROR(INDEX(_xlfn.ANCHORARRAY($C$3),T_CALC[[#This Row],[DAY]]+1,3),NA())</f>
        <v>1.3651</v>
      </c>
      <c r="N395" cm="1" vm="1966">
        <f t="array" aca="1" ref="N395" ca="1">IFERROR(INDEX(_xlfn.ANCHORARRAY($C$3),T_CALC[[#This Row],[DAY]]+1,4),NA())</f>
        <v>1.3676999999999999</v>
      </c>
      <c r="O395" cm="1" vm="2213">
        <f t="array" aca="1" ref="O395" ca="1">IFERROR(INDEX(_xlfn.ANCHORARRAY($C$3),T_CALC[[#This Row],[DAY]]+1,5),NA())</f>
        <v>1.3615999999999999</v>
      </c>
      <c r="P395" cm="1" vm="2707">
        <f t="array" aca="1" ref="P395" ca="1">IFERROR(INDEX(_xlfn.ANCHORARRAY($C$3),T_CALC[[#This Row],[DAY]]+1,6),NA())</f>
        <v>1.3636999999999999</v>
      </c>
      <c r="Q395" cm="1">
        <f t="array" aca="1" ref="Q395" ca="1">IFERROR(INDEX(_xlfn.ANCHORARRAY($C$3),T_CALC[[#This Row],[DAY]]+1,2),NA())</f>
        <v>0</v>
      </c>
    </row>
    <row r="396" spans="3:17">
      <c r="C396" vm="2708">
        <f ca="1"/>
        <v>43306</v>
      </c>
      <c r="D396">
        <f ca="1"/>
        <v>0</v>
      </c>
      <c r="E396" vm="2021">
        <f ca="1"/>
        <v>1.3637999999999999</v>
      </c>
      <c r="F396" vm="2208">
        <f ca="1"/>
        <v>1.3651</v>
      </c>
      <c r="G396" vm="2010">
        <f ca="1"/>
        <v>1.3576999999999999</v>
      </c>
      <c r="H396" vm="2001">
        <f ca="1"/>
        <v>1.3583000000000001</v>
      </c>
      <c r="K396">
        <f ca="1">IF(ROW(T_CALC[[#This Row],[DAY]])-ROW(T_CALC[[#Headers],[DAY]])&gt;C_N_TRADING_DAYS,"",ROW(T_CALC[[#This Row],[DAY]])-ROW(T_CALC[[#Headers],[DAY]]))</f>
        <v>393</v>
      </c>
      <c r="L396" cm="1" vm="2708">
        <f t="array" aca="1" ref="L396" ca="1">IFERROR(INDEX(_xlfn.ANCHORARRAY($C$3),T_CALC[[#This Row],[DAY]]+1,1),NA())</f>
        <v>43306</v>
      </c>
      <c r="M396" cm="1" vm="2021">
        <f t="array" aca="1" ref="M396" ca="1">IFERROR(INDEX(_xlfn.ANCHORARRAY($C$3),T_CALC[[#This Row],[DAY]]+1,3),NA())</f>
        <v>1.3637999999999999</v>
      </c>
      <c r="N396" cm="1" vm="2208">
        <f t="array" aca="1" ref="N396" ca="1">IFERROR(INDEX(_xlfn.ANCHORARRAY($C$3),T_CALC[[#This Row],[DAY]]+1,4),NA())</f>
        <v>1.3651</v>
      </c>
      <c r="O396" cm="1" vm="2010">
        <f t="array" aca="1" ref="O396" ca="1">IFERROR(INDEX(_xlfn.ANCHORARRAY($C$3),T_CALC[[#This Row],[DAY]]+1,5),NA())</f>
        <v>1.3576999999999999</v>
      </c>
      <c r="P396" cm="1" vm="2001">
        <f t="array" aca="1" ref="P396" ca="1">IFERROR(INDEX(_xlfn.ANCHORARRAY($C$3),T_CALC[[#This Row],[DAY]]+1,6),NA())</f>
        <v>1.3583000000000001</v>
      </c>
      <c r="Q396" cm="1">
        <f t="array" aca="1" ref="Q396" ca="1">IFERROR(INDEX(_xlfn.ANCHORARRAY($C$3),T_CALC[[#This Row],[DAY]]+1,2),NA())</f>
        <v>0</v>
      </c>
    </row>
    <row r="397" spans="3:17">
      <c r="C397" vm="2709">
        <f ca="1"/>
        <v>43307</v>
      </c>
      <c r="D397">
        <f ca="1"/>
        <v>0</v>
      </c>
      <c r="E397" vm="2038">
        <f ca="1"/>
        <v>1.3582000000000001</v>
      </c>
      <c r="F397" vm="1970">
        <f ca="1"/>
        <v>1.3643000000000001</v>
      </c>
      <c r="G397" vm="2230">
        <f ca="1"/>
        <v>1.3567</v>
      </c>
      <c r="H397" vm="2168">
        <f ca="1"/>
        <v>1.3631</v>
      </c>
      <c r="K397">
        <f ca="1">IF(ROW(T_CALC[[#This Row],[DAY]])-ROW(T_CALC[[#Headers],[DAY]])&gt;C_N_TRADING_DAYS,"",ROW(T_CALC[[#This Row],[DAY]])-ROW(T_CALC[[#Headers],[DAY]]))</f>
        <v>394</v>
      </c>
      <c r="L397" cm="1" vm="2709">
        <f t="array" aca="1" ref="L397" ca="1">IFERROR(INDEX(_xlfn.ANCHORARRAY($C$3),T_CALC[[#This Row],[DAY]]+1,1),NA())</f>
        <v>43307</v>
      </c>
      <c r="M397" cm="1" vm="2038">
        <f t="array" aca="1" ref="M397" ca="1">IFERROR(INDEX(_xlfn.ANCHORARRAY($C$3),T_CALC[[#This Row],[DAY]]+1,3),NA())</f>
        <v>1.3582000000000001</v>
      </c>
      <c r="N397" cm="1" vm="1970">
        <f t="array" aca="1" ref="N397" ca="1">IFERROR(INDEX(_xlfn.ANCHORARRAY($C$3),T_CALC[[#This Row],[DAY]]+1,4),NA())</f>
        <v>1.3643000000000001</v>
      </c>
      <c r="O397" cm="1" vm="2230">
        <f t="array" aca="1" ref="O397" ca="1">IFERROR(INDEX(_xlfn.ANCHORARRAY($C$3),T_CALC[[#This Row],[DAY]]+1,5),NA())</f>
        <v>1.3567</v>
      </c>
      <c r="P397" cm="1" vm="2168">
        <f t="array" aca="1" ref="P397" ca="1">IFERROR(INDEX(_xlfn.ANCHORARRAY($C$3),T_CALC[[#This Row],[DAY]]+1,6),NA())</f>
        <v>1.3631</v>
      </c>
      <c r="Q397" cm="1">
        <f t="array" aca="1" ref="Q397" ca="1">IFERROR(INDEX(_xlfn.ANCHORARRAY($C$3),T_CALC[[#This Row],[DAY]]+1,2),NA())</f>
        <v>0</v>
      </c>
    </row>
    <row r="398" spans="3:17">
      <c r="C398" vm="2710">
        <f ca="1"/>
        <v>43308</v>
      </c>
      <c r="D398">
        <f ca="1"/>
        <v>0</v>
      </c>
      <c r="E398" vm="1982">
        <f ca="1"/>
        <v>1.3633</v>
      </c>
      <c r="F398" vm="2711">
        <f ca="1"/>
        <v>1.3649</v>
      </c>
      <c r="G398" vm="2667">
        <f ca="1"/>
        <v>1.3599000000000001</v>
      </c>
      <c r="H398" vm="1996">
        <f ca="1"/>
        <v>1.3613999999999999</v>
      </c>
      <c r="K398">
        <f ca="1">IF(ROW(T_CALC[[#This Row],[DAY]])-ROW(T_CALC[[#Headers],[DAY]])&gt;C_N_TRADING_DAYS,"",ROW(T_CALC[[#This Row],[DAY]])-ROW(T_CALC[[#Headers],[DAY]]))</f>
        <v>395</v>
      </c>
      <c r="L398" cm="1" vm="2710">
        <f t="array" aca="1" ref="L398" ca="1">IFERROR(INDEX(_xlfn.ANCHORARRAY($C$3),T_CALC[[#This Row],[DAY]]+1,1),NA())</f>
        <v>43308</v>
      </c>
      <c r="M398" cm="1" vm="1982">
        <f t="array" aca="1" ref="M398" ca="1">IFERROR(INDEX(_xlfn.ANCHORARRAY($C$3),T_CALC[[#This Row],[DAY]]+1,3),NA())</f>
        <v>1.3633</v>
      </c>
      <c r="N398" cm="1" vm="2711">
        <f t="array" aca="1" ref="N398" ca="1">IFERROR(INDEX(_xlfn.ANCHORARRAY($C$3),T_CALC[[#This Row],[DAY]]+1,4),NA())</f>
        <v>1.3649</v>
      </c>
      <c r="O398" cm="1" vm="2667">
        <f t="array" aca="1" ref="O398" ca="1">IFERROR(INDEX(_xlfn.ANCHORARRAY($C$3),T_CALC[[#This Row],[DAY]]+1,5),NA())</f>
        <v>1.3599000000000001</v>
      </c>
      <c r="P398" cm="1" vm="1996">
        <f t="array" aca="1" ref="P398" ca="1">IFERROR(INDEX(_xlfn.ANCHORARRAY($C$3),T_CALC[[#This Row],[DAY]]+1,6),NA())</f>
        <v>1.3613999999999999</v>
      </c>
      <c r="Q398" cm="1">
        <f t="array" aca="1" ref="Q398" ca="1">IFERROR(INDEX(_xlfn.ANCHORARRAY($C$3),T_CALC[[#This Row],[DAY]]+1,2),NA())</f>
        <v>0</v>
      </c>
    </row>
    <row r="399" spans="3:17">
      <c r="C399" vm="2712">
        <f ca="1"/>
        <v>43311</v>
      </c>
      <c r="D399">
        <f ca="1"/>
        <v>0</v>
      </c>
      <c r="E399" vm="2040">
        <f ca="1"/>
        <v>1.3614999999999999</v>
      </c>
      <c r="F399" vm="1982">
        <f ca="1"/>
        <v>1.3633</v>
      </c>
      <c r="G399" vm="2051">
        <f ca="1"/>
        <v>1.3594999999999999</v>
      </c>
      <c r="H399" vm="2158">
        <f ca="1"/>
        <v>1.3605</v>
      </c>
      <c r="K399">
        <f ca="1">IF(ROW(T_CALC[[#This Row],[DAY]])-ROW(T_CALC[[#Headers],[DAY]])&gt;C_N_TRADING_DAYS,"",ROW(T_CALC[[#This Row],[DAY]])-ROW(T_CALC[[#Headers],[DAY]]))</f>
        <v>396</v>
      </c>
      <c r="L399" cm="1" vm="2712">
        <f t="array" aca="1" ref="L399" ca="1">IFERROR(INDEX(_xlfn.ANCHORARRAY($C$3),T_CALC[[#This Row],[DAY]]+1,1),NA())</f>
        <v>43311</v>
      </c>
      <c r="M399" cm="1" vm="2040">
        <f t="array" aca="1" ref="M399" ca="1">IFERROR(INDEX(_xlfn.ANCHORARRAY($C$3),T_CALC[[#This Row],[DAY]]+1,3),NA())</f>
        <v>1.3614999999999999</v>
      </c>
      <c r="N399" cm="1" vm="1982">
        <f t="array" aca="1" ref="N399" ca="1">IFERROR(INDEX(_xlfn.ANCHORARRAY($C$3),T_CALC[[#This Row],[DAY]]+1,4),NA())</f>
        <v>1.3633</v>
      </c>
      <c r="O399" cm="1" vm="2051">
        <f t="array" aca="1" ref="O399" ca="1">IFERROR(INDEX(_xlfn.ANCHORARRAY($C$3),T_CALC[[#This Row],[DAY]]+1,5),NA())</f>
        <v>1.3594999999999999</v>
      </c>
      <c r="P399" cm="1" vm="2158">
        <f t="array" aca="1" ref="P399" ca="1">IFERROR(INDEX(_xlfn.ANCHORARRAY($C$3),T_CALC[[#This Row],[DAY]]+1,6),NA())</f>
        <v>1.3605</v>
      </c>
      <c r="Q399" cm="1">
        <f t="array" aca="1" ref="Q399" ca="1">IFERROR(INDEX(_xlfn.ANCHORARRAY($C$3),T_CALC[[#This Row],[DAY]]+1,2),NA())</f>
        <v>0</v>
      </c>
    </row>
    <row r="400" spans="3:17">
      <c r="C400" vm="2713">
        <f ca="1"/>
        <v>43312</v>
      </c>
      <c r="D400">
        <f ca="1"/>
        <v>0</v>
      </c>
      <c r="E400" vm="2011">
        <f ca="1"/>
        <v>1.3611</v>
      </c>
      <c r="F400" vm="1977">
        <f ca="1"/>
        <v>1.3633999999999999</v>
      </c>
      <c r="G400" vm="2714">
        <f ca="1"/>
        <v>1.3595999999999999</v>
      </c>
      <c r="H400" vm="2053">
        <f ca="1"/>
        <v>1.3609</v>
      </c>
      <c r="K400">
        <f ca="1">IF(ROW(T_CALC[[#This Row],[DAY]])-ROW(T_CALC[[#Headers],[DAY]])&gt;C_N_TRADING_DAYS,"",ROW(T_CALC[[#This Row],[DAY]])-ROW(T_CALC[[#Headers],[DAY]]))</f>
        <v>397</v>
      </c>
      <c r="L400" cm="1" vm="2713">
        <f t="array" aca="1" ref="L400" ca="1">IFERROR(INDEX(_xlfn.ANCHORARRAY($C$3),T_CALC[[#This Row],[DAY]]+1,1),NA())</f>
        <v>43312</v>
      </c>
      <c r="M400" cm="1" vm="2011">
        <f t="array" aca="1" ref="M400" ca="1">IFERROR(INDEX(_xlfn.ANCHORARRAY($C$3),T_CALC[[#This Row],[DAY]]+1,3),NA())</f>
        <v>1.3611</v>
      </c>
      <c r="N400" cm="1" vm="1977">
        <f t="array" aca="1" ref="N400" ca="1">IFERROR(INDEX(_xlfn.ANCHORARRAY($C$3),T_CALC[[#This Row],[DAY]]+1,4),NA())</f>
        <v>1.3633999999999999</v>
      </c>
      <c r="O400" cm="1" vm="2714">
        <f t="array" aca="1" ref="O400" ca="1">IFERROR(INDEX(_xlfn.ANCHORARRAY($C$3),T_CALC[[#This Row],[DAY]]+1,5),NA())</f>
        <v>1.3595999999999999</v>
      </c>
      <c r="P400" cm="1" vm="2053">
        <f t="array" aca="1" ref="P400" ca="1">IFERROR(INDEX(_xlfn.ANCHORARRAY($C$3),T_CALC[[#This Row],[DAY]]+1,6),NA())</f>
        <v>1.3609</v>
      </c>
      <c r="Q400" cm="1">
        <f t="array" aca="1" ref="Q400" ca="1">IFERROR(INDEX(_xlfn.ANCHORARRAY($C$3),T_CALC[[#This Row],[DAY]]+1,2),NA())</f>
        <v>0</v>
      </c>
    </row>
    <row r="401" spans="3:17">
      <c r="C401" vm="2715">
        <f ca="1"/>
        <v>43313</v>
      </c>
      <c r="D401">
        <f ca="1"/>
        <v>0</v>
      </c>
      <c r="E401" vm="2011">
        <f ca="1"/>
        <v>1.3611</v>
      </c>
      <c r="F401" vm="2048">
        <f ca="1"/>
        <v>1.3628</v>
      </c>
      <c r="G401" vm="2036">
        <f ca="1"/>
        <v>1.3604000000000001</v>
      </c>
      <c r="H401" vm="2040">
        <f ca="1"/>
        <v>1.3614999999999999</v>
      </c>
      <c r="K401">
        <f ca="1">IF(ROW(T_CALC[[#This Row],[DAY]])-ROW(T_CALC[[#Headers],[DAY]])&gt;C_N_TRADING_DAYS,"",ROW(T_CALC[[#This Row],[DAY]])-ROW(T_CALC[[#Headers],[DAY]]))</f>
        <v>398</v>
      </c>
      <c r="L401" cm="1" vm="2715">
        <f t="array" aca="1" ref="L401" ca="1">IFERROR(INDEX(_xlfn.ANCHORARRAY($C$3),T_CALC[[#This Row],[DAY]]+1,1),NA())</f>
        <v>43313</v>
      </c>
      <c r="M401" cm="1" vm="2011">
        <f t="array" aca="1" ref="M401" ca="1">IFERROR(INDEX(_xlfn.ANCHORARRAY($C$3),T_CALC[[#This Row],[DAY]]+1,3),NA())</f>
        <v>1.3611</v>
      </c>
      <c r="N401" cm="1" vm="2048">
        <f t="array" aca="1" ref="N401" ca="1">IFERROR(INDEX(_xlfn.ANCHORARRAY($C$3),T_CALC[[#This Row],[DAY]]+1,4),NA())</f>
        <v>1.3628</v>
      </c>
      <c r="O401" cm="1" vm="2036">
        <f t="array" aca="1" ref="O401" ca="1">IFERROR(INDEX(_xlfn.ANCHORARRAY($C$3),T_CALC[[#This Row],[DAY]]+1,5),NA())</f>
        <v>1.3604000000000001</v>
      </c>
      <c r="P401" cm="1" vm="2040">
        <f t="array" aca="1" ref="P401" ca="1">IFERROR(INDEX(_xlfn.ANCHORARRAY($C$3),T_CALC[[#This Row],[DAY]]+1,6),NA())</f>
        <v>1.3614999999999999</v>
      </c>
      <c r="Q401" cm="1">
        <f t="array" aca="1" ref="Q401" ca="1">IFERROR(INDEX(_xlfn.ANCHORARRAY($C$3),T_CALC[[#This Row],[DAY]]+1,2),NA())</f>
        <v>0</v>
      </c>
    </row>
    <row r="402" spans="3:17">
      <c r="C402" vm="2716">
        <f ca="1"/>
        <v>43314</v>
      </c>
      <c r="D402">
        <f ca="1"/>
        <v>0</v>
      </c>
      <c r="E402" vm="2213">
        <f ca="1"/>
        <v>1.3615999999999999</v>
      </c>
      <c r="F402" vm="1958">
        <f ca="1"/>
        <v>1.369</v>
      </c>
      <c r="G402" vm="2076">
        <f ca="1"/>
        <v>1.361</v>
      </c>
      <c r="H402" vm="2676">
        <f ca="1"/>
        <v>1.3685</v>
      </c>
      <c r="K402">
        <f ca="1">IF(ROW(T_CALC[[#This Row],[DAY]])-ROW(T_CALC[[#Headers],[DAY]])&gt;C_N_TRADING_DAYS,"",ROW(T_CALC[[#This Row],[DAY]])-ROW(T_CALC[[#Headers],[DAY]]))</f>
        <v>399</v>
      </c>
      <c r="L402" cm="1" vm="2716">
        <f t="array" aca="1" ref="L402" ca="1">IFERROR(INDEX(_xlfn.ANCHORARRAY($C$3),T_CALC[[#This Row],[DAY]]+1,1),NA())</f>
        <v>43314</v>
      </c>
      <c r="M402" cm="1" vm="2213">
        <f t="array" aca="1" ref="M402" ca="1">IFERROR(INDEX(_xlfn.ANCHORARRAY($C$3),T_CALC[[#This Row],[DAY]]+1,3),NA())</f>
        <v>1.3615999999999999</v>
      </c>
      <c r="N402" cm="1" vm="1958">
        <f t="array" aca="1" ref="N402" ca="1">IFERROR(INDEX(_xlfn.ANCHORARRAY($C$3),T_CALC[[#This Row],[DAY]]+1,4),NA())</f>
        <v>1.369</v>
      </c>
      <c r="O402" cm="1" vm="2076">
        <f t="array" aca="1" ref="O402" ca="1">IFERROR(INDEX(_xlfn.ANCHORARRAY($C$3),T_CALC[[#This Row],[DAY]]+1,5),NA())</f>
        <v>1.361</v>
      </c>
      <c r="P402" cm="1" vm="2676">
        <f t="array" aca="1" ref="P402" ca="1">IFERROR(INDEX(_xlfn.ANCHORARRAY($C$3),T_CALC[[#This Row],[DAY]]+1,6),NA())</f>
        <v>1.3685</v>
      </c>
      <c r="Q402" cm="1">
        <f t="array" aca="1" ref="Q402" ca="1">IFERROR(INDEX(_xlfn.ANCHORARRAY($C$3),T_CALC[[#This Row],[DAY]]+1,2),NA())</f>
        <v>0</v>
      </c>
    </row>
    <row r="403" spans="3:17">
      <c r="C403" vm="2717">
        <f ca="1"/>
        <v>43315</v>
      </c>
      <c r="D403">
        <f ca="1"/>
        <v>0</v>
      </c>
      <c r="E403" vm="2676">
        <f ca="1"/>
        <v>1.3685</v>
      </c>
      <c r="F403" vm="2718">
        <f ca="1"/>
        <v>1.3712</v>
      </c>
      <c r="G403" vm="2021">
        <f ca="1"/>
        <v>1.3637999999999999</v>
      </c>
      <c r="H403" vm="1957">
        <f ca="1"/>
        <v>1.3663000000000001</v>
      </c>
      <c r="K403">
        <f ca="1">IF(ROW(T_CALC[[#This Row],[DAY]])-ROW(T_CALC[[#Headers],[DAY]])&gt;C_N_TRADING_DAYS,"",ROW(T_CALC[[#This Row],[DAY]])-ROW(T_CALC[[#Headers],[DAY]]))</f>
        <v>400</v>
      </c>
      <c r="L403" cm="1" vm="2717">
        <f t="array" aca="1" ref="L403" ca="1">IFERROR(INDEX(_xlfn.ANCHORARRAY($C$3),T_CALC[[#This Row],[DAY]]+1,1),NA())</f>
        <v>43315</v>
      </c>
      <c r="M403" cm="1" vm="2676">
        <f t="array" aca="1" ref="M403" ca="1">IFERROR(INDEX(_xlfn.ANCHORARRAY($C$3),T_CALC[[#This Row],[DAY]]+1,3),NA())</f>
        <v>1.3685</v>
      </c>
      <c r="N403" cm="1" vm="2718">
        <f t="array" aca="1" ref="N403" ca="1">IFERROR(INDEX(_xlfn.ANCHORARRAY($C$3),T_CALC[[#This Row],[DAY]]+1,4),NA())</f>
        <v>1.3712</v>
      </c>
      <c r="O403" cm="1" vm="2021">
        <f t="array" aca="1" ref="O403" ca="1">IFERROR(INDEX(_xlfn.ANCHORARRAY($C$3),T_CALC[[#This Row],[DAY]]+1,5),NA())</f>
        <v>1.3637999999999999</v>
      </c>
      <c r="P403" cm="1" vm="1957">
        <f t="array" aca="1" ref="P403" ca="1">IFERROR(INDEX(_xlfn.ANCHORARRAY($C$3),T_CALC[[#This Row],[DAY]]+1,6),NA())</f>
        <v>1.3663000000000001</v>
      </c>
      <c r="Q403" cm="1">
        <f t="array" aca="1" ref="Q403" ca="1">IFERROR(INDEX(_xlfn.ANCHORARRAY($C$3),T_CALC[[#This Row],[DAY]]+1,2),NA())</f>
        <v>0</v>
      </c>
    </row>
    <row r="404" spans="3:17">
      <c r="C404" vm="2719">
        <f ca="1"/>
        <v>43318</v>
      </c>
      <c r="D404">
        <f ca="1"/>
        <v>0</v>
      </c>
      <c r="E404" vm="2720">
        <f ca="1"/>
        <v>1.3664000000000001</v>
      </c>
      <c r="F404" vm="2721">
        <f ca="1"/>
        <v>1.3694</v>
      </c>
      <c r="G404" vm="1961">
        <f ca="1"/>
        <v>1.3648</v>
      </c>
      <c r="H404" vm="1966">
        <f ca="1"/>
        <v>1.3676999999999999</v>
      </c>
      <c r="K404">
        <f ca="1">IF(ROW(T_CALC[[#This Row],[DAY]])-ROW(T_CALC[[#Headers],[DAY]])&gt;C_N_TRADING_DAYS,"",ROW(T_CALC[[#This Row],[DAY]])-ROW(T_CALC[[#Headers],[DAY]]))</f>
        <v>401</v>
      </c>
      <c r="L404" cm="1" vm="2719">
        <f t="array" aca="1" ref="L404" ca="1">IFERROR(INDEX(_xlfn.ANCHORARRAY($C$3),T_CALC[[#This Row],[DAY]]+1,1),NA())</f>
        <v>43318</v>
      </c>
      <c r="M404" cm="1" vm="2720">
        <f t="array" aca="1" ref="M404" ca="1">IFERROR(INDEX(_xlfn.ANCHORARRAY($C$3),T_CALC[[#This Row],[DAY]]+1,3),NA())</f>
        <v>1.3664000000000001</v>
      </c>
      <c r="N404" cm="1" vm="2721">
        <f t="array" aca="1" ref="N404" ca="1">IFERROR(INDEX(_xlfn.ANCHORARRAY($C$3),T_CALC[[#This Row],[DAY]]+1,4),NA())</f>
        <v>1.3694</v>
      </c>
      <c r="O404" cm="1" vm="1961">
        <f t="array" aca="1" ref="O404" ca="1">IFERROR(INDEX(_xlfn.ANCHORARRAY($C$3),T_CALC[[#This Row],[DAY]]+1,5),NA())</f>
        <v>1.3648</v>
      </c>
      <c r="P404" cm="1" vm="1966">
        <f t="array" aca="1" ref="P404" ca="1">IFERROR(INDEX(_xlfn.ANCHORARRAY($C$3),T_CALC[[#This Row],[DAY]]+1,6),NA())</f>
        <v>1.3676999999999999</v>
      </c>
      <c r="Q404" cm="1">
        <f t="array" aca="1" ref="Q404" ca="1">IFERROR(INDEX(_xlfn.ANCHORARRAY($C$3),T_CALC[[#This Row],[DAY]]+1,2),NA())</f>
        <v>0</v>
      </c>
    </row>
    <row r="405" spans="3:17">
      <c r="C405" vm="2722">
        <f ca="1"/>
        <v>43319</v>
      </c>
      <c r="D405">
        <f ca="1"/>
        <v>0</v>
      </c>
      <c r="E405" vm="1966">
        <f ca="1"/>
        <v>1.3676999999999999</v>
      </c>
      <c r="F405" vm="2723">
        <f ca="1"/>
        <v>1.3691</v>
      </c>
      <c r="G405" vm="2023">
        <f ca="1"/>
        <v>1.3626</v>
      </c>
      <c r="H405" vm="1987">
        <f ca="1"/>
        <v>1.3642000000000001</v>
      </c>
      <c r="K405">
        <f ca="1">IF(ROW(T_CALC[[#This Row],[DAY]])-ROW(T_CALC[[#Headers],[DAY]])&gt;C_N_TRADING_DAYS,"",ROW(T_CALC[[#This Row],[DAY]])-ROW(T_CALC[[#Headers],[DAY]]))</f>
        <v>402</v>
      </c>
      <c r="L405" cm="1" vm="2722">
        <f t="array" aca="1" ref="L405" ca="1">IFERROR(INDEX(_xlfn.ANCHORARRAY($C$3),T_CALC[[#This Row],[DAY]]+1,1),NA())</f>
        <v>43319</v>
      </c>
      <c r="M405" cm="1" vm="1966">
        <f t="array" aca="1" ref="M405" ca="1">IFERROR(INDEX(_xlfn.ANCHORARRAY($C$3),T_CALC[[#This Row],[DAY]]+1,3),NA())</f>
        <v>1.3676999999999999</v>
      </c>
      <c r="N405" cm="1" vm="2723">
        <f t="array" aca="1" ref="N405" ca="1">IFERROR(INDEX(_xlfn.ANCHORARRAY($C$3),T_CALC[[#This Row],[DAY]]+1,4),NA())</f>
        <v>1.3691</v>
      </c>
      <c r="O405" cm="1" vm="2023">
        <f t="array" aca="1" ref="O405" ca="1">IFERROR(INDEX(_xlfn.ANCHORARRAY($C$3),T_CALC[[#This Row],[DAY]]+1,5),NA())</f>
        <v>1.3626</v>
      </c>
      <c r="P405" cm="1" vm="1987">
        <f t="array" aca="1" ref="P405" ca="1">IFERROR(INDEX(_xlfn.ANCHORARRAY($C$3),T_CALC[[#This Row],[DAY]]+1,6),NA())</f>
        <v>1.3642000000000001</v>
      </c>
      <c r="Q405" cm="1">
        <f t="array" aca="1" ref="Q405" ca="1">IFERROR(INDEX(_xlfn.ANCHORARRAY($C$3),T_CALC[[#This Row],[DAY]]+1,2),NA())</f>
        <v>0</v>
      </c>
    </row>
    <row r="406" spans="3:17">
      <c r="C406" vm="2724">
        <f ca="1"/>
        <v>43320</v>
      </c>
      <c r="D406">
        <f ca="1"/>
        <v>0</v>
      </c>
      <c r="E406" vm="2026">
        <f ca="1"/>
        <v>1.3641000000000001</v>
      </c>
      <c r="F406" vm="2725">
        <f ca="1"/>
        <v>1.3657999999999999</v>
      </c>
      <c r="G406" vm="2060">
        <f ca="1"/>
        <v>1.3616999999999999</v>
      </c>
      <c r="H406" vm="2054">
        <f ca="1"/>
        <v>1.3622000000000001</v>
      </c>
      <c r="K406">
        <f ca="1">IF(ROW(T_CALC[[#This Row],[DAY]])-ROW(T_CALC[[#Headers],[DAY]])&gt;C_N_TRADING_DAYS,"",ROW(T_CALC[[#This Row],[DAY]])-ROW(T_CALC[[#Headers],[DAY]]))</f>
        <v>403</v>
      </c>
      <c r="L406" cm="1" vm="2724">
        <f t="array" aca="1" ref="L406" ca="1">IFERROR(INDEX(_xlfn.ANCHORARRAY($C$3),T_CALC[[#This Row],[DAY]]+1,1),NA())</f>
        <v>43320</v>
      </c>
      <c r="M406" cm="1" vm="2026">
        <f t="array" aca="1" ref="M406" ca="1">IFERROR(INDEX(_xlfn.ANCHORARRAY($C$3),T_CALC[[#This Row],[DAY]]+1,3),NA())</f>
        <v>1.3641000000000001</v>
      </c>
      <c r="N406" cm="1" vm="2725">
        <f t="array" aca="1" ref="N406" ca="1">IFERROR(INDEX(_xlfn.ANCHORARRAY($C$3),T_CALC[[#This Row],[DAY]]+1,4),NA())</f>
        <v>1.3657999999999999</v>
      </c>
      <c r="O406" cm="1" vm="2060">
        <f t="array" aca="1" ref="O406" ca="1">IFERROR(INDEX(_xlfn.ANCHORARRAY($C$3),T_CALC[[#This Row],[DAY]]+1,5),NA())</f>
        <v>1.3616999999999999</v>
      </c>
      <c r="P406" cm="1" vm="2054">
        <f t="array" aca="1" ref="P406" ca="1">IFERROR(INDEX(_xlfn.ANCHORARRAY($C$3),T_CALC[[#This Row],[DAY]]+1,6),NA())</f>
        <v>1.3622000000000001</v>
      </c>
      <c r="Q406" cm="1">
        <f t="array" aca="1" ref="Q406" ca="1">IFERROR(INDEX(_xlfn.ANCHORARRAY($C$3),T_CALC[[#This Row],[DAY]]+1,2),NA())</f>
        <v>0</v>
      </c>
    </row>
    <row r="407" spans="3:17">
      <c r="C407" vm="2726">
        <f ca="1"/>
        <v>43321</v>
      </c>
      <c r="D407">
        <f ca="1"/>
        <v>0</v>
      </c>
      <c r="E407" vm="2025">
        <f ca="1"/>
        <v>1.3624000000000001</v>
      </c>
      <c r="F407" vm="1966">
        <f ca="1"/>
        <v>1.3676999999999999</v>
      </c>
      <c r="G407" vm="2011">
        <f ca="1"/>
        <v>1.3611</v>
      </c>
      <c r="H407" vm="2727">
        <f ca="1"/>
        <v>1.3675999999999999</v>
      </c>
      <c r="K407">
        <f ca="1">IF(ROW(T_CALC[[#This Row],[DAY]])-ROW(T_CALC[[#Headers],[DAY]])&gt;C_N_TRADING_DAYS,"",ROW(T_CALC[[#This Row],[DAY]])-ROW(T_CALC[[#Headers],[DAY]]))</f>
        <v>404</v>
      </c>
      <c r="L407" cm="1" vm="2726">
        <f t="array" aca="1" ref="L407" ca="1">IFERROR(INDEX(_xlfn.ANCHORARRAY($C$3),T_CALC[[#This Row],[DAY]]+1,1),NA())</f>
        <v>43321</v>
      </c>
      <c r="M407" cm="1" vm="2025">
        <f t="array" aca="1" ref="M407" ca="1">IFERROR(INDEX(_xlfn.ANCHORARRAY($C$3),T_CALC[[#This Row],[DAY]]+1,3),NA())</f>
        <v>1.3624000000000001</v>
      </c>
      <c r="N407" cm="1" vm="1966">
        <f t="array" aca="1" ref="N407" ca="1">IFERROR(INDEX(_xlfn.ANCHORARRAY($C$3),T_CALC[[#This Row],[DAY]]+1,4),NA())</f>
        <v>1.3676999999999999</v>
      </c>
      <c r="O407" cm="1" vm="2011">
        <f t="array" aca="1" ref="O407" ca="1">IFERROR(INDEX(_xlfn.ANCHORARRAY($C$3),T_CALC[[#This Row],[DAY]]+1,5),NA())</f>
        <v>1.3611</v>
      </c>
      <c r="P407" cm="1" vm="2727">
        <f t="array" aca="1" ref="P407" ca="1">IFERROR(INDEX(_xlfn.ANCHORARRAY($C$3),T_CALC[[#This Row],[DAY]]+1,6),NA())</f>
        <v>1.3675999999999999</v>
      </c>
      <c r="Q407" cm="1">
        <f t="array" aca="1" ref="Q407" ca="1">IFERROR(INDEX(_xlfn.ANCHORARRAY($C$3),T_CALC[[#This Row],[DAY]]+1,2),NA())</f>
        <v>0</v>
      </c>
    </row>
    <row r="408" spans="3:17">
      <c r="C408" vm="2728">
        <f ca="1"/>
        <v>43322</v>
      </c>
      <c r="D408">
        <f ca="1"/>
        <v>0</v>
      </c>
      <c r="E408" vm="2727">
        <f ca="1"/>
        <v>1.3675999999999999</v>
      </c>
      <c r="F408" vm="2729">
        <f ca="1"/>
        <v>1.3736999999999999</v>
      </c>
      <c r="G408" vm="1972">
        <f ca="1"/>
        <v>1.3655999999999999</v>
      </c>
      <c r="H408" vm="1947">
        <f ca="1"/>
        <v>1.3733</v>
      </c>
      <c r="K408">
        <f ca="1">IF(ROW(T_CALC[[#This Row],[DAY]])-ROW(T_CALC[[#Headers],[DAY]])&gt;C_N_TRADING_DAYS,"",ROW(T_CALC[[#This Row],[DAY]])-ROW(T_CALC[[#Headers],[DAY]]))</f>
        <v>405</v>
      </c>
      <c r="L408" cm="1" vm="2728">
        <f t="array" aca="1" ref="L408" ca="1">IFERROR(INDEX(_xlfn.ANCHORARRAY($C$3),T_CALC[[#This Row],[DAY]]+1,1),NA())</f>
        <v>43322</v>
      </c>
      <c r="M408" cm="1" vm="2727">
        <f t="array" aca="1" ref="M408" ca="1">IFERROR(INDEX(_xlfn.ANCHORARRAY($C$3),T_CALC[[#This Row],[DAY]]+1,3),NA())</f>
        <v>1.3675999999999999</v>
      </c>
      <c r="N408" cm="1" vm="2729">
        <f t="array" aca="1" ref="N408" ca="1">IFERROR(INDEX(_xlfn.ANCHORARRAY($C$3),T_CALC[[#This Row],[DAY]]+1,4),NA())</f>
        <v>1.3736999999999999</v>
      </c>
      <c r="O408" cm="1" vm="1972">
        <f t="array" aca="1" ref="O408" ca="1">IFERROR(INDEX(_xlfn.ANCHORARRAY($C$3),T_CALC[[#This Row],[DAY]]+1,5),NA())</f>
        <v>1.3655999999999999</v>
      </c>
      <c r="P408" cm="1" vm="1947">
        <f t="array" aca="1" ref="P408" ca="1">IFERROR(INDEX(_xlfn.ANCHORARRAY($C$3),T_CALC[[#This Row],[DAY]]+1,6),NA())</f>
        <v>1.3733</v>
      </c>
      <c r="Q408" cm="1">
        <f t="array" aca="1" ref="Q408" ca="1">IFERROR(INDEX(_xlfn.ANCHORARRAY($C$3),T_CALC[[#This Row],[DAY]]+1,2),NA())</f>
        <v>0</v>
      </c>
    </row>
    <row r="409" spans="3:17">
      <c r="C409" vm="2730">
        <f ca="1"/>
        <v>43325</v>
      </c>
      <c r="D409">
        <f ca="1"/>
        <v>0</v>
      </c>
      <c r="E409" vm="2731">
        <f ca="1"/>
        <v>1.3728</v>
      </c>
      <c r="F409" vm="1944">
        <f ca="1"/>
        <v>1.3773</v>
      </c>
      <c r="G409" vm="2732">
        <f ca="1"/>
        <v>1.3716999999999999</v>
      </c>
      <c r="H409" vm="2733">
        <f ca="1"/>
        <v>1.3755999999999999</v>
      </c>
      <c r="K409">
        <f ca="1">IF(ROW(T_CALC[[#This Row],[DAY]])-ROW(T_CALC[[#Headers],[DAY]])&gt;C_N_TRADING_DAYS,"",ROW(T_CALC[[#This Row],[DAY]])-ROW(T_CALC[[#Headers],[DAY]]))</f>
        <v>406</v>
      </c>
      <c r="L409" cm="1" vm="2730">
        <f t="array" aca="1" ref="L409" ca="1">IFERROR(INDEX(_xlfn.ANCHORARRAY($C$3),T_CALC[[#This Row],[DAY]]+1,1),NA())</f>
        <v>43325</v>
      </c>
      <c r="M409" cm="1" vm="2731">
        <f t="array" aca="1" ref="M409" ca="1">IFERROR(INDEX(_xlfn.ANCHORARRAY($C$3),T_CALC[[#This Row],[DAY]]+1,3),NA())</f>
        <v>1.3728</v>
      </c>
      <c r="N409" cm="1" vm="1944">
        <f t="array" aca="1" ref="N409" ca="1">IFERROR(INDEX(_xlfn.ANCHORARRAY($C$3),T_CALC[[#This Row],[DAY]]+1,4),NA())</f>
        <v>1.3773</v>
      </c>
      <c r="O409" cm="1" vm="2732">
        <f t="array" aca="1" ref="O409" ca="1">IFERROR(INDEX(_xlfn.ANCHORARRAY($C$3),T_CALC[[#This Row],[DAY]]+1,5),NA())</f>
        <v>1.3716999999999999</v>
      </c>
      <c r="P409" cm="1" vm="2733">
        <f t="array" aca="1" ref="P409" ca="1">IFERROR(INDEX(_xlfn.ANCHORARRAY($C$3),T_CALC[[#This Row],[DAY]]+1,6),NA())</f>
        <v>1.3755999999999999</v>
      </c>
      <c r="Q409" cm="1">
        <f t="array" aca="1" ref="Q409" ca="1">IFERROR(INDEX(_xlfn.ANCHORARRAY($C$3),T_CALC[[#This Row],[DAY]]+1,2),NA())</f>
        <v>0</v>
      </c>
    </row>
    <row r="410" spans="3:17">
      <c r="C410" vm="2734">
        <f ca="1"/>
        <v>43326</v>
      </c>
      <c r="D410">
        <f ca="1"/>
        <v>0</v>
      </c>
      <c r="E410" vm="2735">
        <f ca="1"/>
        <v>1.3754</v>
      </c>
      <c r="F410" vm="2736">
        <f ca="1"/>
        <v>1.3789</v>
      </c>
      <c r="G410" vm="2737">
        <f ca="1"/>
        <v>1.3714</v>
      </c>
      <c r="H410" vm="2738">
        <f ca="1"/>
        <v>1.3776999999999999</v>
      </c>
      <c r="K410">
        <f ca="1">IF(ROW(T_CALC[[#This Row],[DAY]])-ROW(T_CALC[[#Headers],[DAY]])&gt;C_N_TRADING_DAYS,"",ROW(T_CALC[[#This Row],[DAY]])-ROW(T_CALC[[#Headers],[DAY]]))</f>
        <v>407</v>
      </c>
      <c r="L410" cm="1" vm="2734">
        <f t="array" aca="1" ref="L410" ca="1">IFERROR(INDEX(_xlfn.ANCHORARRAY($C$3),T_CALC[[#This Row],[DAY]]+1,1),NA())</f>
        <v>43326</v>
      </c>
      <c r="M410" cm="1" vm="2735">
        <f t="array" aca="1" ref="M410" ca="1">IFERROR(INDEX(_xlfn.ANCHORARRAY($C$3),T_CALC[[#This Row],[DAY]]+1,3),NA())</f>
        <v>1.3754</v>
      </c>
      <c r="N410" cm="1" vm="2736">
        <f t="array" aca="1" ref="N410" ca="1">IFERROR(INDEX(_xlfn.ANCHORARRAY($C$3),T_CALC[[#This Row],[DAY]]+1,4),NA())</f>
        <v>1.3789</v>
      </c>
      <c r="O410" cm="1" vm="2737">
        <f t="array" aca="1" ref="O410" ca="1">IFERROR(INDEX(_xlfn.ANCHORARRAY($C$3),T_CALC[[#This Row],[DAY]]+1,5),NA())</f>
        <v>1.3714</v>
      </c>
      <c r="P410" cm="1" vm="2738">
        <f t="array" aca="1" ref="P410" ca="1">IFERROR(INDEX(_xlfn.ANCHORARRAY($C$3),T_CALC[[#This Row],[DAY]]+1,6),NA())</f>
        <v>1.3776999999999999</v>
      </c>
      <c r="Q410" cm="1">
        <f t="array" aca="1" ref="Q410" ca="1">IFERROR(INDEX(_xlfn.ANCHORARRAY($C$3),T_CALC[[#This Row],[DAY]]+1,2),NA())</f>
        <v>0</v>
      </c>
    </row>
    <row r="411" spans="3:17">
      <c r="C411" vm="2739">
        <f ca="1"/>
        <v>43327</v>
      </c>
      <c r="D411">
        <f ca="1"/>
        <v>0</v>
      </c>
      <c r="E411" vm="2738">
        <f ca="1"/>
        <v>1.3776999999999999</v>
      </c>
      <c r="F411" vm="1917">
        <f ca="1"/>
        <v>1.3817999999999999</v>
      </c>
      <c r="G411" vm="1951">
        <f ca="1"/>
        <v>1.3768</v>
      </c>
      <c r="H411" vm="1870">
        <f ca="1"/>
        <v>1.3798999999999999</v>
      </c>
      <c r="K411">
        <f ca="1">IF(ROW(T_CALC[[#This Row],[DAY]])-ROW(T_CALC[[#Headers],[DAY]])&gt;C_N_TRADING_DAYS,"",ROW(T_CALC[[#This Row],[DAY]])-ROW(T_CALC[[#Headers],[DAY]]))</f>
        <v>408</v>
      </c>
      <c r="L411" cm="1" vm="2739">
        <f t="array" aca="1" ref="L411" ca="1">IFERROR(INDEX(_xlfn.ANCHORARRAY($C$3),T_CALC[[#This Row],[DAY]]+1,1),NA())</f>
        <v>43327</v>
      </c>
      <c r="M411" cm="1" vm="2738">
        <f t="array" aca="1" ref="M411" ca="1">IFERROR(INDEX(_xlfn.ANCHORARRAY($C$3),T_CALC[[#This Row],[DAY]]+1,3),NA())</f>
        <v>1.3776999999999999</v>
      </c>
      <c r="N411" cm="1" vm="1917">
        <f t="array" aca="1" ref="N411" ca="1">IFERROR(INDEX(_xlfn.ANCHORARRAY($C$3),T_CALC[[#This Row],[DAY]]+1,4),NA())</f>
        <v>1.3817999999999999</v>
      </c>
      <c r="O411" cm="1" vm="1951">
        <f t="array" aca="1" ref="O411" ca="1">IFERROR(INDEX(_xlfn.ANCHORARRAY($C$3),T_CALC[[#This Row],[DAY]]+1,5),NA())</f>
        <v>1.3768</v>
      </c>
      <c r="P411" cm="1" vm="1870">
        <f t="array" aca="1" ref="P411" ca="1">IFERROR(INDEX(_xlfn.ANCHORARRAY($C$3),T_CALC[[#This Row],[DAY]]+1,6),NA())</f>
        <v>1.3798999999999999</v>
      </c>
      <c r="Q411" cm="1">
        <f t="array" aca="1" ref="Q411" ca="1">IFERROR(INDEX(_xlfn.ANCHORARRAY($C$3),T_CALC[[#This Row],[DAY]]+1,2),NA())</f>
        <v>0</v>
      </c>
    </row>
    <row r="412" spans="3:17">
      <c r="C412" vm="2740">
        <f ca="1"/>
        <v>43328</v>
      </c>
      <c r="D412">
        <f ca="1"/>
        <v>0</v>
      </c>
      <c r="E412" vm="2741">
        <f ca="1"/>
        <v>1.38</v>
      </c>
      <c r="F412" vm="1933">
        <f ca="1"/>
        <v>1.3806</v>
      </c>
      <c r="G412" vm="2742">
        <f ca="1"/>
        <v>1.3729</v>
      </c>
      <c r="H412" vm="2743">
        <f ca="1"/>
        <v>1.3756999999999999</v>
      </c>
      <c r="K412">
        <f ca="1">IF(ROW(T_CALC[[#This Row],[DAY]])-ROW(T_CALC[[#Headers],[DAY]])&gt;C_N_TRADING_DAYS,"",ROW(T_CALC[[#This Row],[DAY]])-ROW(T_CALC[[#Headers],[DAY]]))</f>
        <v>409</v>
      </c>
      <c r="L412" cm="1" vm="2740">
        <f t="array" aca="1" ref="L412" ca="1">IFERROR(INDEX(_xlfn.ANCHORARRAY($C$3),T_CALC[[#This Row],[DAY]]+1,1),NA())</f>
        <v>43328</v>
      </c>
      <c r="M412" cm="1" vm="2741">
        <f t="array" aca="1" ref="M412" ca="1">IFERROR(INDEX(_xlfn.ANCHORARRAY($C$3),T_CALC[[#This Row],[DAY]]+1,3),NA())</f>
        <v>1.38</v>
      </c>
      <c r="N412" cm="1" vm="1933">
        <f t="array" aca="1" ref="N412" ca="1">IFERROR(INDEX(_xlfn.ANCHORARRAY($C$3),T_CALC[[#This Row],[DAY]]+1,4),NA())</f>
        <v>1.3806</v>
      </c>
      <c r="O412" cm="1" vm="2742">
        <f t="array" aca="1" ref="O412" ca="1">IFERROR(INDEX(_xlfn.ANCHORARRAY($C$3),T_CALC[[#This Row],[DAY]]+1,5),NA())</f>
        <v>1.3729</v>
      </c>
      <c r="P412" cm="1" vm="2743">
        <f t="array" aca="1" ref="P412" ca="1">IFERROR(INDEX(_xlfn.ANCHORARRAY($C$3),T_CALC[[#This Row],[DAY]]+1,6),NA())</f>
        <v>1.3756999999999999</v>
      </c>
      <c r="Q412" cm="1">
        <f t="array" aca="1" ref="Q412" ca="1">IFERROR(INDEX(_xlfn.ANCHORARRAY($C$3),T_CALC[[#This Row],[DAY]]+1,2),NA())</f>
        <v>0</v>
      </c>
    </row>
    <row r="413" spans="3:17">
      <c r="C413" vm="2744">
        <f ca="1"/>
        <v>43329</v>
      </c>
      <c r="D413">
        <f ca="1"/>
        <v>0</v>
      </c>
      <c r="E413" vm="1884">
        <f ca="1"/>
        <v>1.3751</v>
      </c>
      <c r="F413" vm="2745">
        <f ca="1"/>
        <v>1.3763000000000001</v>
      </c>
      <c r="G413" vm="2746">
        <f ca="1"/>
        <v>1.3703000000000001</v>
      </c>
      <c r="H413" vm="1955">
        <f ca="1"/>
        <v>1.3708</v>
      </c>
      <c r="K413">
        <f ca="1">IF(ROW(T_CALC[[#This Row],[DAY]])-ROW(T_CALC[[#Headers],[DAY]])&gt;C_N_TRADING_DAYS,"",ROW(T_CALC[[#This Row],[DAY]])-ROW(T_CALC[[#Headers],[DAY]]))</f>
        <v>410</v>
      </c>
      <c r="L413" cm="1" vm="2744">
        <f t="array" aca="1" ref="L413" ca="1">IFERROR(INDEX(_xlfn.ANCHORARRAY($C$3),T_CALC[[#This Row],[DAY]]+1,1),NA())</f>
        <v>43329</v>
      </c>
      <c r="M413" cm="1" vm="1884">
        <f t="array" aca="1" ref="M413" ca="1">IFERROR(INDEX(_xlfn.ANCHORARRAY($C$3),T_CALC[[#This Row],[DAY]]+1,3),NA())</f>
        <v>1.3751</v>
      </c>
      <c r="N413" cm="1" vm="2745">
        <f t="array" aca="1" ref="N413" ca="1">IFERROR(INDEX(_xlfn.ANCHORARRAY($C$3),T_CALC[[#This Row],[DAY]]+1,4),NA())</f>
        <v>1.3763000000000001</v>
      </c>
      <c r="O413" cm="1" vm="2746">
        <f t="array" aca="1" ref="O413" ca="1">IFERROR(INDEX(_xlfn.ANCHORARRAY($C$3),T_CALC[[#This Row],[DAY]]+1,5),NA())</f>
        <v>1.3703000000000001</v>
      </c>
      <c r="P413" cm="1" vm="1955">
        <f t="array" aca="1" ref="P413" ca="1">IFERROR(INDEX(_xlfn.ANCHORARRAY($C$3),T_CALC[[#This Row],[DAY]]+1,6),NA())</f>
        <v>1.3708</v>
      </c>
      <c r="Q413" cm="1">
        <f t="array" aca="1" ref="Q413" ca="1">IFERROR(INDEX(_xlfn.ANCHORARRAY($C$3),T_CALC[[#This Row],[DAY]]+1,2),NA())</f>
        <v>0</v>
      </c>
    </row>
    <row r="414" spans="3:17">
      <c r="C414" vm="2747">
        <f ca="1"/>
        <v>43332</v>
      </c>
      <c r="D414">
        <f ca="1"/>
        <v>0</v>
      </c>
      <c r="E414" vm="2737">
        <f ca="1"/>
        <v>1.3714</v>
      </c>
      <c r="F414" vm="2748">
        <f ca="1"/>
        <v>1.3727</v>
      </c>
      <c r="G414" vm="2676">
        <f ca="1"/>
        <v>1.3685</v>
      </c>
      <c r="H414" vm="2680">
        <f ca="1"/>
        <v>1.3687</v>
      </c>
      <c r="K414">
        <f ca="1">IF(ROW(T_CALC[[#This Row],[DAY]])-ROW(T_CALC[[#Headers],[DAY]])&gt;C_N_TRADING_DAYS,"",ROW(T_CALC[[#This Row],[DAY]])-ROW(T_CALC[[#Headers],[DAY]]))</f>
        <v>411</v>
      </c>
      <c r="L414" cm="1" vm="2747">
        <f t="array" aca="1" ref="L414" ca="1">IFERROR(INDEX(_xlfn.ANCHORARRAY($C$3),T_CALC[[#This Row],[DAY]]+1,1),NA())</f>
        <v>43332</v>
      </c>
      <c r="M414" cm="1" vm="2737">
        <f t="array" aca="1" ref="M414" ca="1">IFERROR(INDEX(_xlfn.ANCHORARRAY($C$3),T_CALC[[#This Row],[DAY]]+1,3),NA())</f>
        <v>1.3714</v>
      </c>
      <c r="N414" cm="1" vm="2748">
        <f t="array" aca="1" ref="N414" ca="1">IFERROR(INDEX(_xlfn.ANCHORARRAY($C$3),T_CALC[[#This Row],[DAY]]+1,4),NA())</f>
        <v>1.3727</v>
      </c>
      <c r="O414" cm="1" vm="2676">
        <f t="array" aca="1" ref="O414" ca="1">IFERROR(INDEX(_xlfn.ANCHORARRAY($C$3),T_CALC[[#This Row],[DAY]]+1,5),NA())</f>
        <v>1.3685</v>
      </c>
      <c r="P414" cm="1" vm="2680">
        <f t="array" aca="1" ref="P414" ca="1">IFERROR(INDEX(_xlfn.ANCHORARRAY($C$3),T_CALC[[#This Row],[DAY]]+1,6),NA())</f>
        <v>1.3687</v>
      </c>
      <c r="Q414" cm="1">
        <f t="array" aca="1" ref="Q414" ca="1">IFERROR(INDEX(_xlfn.ANCHORARRAY($C$3),T_CALC[[#This Row],[DAY]]+1,2),NA())</f>
        <v>0</v>
      </c>
    </row>
    <row r="415" spans="3:17">
      <c r="C415" vm="2749">
        <f ca="1"/>
        <v>43333</v>
      </c>
      <c r="D415">
        <f ca="1"/>
        <v>0</v>
      </c>
      <c r="E415" vm="2723">
        <f ca="1"/>
        <v>1.3691</v>
      </c>
      <c r="F415" vm="2750">
        <f ca="1"/>
        <v>1.3693</v>
      </c>
      <c r="G415" vm="2193">
        <f ca="1"/>
        <v>1.3638999999999999</v>
      </c>
      <c r="H415" vm="1972">
        <f ca="1"/>
        <v>1.3655999999999999</v>
      </c>
      <c r="K415">
        <f ca="1">IF(ROW(T_CALC[[#This Row],[DAY]])-ROW(T_CALC[[#Headers],[DAY]])&gt;C_N_TRADING_DAYS,"",ROW(T_CALC[[#This Row],[DAY]])-ROW(T_CALC[[#Headers],[DAY]]))</f>
        <v>412</v>
      </c>
      <c r="L415" cm="1" vm="2749">
        <f t="array" aca="1" ref="L415" ca="1">IFERROR(INDEX(_xlfn.ANCHORARRAY($C$3),T_CALC[[#This Row],[DAY]]+1,1),NA())</f>
        <v>43333</v>
      </c>
      <c r="M415" cm="1" vm="2723">
        <f t="array" aca="1" ref="M415" ca="1">IFERROR(INDEX(_xlfn.ANCHORARRAY($C$3),T_CALC[[#This Row],[DAY]]+1,3),NA())</f>
        <v>1.3691</v>
      </c>
      <c r="N415" cm="1" vm="2750">
        <f t="array" aca="1" ref="N415" ca="1">IFERROR(INDEX(_xlfn.ANCHORARRAY($C$3),T_CALC[[#This Row],[DAY]]+1,4),NA())</f>
        <v>1.3693</v>
      </c>
      <c r="O415" cm="1" vm="2193">
        <f t="array" aca="1" ref="O415" ca="1">IFERROR(INDEX(_xlfn.ANCHORARRAY($C$3),T_CALC[[#This Row],[DAY]]+1,5),NA())</f>
        <v>1.3638999999999999</v>
      </c>
      <c r="P415" cm="1" vm="1972">
        <f t="array" aca="1" ref="P415" ca="1">IFERROR(INDEX(_xlfn.ANCHORARRAY($C$3),T_CALC[[#This Row],[DAY]]+1,6),NA())</f>
        <v>1.3655999999999999</v>
      </c>
      <c r="Q415" cm="1">
        <f t="array" aca="1" ref="Q415" ca="1">IFERROR(INDEX(_xlfn.ANCHORARRAY($C$3),T_CALC[[#This Row],[DAY]]+1,2),NA())</f>
        <v>0</v>
      </c>
    </row>
    <row r="416" spans="3:17">
      <c r="C416" vm="2751">
        <f ca="1"/>
        <v>43334</v>
      </c>
      <c r="D416">
        <f ca="1"/>
        <v>0</v>
      </c>
      <c r="E416" vm="2725">
        <f ca="1"/>
        <v>1.3657999999999999</v>
      </c>
      <c r="F416" vm="2727">
        <f ca="1"/>
        <v>1.3675999999999999</v>
      </c>
      <c r="G416" vm="2685">
        <f ca="1"/>
        <v>1.3645</v>
      </c>
      <c r="H416" vm="2720">
        <f ca="1"/>
        <v>1.3664000000000001</v>
      </c>
      <c r="K416">
        <f ca="1">IF(ROW(T_CALC[[#This Row],[DAY]])-ROW(T_CALC[[#Headers],[DAY]])&gt;C_N_TRADING_DAYS,"",ROW(T_CALC[[#This Row],[DAY]])-ROW(T_CALC[[#Headers],[DAY]]))</f>
        <v>413</v>
      </c>
      <c r="L416" cm="1" vm="2751">
        <f t="array" aca="1" ref="L416" ca="1">IFERROR(INDEX(_xlfn.ANCHORARRAY($C$3),T_CALC[[#This Row],[DAY]]+1,1),NA())</f>
        <v>43334</v>
      </c>
      <c r="M416" cm="1" vm="2725">
        <f t="array" aca="1" ref="M416" ca="1">IFERROR(INDEX(_xlfn.ANCHORARRAY($C$3),T_CALC[[#This Row],[DAY]]+1,3),NA())</f>
        <v>1.3657999999999999</v>
      </c>
      <c r="N416" cm="1" vm="2727">
        <f t="array" aca="1" ref="N416" ca="1">IFERROR(INDEX(_xlfn.ANCHORARRAY($C$3),T_CALC[[#This Row],[DAY]]+1,4),NA())</f>
        <v>1.3675999999999999</v>
      </c>
      <c r="O416" cm="1" vm="2685">
        <f t="array" aca="1" ref="O416" ca="1">IFERROR(INDEX(_xlfn.ANCHORARRAY($C$3),T_CALC[[#This Row],[DAY]]+1,5),NA())</f>
        <v>1.3645</v>
      </c>
      <c r="P416" cm="1" vm="2720">
        <f t="array" aca="1" ref="P416" ca="1">IFERROR(INDEX(_xlfn.ANCHORARRAY($C$3),T_CALC[[#This Row],[DAY]]+1,6),NA())</f>
        <v>1.3664000000000001</v>
      </c>
      <c r="Q416" cm="1">
        <f t="array" aca="1" ref="Q416" ca="1">IFERROR(INDEX(_xlfn.ANCHORARRAY($C$3),T_CALC[[#This Row],[DAY]]+1,2),NA())</f>
        <v>0</v>
      </c>
    </row>
    <row r="417" spans="3:17">
      <c r="C417" vm="2752">
        <f ca="1"/>
        <v>43335</v>
      </c>
      <c r="D417">
        <f ca="1"/>
        <v>0</v>
      </c>
      <c r="E417" vm="1962">
        <f ca="1"/>
        <v>1.3662000000000001</v>
      </c>
      <c r="F417" vm="2684">
        <f ca="1"/>
        <v>1.3745000000000001</v>
      </c>
      <c r="G417" vm="2166">
        <f ca="1"/>
        <v>1.3654999999999999</v>
      </c>
      <c r="H417" vm="2753">
        <f ca="1"/>
        <v>1.3738999999999999</v>
      </c>
      <c r="K417">
        <f ca="1">IF(ROW(T_CALC[[#This Row],[DAY]])-ROW(T_CALC[[#Headers],[DAY]])&gt;C_N_TRADING_DAYS,"",ROW(T_CALC[[#This Row],[DAY]])-ROW(T_CALC[[#Headers],[DAY]]))</f>
        <v>414</v>
      </c>
      <c r="L417" cm="1" vm="2752">
        <f t="array" aca="1" ref="L417" ca="1">IFERROR(INDEX(_xlfn.ANCHORARRAY($C$3),T_CALC[[#This Row],[DAY]]+1,1),NA())</f>
        <v>43335</v>
      </c>
      <c r="M417" cm="1" vm="1962">
        <f t="array" aca="1" ref="M417" ca="1">IFERROR(INDEX(_xlfn.ANCHORARRAY($C$3),T_CALC[[#This Row],[DAY]]+1,3),NA())</f>
        <v>1.3662000000000001</v>
      </c>
      <c r="N417" cm="1" vm="2684">
        <f t="array" aca="1" ref="N417" ca="1">IFERROR(INDEX(_xlfn.ANCHORARRAY($C$3),T_CALC[[#This Row],[DAY]]+1,4),NA())</f>
        <v>1.3745000000000001</v>
      </c>
      <c r="O417" cm="1" vm="2166">
        <f t="array" aca="1" ref="O417" ca="1">IFERROR(INDEX(_xlfn.ANCHORARRAY($C$3),T_CALC[[#This Row],[DAY]]+1,5),NA())</f>
        <v>1.3654999999999999</v>
      </c>
      <c r="P417" cm="1" vm="2753">
        <f t="array" aca="1" ref="P417" ca="1">IFERROR(INDEX(_xlfn.ANCHORARRAY($C$3),T_CALC[[#This Row],[DAY]]+1,6),NA())</f>
        <v>1.3738999999999999</v>
      </c>
      <c r="Q417" cm="1">
        <f t="array" aca="1" ref="Q417" ca="1">IFERROR(INDEX(_xlfn.ANCHORARRAY($C$3),T_CALC[[#This Row],[DAY]]+1,2),NA())</f>
        <v>0</v>
      </c>
    </row>
    <row r="418" spans="3:17">
      <c r="C418" vm="2754">
        <f ca="1"/>
        <v>43336</v>
      </c>
      <c r="D418">
        <f ca="1"/>
        <v>0</v>
      </c>
      <c r="E418" vm="2753">
        <f ca="1"/>
        <v>1.3738999999999999</v>
      </c>
      <c r="F418" vm="2755">
        <f ca="1"/>
        <v>1.3743000000000001</v>
      </c>
      <c r="G418" vm="1987">
        <f ca="1"/>
        <v>1.3642000000000001</v>
      </c>
      <c r="H418" vm="1961">
        <f ca="1"/>
        <v>1.3648</v>
      </c>
      <c r="K418">
        <f ca="1">IF(ROW(T_CALC[[#This Row],[DAY]])-ROW(T_CALC[[#Headers],[DAY]])&gt;C_N_TRADING_DAYS,"",ROW(T_CALC[[#This Row],[DAY]])-ROW(T_CALC[[#Headers],[DAY]]))</f>
        <v>415</v>
      </c>
      <c r="L418" cm="1" vm="2754">
        <f t="array" aca="1" ref="L418" ca="1">IFERROR(INDEX(_xlfn.ANCHORARRAY($C$3),T_CALC[[#This Row],[DAY]]+1,1),NA())</f>
        <v>43336</v>
      </c>
      <c r="M418" cm="1" vm="2753">
        <f t="array" aca="1" ref="M418" ca="1">IFERROR(INDEX(_xlfn.ANCHORARRAY($C$3),T_CALC[[#This Row],[DAY]]+1,3),NA())</f>
        <v>1.3738999999999999</v>
      </c>
      <c r="N418" cm="1" vm="2755">
        <f t="array" aca="1" ref="N418" ca="1">IFERROR(INDEX(_xlfn.ANCHORARRAY($C$3),T_CALC[[#This Row],[DAY]]+1,4),NA())</f>
        <v>1.3743000000000001</v>
      </c>
      <c r="O418" cm="1" vm="1987">
        <f t="array" aca="1" ref="O418" ca="1">IFERROR(INDEX(_xlfn.ANCHORARRAY($C$3),T_CALC[[#This Row],[DAY]]+1,5),NA())</f>
        <v>1.3642000000000001</v>
      </c>
      <c r="P418" cm="1" vm="1961">
        <f t="array" aca="1" ref="P418" ca="1">IFERROR(INDEX(_xlfn.ANCHORARRAY($C$3),T_CALC[[#This Row],[DAY]]+1,6),NA())</f>
        <v>1.3648</v>
      </c>
      <c r="Q418" cm="1">
        <f t="array" aca="1" ref="Q418" ca="1">IFERROR(INDEX(_xlfn.ANCHORARRAY($C$3),T_CALC[[#This Row],[DAY]]+1,2),NA())</f>
        <v>0</v>
      </c>
    </row>
    <row r="419" spans="3:17">
      <c r="C419" vm="2756">
        <f ca="1"/>
        <v>43339</v>
      </c>
      <c r="D419">
        <f ca="1"/>
        <v>0</v>
      </c>
      <c r="E419" vm="2035">
        <f ca="1"/>
        <v>1.3644000000000001</v>
      </c>
      <c r="F419" vm="2757">
        <f ca="1"/>
        <v>1.367</v>
      </c>
      <c r="G419" vm="1996">
        <f ca="1"/>
        <v>1.3613999999999999</v>
      </c>
      <c r="H419" vm="1975">
        <f ca="1"/>
        <v>1.3621000000000001</v>
      </c>
      <c r="K419">
        <f ca="1">IF(ROW(T_CALC[[#This Row],[DAY]])-ROW(T_CALC[[#Headers],[DAY]])&gt;C_N_TRADING_DAYS,"",ROW(T_CALC[[#This Row],[DAY]])-ROW(T_CALC[[#Headers],[DAY]]))</f>
        <v>416</v>
      </c>
      <c r="L419" cm="1" vm="2756">
        <f t="array" aca="1" ref="L419" ca="1">IFERROR(INDEX(_xlfn.ANCHORARRAY($C$3),T_CALC[[#This Row],[DAY]]+1,1),NA())</f>
        <v>43339</v>
      </c>
      <c r="M419" cm="1" vm="2035">
        <f t="array" aca="1" ref="M419" ca="1">IFERROR(INDEX(_xlfn.ANCHORARRAY($C$3),T_CALC[[#This Row],[DAY]]+1,3),NA())</f>
        <v>1.3644000000000001</v>
      </c>
      <c r="N419" cm="1" vm="2757">
        <f t="array" aca="1" ref="N419" ca="1">IFERROR(INDEX(_xlfn.ANCHORARRAY($C$3),T_CALC[[#This Row],[DAY]]+1,4),NA())</f>
        <v>1.367</v>
      </c>
      <c r="O419" cm="1" vm="1996">
        <f t="array" aca="1" ref="O419" ca="1">IFERROR(INDEX(_xlfn.ANCHORARRAY($C$3),T_CALC[[#This Row],[DAY]]+1,5),NA())</f>
        <v>1.3613999999999999</v>
      </c>
      <c r="P419" cm="1" vm="1975">
        <f t="array" aca="1" ref="P419" ca="1">IFERROR(INDEX(_xlfn.ANCHORARRAY($C$3),T_CALC[[#This Row],[DAY]]+1,6),NA())</f>
        <v>1.3621000000000001</v>
      </c>
      <c r="Q419" cm="1">
        <f t="array" aca="1" ref="Q419" ca="1">IFERROR(INDEX(_xlfn.ANCHORARRAY($C$3),T_CALC[[#This Row],[DAY]]+1,2),NA())</f>
        <v>0</v>
      </c>
    </row>
    <row r="420" spans="3:17">
      <c r="C420" vm="2758">
        <f ca="1"/>
        <v>43340</v>
      </c>
      <c r="D420">
        <f ca="1"/>
        <v>0</v>
      </c>
      <c r="E420" vm="2054">
        <f ca="1"/>
        <v>1.3622000000000001</v>
      </c>
      <c r="F420" vm="2150">
        <f ca="1"/>
        <v>1.3646</v>
      </c>
      <c r="G420" vm="2194">
        <f ca="1"/>
        <v>1.3602000000000001</v>
      </c>
      <c r="H420" vm="2169">
        <f ca="1"/>
        <v>1.3635999999999999</v>
      </c>
      <c r="K420">
        <f ca="1">IF(ROW(T_CALC[[#This Row],[DAY]])-ROW(T_CALC[[#Headers],[DAY]])&gt;C_N_TRADING_DAYS,"",ROW(T_CALC[[#This Row],[DAY]])-ROW(T_CALC[[#Headers],[DAY]]))</f>
        <v>417</v>
      </c>
      <c r="L420" cm="1" vm="2758">
        <f t="array" aca="1" ref="L420" ca="1">IFERROR(INDEX(_xlfn.ANCHORARRAY($C$3),T_CALC[[#This Row],[DAY]]+1,1),NA())</f>
        <v>43340</v>
      </c>
      <c r="M420" cm="1" vm="2054">
        <f t="array" aca="1" ref="M420" ca="1">IFERROR(INDEX(_xlfn.ANCHORARRAY($C$3),T_CALC[[#This Row],[DAY]]+1,3),NA())</f>
        <v>1.3622000000000001</v>
      </c>
      <c r="N420" cm="1" vm="2150">
        <f t="array" aca="1" ref="N420" ca="1">IFERROR(INDEX(_xlfn.ANCHORARRAY($C$3),T_CALC[[#This Row],[DAY]]+1,4),NA())</f>
        <v>1.3646</v>
      </c>
      <c r="O420" cm="1" vm="2194">
        <f t="array" aca="1" ref="O420" ca="1">IFERROR(INDEX(_xlfn.ANCHORARRAY($C$3),T_CALC[[#This Row],[DAY]]+1,5),NA())</f>
        <v>1.3602000000000001</v>
      </c>
      <c r="P420" cm="1" vm="2169">
        <f t="array" aca="1" ref="P420" ca="1">IFERROR(INDEX(_xlfn.ANCHORARRAY($C$3),T_CALC[[#This Row],[DAY]]+1,6),NA())</f>
        <v>1.3635999999999999</v>
      </c>
      <c r="Q420" cm="1">
        <f t="array" aca="1" ref="Q420" ca="1">IFERROR(INDEX(_xlfn.ANCHORARRAY($C$3),T_CALC[[#This Row],[DAY]]+1,2),NA())</f>
        <v>0</v>
      </c>
    </row>
    <row r="421" spans="3:17">
      <c r="C421" vm="2759">
        <f ca="1"/>
        <v>43341</v>
      </c>
      <c r="D421">
        <f ca="1"/>
        <v>0</v>
      </c>
      <c r="E421" vm="2026">
        <f ca="1"/>
        <v>1.3641000000000001</v>
      </c>
      <c r="F421" vm="2760">
        <f ca="1"/>
        <v>1.3678999999999999</v>
      </c>
      <c r="G421" vm="2204">
        <f ca="1"/>
        <v>1.3625</v>
      </c>
      <c r="H421" vm="1970">
        <f ca="1"/>
        <v>1.3643000000000001</v>
      </c>
      <c r="K421">
        <f ca="1">IF(ROW(T_CALC[[#This Row],[DAY]])-ROW(T_CALC[[#Headers],[DAY]])&gt;C_N_TRADING_DAYS,"",ROW(T_CALC[[#This Row],[DAY]])-ROW(T_CALC[[#Headers],[DAY]]))</f>
        <v>418</v>
      </c>
      <c r="L421" cm="1" vm="2759">
        <f t="array" aca="1" ref="L421" ca="1">IFERROR(INDEX(_xlfn.ANCHORARRAY($C$3),T_CALC[[#This Row],[DAY]]+1,1),NA())</f>
        <v>43341</v>
      </c>
      <c r="M421" cm="1" vm="2026">
        <f t="array" aca="1" ref="M421" ca="1">IFERROR(INDEX(_xlfn.ANCHORARRAY($C$3),T_CALC[[#This Row],[DAY]]+1,3),NA())</f>
        <v>1.3641000000000001</v>
      </c>
      <c r="N421" cm="1" vm="2760">
        <f t="array" aca="1" ref="N421" ca="1">IFERROR(INDEX(_xlfn.ANCHORARRAY($C$3),T_CALC[[#This Row],[DAY]]+1,4),NA())</f>
        <v>1.3678999999999999</v>
      </c>
      <c r="O421" cm="1" vm="2204">
        <f t="array" aca="1" ref="O421" ca="1">IFERROR(INDEX(_xlfn.ANCHORARRAY($C$3),T_CALC[[#This Row],[DAY]]+1,5),NA())</f>
        <v>1.3625</v>
      </c>
      <c r="P421" cm="1" vm="1970">
        <f t="array" aca="1" ref="P421" ca="1">IFERROR(INDEX(_xlfn.ANCHORARRAY($C$3),T_CALC[[#This Row],[DAY]]+1,6),NA())</f>
        <v>1.3643000000000001</v>
      </c>
      <c r="Q421" cm="1">
        <f t="array" aca="1" ref="Q421" ca="1">IFERROR(INDEX(_xlfn.ANCHORARRAY($C$3),T_CALC[[#This Row],[DAY]]+1,2),NA())</f>
        <v>0</v>
      </c>
    </row>
    <row r="422" spans="3:17">
      <c r="C422" vm="2761">
        <f ca="1"/>
        <v>43342</v>
      </c>
      <c r="D422">
        <f ca="1"/>
        <v>0</v>
      </c>
      <c r="E422" vm="1987">
        <f ca="1"/>
        <v>1.3642000000000001</v>
      </c>
      <c r="F422" vm="2762">
        <f ca="1"/>
        <v>1.3686</v>
      </c>
      <c r="G422" vm="2707">
        <f ca="1"/>
        <v>1.3636999999999999</v>
      </c>
      <c r="H422" vm="2763">
        <f ca="1"/>
        <v>1.3673999999999999</v>
      </c>
      <c r="K422">
        <f ca="1">IF(ROW(T_CALC[[#This Row],[DAY]])-ROW(T_CALC[[#Headers],[DAY]])&gt;C_N_TRADING_DAYS,"",ROW(T_CALC[[#This Row],[DAY]])-ROW(T_CALC[[#Headers],[DAY]]))</f>
        <v>419</v>
      </c>
      <c r="L422" cm="1" vm="2761">
        <f t="array" aca="1" ref="L422" ca="1">IFERROR(INDEX(_xlfn.ANCHORARRAY($C$3),T_CALC[[#This Row],[DAY]]+1,1),NA())</f>
        <v>43342</v>
      </c>
      <c r="M422" cm="1" vm="1987">
        <f t="array" aca="1" ref="M422" ca="1">IFERROR(INDEX(_xlfn.ANCHORARRAY($C$3),T_CALC[[#This Row],[DAY]]+1,3),NA())</f>
        <v>1.3642000000000001</v>
      </c>
      <c r="N422" cm="1" vm="2762">
        <f t="array" aca="1" ref="N422" ca="1">IFERROR(INDEX(_xlfn.ANCHORARRAY($C$3),T_CALC[[#This Row],[DAY]]+1,4),NA())</f>
        <v>1.3686</v>
      </c>
      <c r="O422" cm="1" vm="2707">
        <f t="array" aca="1" ref="O422" ca="1">IFERROR(INDEX(_xlfn.ANCHORARRAY($C$3),T_CALC[[#This Row],[DAY]]+1,5),NA())</f>
        <v>1.3636999999999999</v>
      </c>
      <c r="P422" cm="1" vm="2763">
        <f t="array" aca="1" ref="P422" ca="1">IFERROR(INDEX(_xlfn.ANCHORARRAY($C$3),T_CALC[[#This Row],[DAY]]+1,6),NA())</f>
        <v>1.3673999999999999</v>
      </c>
      <c r="Q422" cm="1">
        <f t="array" aca="1" ref="Q422" ca="1">IFERROR(INDEX(_xlfn.ANCHORARRAY($C$3),T_CALC[[#This Row],[DAY]]+1,2),NA())</f>
        <v>0</v>
      </c>
    </row>
    <row r="423" spans="3:17">
      <c r="C423" vm="2764">
        <f ca="1"/>
        <v>43343</v>
      </c>
      <c r="D423">
        <f ca="1"/>
        <v>0</v>
      </c>
      <c r="E423" vm="2047">
        <f ca="1"/>
        <v>1.3673</v>
      </c>
      <c r="F423" vm="2742">
        <f ca="1"/>
        <v>1.3729</v>
      </c>
      <c r="G423" vm="2210">
        <f ca="1"/>
        <v>1.3658999999999999</v>
      </c>
      <c r="H423" vm="2765">
        <f ca="1"/>
        <v>1.3718999999999999</v>
      </c>
      <c r="K423">
        <f ca="1">IF(ROW(T_CALC[[#This Row],[DAY]])-ROW(T_CALC[[#Headers],[DAY]])&gt;C_N_TRADING_DAYS,"",ROW(T_CALC[[#This Row],[DAY]])-ROW(T_CALC[[#Headers],[DAY]]))</f>
        <v>420</v>
      </c>
      <c r="L423" cm="1" vm="2764">
        <f t="array" aca="1" ref="L423" ca="1">IFERROR(INDEX(_xlfn.ANCHORARRAY($C$3),T_CALC[[#This Row],[DAY]]+1,1),NA())</f>
        <v>43343</v>
      </c>
      <c r="M423" cm="1" vm="2047">
        <f t="array" aca="1" ref="M423" ca="1">IFERROR(INDEX(_xlfn.ANCHORARRAY($C$3),T_CALC[[#This Row],[DAY]]+1,3),NA())</f>
        <v>1.3673</v>
      </c>
      <c r="N423" cm="1" vm="2742">
        <f t="array" aca="1" ref="N423" ca="1">IFERROR(INDEX(_xlfn.ANCHORARRAY($C$3),T_CALC[[#This Row],[DAY]]+1,4),NA())</f>
        <v>1.3729</v>
      </c>
      <c r="O423" cm="1" vm="2210">
        <f t="array" aca="1" ref="O423" ca="1">IFERROR(INDEX(_xlfn.ANCHORARRAY($C$3),T_CALC[[#This Row],[DAY]]+1,5),NA())</f>
        <v>1.3658999999999999</v>
      </c>
      <c r="P423" cm="1" vm="2765">
        <f t="array" aca="1" ref="P423" ca="1">IFERROR(INDEX(_xlfn.ANCHORARRAY($C$3),T_CALC[[#This Row],[DAY]]+1,6),NA())</f>
        <v>1.3718999999999999</v>
      </c>
      <c r="Q423" cm="1">
        <f t="array" aca="1" ref="Q423" ca="1">IFERROR(INDEX(_xlfn.ANCHORARRAY($C$3),T_CALC[[#This Row],[DAY]]+1,2),NA())</f>
        <v>0</v>
      </c>
    </row>
    <row r="424" spans="3:17">
      <c r="C424" vm="2766">
        <f ca="1"/>
        <v>43346</v>
      </c>
      <c r="D424">
        <f ca="1"/>
        <v>0</v>
      </c>
      <c r="E424" vm="2732">
        <f ca="1"/>
        <v>1.3716999999999999</v>
      </c>
      <c r="F424" vm="2767">
        <f ca="1"/>
        <v>1.3732</v>
      </c>
      <c r="G424" vm="1952">
        <f ca="1"/>
        <v>1.3688</v>
      </c>
      <c r="H424" vm="2737">
        <f ca="1"/>
        <v>1.3714</v>
      </c>
      <c r="K424">
        <f ca="1">IF(ROW(T_CALC[[#This Row],[DAY]])-ROW(T_CALC[[#Headers],[DAY]])&gt;C_N_TRADING_DAYS,"",ROW(T_CALC[[#This Row],[DAY]])-ROW(T_CALC[[#Headers],[DAY]]))</f>
        <v>421</v>
      </c>
      <c r="L424" cm="1" vm="2766">
        <f t="array" aca="1" ref="L424" ca="1">IFERROR(INDEX(_xlfn.ANCHORARRAY($C$3),T_CALC[[#This Row],[DAY]]+1,1),NA())</f>
        <v>43346</v>
      </c>
      <c r="M424" cm="1" vm="2732">
        <f t="array" aca="1" ref="M424" ca="1">IFERROR(INDEX(_xlfn.ANCHORARRAY($C$3),T_CALC[[#This Row],[DAY]]+1,3),NA())</f>
        <v>1.3716999999999999</v>
      </c>
      <c r="N424" cm="1" vm="2767">
        <f t="array" aca="1" ref="N424" ca="1">IFERROR(INDEX(_xlfn.ANCHORARRAY($C$3),T_CALC[[#This Row],[DAY]]+1,4),NA())</f>
        <v>1.3732</v>
      </c>
      <c r="O424" cm="1" vm="1952">
        <f t="array" aca="1" ref="O424" ca="1">IFERROR(INDEX(_xlfn.ANCHORARRAY($C$3),T_CALC[[#This Row],[DAY]]+1,5),NA())</f>
        <v>1.3688</v>
      </c>
      <c r="P424" cm="1" vm="2737">
        <f t="array" aca="1" ref="P424" ca="1">IFERROR(INDEX(_xlfn.ANCHORARRAY($C$3),T_CALC[[#This Row],[DAY]]+1,6),NA())</f>
        <v>1.3714</v>
      </c>
      <c r="Q424" cm="1">
        <f t="array" aca="1" ref="Q424" ca="1">IFERROR(INDEX(_xlfn.ANCHORARRAY($C$3),T_CALC[[#This Row],[DAY]]+1,2),NA())</f>
        <v>0</v>
      </c>
    </row>
    <row r="425" spans="3:17">
      <c r="C425" vm="2768">
        <f ca="1"/>
        <v>43347</v>
      </c>
      <c r="D425">
        <f ca="1"/>
        <v>0</v>
      </c>
      <c r="E425" vm="2737">
        <f ca="1"/>
        <v>1.3714</v>
      </c>
      <c r="F425" vm="1857">
        <f ca="1"/>
        <v>1.3781000000000001</v>
      </c>
      <c r="G425" vm="1955">
        <f ca="1"/>
        <v>1.3708</v>
      </c>
      <c r="H425" vm="2769">
        <f ca="1"/>
        <v>1.3758999999999999</v>
      </c>
      <c r="K425">
        <f ca="1">IF(ROW(T_CALC[[#This Row],[DAY]])-ROW(T_CALC[[#Headers],[DAY]])&gt;C_N_TRADING_DAYS,"",ROW(T_CALC[[#This Row],[DAY]])-ROW(T_CALC[[#Headers],[DAY]]))</f>
        <v>422</v>
      </c>
      <c r="L425" cm="1" vm="2768">
        <f t="array" aca="1" ref="L425" ca="1">IFERROR(INDEX(_xlfn.ANCHORARRAY($C$3),T_CALC[[#This Row],[DAY]]+1,1),NA())</f>
        <v>43347</v>
      </c>
      <c r="M425" cm="1" vm="2737">
        <f t="array" aca="1" ref="M425" ca="1">IFERROR(INDEX(_xlfn.ANCHORARRAY($C$3),T_CALC[[#This Row],[DAY]]+1,3),NA())</f>
        <v>1.3714</v>
      </c>
      <c r="N425" cm="1" vm="1857">
        <f t="array" aca="1" ref="N425" ca="1">IFERROR(INDEX(_xlfn.ANCHORARRAY($C$3),T_CALC[[#This Row],[DAY]]+1,4),NA())</f>
        <v>1.3781000000000001</v>
      </c>
      <c r="O425" cm="1" vm="1955">
        <f t="array" aca="1" ref="O425" ca="1">IFERROR(INDEX(_xlfn.ANCHORARRAY($C$3),T_CALC[[#This Row],[DAY]]+1,5),NA())</f>
        <v>1.3708</v>
      </c>
      <c r="P425" cm="1" vm="2769">
        <f t="array" aca="1" ref="P425" ca="1">IFERROR(INDEX(_xlfn.ANCHORARRAY($C$3),T_CALC[[#This Row],[DAY]]+1,6),NA())</f>
        <v>1.3758999999999999</v>
      </c>
      <c r="Q425" cm="1">
        <f t="array" aca="1" ref="Q425" ca="1">IFERROR(INDEX(_xlfn.ANCHORARRAY($C$3),T_CALC[[#This Row],[DAY]]+1,2),NA())</f>
        <v>0</v>
      </c>
    </row>
    <row r="426" spans="3:17">
      <c r="C426" vm="2770">
        <f ca="1"/>
        <v>43348</v>
      </c>
      <c r="D426">
        <f ca="1"/>
        <v>0</v>
      </c>
      <c r="E426" vm="2733">
        <f ca="1"/>
        <v>1.3755999999999999</v>
      </c>
      <c r="F426" vm="1838">
        <f ca="1"/>
        <v>1.3813</v>
      </c>
      <c r="G426" vm="2771">
        <f ca="1"/>
        <v>1.3742000000000001</v>
      </c>
      <c r="H426" vm="2735">
        <f ca="1"/>
        <v>1.3754</v>
      </c>
      <c r="K426">
        <f ca="1">IF(ROW(T_CALC[[#This Row],[DAY]])-ROW(T_CALC[[#Headers],[DAY]])&gt;C_N_TRADING_DAYS,"",ROW(T_CALC[[#This Row],[DAY]])-ROW(T_CALC[[#Headers],[DAY]]))</f>
        <v>423</v>
      </c>
      <c r="L426" cm="1" vm="2770">
        <f t="array" aca="1" ref="L426" ca="1">IFERROR(INDEX(_xlfn.ANCHORARRAY($C$3),T_CALC[[#This Row],[DAY]]+1,1),NA())</f>
        <v>43348</v>
      </c>
      <c r="M426" cm="1" vm="2733">
        <f t="array" aca="1" ref="M426" ca="1">IFERROR(INDEX(_xlfn.ANCHORARRAY($C$3),T_CALC[[#This Row],[DAY]]+1,3),NA())</f>
        <v>1.3755999999999999</v>
      </c>
      <c r="N426" cm="1" vm="1838">
        <f t="array" aca="1" ref="N426" ca="1">IFERROR(INDEX(_xlfn.ANCHORARRAY($C$3),T_CALC[[#This Row],[DAY]]+1,4),NA())</f>
        <v>1.3813</v>
      </c>
      <c r="O426" cm="1" vm="2771">
        <f t="array" aca="1" ref="O426" ca="1">IFERROR(INDEX(_xlfn.ANCHORARRAY($C$3),T_CALC[[#This Row],[DAY]]+1,5),NA())</f>
        <v>1.3742000000000001</v>
      </c>
      <c r="P426" cm="1" vm="2735">
        <f t="array" aca="1" ref="P426" ca="1">IFERROR(INDEX(_xlfn.ANCHORARRAY($C$3),T_CALC[[#This Row],[DAY]]+1,6),NA())</f>
        <v>1.3754</v>
      </c>
      <c r="Q426" cm="1">
        <f t="array" aca="1" ref="Q426" ca="1">IFERROR(INDEX(_xlfn.ANCHORARRAY($C$3),T_CALC[[#This Row],[DAY]]+1,2),NA())</f>
        <v>0</v>
      </c>
    </row>
    <row r="427" spans="3:17">
      <c r="C427" vm="2772">
        <f ca="1"/>
        <v>43349</v>
      </c>
      <c r="D427">
        <f ca="1"/>
        <v>0</v>
      </c>
      <c r="E427" vm="1884">
        <f ca="1"/>
        <v>1.3751</v>
      </c>
      <c r="F427" vm="2773">
        <f ca="1"/>
        <v>1.3784000000000001</v>
      </c>
      <c r="G427" vm="1886">
        <f ca="1"/>
        <v>1.3734999999999999</v>
      </c>
      <c r="H427" vm="2774">
        <f ca="1"/>
        <v>1.3740000000000001</v>
      </c>
      <c r="K427">
        <f ca="1">IF(ROW(T_CALC[[#This Row],[DAY]])-ROW(T_CALC[[#Headers],[DAY]])&gt;C_N_TRADING_DAYS,"",ROW(T_CALC[[#This Row],[DAY]])-ROW(T_CALC[[#Headers],[DAY]]))</f>
        <v>424</v>
      </c>
      <c r="L427" cm="1" vm="2772">
        <f t="array" aca="1" ref="L427" ca="1">IFERROR(INDEX(_xlfn.ANCHORARRAY($C$3),T_CALC[[#This Row],[DAY]]+1,1),NA())</f>
        <v>43349</v>
      </c>
      <c r="M427" cm="1" vm="1884">
        <f t="array" aca="1" ref="M427" ca="1">IFERROR(INDEX(_xlfn.ANCHORARRAY($C$3),T_CALC[[#This Row],[DAY]]+1,3),NA())</f>
        <v>1.3751</v>
      </c>
      <c r="N427" cm="1" vm="2773">
        <f t="array" aca="1" ref="N427" ca="1">IFERROR(INDEX(_xlfn.ANCHORARRAY($C$3),T_CALC[[#This Row],[DAY]]+1,4),NA())</f>
        <v>1.3784000000000001</v>
      </c>
      <c r="O427" cm="1" vm="1886">
        <f t="array" aca="1" ref="O427" ca="1">IFERROR(INDEX(_xlfn.ANCHORARRAY($C$3),T_CALC[[#This Row],[DAY]]+1,5),NA())</f>
        <v>1.3734999999999999</v>
      </c>
      <c r="P427" cm="1" vm="2774">
        <f t="array" aca="1" ref="P427" ca="1">IFERROR(INDEX(_xlfn.ANCHORARRAY($C$3),T_CALC[[#This Row],[DAY]]+1,6),NA())</f>
        <v>1.3740000000000001</v>
      </c>
      <c r="Q427" cm="1">
        <f t="array" aca="1" ref="Q427" ca="1">IFERROR(INDEX(_xlfn.ANCHORARRAY($C$3),T_CALC[[#This Row],[DAY]]+1,2),NA())</f>
        <v>0</v>
      </c>
    </row>
    <row r="428" spans="3:17">
      <c r="C428" vm="2775">
        <f ca="1"/>
        <v>43350</v>
      </c>
      <c r="D428">
        <f ca="1"/>
        <v>0</v>
      </c>
      <c r="E428" vm="2776">
        <f ca="1"/>
        <v>1.3744000000000001</v>
      </c>
      <c r="F428" vm="1864">
        <f ca="1"/>
        <v>1.3794</v>
      </c>
      <c r="G428" vm="2777">
        <f ca="1"/>
        <v>1.3734</v>
      </c>
      <c r="H428" vm="1935">
        <f ca="1"/>
        <v>1.3786</v>
      </c>
      <c r="K428">
        <f ca="1">IF(ROW(T_CALC[[#This Row],[DAY]])-ROW(T_CALC[[#Headers],[DAY]])&gt;C_N_TRADING_DAYS,"",ROW(T_CALC[[#This Row],[DAY]])-ROW(T_CALC[[#Headers],[DAY]]))</f>
        <v>425</v>
      </c>
      <c r="L428" cm="1" vm="2775">
        <f t="array" aca="1" ref="L428" ca="1">IFERROR(INDEX(_xlfn.ANCHORARRAY($C$3),T_CALC[[#This Row],[DAY]]+1,1),NA())</f>
        <v>43350</v>
      </c>
      <c r="M428" cm="1" vm="2776">
        <f t="array" aca="1" ref="M428" ca="1">IFERROR(INDEX(_xlfn.ANCHORARRAY($C$3),T_CALC[[#This Row],[DAY]]+1,3),NA())</f>
        <v>1.3744000000000001</v>
      </c>
      <c r="N428" cm="1" vm="1864">
        <f t="array" aca="1" ref="N428" ca="1">IFERROR(INDEX(_xlfn.ANCHORARRAY($C$3),T_CALC[[#This Row],[DAY]]+1,4),NA())</f>
        <v>1.3794</v>
      </c>
      <c r="O428" cm="1" vm="2777">
        <f t="array" aca="1" ref="O428" ca="1">IFERROR(INDEX(_xlfn.ANCHORARRAY($C$3),T_CALC[[#This Row],[DAY]]+1,5),NA())</f>
        <v>1.3734</v>
      </c>
      <c r="P428" cm="1" vm="1935">
        <f t="array" aca="1" ref="P428" ca="1">IFERROR(INDEX(_xlfn.ANCHORARRAY($C$3),T_CALC[[#This Row],[DAY]]+1,6),NA())</f>
        <v>1.3786</v>
      </c>
      <c r="Q428" cm="1">
        <f t="array" aca="1" ref="Q428" ca="1">IFERROR(INDEX(_xlfn.ANCHORARRAY($C$3),T_CALC[[#This Row],[DAY]]+1,2),NA())</f>
        <v>0</v>
      </c>
    </row>
    <row r="429" spans="3:17">
      <c r="C429" vm="2778">
        <f ca="1"/>
        <v>43353</v>
      </c>
      <c r="D429">
        <f ca="1"/>
        <v>0</v>
      </c>
      <c r="E429" vm="2779">
        <f ca="1"/>
        <v>1.3783000000000001</v>
      </c>
      <c r="F429" vm="1858">
        <f ca="1"/>
        <v>1.3814</v>
      </c>
      <c r="G429" vm="1944">
        <f ca="1"/>
        <v>1.3773</v>
      </c>
      <c r="H429" vm="1920">
        <f ca="1"/>
        <v>1.3785000000000001</v>
      </c>
      <c r="K429">
        <f ca="1">IF(ROW(T_CALC[[#This Row],[DAY]])-ROW(T_CALC[[#Headers],[DAY]])&gt;C_N_TRADING_DAYS,"",ROW(T_CALC[[#This Row],[DAY]])-ROW(T_CALC[[#Headers],[DAY]]))</f>
        <v>426</v>
      </c>
      <c r="L429" cm="1" vm="2778">
        <f t="array" aca="1" ref="L429" ca="1">IFERROR(INDEX(_xlfn.ANCHORARRAY($C$3),T_CALC[[#This Row],[DAY]]+1,1),NA())</f>
        <v>43353</v>
      </c>
      <c r="M429" cm="1" vm="2779">
        <f t="array" aca="1" ref="M429" ca="1">IFERROR(INDEX(_xlfn.ANCHORARRAY($C$3),T_CALC[[#This Row],[DAY]]+1,3),NA())</f>
        <v>1.3783000000000001</v>
      </c>
      <c r="N429" cm="1" vm="1858">
        <f t="array" aca="1" ref="N429" ca="1">IFERROR(INDEX(_xlfn.ANCHORARRAY($C$3),T_CALC[[#This Row],[DAY]]+1,4),NA())</f>
        <v>1.3814</v>
      </c>
      <c r="O429" cm="1" vm="1944">
        <f t="array" aca="1" ref="O429" ca="1">IFERROR(INDEX(_xlfn.ANCHORARRAY($C$3),T_CALC[[#This Row],[DAY]]+1,5),NA())</f>
        <v>1.3773</v>
      </c>
      <c r="P429" cm="1" vm="1920">
        <f t="array" aca="1" ref="P429" ca="1">IFERROR(INDEX(_xlfn.ANCHORARRAY($C$3),T_CALC[[#This Row],[DAY]]+1,6),NA())</f>
        <v>1.3785000000000001</v>
      </c>
      <c r="Q429" cm="1">
        <f t="array" aca="1" ref="Q429" ca="1">IFERROR(INDEX(_xlfn.ANCHORARRAY($C$3),T_CALC[[#This Row],[DAY]]+1,2),NA())</f>
        <v>0</v>
      </c>
    </row>
    <row r="430" spans="3:17">
      <c r="C430" vm="2780">
        <f ca="1"/>
        <v>43354</v>
      </c>
      <c r="D430">
        <f ca="1"/>
        <v>0</v>
      </c>
      <c r="E430" vm="1946">
        <f ca="1"/>
        <v>1.3787</v>
      </c>
      <c r="F430" vm="1878">
        <f ca="1"/>
        <v>1.3807</v>
      </c>
      <c r="G430" vm="2771">
        <f ca="1"/>
        <v>1.3742000000000001</v>
      </c>
      <c r="H430" vm="1922">
        <f ca="1"/>
        <v>1.375</v>
      </c>
      <c r="K430">
        <f ca="1">IF(ROW(T_CALC[[#This Row],[DAY]])-ROW(T_CALC[[#Headers],[DAY]])&gt;C_N_TRADING_DAYS,"",ROW(T_CALC[[#This Row],[DAY]])-ROW(T_CALC[[#Headers],[DAY]]))</f>
        <v>427</v>
      </c>
      <c r="L430" cm="1" vm="2780">
        <f t="array" aca="1" ref="L430" ca="1">IFERROR(INDEX(_xlfn.ANCHORARRAY($C$3),T_CALC[[#This Row],[DAY]]+1,1),NA())</f>
        <v>43354</v>
      </c>
      <c r="M430" cm="1" vm="1946">
        <f t="array" aca="1" ref="M430" ca="1">IFERROR(INDEX(_xlfn.ANCHORARRAY($C$3),T_CALC[[#This Row],[DAY]]+1,3),NA())</f>
        <v>1.3787</v>
      </c>
      <c r="N430" cm="1" vm="1878">
        <f t="array" aca="1" ref="N430" ca="1">IFERROR(INDEX(_xlfn.ANCHORARRAY($C$3),T_CALC[[#This Row],[DAY]]+1,4),NA())</f>
        <v>1.3807</v>
      </c>
      <c r="O430" cm="1" vm="2771">
        <f t="array" aca="1" ref="O430" ca="1">IFERROR(INDEX(_xlfn.ANCHORARRAY($C$3),T_CALC[[#This Row],[DAY]]+1,5),NA())</f>
        <v>1.3742000000000001</v>
      </c>
      <c r="P430" cm="1" vm="1922">
        <f t="array" aca="1" ref="P430" ca="1">IFERROR(INDEX(_xlfn.ANCHORARRAY($C$3),T_CALC[[#This Row],[DAY]]+1,6),NA())</f>
        <v>1.375</v>
      </c>
      <c r="Q430" cm="1">
        <f t="array" aca="1" ref="Q430" ca="1">IFERROR(INDEX(_xlfn.ANCHORARRAY($C$3),T_CALC[[#This Row],[DAY]]+1,2),NA())</f>
        <v>0</v>
      </c>
    </row>
    <row r="431" spans="3:17">
      <c r="C431" vm="2781">
        <f ca="1"/>
        <v>43355</v>
      </c>
      <c r="D431">
        <f ca="1"/>
        <v>0</v>
      </c>
      <c r="E431" vm="1884">
        <f ca="1"/>
        <v>1.3751</v>
      </c>
      <c r="F431" vm="2738">
        <f ca="1"/>
        <v>1.3776999999999999</v>
      </c>
      <c r="G431" vm="1953">
        <f ca="1"/>
        <v>1.3711</v>
      </c>
      <c r="H431" vm="2782">
        <f ca="1"/>
        <v>1.3717999999999999</v>
      </c>
      <c r="K431">
        <f ca="1">IF(ROW(T_CALC[[#This Row],[DAY]])-ROW(T_CALC[[#Headers],[DAY]])&gt;C_N_TRADING_DAYS,"",ROW(T_CALC[[#This Row],[DAY]])-ROW(T_CALC[[#Headers],[DAY]]))</f>
        <v>428</v>
      </c>
      <c r="L431" cm="1" vm="2781">
        <f t="array" aca="1" ref="L431" ca="1">IFERROR(INDEX(_xlfn.ANCHORARRAY($C$3),T_CALC[[#This Row],[DAY]]+1,1),NA())</f>
        <v>43355</v>
      </c>
      <c r="M431" cm="1" vm="1884">
        <f t="array" aca="1" ref="M431" ca="1">IFERROR(INDEX(_xlfn.ANCHORARRAY($C$3),T_CALC[[#This Row],[DAY]]+1,3),NA())</f>
        <v>1.3751</v>
      </c>
      <c r="N431" cm="1" vm="2738">
        <f t="array" aca="1" ref="N431" ca="1">IFERROR(INDEX(_xlfn.ANCHORARRAY($C$3),T_CALC[[#This Row],[DAY]]+1,4),NA())</f>
        <v>1.3776999999999999</v>
      </c>
      <c r="O431" cm="1" vm="1953">
        <f t="array" aca="1" ref="O431" ca="1">IFERROR(INDEX(_xlfn.ANCHORARRAY($C$3),T_CALC[[#This Row],[DAY]]+1,5),NA())</f>
        <v>1.3711</v>
      </c>
      <c r="P431" cm="1" vm="2782">
        <f t="array" aca="1" ref="P431" ca="1">IFERROR(INDEX(_xlfn.ANCHORARRAY($C$3),T_CALC[[#This Row],[DAY]]+1,6),NA())</f>
        <v>1.3717999999999999</v>
      </c>
      <c r="Q431" cm="1">
        <f t="array" aca="1" ref="Q431" ca="1">IFERROR(INDEX(_xlfn.ANCHORARRAY($C$3),T_CALC[[#This Row],[DAY]]+1,2),NA())</f>
        <v>0</v>
      </c>
    </row>
    <row r="432" spans="3:17">
      <c r="C432" vm="2783">
        <f ca="1"/>
        <v>43356</v>
      </c>
      <c r="D432">
        <f ca="1"/>
        <v>0</v>
      </c>
      <c r="E432" vm="2782">
        <f ca="1"/>
        <v>1.3717999999999999</v>
      </c>
      <c r="F432" vm="2742">
        <f ca="1"/>
        <v>1.3729</v>
      </c>
      <c r="G432" vm="2198">
        <f ca="1"/>
        <v>1.3672</v>
      </c>
      <c r="H432" vm="2784">
        <f ca="1"/>
        <v>1.37</v>
      </c>
      <c r="K432">
        <f ca="1">IF(ROW(T_CALC[[#This Row],[DAY]])-ROW(T_CALC[[#Headers],[DAY]])&gt;C_N_TRADING_DAYS,"",ROW(T_CALC[[#This Row],[DAY]])-ROW(T_CALC[[#Headers],[DAY]]))</f>
        <v>429</v>
      </c>
      <c r="L432" cm="1" vm="2783">
        <f t="array" aca="1" ref="L432" ca="1">IFERROR(INDEX(_xlfn.ANCHORARRAY($C$3),T_CALC[[#This Row],[DAY]]+1,1),NA())</f>
        <v>43356</v>
      </c>
      <c r="M432" cm="1" vm="2782">
        <f t="array" aca="1" ref="M432" ca="1">IFERROR(INDEX(_xlfn.ANCHORARRAY($C$3),T_CALC[[#This Row],[DAY]]+1,3),NA())</f>
        <v>1.3717999999999999</v>
      </c>
      <c r="N432" cm="1" vm="2742">
        <f t="array" aca="1" ref="N432" ca="1">IFERROR(INDEX(_xlfn.ANCHORARRAY($C$3),T_CALC[[#This Row],[DAY]]+1,4),NA())</f>
        <v>1.3729</v>
      </c>
      <c r="O432" cm="1" vm="2198">
        <f t="array" aca="1" ref="O432" ca="1">IFERROR(INDEX(_xlfn.ANCHORARRAY($C$3),T_CALC[[#This Row],[DAY]]+1,5),NA())</f>
        <v>1.3672</v>
      </c>
      <c r="P432" cm="1" vm="2784">
        <f t="array" aca="1" ref="P432" ca="1">IFERROR(INDEX(_xlfn.ANCHORARRAY($C$3),T_CALC[[#This Row],[DAY]]+1,6),NA())</f>
        <v>1.37</v>
      </c>
      <c r="Q432" cm="1">
        <f t="array" aca="1" ref="Q432" ca="1">IFERROR(INDEX(_xlfn.ANCHORARRAY($C$3),T_CALC[[#This Row],[DAY]]+1,2),NA())</f>
        <v>0</v>
      </c>
    </row>
    <row r="433" spans="3:17">
      <c r="C433" vm="2785">
        <f ca="1"/>
        <v>43357</v>
      </c>
      <c r="D433">
        <f ca="1"/>
        <v>0</v>
      </c>
      <c r="E433" vm="2786">
        <f ca="1"/>
        <v>1.3701000000000001</v>
      </c>
      <c r="F433" vm="2755">
        <f ca="1"/>
        <v>1.3743000000000001</v>
      </c>
      <c r="G433" vm="2757">
        <f ca="1"/>
        <v>1.367</v>
      </c>
      <c r="H433" vm="2774">
        <f ca="1"/>
        <v>1.3740000000000001</v>
      </c>
      <c r="K433">
        <f ca="1">IF(ROW(T_CALC[[#This Row],[DAY]])-ROW(T_CALC[[#Headers],[DAY]])&gt;C_N_TRADING_DAYS,"",ROW(T_CALC[[#This Row],[DAY]])-ROW(T_CALC[[#Headers],[DAY]]))</f>
        <v>430</v>
      </c>
      <c r="L433" cm="1" vm="2785">
        <f t="array" aca="1" ref="L433" ca="1">IFERROR(INDEX(_xlfn.ANCHORARRAY($C$3),T_CALC[[#This Row],[DAY]]+1,1),NA())</f>
        <v>43357</v>
      </c>
      <c r="M433" cm="1" vm="2786">
        <f t="array" aca="1" ref="M433" ca="1">IFERROR(INDEX(_xlfn.ANCHORARRAY($C$3),T_CALC[[#This Row],[DAY]]+1,3),NA())</f>
        <v>1.3701000000000001</v>
      </c>
      <c r="N433" cm="1" vm="2755">
        <f t="array" aca="1" ref="N433" ca="1">IFERROR(INDEX(_xlfn.ANCHORARRAY($C$3),T_CALC[[#This Row],[DAY]]+1,4),NA())</f>
        <v>1.3743000000000001</v>
      </c>
      <c r="O433" cm="1" vm="2757">
        <f t="array" aca="1" ref="O433" ca="1">IFERROR(INDEX(_xlfn.ANCHORARRAY($C$3),T_CALC[[#This Row],[DAY]]+1,5),NA())</f>
        <v>1.367</v>
      </c>
      <c r="P433" cm="1" vm="2774">
        <f t="array" aca="1" ref="P433" ca="1">IFERROR(INDEX(_xlfn.ANCHORARRAY($C$3),T_CALC[[#This Row],[DAY]]+1,6),NA())</f>
        <v>1.3740000000000001</v>
      </c>
      <c r="Q433" cm="1">
        <f t="array" aca="1" ref="Q433" ca="1">IFERROR(INDEX(_xlfn.ANCHORARRAY($C$3),T_CALC[[#This Row],[DAY]]+1,2),NA())</f>
        <v>0</v>
      </c>
    </row>
    <row r="434" spans="3:17">
      <c r="C434" vm="2787">
        <f ca="1"/>
        <v>43360</v>
      </c>
      <c r="D434">
        <f ca="1"/>
        <v>0</v>
      </c>
      <c r="E434" vm="2753">
        <f ca="1"/>
        <v>1.3738999999999999</v>
      </c>
      <c r="F434" vm="2735">
        <f ca="1"/>
        <v>1.3754</v>
      </c>
      <c r="G434" vm="1965">
        <f ca="1"/>
        <v>1.3698999999999999</v>
      </c>
      <c r="H434" vm="2732">
        <f ca="1"/>
        <v>1.3716999999999999</v>
      </c>
      <c r="K434">
        <f ca="1">IF(ROW(T_CALC[[#This Row],[DAY]])-ROW(T_CALC[[#Headers],[DAY]])&gt;C_N_TRADING_DAYS,"",ROW(T_CALC[[#This Row],[DAY]])-ROW(T_CALC[[#Headers],[DAY]]))</f>
        <v>431</v>
      </c>
      <c r="L434" cm="1" vm="2787">
        <f t="array" aca="1" ref="L434" ca="1">IFERROR(INDEX(_xlfn.ANCHORARRAY($C$3),T_CALC[[#This Row],[DAY]]+1,1),NA())</f>
        <v>43360</v>
      </c>
      <c r="M434" cm="1" vm="2753">
        <f t="array" aca="1" ref="M434" ca="1">IFERROR(INDEX(_xlfn.ANCHORARRAY($C$3),T_CALC[[#This Row],[DAY]]+1,3),NA())</f>
        <v>1.3738999999999999</v>
      </c>
      <c r="N434" cm="1" vm="2735">
        <f t="array" aca="1" ref="N434" ca="1">IFERROR(INDEX(_xlfn.ANCHORARRAY($C$3),T_CALC[[#This Row],[DAY]]+1,4),NA())</f>
        <v>1.3754</v>
      </c>
      <c r="O434" cm="1" vm="1965">
        <f t="array" aca="1" ref="O434" ca="1">IFERROR(INDEX(_xlfn.ANCHORARRAY($C$3),T_CALC[[#This Row],[DAY]]+1,5),NA())</f>
        <v>1.3698999999999999</v>
      </c>
      <c r="P434" cm="1" vm="2732">
        <f t="array" aca="1" ref="P434" ca="1">IFERROR(INDEX(_xlfn.ANCHORARRAY($C$3),T_CALC[[#This Row],[DAY]]+1,6),NA())</f>
        <v>1.3716999999999999</v>
      </c>
      <c r="Q434" cm="1">
        <f t="array" aca="1" ref="Q434" ca="1">IFERROR(INDEX(_xlfn.ANCHORARRAY($C$3),T_CALC[[#This Row],[DAY]]+1,2),NA())</f>
        <v>0</v>
      </c>
    </row>
    <row r="435" spans="3:17">
      <c r="C435" vm="2788">
        <f ca="1"/>
        <v>43361</v>
      </c>
      <c r="D435">
        <f ca="1"/>
        <v>0</v>
      </c>
      <c r="E435" vm="2732">
        <f ca="1"/>
        <v>1.3716999999999999</v>
      </c>
      <c r="F435" vm="2789">
        <f ca="1"/>
        <v>1.3752</v>
      </c>
      <c r="G435" vm="2762">
        <f ca="1"/>
        <v>1.3686</v>
      </c>
      <c r="H435" vm="1960">
        <f ca="1"/>
        <v>1.3706</v>
      </c>
      <c r="K435">
        <f ca="1">IF(ROW(T_CALC[[#This Row],[DAY]])-ROW(T_CALC[[#Headers],[DAY]])&gt;C_N_TRADING_DAYS,"",ROW(T_CALC[[#This Row],[DAY]])-ROW(T_CALC[[#Headers],[DAY]]))</f>
        <v>432</v>
      </c>
      <c r="L435" cm="1" vm="2788">
        <f t="array" aca="1" ref="L435" ca="1">IFERROR(INDEX(_xlfn.ANCHORARRAY($C$3),T_CALC[[#This Row],[DAY]]+1,1),NA())</f>
        <v>43361</v>
      </c>
      <c r="M435" cm="1" vm="2732">
        <f t="array" aca="1" ref="M435" ca="1">IFERROR(INDEX(_xlfn.ANCHORARRAY($C$3),T_CALC[[#This Row],[DAY]]+1,3),NA())</f>
        <v>1.3716999999999999</v>
      </c>
      <c r="N435" cm="1" vm="2789">
        <f t="array" aca="1" ref="N435" ca="1">IFERROR(INDEX(_xlfn.ANCHORARRAY($C$3),T_CALC[[#This Row],[DAY]]+1,4),NA())</f>
        <v>1.3752</v>
      </c>
      <c r="O435" cm="1" vm="2762">
        <f t="array" aca="1" ref="O435" ca="1">IFERROR(INDEX(_xlfn.ANCHORARRAY($C$3),T_CALC[[#This Row],[DAY]]+1,5),NA())</f>
        <v>1.3686</v>
      </c>
      <c r="P435" cm="1" vm="1960">
        <f t="array" aca="1" ref="P435" ca="1">IFERROR(INDEX(_xlfn.ANCHORARRAY($C$3),T_CALC[[#This Row],[DAY]]+1,6),NA())</f>
        <v>1.3706</v>
      </c>
      <c r="Q435" cm="1">
        <f t="array" aca="1" ref="Q435" ca="1">IFERROR(INDEX(_xlfn.ANCHORARRAY($C$3),T_CALC[[#This Row],[DAY]]+1,2),NA())</f>
        <v>0</v>
      </c>
    </row>
    <row r="436" spans="3:17">
      <c r="C436" vm="2790">
        <f ca="1"/>
        <v>43362</v>
      </c>
      <c r="D436">
        <f ca="1"/>
        <v>0</v>
      </c>
      <c r="E436" vm="2791">
        <f ca="1"/>
        <v>1.3707</v>
      </c>
      <c r="F436" vm="2782">
        <f ca="1"/>
        <v>1.3717999999999999</v>
      </c>
      <c r="G436" vm="1973">
        <f ca="1"/>
        <v>1.3674999999999999</v>
      </c>
      <c r="H436" vm="1952">
        <f ca="1"/>
        <v>1.3688</v>
      </c>
      <c r="K436">
        <f ca="1">IF(ROW(T_CALC[[#This Row],[DAY]])-ROW(T_CALC[[#Headers],[DAY]])&gt;C_N_TRADING_DAYS,"",ROW(T_CALC[[#This Row],[DAY]])-ROW(T_CALC[[#Headers],[DAY]]))</f>
        <v>433</v>
      </c>
      <c r="L436" cm="1" vm="2790">
        <f t="array" aca="1" ref="L436" ca="1">IFERROR(INDEX(_xlfn.ANCHORARRAY($C$3),T_CALC[[#This Row],[DAY]]+1,1),NA())</f>
        <v>43362</v>
      </c>
      <c r="M436" cm="1" vm="2791">
        <f t="array" aca="1" ref="M436" ca="1">IFERROR(INDEX(_xlfn.ANCHORARRAY($C$3),T_CALC[[#This Row],[DAY]]+1,3),NA())</f>
        <v>1.3707</v>
      </c>
      <c r="N436" cm="1" vm="2782">
        <f t="array" aca="1" ref="N436" ca="1">IFERROR(INDEX(_xlfn.ANCHORARRAY($C$3),T_CALC[[#This Row],[DAY]]+1,4),NA())</f>
        <v>1.3717999999999999</v>
      </c>
      <c r="O436" cm="1" vm="1973">
        <f t="array" aca="1" ref="O436" ca="1">IFERROR(INDEX(_xlfn.ANCHORARRAY($C$3),T_CALC[[#This Row],[DAY]]+1,5),NA())</f>
        <v>1.3674999999999999</v>
      </c>
      <c r="P436" cm="1" vm="1952">
        <f t="array" aca="1" ref="P436" ca="1">IFERROR(INDEX(_xlfn.ANCHORARRAY($C$3),T_CALC[[#This Row],[DAY]]+1,6),NA())</f>
        <v>1.3688</v>
      </c>
      <c r="Q436" cm="1">
        <f t="array" aca="1" ref="Q436" ca="1">IFERROR(INDEX(_xlfn.ANCHORARRAY($C$3),T_CALC[[#This Row],[DAY]]+1,2),NA())</f>
        <v>0</v>
      </c>
    </row>
    <row r="437" spans="3:17">
      <c r="C437" vm="2792">
        <f ca="1"/>
        <v>43363</v>
      </c>
      <c r="D437">
        <f ca="1"/>
        <v>0</v>
      </c>
      <c r="E437" vm="2723">
        <f ca="1"/>
        <v>1.3691</v>
      </c>
      <c r="F437" vm="2793">
        <f ca="1"/>
        <v>1.3694999999999999</v>
      </c>
      <c r="G437" vm="2169">
        <f ca="1"/>
        <v>1.3635999999999999</v>
      </c>
      <c r="H437" vm="2035">
        <f ca="1"/>
        <v>1.3644000000000001</v>
      </c>
      <c r="K437">
        <f ca="1">IF(ROW(T_CALC[[#This Row],[DAY]])-ROW(T_CALC[[#Headers],[DAY]])&gt;C_N_TRADING_DAYS,"",ROW(T_CALC[[#This Row],[DAY]])-ROW(T_CALC[[#Headers],[DAY]]))</f>
        <v>434</v>
      </c>
      <c r="L437" cm="1" vm="2792">
        <f t="array" aca="1" ref="L437" ca="1">IFERROR(INDEX(_xlfn.ANCHORARRAY($C$3),T_CALC[[#This Row],[DAY]]+1,1),NA())</f>
        <v>43363</v>
      </c>
      <c r="M437" cm="1" vm="2723">
        <f t="array" aca="1" ref="M437" ca="1">IFERROR(INDEX(_xlfn.ANCHORARRAY($C$3),T_CALC[[#This Row],[DAY]]+1,3),NA())</f>
        <v>1.3691</v>
      </c>
      <c r="N437" cm="1" vm="2793">
        <f t="array" aca="1" ref="N437" ca="1">IFERROR(INDEX(_xlfn.ANCHORARRAY($C$3),T_CALC[[#This Row],[DAY]]+1,4),NA())</f>
        <v>1.3694999999999999</v>
      </c>
      <c r="O437" cm="1" vm="2169">
        <f t="array" aca="1" ref="O437" ca="1">IFERROR(INDEX(_xlfn.ANCHORARRAY($C$3),T_CALC[[#This Row],[DAY]]+1,5),NA())</f>
        <v>1.3635999999999999</v>
      </c>
      <c r="P437" cm="1" vm="2035">
        <f t="array" aca="1" ref="P437" ca="1">IFERROR(INDEX(_xlfn.ANCHORARRAY($C$3),T_CALC[[#This Row],[DAY]]+1,6),NA())</f>
        <v>1.3644000000000001</v>
      </c>
      <c r="Q437" cm="1">
        <f t="array" aca="1" ref="Q437" ca="1">IFERROR(INDEX(_xlfn.ANCHORARRAY($C$3),T_CALC[[#This Row],[DAY]]+1,2),NA())</f>
        <v>0</v>
      </c>
    </row>
    <row r="438" spans="3:17">
      <c r="C438" vm="2794">
        <f ca="1"/>
        <v>43364</v>
      </c>
      <c r="D438">
        <f ca="1"/>
        <v>0</v>
      </c>
      <c r="E438" vm="1987">
        <f ca="1"/>
        <v>1.3642000000000001</v>
      </c>
      <c r="F438" vm="2725">
        <f ca="1"/>
        <v>1.3657999999999999</v>
      </c>
      <c r="G438" vm="1992">
        <f ca="1"/>
        <v>1.3607</v>
      </c>
      <c r="H438" vm="2162">
        <f ca="1"/>
        <v>1.3640000000000001</v>
      </c>
      <c r="K438">
        <f ca="1">IF(ROW(T_CALC[[#This Row],[DAY]])-ROW(T_CALC[[#Headers],[DAY]])&gt;C_N_TRADING_DAYS,"",ROW(T_CALC[[#This Row],[DAY]])-ROW(T_CALC[[#Headers],[DAY]]))</f>
        <v>435</v>
      </c>
      <c r="L438" cm="1" vm="2794">
        <f t="array" aca="1" ref="L438" ca="1">IFERROR(INDEX(_xlfn.ANCHORARRAY($C$3),T_CALC[[#This Row],[DAY]]+1,1),NA())</f>
        <v>43364</v>
      </c>
      <c r="M438" cm="1" vm="1987">
        <f t="array" aca="1" ref="M438" ca="1">IFERROR(INDEX(_xlfn.ANCHORARRAY($C$3),T_CALC[[#This Row],[DAY]]+1,3),NA())</f>
        <v>1.3642000000000001</v>
      </c>
      <c r="N438" cm="1" vm="2725">
        <f t="array" aca="1" ref="N438" ca="1">IFERROR(INDEX(_xlfn.ANCHORARRAY($C$3),T_CALC[[#This Row],[DAY]]+1,4),NA())</f>
        <v>1.3657999999999999</v>
      </c>
      <c r="O438" cm="1" vm="1992">
        <f t="array" aca="1" ref="O438" ca="1">IFERROR(INDEX(_xlfn.ANCHORARRAY($C$3),T_CALC[[#This Row],[DAY]]+1,5),NA())</f>
        <v>1.3607</v>
      </c>
      <c r="P438" cm="1" vm="2162">
        <f t="array" aca="1" ref="P438" ca="1">IFERROR(INDEX(_xlfn.ANCHORARRAY($C$3),T_CALC[[#This Row],[DAY]]+1,6),NA())</f>
        <v>1.3640000000000001</v>
      </c>
      <c r="Q438" cm="1">
        <f t="array" aca="1" ref="Q438" ca="1">IFERROR(INDEX(_xlfn.ANCHORARRAY($C$3),T_CALC[[#This Row],[DAY]]+1,2),NA())</f>
        <v>0</v>
      </c>
    </row>
    <row r="439" spans="3:17">
      <c r="C439" vm="2795">
        <f ca="1"/>
        <v>43367</v>
      </c>
      <c r="D439">
        <f ca="1"/>
        <v>0</v>
      </c>
      <c r="E439" vm="2035">
        <f ca="1"/>
        <v>1.3644000000000001</v>
      </c>
      <c r="F439" vm="2763">
        <f ca="1"/>
        <v>1.3673999999999999</v>
      </c>
      <c r="G439" vm="1978">
        <f ca="1"/>
        <v>1.3634999999999999</v>
      </c>
      <c r="H439" vm="1972">
        <f ca="1"/>
        <v>1.3655999999999999</v>
      </c>
      <c r="K439">
        <f ca="1">IF(ROW(T_CALC[[#This Row],[DAY]])-ROW(T_CALC[[#Headers],[DAY]])&gt;C_N_TRADING_DAYS,"",ROW(T_CALC[[#This Row],[DAY]])-ROW(T_CALC[[#Headers],[DAY]]))</f>
        <v>436</v>
      </c>
      <c r="L439" cm="1" vm="2795">
        <f t="array" aca="1" ref="L439" ca="1">IFERROR(INDEX(_xlfn.ANCHORARRAY($C$3),T_CALC[[#This Row],[DAY]]+1,1),NA())</f>
        <v>43367</v>
      </c>
      <c r="M439" cm="1" vm="2035">
        <f t="array" aca="1" ref="M439" ca="1">IFERROR(INDEX(_xlfn.ANCHORARRAY($C$3),T_CALC[[#This Row],[DAY]]+1,3),NA())</f>
        <v>1.3644000000000001</v>
      </c>
      <c r="N439" cm="1" vm="2763">
        <f t="array" aca="1" ref="N439" ca="1">IFERROR(INDEX(_xlfn.ANCHORARRAY($C$3),T_CALC[[#This Row],[DAY]]+1,4),NA())</f>
        <v>1.3673999999999999</v>
      </c>
      <c r="O439" cm="1" vm="1978">
        <f t="array" aca="1" ref="O439" ca="1">IFERROR(INDEX(_xlfn.ANCHORARRAY($C$3),T_CALC[[#This Row],[DAY]]+1,5),NA())</f>
        <v>1.3634999999999999</v>
      </c>
      <c r="P439" cm="1" vm="1972">
        <f t="array" aca="1" ref="P439" ca="1">IFERROR(INDEX(_xlfn.ANCHORARRAY($C$3),T_CALC[[#This Row],[DAY]]+1,6),NA())</f>
        <v>1.3655999999999999</v>
      </c>
      <c r="Q439" cm="1">
        <f t="array" aca="1" ref="Q439" ca="1">IFERROR(INDEX(_xlfn.ANCHORARRAY($C$3),T_CALC[[#This Row],[DAY]]+1,2),NA())</f>
        <v>0</v>
      </c>
    </row>
    <row r="440" spans="3:17">
      <c r="C440" vm="2796">
        <f ca="1"/>
        <v>43368</v>
      </c>
      <c r="D440">
        <f ca="1"/>
        <v>0</v>
      </c>
      <c r="E440" vm="1972">
        <f ca="1"/>
        <v>1.3655999999999999</v>
      </c>
      <c r="F440" vm="2797">
        <f ca="1"/>
        <v>1.3667</v>
      </c>
      <c r="G440" vm="2035">
        <f ca="1"/>
        <v>1.3644000000000001</v>
      </c>
      <c r="H440" vm="2725">
        <f ca="1"/>
        <v>1.3657999999999999</v>
      </c>
      <c r="K440">
        <f ca="1">IF(ROW(T_CALC[[#This Row],[DAY]])-ROW(T_CALC[[#Headers],[DAY]])&gt;C_N_TRADING_DAYS,"",ROW(T_CALC[[#This Row],[DAY]])-ROW(T_CALC[[#Headers],[DAY]]))</f>
        <v>437</v>
      </c>
      <c r="L440" cm="1" vm="2796">
        <f t="array" aca="1" ref="L440" ca="1">IFERROR(INDEX(_xlfn.ANCHORARRAY($C$3),T_CALC[[#This Row],[DAY]]+1,1),NA())</f>
        <v>43368</v>
      </c>
      <c r="M440" cm="1" vm="1972">
        <f t="array" aca="1" ref="M440" ca="1">IFERROR(INDEX(_xlfn.ANCHORARRAY($C$3),T_CALC[[#This Row],[DAY]]+1,3),NA())</f>
        <v>1.3655999999999999</v>
      </c>
      <c r="N440" cm="1" vm="2797">
        <f t="array" aca="1" ref="N440" ca="1">IFERROR(INDEX(_xlfn.ANCHORARRAY($C$3),T_CALC[[#This Row],[DAY]]+1,4),NA())</f>
        <v>1.3667</v>
      </c>
      <c r="O440" cm="1" vm="2035">
        <f t="array" aca="1" ref="O440" ca="1">IFERROR(INDEX(_xlfn.ANCHORARRAY($C$3),T_CALC[[#This Row],[DAY]]+1,5),NA())</f>
        <v>1.3644000000000001</v>
      </c>
      <c r="P440" cm="1" vm="2725">
        <f t="array" aca="1" ref="P440" ca="1">IFERROR(INDEX(_xlfn.ANCHORARRAY($C$3),T_CALC[[#This Row],[DAY]]+1,6),NA())</f>
        <v>1.3657999999999999</v>
      </c>
      <c r="Q440" cm="1">
        <f t="array" aca="1" ref="Q440" ca="1">IFERROR(INDEX(_xlfn.ANCHORARRAY($C$3),T_CALC[[#This Row],[DAY]]+1,2),NA())</f>
        <v>0</v>
      </c>
    </row>
    <row r="441" spans="3:17">
      <c r="C441" vm="2798">
        <f ca="1"/>
        <v>43369</v>
      </c>
      <c r="D441">
        <f ca="1"/>
        <v>0</v>
      </c>
      <c r="E441" vm="2687">
        <f ca="1"/>
        <v>1.3656999999999999</v>
      </c>
      <c r="F441" vm="1957">
        <f ca="1"/>
        <v>1.3663000000000001</v>
      </c>
      <c r="G441" vm="2060">
        <f ca="1"/>
        <v>1.3616999999999999</v>
      </c>
      <c r="H441" vm="2031">
        <f ca="1"/>
        <v>1.3653999999999999</v>
      </c>
      <c r="K441">
        <f ca="1">IF(ROW(T_CALC[[#This Row],[DAY]])-ROW(T_CALC[[#Headers],[DAY]])&gt;C_N_TRADING_DAYS,"",ROW(T_CALC[[#This Row],[DAY]])-ROW(T_CALC[[#Headers],[DAY]]))</f>
        <v>438</v>
      </c>
      <c r="L441" cm="1" vm="2798">
        <f t="array" aca="1" ref="L441" ca="1">IFERROR(INDEX(_xlfn.ANCHORARRAY($C$3),T_CALC[[#This Row],[DAY]]+1,1),NA())</f>
        <v>43369</v>
      </c>
      <c r="M441" cm="1" vm="2687">
        <f t="array" aca="1" ref="M441" ca="1">IFERROR(INDEX(_xlfn.ANCHORARRAY($C$3),T_CALC[[#This Row],[DAY]]+1,3),NA())</f>
        <v>1.3656999999999999</v>
      </c>
      <c r="N441" cm="1" vm="1957">
        <f t="array" aca="1" ref="N441" ca="1">IFERROR(INDEX(_xlfn.ANCHORARRAY($C$3),T_CALC[[#This Row],[DAY]]+1,4),NA())</f>
        <v>1.3663000000000001</v>
      </c>
      <c r="O441" cm="1" vm="2060">
        <f t="array" aca="1" ref="O441" ca="1">IFERROR(INDEX(_xlfn.ANCHORARRAY($C$3),T_CALC[[#This Row],[DAY]]+1,5),NA())</f>
        <v>1.3616999999999999</v>
      </c>
      <c r="P441" cm="1" vm="2031">
        <f t="array" aca="1" ref="P441" ca="1">IFERROR(INDEX(_xlfn.ANCHORARRAY($C$3),T_CALC[[#This Row],[DAY]]+1,6),NA())</f>
        <v>1.3653999999999999</v>
      </c>
      <c r="Q441" cm="1">
        <f t="array" aca="1" ref="Q441" ca="1">IFERROR(INDEX(_xlfn.ANCHORARRAY($C$3),T_CALC[[#This Row],[DAY]]+1,2),NA())</f>
        <v>0</v>
      </c>
    </row>
    <row r="442" spans="3:17">
      <c r="C442" vm="2799">
        <f ca="1"/>
        <v>43370</v>
      </c>
      <c r="D442">
        <f ca="1"/>
        <v>0</v>
      </c>
      <c r="E442" vm="2200">
        <f ca="1"/>
        <v>1.3652</v>
      </c>
      <c r="F442" vm="1968">
        <f ca="1"/>
        <v>1.3681000000000001</v>
      </c>
      <c r="G442" vm="2707">
        <f ca="1"/>
        <v>1.3636999999999999</v>
      </c>
      <c r="H442" vm="1966">
        <f ca="1"/>
        <v>1.3676999999999999</v>
      </c>
      <c r="K442">
        <f ca="1">IF(ROW(T_CALC[[#This Row],[DAY]])-ROW(T_CALC[[#Headers],[DAY]])&gt;C_N_TRADING_DAYS,"",ROW(T_CALC[[#This Row],[DAY]])-ROW(T_CALC[[#Headers],[DAY]]))</f>
        <v>439</v>
      </c>
      <c r="L442" cm="1" vm="2799">
        <f t="array" aca="1" ref="L442" ca="1">IFERROR(INDEX(_xlfn.ANCHORARRAY($C$3),T_CALC[[#This Row],[DAY]]+1,1),NA())</f>
        <v>43370</v>
      </c>
      <c r="M442" cm="1" vm="2200">
        <f t="array" aca="1" ref="M442" ca="1">IFERROR(INDEX(_xlfn.ANCHORARRAY($C$3),T_CALC[[#This Row],[DAY]]+1,3),NA())</f>
        <v>1.3652</v>
      </c>
      <c r="N442" cm="1" vm="1968">
        <f t="array" aca="1" ref="N442" ca="1">IFERROR(INDEX(_xlfn.ANCHORARRAY($C$3),T_CALC[[#This Row],[DAY]]+1,4),NA())</f>
        <v>1.3681000000000001</v>
      </c>
      <c r="O442" cm="1" vm="2707">
        <f t="array" aca="1" ref="O442" ca="1">IFERROR(INDEX(_xlfn.ANCHORARRAY($C$3),T_CALC[[#This Row],[DAY]]+1,5),NA())</f>
        <v>1.3636999999999999</v>
      </c>
      <c r="P442" cm="1" vm="1966">
        <f t="array" aca="1" ref="P442" ca="1">IFERROR(INDEX(_xlfn.ANCHORARRAY($C$3),T_CALC[[#This Row],[DAY]]+1,6),NA())</f>
        <v>1.3676999999999999</v>
      </c>
      <c r="Q442" cm="1">
        <f t="array" aca="1" ref="Q442" ca="1">IFERROR(INDEX(_xlfn.ANCHORARRAY($C$3),T_CALC[[#This Row],[DAY]]+1,2),NA())</f>
        <v>0</v>
      </c>
    </row>
    <row r="443" spans="3:17">
      <c r="C443" vm="2800">
        <f ca="1"/>
        <v>43371</v>
      </c>
      <c r="D443">
        <f ca="1"/>
        <v>0</v>
      </c>
      <c r="E443" vm="2801">
        <f ca="1"/>
        <v>1.3680000000000001</v>
      </c>
      <c r="F443" vm="1952">
        <f ca="1"/>
        <v>1.3688</v>
      </c>
      <c r="G443" vm="2166">
        <f ca="1"/>
        <v>1.3654999999999999</v>
      </c>
      <c r="H443" vm="1957">
        <f ca="1"/>
        <v>1.3663000000000001</v>
      </c>
      <c r="K443">
        <f ca="1">IF(ROW(T_CALC[[#This Row],[DAY]])-ROW(T_CALC[[#Headers],[DAY]])&gt;C_N_TRADING_DAYS,"",ROW(T_CALC[[#This Row],[DAY]])-ROW(T_CALC[[#Headers],[DAY]]))</f>
        <v>440</v>
      </c>
      <c r="L443" cm="1" vm="2800">
        <f t="array" aca="1" ref="L443" ca="1">IFERROR(INDEX(_xlfn.ANCHORARRAY($C$3),T_CALC[[#This Row],[DAY]]+1,1),NA())</f>
        <v>43371</v>
      </c>
      <c r="M443" cm="1" vm="2801">
        <f t="array" aca="1" ref="M443" ca="1">IFERROR(INDEX(_xlfn.ANCHORARRAY($C$3),T_CALC[[#This Row],[DAY]]+1,3),NA())</f>
        <v>1.3680000000000001</v>
      </c>
      <c r="N443" cm="1" vm="1952">
        <f t="array" aca="1" ref="N443" ca="1">IFERROR(INDEX(_xlfn.ANCHORARRAY($C$3),T_CALC[[#This Row],[DAY]]+1,4),NA())</f>
        <v>1.3688</v>
      </c>
      <c r="O443" cm="1" vm="2166">
        <f t="array" aca="1" ref="O443" ca="1">IFERROR(INDEX(_xlfn.ANCHORARRAY($C$3),T_CALC[[#This Row],[DAY]]+1,5),NA())</f>
        <v>1.3654999999999999</v>
      </c>
      <c r="P443" cm="1" vm="1957">
        <f t="array" aca="1" ref="P443" ca="1">IFERROR(INDEX(_xlfn.ANCHORARRAY($C$3),T_CALC[[#This Row],[DAY]]+1,6),NA())</f>
        <v>1.3663000000000001</v>
      </c>
      <c r="Q443" cm="1">
        <f t="array" aca="1" ref="Q443" ca="1">IFERROR(INDEX(_xlfn.ANCHORARRAY($C$3),T_CALC[[#This Row],[DAY]]+1,2),NA())</f>
        <v>0</v>
      </c>
    </row>
    <row r="444" spans="3:17">
      <c r="C444" vm="2802">
        <f ca="1"/>
        <v>43374</v>
      </c>
      <c r="D444">
        <f ca="1"/>
        <v>0</v>
      </c>
      <c r="E444" vm="1957">
        <f ca="1"/>
        <v>1.3663000000000001</v>
      </c>
      <c r="F444" vm="1956">
        <f ca="1"/>
        <v>1.3720000000000001</v>
      </c>
      <c r="G444" vm="2705">
        <f ca="1"/>
        <v>1.3660000000000001</v>
      </c>
      <c r="H444" vm="2682">
        <f ca="1"/>
        <v>1.3714999999999999</v>
      </c>
      <c r="K444">
        <f ca="1">IF(ROW(T_CALC[[#This Row],[DAY]])-ROW(T_CALC[[#Headers],[DAY]])&gt;C_N_TRADING_DAYS,"",ROW(T_CALC[[#This Row],[DAY]])-ROW(T_CALC[[#Headers],[DAY]]))</f>
        <v>441</v>
      </c>
      <c r="L444" cm="1" vm="2802">
        <f t="array" aca="1" ref="L444" ca="1">IFERROR(INDEX(_xlfn.ANCHORARRAY($C$3),T_CALC[[#This Row],[DAY]]+1,1),NA())</f>
        <v>43374</v>
      </c>
      <c r="M444" cm="1" vm="1957">
        <f t="array" aca="1" ref="M444" ca="1">IFERROR(INDEX(_xlfn.ANCHORARRAY($C$3),T_CALC[[#This Row],[DAY]]+1,3),NA())</f>
        <v>1.3663000000000001</v>
      </c>
      <c r="N444" cm="1" vm="1956">
        <f t="array" aca="1" ref="N444" ca="1">IFERROR(INDEX(_xlfn.ANCHORARRAY($C$3),T_CALC[[#This Row],[DAY]]+1,4),NA())</f>
        <v>1.3720000000000001</v>
      </c>
      <c r="O444" cm="1" vm="2705">
        <f t="array" aca="1" ref="O444" ca="1">IFERROR(INDEX(_xlfn.ANCHORARRAY($C$3),T_CALC[[#This Row],[DAY]]+1,5),NA())</f>
        <v>1.3660000000000001</v>
      </c>
      <c r="P444" cm="1" vm="2682">
        <f t="array" aca="1" ref="P444" ca="1">IFERROR(INDEX(_xlfn.ANCHORARRAY($C$3),T_CALC[[#This Row],[DAY]]+1,6),NA())</f>
        <v>1.3714999999999999</v>
      </c>
      <c r="Q444" cm="1">
        <f t="array" aca="1" ref="Q444" ca="1">IFERROR(INDEX(_xlfn.ANCHORARRAY($C$3),T_CALC[[#This Row],[DAY]]+1,2),NA())</f>
        <v>0</v>
      </c>
    </row>
    <row r="445" spans="3:17">
      <c r="C445" vm="2803">
        <f ca="1"/>
        <v>43375</v>
      </c>
      <c r="D445">
        <f ca="1"/>
        <v>0</v>
      </c>
      <c r="E445" vm="2682">
        <f ca="1"/>
        <v>1.3714999999999999</v>
      </c>
      <c r="F445" vm="2804">
        <f ca="1"/>
        <v>1.3767</v>
      </c>
      <c r="G445" vm="2805">
        <f ca="1"/>
        <v>1.371</v>
      </c>
      <c r="H445" vm="2742">
        <f ca="1"/>
        <v>1.3729</v>
      </c>
      <c r="K445">
        <f ca="1">IF(ROW(T_CALC[[#This Row],[DAY]])-ROW(T_CALC[[#Headers],[DAY]])&gt;C_N_TRADING_DAYS,"",ROW(T_CALC[[#This Row],[DAY]])-ROW(T_CALC[[#Headers],[DAY]]))</f>
        <v>442</v>
      </c>
      <c r="L445" cm="1" vm="2803">
        <f t="array" aca="1" ref="L445" ca="1">IFERROR(INDEX(_xlfn.ANCHORARRAY($C$3),T_CALC[[#This Row],[DAY]]+1,1),NA())</f>
        <v>43375</v>
      </c>
      <c r="M445" cm="1" vm="2682">
        <f t="array" aca="1" ref="M445" ca="1">IFERROR(INDEX(_xlfn.ANCHORARRAY($C$3),T_CALC[[#This Row],[DAY]]+1,3),NA())</f>
        <v>1.3714999999999999</v>
      </c>
      <c r="N445" cm="1" vm="2804">
        <f t="array" aca="1" ref="N445" ca="1">IFERROR(INDEX(_xlfn.ANCHORARRAY($C$3),T_CALC[[#This Row],[DAY]]+1,4),NA())</f>
        <v>1.3767</v>
      </c>
      <c r="O445" cm="1" vm="2805">
        <f t="array" aca="1" ref="O445" ca="1">IFERROR(INDEX(_xlfn.ANCHORARRAY($C$3),T_CALC[[#This Row],[DAY]]+1,5),NA())</f>
        <v>1.371</v>
      </c>
      <c r="P445" cm="1" vm="2742">
        <f t="array" aca="1" ref="P445" ca="1">IFERROR(INDEX(_xlfn.ANCHORARRAY($C$3),T_CALC[[#This Row],[DAY]]+1,6),NA())</f>
        <v>1.3729</v>
      </c>
      <c r="Q445" cm="1">
        <f t="array" aca="1" ref="Q445" ca="1">IFERROR(INDEX(_xlfn.ANCHORARRAY($C$3),T_CALC[[#This Row],[DAY]]+1,2),NA())</f>
        <v>0</v>
      </c>
    </row>
    <row r="446" spans="3:17">
      <c r="C446" vm="2806">
        <f ca="1"/>
        <v>43376</v>
      </c>
      <c r="D446">
        <f ca="1"/>
        <v>0</v>
      </c>
      <c r="E446" vm="2748">
        <f ca="1"/>
        <v>1.3727</v>
      </c>
      <c r="F446" vm="1853">
        <f ca="1"/>
        <v>1.3797999999999999</v>
      </c>
      <c r="G446" vm="2732">
        <f ca="1"/>
        <v>1.3716999999999999</v>
      </c>
      <c r="H446" vm="2807">
        <f ca="1"/>
        <v>1.3794999999999999</v>
      </c>
      <c r="K446">
        <f ca="1">IF(ROW(T_CALC[[#This Row],[DAY]])-ROW(T_CALC[[#Headers],[DAY]])&gt;C_N_TRADING_DAYS,"",ROW(T_CALC[[#This Row],[DAY]])-ROW(T_CALC[[#Headers],[DAY]]))</f>
        <v>443</v>
      </c>
      <c r="L446" cm="1" vm="2806">
        <f t="array" aca="1" ref="L446" ca="1">IFERROR(INDEX(_xlfn.ANCHORARRAY($C$3),T_CALC[[#This Row],[DAY]]+1,1),NA())</f>
        <v>43376</v>
      </c>
      <c r="M446" cm="1" vm="2748">
        <f t="array" aca="1" ref="M446" ca="1">IFERROR(INDEX(_xlfn.ANCHORARRAY($C$3),T_CALC[[#This Row],[DAY]]+1,3),NA())</f>
        <v>1.3727</v>
      </c>
      <c r="N446" cm="1" vm="1853">
        <f t="array" aca="1" ref="N446" ca="1">IFERROR(INDEX(_xlfn.ANCHORARRAY($C$3),T_CALC[[#This Row],[DAY]]+1,4),NA())</f>
        <v>1.3797999999999999</v>
      </c>
      <c r="O446" cm="1" vm="2732">
        <f t="array" aca="1" ref="O446" ca="1">IFERROR(INDEX(_xlfn.ANCHORARRAY($C$3),T_CALC[[#This Row],[DAY]]+1,5),NA())</f>
        <v>1.3716999999999999</v>
      </c>
      <c r="P446" cm="1" vm="2807">
        <f t="array" aca="1" ref="P446" ca="1">IFERROR(INDEX(_xlfn.ANCHORARRAY($C$3),T_CALC[[#This Row],[DAY]]+1,6),NA())</f>
        <v>1.3794999999999999</v>
      </c>
      <c r="Q446" cm="1">
        <f t="array" aca="1" ref="Q446" ca="1">IFERROR(INDEX(_xlfn.ANCHORARRAY($C$3),T_CALC[[#This Row],[DAY]]+1,2),NA())</f>
        <v>0</v>
      </c>
    </row>
    <row r="447" spans="3:17">
      <c r="C447" vm="2808">
        <f ca="1"/>
        <v>43377</v>
      </c>
      <c r="D447">
        <f ca="1"/>
        <v>0</v>
      </c>
      <c r="E447" vm="1930">
        <f ca="1"/>
        <v>1.3792</v>
      </c>
      <c r="F447" vm="1891">
        <f ca="1"/>
        <v>1.3828</v>
      </c>
      <c r="G447" vm="2809">
        <f ca="1"/>
        <v>1.3775999999999999</v>
      </c>
      <c r="H447" vm="1878">
        <f ca="1"/>
        <v>1.3807</v>
      </c>
      <c r="K447">
        <f ca="1">IF(ROW(T_CALC[[#This Row],[DAY]])-ROW(T_CALC[[#Headers],[DAY]])&gt;C_N_TRADING_DAYS,"",ROW(T_CALC[[#This Row],[DAY]])-ROW(T_CALC[[#Headers],[DAY]]))</f>
        <v>444</v>
      </c>
      <c r="L447" cm="1" vm="2808">
        <f t="array" aca="1" ref="L447" ca="1">IFERROR(INDEX(_xlfn.ANCHORARRAY($C$3),T_CALC[[#This Row],[DAY]]+1,1),NA())</f>
        <v>43377</v>
      </c>
      <c r="M447" cm="1" vm="1930">
        <f t="array" aca="1" ref="M447" ca="1">IFERROR(INDEX(_xlfn.ANCHORARRAY($C$3),T_CALC[[#This Row],[DAY]]+1,3),NA())</f>
        <v>1.3792</v>
      </c>
      <c r="N447" cm="1" vm="1891">
        <f t="array" aca="1" ref="N447" ca="1">IFERROR(INDEX(_xlfn.ANCHORARRAY($C$3),T_CALC[[#This Row],[DAY]]+1,4),NA())</f>
        <v>1.3828</v>
      </c>
      <c r="O447" cm="1" vm="2809">
        <f t="array" aca="1" ref="O447" ca="1">IFERROR(INDEX(_xlfn.ANCHORARRAY($C$3),T_CALC[[#This Row],[DAY]]+1,5),NA())</f>
        <v>1.3775999999999999</v>
      </c>
      <c r="P447" cm="1" vm="1878">
        <f t="array" aca="1" ref="P447" ca="1">IFERROR(INDEX(_xlfn.ANCHORARRAY($C$3),T_CALC[[#This Row],[DAY]]+1,6),NA())</f>
        <v>1.3807</v>
      </c>
      <c r="Q447" cm="1">
        <f t="array" aca="1" ref="Q447" ca="1">IFERROR(INDEX(_xlfn.ANCHORARRAY($C$3),T_CALC[[#This Row],[DAY]]+1,2),NA())</f>
        <v>0</v>
      </c>
    </row>
    <row r="448" spans="3:17">
      <c r="C448" vm="2810">
        <f ca="1"/>
        <v>43378</v>
      </c>
      <c r="D448">
        <f ca="1"/>
        <v>0</v>
      </c>
      <c r="E448" vm="2811">
        <f ca="1"/>
        <v>1.381</v>
      </c>
      <c r="F448" vm="1814">
        <f ca="1"/>
        <v>1.3833</v>
      </c>
      <c r="G448" vm="1921">
        <f ca="1"/>
        <v>1.3793</v>
      </c>
      <c r="H448" vm="2812">
        <f ca="1"/>
        <v>1.3826000000000001</v>
      </c>
      <c r="K448">
        <f ca="1">IF(ROW(T_CALC[[#This Row],[DAY]])-ROW(T_CALC[[#Headers],[DAY]])&gt;C_N_TRADING_DAYS,"",ROW(T_CALC[[#This Row],[DAY]])-ROW(T_CALC[[#Headers],[DAY]]))</f>
        <v>445</v>
      </c>
      <c r="L448" cm="1" vm="2810">
        <f t="array" aca="1" ref="L448" ca="1">IFERROR(INDEX(_xlfn.ANCHORARRAY($C$3),T_CALC[[#This Row],[DAY]]+1,1),NA())</f>
        <v>43378</v>
      </c>
      <c r="M448" cm="1" vm="2811">
        <f t="array" aca="1" ref="M448" ca="1">IFERROR(INDEX(_xlfn.ANCHORARRAY($C$3),T_CALC[[#This Row],[DAY]]+1,3),NA())</f>
        <v>1.381</v>
      </c>
      <c r="N448" cm="1" vm="1814">
        <f t="array" aca="1" ref="N448" ca="1">IFERROR(INDEX(_xlfn.ANCHORARRAY($C$3),T_CALC[[#This Row],[DAY]]+1,4),NA())</f>
        <v>1.3833</v>
      </c>
      <c r="O448" cm="1" vm="1921">
        <f t="array" aca="1" ref="O448" ca="1">IFERROR(INDEX(_xlfn.ANCHORARRAY($C$3),T_CALC[[#This Row],[DAY]]+1,5),NA())</f>
        <v>1.3793</v>
      </c>
      <c r="P448" cm="1" vm="2812">
        <f t="array" aca="1" ref="P448" ca="1">IFERROR(INDEX(_xlfn.ANCHORARRAY($C$3),T_CALC[[#This Row],[DAY]]+1,6),NA())</f>
        <v>1.3826000000000001</v>
      </c>
      <c r="Q448" cm="1">
        <f t="array" aca="1" ref="Q448" ca="1">IFERROR(INDEX(_xlfn.ANCHORARRAY($C$3),T_CALC[[#This Row],[DAY]]+1,2),NA())</f>
        <v>0</v>
      </c>
    </row>
    <row r="449" spans="3:17">
      <c r="C449" vm="2813">
        <f ca="1"/>
        <v>43381</v>
      </c>
      <c r="D449">
        <f ca="1"/>
        <v>0</v>
      </c>
      <c r="E449" vm="1865">
        <f ca="1"/>
        <v>1.3827</v>
      </c>
      <c r="F449" vm="1851">
        <f ca="1"/>
        <v>1.3865000000000001</v>
      </c>
      <c r="G449" vm="1858">
        <f ca="1"/>
        <v>1.3814</v>
      </c>
      <c r="H449" vm="1876">
        <f ca="1"/>
        <v>1.3835999999999999</v>
      </c>
      <c r="K449">
        <f ca="1">IF(ROW(T_CALC[[#This Row],[DAY]])-ROW(T_CALC[[#Headers],[DAY]])&gt;C_N_TRADING_DAYS,"",ROW(T_CALC[[#This Row],[DAY]])-ROW(T_CALC[[#Headers],[DAY]]))</f>
        <v>446</v>
      </c>
      <c r="L449" cm="1" vm="2813">
        <f t="array" aca="1" ref="L449" ca="1">IFERROR(INDEX(_xlfn.ANCHORARRAY($C$3),T_CALC[[#This Row],[DAY]]+1,1),NA())</f>
        <v>43381</v>
      </c>
      <c r="M449" cm="1" vm="1865">
        <f t="array" aca="1" ref="M449" ca="1">IFERROR(INDEX(_xlfn.ANCHORARRAY($C$3),T_CALC[[#This Row],[DAY]]+1,3),NA())</f>
        <v>1.3827</v>
      </c>
      <c r="N449" cm="1" vm="1851">
        <f t="array" aca="1" ref="N449" ca="1">IFERROR(INDEX(_xlfn.ANCHORARRAY($C$3),T_CALC[[#This Row],[DAY]]+1,4),NA())</f>
        <v>1.3865000000000001</v>
      </c>
      <c r="O449" cm="1" vm="1858">
        <f t="array" aca="1" ref="O449" ca="1">IFERROR(INDEX(_xlfn.ANCHORARRAY($C$3),T_CALC[[#This Row],[DAY]]+1,5),NA())</f>
        <v>1.3814</v>
      </c>
      <c r="P449" cm="1" vm="1876">
        <f t="array" aca="1" ref="P449" ca="1">IFERROR(INDEX(_xlfn.ANCHORARRAY($C$3),T_CALC[[#This Row],[DAY]]+1,6),NA())</f>
        <v>1.3835999999999999</v>
      </c>
      <c r="Q449" cm="1">
        <f t="array" aca="1" ref="Q449" ca="1">IFERROR(INDEX(_xlfn.ANCHORARRAY($C$3),T_CALC[[#This Row],[DAY]]+1,2),NA())</f>
        <v>0</v>
      </c>
    </row>
    <row r="450" spans="3:17">
      <c r="C450" vm="2814">
        <f ca="1"/>
        <v>43382</v>
      </c>
      <c r="D450">
        <f ca="1"/>
        <v>0</v>
      </c>
      <c r="E450" vm="1827">
        <f ca="1"/>
        <v>1.3836999999999999</v>
      </c>
      <c r="F450" vm="1892">
        <f ca="1"/>
        <v>1.3872</v>
      </c>
      <c r="G450" vm="1832">
        <f ca="1"/>
        <v>1.3816999999999999</v>
      </c>
      <c r="H450" vm="1867">
        <f ca="1"/>
        <v>1.3818999999999999</v>
      </c>
      <c r="K450">
        <f ca="1">IF(ROW(T_CALC[[#This Row],[DAY]])-ROW(T_CALC[[#Headers],[DAY]])&gt;C_N_TRADING_DAYS,"",ROW(T_CALC[[#This Row],[DAY]])-ROW(T_CALC[[#Headers],[DAY]]))</f>
        <v>447</v>
      </c>
      <c r="L450" cm="1" vm="2814">
        <f t="array" aca="1" ref="L450" ca="1">IFERROR(INDEX(_xlfn.ANCHORARRAY($C$3),T_CALC[[#This Row],[DAY]]+1,1),NA())</f>
        <v>43382</v>
      </c>
      <c r="M450" cm="1" vm="1827">
        <f t="array" aca="1" ref="M450" ca="1">IFERROR(INDEX(_xlfn.ANCHORARRAY($C$3),T_CALC[[#This Row],[DAY]]+1,3),NA())</f>
        <v>1.3836999999999999</v>
      </c>
      <c r="N450" cm="1" vm="1892">
        <f t="array" aca="1" ref="N450" ca="1">IFERROR(INDEX(_xlfn.ANCHORARRAY($C$3),T_CALC[[#This Row],[DAY]]+1,4),NA())</f>
        <v>1.3872</v>
      </c>
      <c r="O450" cm="1" vm="1832">
        <f t="array" aca="1" ref="O450" ca="1">IFERROR(INDEX(_xlfn.ANCHORARRAY($C$3),T_CALC[[#This Row],[DAY]]+1,5),NA())</f>
        <v>1.3816999999999999</v>
      </c>
      <c r="P450" cm="1" vm="1867">
        <f t="array" aca="1" ref="P450" ca="1">IFERROR(INDEX(_xlfn.ANCHORARRAY($C$3),T_CALC[[#This Row],[DAY]]+1,6),NA())</f>
        <v>1.3818999999999999</v>
      </c>
      <c r="Q450" cm="1">
        <f t="array" aca="1" ref="Q450" ca="1">IFERROR(INDEX(_xlfn.ANCHORARRAY($C$3),T_CALC[[#This Row],[DAY]]+1,2),NA())</f>
        <v>0</v>
      </c>
    </row>
    <row r="451" spans="3:17">
      <c r="C451" vm="2815">
        <f ca="1"/>
        <v>43383</v>
      </c>
      <c r="D451">
        <f ca="1"/>
        <v>0</v>
      </c>
      <c r="E451" vm="2812">
        <f ca="1"/>
        <v>1.3826000000000001</v>
      </c>
      <c r="F451" vm="1843">
        <f ca="1"/>
        <v>1.3837999999999999</v>
      </c>
      <c r="G451" vm="2816">
        <f ca="1"/>
        <v>1.379</v>
      </c>
      <c r="H451" vm="1842">
        <f ca="1"/>
        <v>1.3832</v>
      </c>
      <c r="K451">
        <f ca="1">IF(ROW(T_CALC[[#This Row],[DAY]])-ROW(T_CALC[[#Headers],[DAY]])&gt;C_N_TRADING_DAYS,"",ROW(T_CALC[[#This Row],[DAY]])-ROW(T_CALC[[#Headers],[DAY]]))</f>
        <v>448</v>
      </c>
      <c r="L451" cm="1" vm="2815">
        <f t="array" aca="1" ref="L451" ca="1">IFERROR(INDEX(_xlfn.ANCHORARRAY($C$3),T_CALC[[#This Row],[DAY]]+1,1),NA())</f>
        <v>43383</v>
      </c>
      <c r="M451" cm="1" vm="2812">
        <f t="array" aca="1" ref="M451" ca="1">IFERROR(INDEX(_xlfn.ANCHORARRAY($C$3),T_CALC[[#This Row],[DAY]]+1,3),NA())</f>
        <v>1.3826000000000001</v>
      </c>
      <c r="N451" cm="1" vm="1843">
        <f t="array" aca="1" ref="N451" ca="1">IFERROR(INDEX(_xlfn.ANCHORARRAY($C$3),T_CALC[[#This Row],[DAY]]+1,4),NA())</f>
        <v>1.3837999999999999</v>
      </c>
      <c r="O451" cm="1" vm="2816">
        <f t="array" aca="1" ref="O451" ca="1">IFERROR(INDEX(_xlfn.ANCHORARRAY($C$3),T_CALC[[#This Row],[DAY]]+1,5),NA())</f>
        <v>1.379</v>
      </c>
      <c r="P451" cm="1" vm="1842">
        <f t="array" aca="1" ref="P451" ca="1">IFERROR(INDEX(_xlfn.ANCHORARRAY($C$3),T_CALC[[#This Row],[DAY]]+1,6),NA())</f>
        <v>1.3832</v>
      </c>
      <c r="Q451" cm="1">
        <f t="array" aca="1" ref="Q451" ca="1">IFERROR(INDEX(_xlfn.ANCHORARRAY($C$3),T_CALC[[#This Row],[DAY]]+1,2),NA())</f>
        <v>0</v>
      </c>
    </row>
    <row r="452" spans="3:17">
      <c r="C452" vm="2817">
        <f ca="1"/>
        <v>43384</v>
      </c>
      <c r="D452">
        <f ca="1"/>
        <v>0</v>
      </c>
      <c r="E452" vm="1814">
        <f ca="1"/>
        <v>1.3833</v>
      </c>
      <c r="F452" vm="1845">
        <f ca="1"/>
        <v>1.3838999999999999</v>
      </c>
      <c r="G452" vm="2733">
        <f ca="1"/>
        <v>1.3755999999999999</v>
      </c>
      <c r="H452" vm="2818">
        <f ca="1"/>
        <v>1.3764000000000001</v>
      </c>
      <c r="K452">
        <f ca="1">IF(ROW(T_CALC[[#This Row],[DAY]])-ROW(T_CALC[[#Headers],[DAY]])&gt;C_N_TRADING_DAYS,"",ROW(T_CALC[[#This Row],[DAY]])-ROW(T_CALC[[#Headers],[DAY]]))</f>
        <v>449</v>
      </c>
      <c r="L452" cm="1" vm="2817">
        <f t="array" aca="1" ref="L452" ca="1">IFERROR(INDEX(_xlfn.ANCHORARRAY($C$3),T_CALC[[#This Row],[DAY]]+1,1),NA())</f>
        <v>43384</v>
      </c>
      <c r="M452" cm="1" vm="1814">
        <f t="array" aca="1" ref="M452" ca="1">IFERROR(INDEX(_xlfn.ANCHORARRAY($C$3),T_CALC[[#This Row],[DAY]]+1,3),NA())</f>
        <v>1.3833</v>
      </c>
      <c r="N452" cm="1" vm="1845">
        <f t="array" aca="1" ref="N452" ca="1">IFERROR(INDEX(_xlfn.ANCHORARRAY($C$3),T_CALC[[#This Row],[DAY]]+1,4),NA())</f>
        <v>1.3838999999999999</v>
      </c>
      <c r="O452" cm="1" vm="2733">
        <f t="array" aca="1" ref="O452" ca="1">IFERROR(INDEX(_xlfn.ANCHORARRAY($C$3),T_CALC[[#This Row],[DAY]]+1,5),NA())</f>
        <v>1.3755999999999999</v>
      </c>
      <c r="P452" cm="1" vm="2818">
        <f t="array" aca="1" ref="P452" ca="1">IFERROR(INDEX(_xlfn.ANCHORARRAY($C$3),T_CALC[[#This Row],[DAY]]+1,6),NA())</f>
        <v>1.3764000000000001</v>
      </c>
      <c r="Q452" cm="1">
        <f t="array" aca="1" ref="Q452" ca="1">IFERROR(INDEX(_xlfn.ANCHORARRAY($C$3),T_CALC[[#This Row],[DAY]]+1,2),NA())</f>
        <v>0</v>
      </c>
    </row>
    <row r="453" spans="3:17">
      <c r="C453" vm="2819">
        <f ca="1"/>
        <v>43385</v>
      </c>
      <c r="D453">
        <f ca="1"/>
        <v>0</v>
      </c>
      <c r="E453" vm="2820">
        <f ca="1"/>
        <v>1.3761000000000001</v>
      </c>
      <c r="F453" vm="1920">
        <f ca="1"/>
        <v>1.3785000000000001</v>
      </c>
      <c r="G453" vm="2731">
        <f ca="1"/>
        <v>1.3728</v>
      </c>
      <c r="H453" vm="2821">
        <f ca="1"/>
        <v>1.3774</v>
      </c>
      <c r="K453">
        <f ca="1">IF(ROW(T_CALC[[#This Row],[DAY]])-ROW(T_CALC[[#Headers],[DAY]])&gt;C_N_TRADING_DAYS,"",ROW(T_CALC[[#This Row],[DAY]])-ROW(T_CALC[[#Headers],[DAY]]))</f>
        <v>450</v>
      </c>
      <c r="L453" cm="1" vm="2819">
        <f t="array" aca="1" ref="L453" ca="1">IFERROR(INDEX(_xlfn.ANCHORARRAY($C$3),T_CALC[[#This Row],[DAY]]+1,1),NA())</f>
        <v>43385</v>
      </c>
      <c r="M453" cm="1" vm="2820">
        <f t="array" aca="1" ref="M453" ca="1">IFERROR(INDEX(_xlfn.ANCHORARRAY($C$3),T_CALC[[#This Row],[DAY]]+1,3),NA())</f>
        <v>1.3761000000000001</v>
      </c>
      <c r="N453" cm="1" vm="1920">
        <f t="array" aca="1" ref="N453" ca="1">IFERROR(INDEX(_xlfn.ANCHORARRAY($C$3),T_CALC[[#This Row],[DAY]]+1,4),NA())</f>
        <v>1.3785000000000001</v>
      </c>
      <c r="O453" cm="1" vm="2731">
        <f t="array" aca="1" ref="O453" ca="1">IFERROR(INDEX(_xlfn.ANCHORARRAY($C$3),T_CALC[[#This Row],[DAY]]+1,5),NA())</f>
        <v>1.3728</v>
      </c>
      <c r="P453" cm="1" vm="2821">
        <f t="array" aca="1" ref="P453" ca="1">IFERROR(INDEX(_xlfn.ANCHORARRAY($C$3),T_CALC[[#This Row],[DAY]]+1,6),NA())</f>
        <v>1.3774</v>
      </c>
      <c r="Q453" cm="1">
        <f t="array" aca="1" ref="Q453" ca="1">IFERROR(INDEX(_xlfn.ANCHORARRAY($C$3),T_CALC[[#This Row],[DAY]]+1,2),NA())</f>
        <v>0</v>
      </c>
    </row>
    <row r="454" spans="3:17">
      <c r="C454" vm="2822">
        <f ca="1"/>
        <v>43388</v>
      </c>
      <c r="D454">
        <f ca="1"/>
        <v>0</v>
      </c>
      <c r="E454" vm="2738">
        <f ca="1"/>
        <v>1.3776999999999999</v>
      </c>
      <c r="F454" vm="1864">
        <f ca="1"/>
        <v>1.3794</v>
      </c>
      <c r="G454" vm="2823">
        <f ca="1"/>
        <v>1.3746</v>
      </c>
      <c r="H454" vm="1925">
        <f ca="1"/>
        <v>1.3765000000000001</v>
      </c>
      <c r="K454">
        <f ca="1">IF(ROW(T_CALC[[#This Row],[DAY]])-ROW(T_CALC[[#Headers],[DAY]])&gt;C_N_TRADING_DAYS,"",ROW(T_CALC[[#This Row],[DAY]])-ROW(T_CALC[[#Headers],[DAY]]))</f>
        <v>451</v>
      </c>
      <c r="L454" cm="1" vm="2822">
        <f t="array" aca="1" ref="L454" ca="1">IFERROR(INDEX(_xlfn.ANCHORARRAY($C$3),T_CALC[[#This Row],[DAY]]+1,1),NA())</f>
        <v>43388</v>
      </c>
      <c r="M454" cm="1" vm="2738">
        <f t="array" aca="1" ref="M454" ca="1">IFERROR(INDEX(_xlfn.ANCHORARRAY($C$3),T_CALC[[#This Row],[DAY]]+1,3),NA())</f>
        <v>1.3776999999999999</v>
      </c>
      <c r="N454" cm="1" vm="1864">
        <f t="array" aca="1" ref="N454" ca="1">IFERROR(INDEX(_xlfn.ANCHORARRAY($C$3),T_CALC[[#This Row],[DAY]]+1,4),NA())</f>
        <v>1.3794</v>
      </c>
      <c r="O454" cm="1" vm="2823">
        <f t="array" aca="1" ref="O454" ca="1">IFERROR(INDEX(_xlfn.ANCHORARRAY($C$3),T_CALC[[#This Row],[DAY]]+1,5),NA())</f>
        <v>1.3746</v>
      </c>
      <c r="P454" cm="1" vm="1925">
        <f t="array" aca="1" ref="P454" ca="1">IFERROR(INDEX(_xlfn.ANCHORARRAY($C$3),T_CALC[[#This Row],[DAY]]+1,6),NA())</f>
        <v>1.3765000000000001</v>
      </c>
      <c r="Q454" cm="1">
        <f t="array" aca="1" ref="Q454" ca="1">IFERROR(INDEX(_xlfn.ANCHORARRAY($C$3),T_CALC[[#This Row],[DAY]]+1,2),NA())</f>
        <v>0</v>
      </c>
    </row>
    <row r="455" spans="3:17">
      <c r="C455" vm="2824">
        <f ca="1"/>
        <v>43389</v>
      </c>
      <c r="D455">
        <f ca="1"/>
        <v>0</v>
      </c>
      <c r="E455" vm="2818">
        <f ca="1"/>
        <v>1.3764000000000001</v>
      </c>
      <c r="F455" vm="1857">
        <f ca="1"/>
        <v>1.3781000000000001</v>
      </c>
      <c r="G455" vm="2825">
        <f ca="1"/>
        <v>1.3724000000000001</v>
      </c>
      <c r="H455" vm="2826">
        <f ca="1"/>
        <v>1.3748</v>
      </c>
      <c r="K455">
        <f ca="1">IF(ROW(T_CALC[[#This Row],[DAY]])-ROW(T_CALC[[#Headers],[DAY]])&gt;C_N_TRADING_DAYS,"",ROW(T_CALC[[#This Row],[DAY]])-ROW(T_CALC[[#Headers],[DAY]]))</f>
        <v>452</v>
      </c>
      <c r="L455" cm="1" vm="2824">
        <f t="array" aca="1" ref="L455" ca="1">IFERROR(INDEX(_xlfn.ANCHORARRAY($C$3),T_CALC[[#This Row],[DAY]]+1,1),NA())</f>
        <v>43389</v>
      </c>
      <c r="M455" cm="1" vm="2818">
        <f t="array" aca="1" ref="M455" ca="1">IFERROR(INDEX(_xlfn.ANCHORARRAY($C$3),T_CALC[[#This Row],[DAY]]+1,3),NA())</f>
        <v>1.3764000000000001</v>
      </c>
      <c r="N455" cm="1" vm="1857">
        <f t="array" aca="1" ref="N455" ca="1">IFERROR(INDEX(_xlfn.ANCHORARRAY($C$3),T_CALC[[#This Row],[DAY]]+1,4),NA())</f>
        <v>1.3781000000000001</v>
      </c>
      <c r="O455" cm="1" vm="2825">
        <f t="array" aca="1" ref="O455" ca="1">IFERROR(INDEX(_xlfn.ANCHORARRAY($C$3),T_CALC[[#This Row],[DAY]]+1,5),NA())</f>
        <v>1.3724000000000001</v>
      </c>
      <c r="P455" cm="1" vm="2826">
        <f t="array" aca="1" ref="P455" ca="1">IFERROR(INDEX(_xlfn.ANCHORARRAY($C$3),T_CALC[[#This Row],[DAY]]+1,6),NA())</f>
        <v>1.3748</v>
      </c>
      <c r="Q455" cm="1">
        <f t="array" aca="1" ref="Q455" ca="1">IFERROR(INDEX(_xlfn.ANCHORARRAY($C$3),T_CALC[[#This Row],[DAY]]+1,2),NA())</f>
        <v>0</v>
      </c>
    </row>
    <row r="456" spans="3:17">
      <c r="C456" vm="2827">
        <f ca="1"/>
        <v>43390</v>
      </c>
      <c r="D456">
        <f ca="1"/>
        <v>0</v>
      </c>
      <c r="E456" vm="2828">
        <f ca="1"/>
        <v>1.3747</v>
      </c>
      <c r="F456" vm="1857">
        <f ca="1"/>
        <v>1.3781000000000001</v>
      </c>
      <c r="G456" vm="2829">
        <f ca="1"/>
        <v>1.3723000000000001</v>
      </c>
      <c r="H456" vm="2830">
        <f ca="1"/>
        <v>1.3779999999999999</v>
      </c>
      <c r="K456">
        <f ca="1">IF(ROW(T_CALC[[#This Row],[DAY]])-ROW(T_CALC[[#Headers],[DAY]])&gt;C_N_TRADING_DAYS,"",ROW(T_CALC[[#This Row],[DAY]])-ROW(T_CALC[[#Headers],[DAY]]))</f>
        <v>453</v>
      </c>
      <c r="L456" cm="1" vm="2827">
        <f t="array" aca="1" ref="L456" ca="1">IFERROR(INDEX(_xlfn.ANCHORARRAY($C$3),T_CALC[[#This Row],[DAY]]+1,1),NA())</f>
        <v>43390</v>
      </c>
      <c r="M456" cm="1" vm="2828">
        <f t="array" aca="1" ref="M456" ca="1">IFERROR(INDEX(_xlfn.ANCHORARRAY($C$3),T_CALC[[#This Row],[DAY]]+1,3),NA())</f>
        <v>1.3747</v>
      </c>
      <c r="N456" cm="1" vm="1857">
        <f t="array" aca="1" ref="N456" ca="1">IFERROR(INDEX(_xlfn.ANCHORARRAY($C$3),T_CALC[[#This Row],[DAY]]+1,4),NA())</f>
        <v>1.3781000000000001</v>
      </c>
      <c r="O456" cm="1" vm="2829">
        <f t="array" aca="1" ref="O456" ca="1">IFERROR(INDEX(_xlfn.ANCHORARRAY($C$3),T_CALC[[#This Row],[DAY]]+1,5),NA())</f>
        <v>1.3723000000000001</v>
      </c>
      <c r="P456" cm="1" vm="2830">
        <f t="array" aca="1" ref="P456" ca="1">IFERROR(INDEX(_xlfn.ANCHORARRAY($C$3),T_CALC[[#This Row],[DAY]]+1,6),NA())</f>
        <v>1.3779999999999999</v>
      </c>
      <c r="Q456" cm="1">
        <f t="array" aca="1" ref="Q456" ca="1">IFERROR(INDEX(_xlfn.ANCHORARRAY($C$3),T_CALC[[#This Row],[DAY]]+1,2),NA())</f>
        <v>0</v>
      </c>
    </row>
    <row r="457" spans="3:17">
      <c r="C457" vm="2831">
        <f ca="1"/>
        <v>43391</v>
      </c>
      <c r="D457">
        <f ca="1"/>
        <v>0</v>
      </c>
      <c r="E457" vm="1857">
        <f ca="1"/>
        <v>1.3781000000000001</v>
      </c>
      <c r="F457" vm="1860">
        <f ca="1"/>
        <v>1.3819999999999999</v>
      </c>
      <c r="G457" vm="2804">
        <f ca="1"/>
        <v>1.3767</v>
      </c>
      <c r="H457" vm="1936">
        <f ca="1"/>
        <v>1.3815999999999999</v>
      </c>
      <c r="K457">
        <f ca="1">IF(ROW(T_CALC[[#This Row],[DAY]])-ROW(T_CALC[[#Headers],[DAY]])&gt;C_N_TRADING_DAYS,"",ROW(T_CALC[[#This Row],[DAY]])-ROW(T_CALC[[#Headers],[DAY]]))</f>
        <v>454</v>
      </c>
      <c r="L457" cm="1" vm="2831">
        <f t="array" aca="1" ref="L457" ca="1">IFERROR(INDEX(_xlfn.ANCHORARRAY($C$3),T_CALC[[#This Row],[DAY]]+1,1),NA())</f>
        <v>43391</v>
      </c>
      <c r="M457" cm="1" vm="1857">
        <f t="array" aca="1" ref="M457" ca="1">IFERROR(INDEX(_xlfn.ANCHORARRAY($C$3),T_CALC[[#This Row],[DAY]]+1,3),NA())</f>
        <v>1.3781000000000001</v>
      </c>
      <c r="N457" cm="1" vm="1860">
        <f t="array" aca="1" ref="N457" ca="1">IFERROR(INDEX(_xlfn.ANCHORARRAY($C$3),T_CALC[[#This Row],[DAY]]+1,4),NA())</f>
        <v>1.3819999999999999</v>
      </c>
      <c r="O457" cm="1" vm="2804">
        <f t="array" aca="1" ref="O457" ca="1">IFERROR(INDEX(_xlfn.ANCHORARRAY($C$3),T_CALC[[#This Row],[DAY]]+1,5),NA())</f>
        <v>1.3767</v>
      </c>
      <c r="P457" cm="1" vm="1936">
        <f t="array" aca="1" ref="P457" ca="1">IFERROR(INDEX(_xlfn.ANCHORARRAY($C$3),T_CALC[[#This Row],[DAY]]+1,6),NA())</f>
        <v>1.3815999999999999</v>
      </c>
      <c r="Q457" cm="1">
        <f t="array" aca="1" ref="Q457" ca="1">IFERROR(INDEX(_xlfn.ANCHORARRAY($C$3),T_CALC[[#This Row],[DAY]]+1,2),NA())</f>
        <v>0</v>
      </c>
    </row>
    <row r="458" spans="3:17">
      <c r="C458" vm="2832">
        <f ca="1"/>
        <v>43392</v>
      </c>
      <c r="D458">
        <f ca="1"/>
        <v>0</v>
      </c>
      <c r="E458" vm="1936">
        <f ca="1"/>
        <v>1.3815999999999999</v>
      </c>
      <c r="F458" vm="1867">
        <f ca="1"/>
        <v>1.3818999999999999</v>
      </c>
      <c r="G458" vm="2769">
        <f ca="1"/>
        <v>1.3758999999999999</v>
      </c>
      <c r="H458" vm="2821">
        <f ca="1"/>
        <v>1.3774</v>
      </c>
      <c r="K458">
        <f ca="1">IF(ROW(T_CALC[[#This Row],[DAY]])-ROW(T_CALC[[#Headers],[DAY]])&gt;C_N_TRADING_DAYS,"",ROW(T_CALC[[#This Row],[DAY]])-ROW(T_CALC[[#Headers],[DAY]]))</f>
        <v>455</v>
      </c>
      <c r="L458" cm="1" vm="2832">
        <f t="array" aca="1" ref="L458" ca="1">IFERROR(INDEX(_xlfn.ANCHORARRAY($C$3),T_CALC[[#This Row],[DAY]]+1,1),NA())</f>
        <v>43392</v>
      </c>
      <c r="M458" cm="1" vm="1936">
        <f t="array" aca="1" ref="M458" ca="1">IFERROR(INDEX(_xlfn.ANCHORARRAY($C$3),T_CALC[[#This Row],[DAY]]+1,3),NA())</f>
        <v>1.3815999999999999</v>
      </c>
      <c r="N458" cm="1" vm="1867">
        <f t="array" aca="1" ref="N458" ca="1">IFERROR(INDEX(_xlfn.ANCHORARRAY($C$3),T_CALC[[#This Row],[DAY]]+1,4),NA())</f>
        <v>1.3818999999999999</v>
      </c>
      <c r="O458" cm="1" vm="2769">
        <f t="array" aca="1" ref="O458" ca="1">IFERROR(INDEX(_xlfn.ANCHORARRAY($C$3),T_CALC[[#This Row],[DAY]]+1,5),NA())</f>
        <v>1.3758999999999999</v>
      </c>
      <c r="P458" cm="1" vm="2821">
        <f t="array" aca="1" ref="P458" ca="1">IFERROR(INDEX(_xlfn.ANCHORARRAY($C$3),T_CALC[[#This Row],[DAY]]+1,6),NA())</f>
        <v>1.3774</v>
      </c>
      <c r="Q458" cm="1">
        <f t="array" aca="1" ref="Q458" ca="1">IFERROR(INDEX(_xlfn.ANCHORARRAY($C$3),T_CALC[[#This Row],[DAY]]+1,2),NA())</f>
        <v>0</v>
      </c>
    </row>
    <row r="459" spans="3:17">
      <c r="C459" vm="2833">
        <f ca="1"/>
        <v>43395</v>
      </c>
      <c r="D459">
        <f ca="1"/>
        <v>0</v>
      </c>
      <c r="E459" vm="2834">
        <f ca="1"/>
        <v>1.3771</v>
      </c>
      <c r="F459" vm="1941">
        <f ca="1"/>
        <v>1.3808</v>
      </c>
      <c r="G459" vm="2835">
        <f ca="1"/>
        <v>1.3754999999999999</v>
      </c>
      <c r="H459" vm="1853">
        <f ca="1"/>
        <v>1.3797999999999999</v>
      </c>
      <c r="K459">
        <f ca="1">IF(ROW(T_CALC[[#This Row],[DAY]])-ROW(T_CALC[[#Headers],[DAY]])&gt;C_N_TRADING_DAYS,"",ROW(T_CALC[[#This Row],[DAY]])-ROW(T_CALC[[#Headers],[DAY]]))</f>
        <v>456</v>
      </c>
      <c r="L459" cm="1" vm="2833">
        <f t="array" aca="1" ref="L459" ca="1">IFERROR(INDEX(_xlfn.ANCHORARRAY($C$3),T_CALC[[#This Row],[DAY]]+1,1),NA())</f>
        <v>43395</v>
      </c>
      <c r="M459" cm="1" vm="2834">
        <f t="array" aca="1" ref="M459" ca="1">IFERROR(INDEX(_xlfn.ANCHORARRAY($C$3),T_CALC[[#This Row],[DAY]]+1,3),NA())</f>
        <v>1.3771</v>
      </c>
      <c r="N459" cm="1" vm="1941">
        <f t="array" aca="1" ref="N459" ca="1">IFERROR(INDEX(_xlfn.ANCHORARRAY($C$3),T_CALC[[#This Row],[DAY]]+1,4),NA())</f>
        <v>1.3808</v>
      </c>
      <c r="O459" cm="1" vm="2835">
        <f t="array" aca="1" ref="O459" ca="1">IFERROR(INDEX(_xlfn.ANCHORARRAY($C$3),T_CALC[[#This Row],[DAY]]+1,5),NA())</f>
        <v>1.3754999999999999</v>
      </c>
      <c r="P459" cm="1" vm="1853">
        <f t="array" aca="1" ref="P459" ca="1">IFERROR(INDEX(_xlfn.ANCHORARRAY($C$3),T_CALC[[#This Row],[DAY]]+1,6),NA())</f>
        <v>1.3797999999999999</v>
      </c>
      <c r="Q459" cm="1">
        <f t="array" aca="1" ref="Q459" ca="1">IFERROR(INDEX(_xlfn.ANCHORARRAY($C$3),T_CALC[[#This Row],[DAY]]+1,2),NA())</f>
        <v>0</v>
      </c>
    </row>
    <row r="460" spans="3:17">
      <c r="C460" vm="2836">
        <f ca="1"/>
        <v>43396</v>
      </c>
      <c r="D460">
        <f ca="1"/>
        <v>0</v>
      </c>
      <c r="E460" vm="1853">
        <f ca="1"/>
        <v>1.3797999999999999</v>
      </c>
      <c r="F460" vm="1936">
        <f ca="1"/>
        <v>1.3815999999999999</v>
      </c>
      <c r="G460" vm="2837">
        <f ca="1"/>
        <v>1.377</v>
      </c>
      <c r="H460" vm="2838">
        <f ca="1"/>
        <v>1.3778999999999999</v>
      </c>
      <c r="K460">
        <f ca="1">IF(ROW(T_CALC[[#This Row],[DAY]])-ROW(T_CALC[[#Headers],[DAY]])&gt;C_N_TRADING_DAYS,"",ROW(T_CALC[[#This Row],[DAY]])-ROW(T_CALC[[#Headers],[DAY]]))</f>
        <v>457</v>
      </c>
      <c r="L460" cm="1" vm="2836">
        <f t="array" aca="1" ref="L460" ca="1">IFERROR(INDEX(_xlfn.ANCHORARRAY($C$3),T_CALC[[#This Row],[DAY]]+1,1),NA())</f>
        <v>43396</v>
      </c>
      <c r="M460" cm="1" vm="1853">
        <f t="array" aca="1" ref="M460" ca="1">IFERROR(INDEX(_xlfn.ANCHORARRAY($C$3),T_CALC[[#This Row],[DAY]]+1,3),NA())</f>
        <v>1.3797999999999999</v>
      </c>
      <c r="N460" cm="1" vm="1936">
        <f t="array" aca="1" ref="N460" ca="1">IFERROR(INDEX(_xlfn.ANCHORARRAY($C$3),T_CALC[[#This Row],[DAY]]+1,4),NA())</f>
        <v>1.3815999999999999</v>
      </c>
      <c r="O460" cm="1" vm="2837">
        <f t="array" aca="1" ref="O460" ca="1">IFERROR(INDEX(_xlfn.ANCHORARRAY($C$3),T_CALC[[#This Row],[DAY]]+1,5),NA())</f>
        <v>1.377</v>
      </c>
      <c r="P460" cm="1" vm="2838">
        <f t="array" aca="1" ref="P460" ca="1">IFERROR(INDEX(_xlfn.ANCHORARRAY($C$3),T_CALC[[#This Row],[DAY]]+1,6),NA())</f>
        <v>1.3778999999999999</v>
      </c>
      <c r="Q460" cm="1">
        <f t="array" aca="1" ref="Q460" ca="1">IFERROR(INDEX(_xlfn.ANCHORARRAY($C$3),T_CALC[[#This Row],[DAY]]+1,2),NA())</f>
        <v>0</v>
      </c>
    </row>
    <row r="461" spans="3:17">
      <c r="C461" vm="2839">
        <f ca="1"/>
        <v>43397</v>
      </c>
      <c r="D461">
        <f ca="1"/>
        <v>0</v>
      </c>
      <c r="E461" vm="1861">
        <f ca="1"/>
        <v>1.3777999999999999</v>
      </c>
      <c r="F461" vm="1836">
        <f ca="1"/>
        <v>1.3815</v>
      </c>
      <c r="G461" vm="2840">
        <f ca="1"/>
        <v>1.3766</v>
      </c>
      <c r="H461" vm="1933">
        <f ca="1"/>
        <v>1.3806</v>
      </c>
      <c r="K461">
        <f ca="1">IF(ROW(T_CALC[[#This Row],[DAY]])-ROW(T_CALC[[#Headers],[DAY]])&gt;C_N_TRADING_DAYS,"",ROW(T_CALC[[#This Row],[DAY]])-ROW(T_CALC[[#Headers],[DAY]]))</f>
        <v>458</v>
      </c>
      <c r="L461" cm="1" vm="2839">
        <f t="array" aca="1" ref="L461" ca="1">IFERROR(INDEX(_xlfn.ANCHORARRAY($C$3),T_CALC[[#This Row],[DAY]]+1,1),NA())</f>
        <v>43397</v>
      </c>
      <c r="M461" cm="1" vm="1861">
        <f t="array" aca="1" ref="M461" ca="1">IFERROR(INDEX(_xlfn.ANCHORARRAY($C$3),T_CALC[[#This Row],[DAY]]+1,3),NA())</f>
        <v>1.3777999999999999</v>
      </c>
      <c r="N461" cm="1" vm="1836">
        <f t="array" aca="1" ref="N461" ca="1">IFERROR(INDEX(_xlfn.ANCHORARRAY($C$3),T_CALC[[#This Row],[DAY]]+1,4),NA())</f>
        <v>1.3815</v>
      </c>
      <c r="O461" cm="1" vm="2840">
        <f t="array" aca="1" ref="O461" ca="1">IFERROR(INDEX(_xlfn.ANCHORARRAY($C$3),T_CALC[[#This Row],[DAY]]+1,5),NA())</f>
        <v>1.3766</v>
      </c>
      <c r="P461" cm="1" vm="1933">
        <f t="array" aca="1" ref="P461" ca="1">IFERROR(INDEX(_xlfn.ANCHORARRAY($C$3),T_CALC[[#This Row],[DAY]]+1,6),NA())</f>
        <v>1.3806</v>
      </c>
      <c r="Q461" cm="1">
        <f t="array" aca="1" ref="Q461" ca="1">IFERROR(INDEX(_xlfn.ANCHORARRAY($C$3),T_CALC[[#This Row],[DAY]]+1,2),NA())</f>
        <v>0</v>
      </c>
    </row>
    <row r="462" spans="3:17">
      <c r="C462" vm="2841">
        <f ca="1"/>
        <v>43398</v>
      </c>
      <c r="D462">
        <f ca="1"/>
        <v>0</v>
      </c>
      <c r="E462" vm="1838">
        <f ca="1"/>
        <v>1.3813</v>
      </c>
      <c r="F462" vm="1832">
        <f ca="1"/>
        <v>1.3816999999999999</v>
      </c>
      <c r="G462" vm="2842">
        <f ca="1"/>
        <v>1.3782000000000001</v>
      </c>
      <c r="H462" vm="1931">
        <f ca="1"/>
        <v>1.3805000000000001</v>
      </c>
      <c r="K462">
        <f ca="1">IF(ROW(T_CALC[[#This Row],[DAY]])-ROW(T_CALC[[#Headers],[DAY]])&gt;C_N_TRADING_DAYS,"",ROW(T_CALC[[#This Row],[DAY]])-ROW(T_CALC[[#Headers],[DAY]]))</f>
        <v>459</v>
      </c>
      <c r="L462" cm="1" vm="2841">
        <f t="array" aca="1" ref="L462" ca="1">IFERROR(INDEX(_xlfn.ANCHORARRAY($C$3),T_CALC[[#This Row],[DAY]]+1,1),NA())</f>
        <v>43398</v>
      </c>
      <c r="M462" cm="1" vm="1838">
        <f t="array" aca="1" ref="M462" ca="1">IFERROR(INDEX(_xlfn.ANCHORARRAY($C$3),T_CALC[[#This Row],[DAY]]+1,3),NA())</f>
        <v>1.3813</v>
      </c>
      <c r="N462" cm="1" vm="1832">
        <f t="array" aca="1" ref="N462" ca="1">IFERROR(INDEX(_xlfn.ANCHORARRAY($C$3),T_CALC[[#This Row],[DAY]]+1,4),NA())</f>
        <v>1.3816999999999999</v>
      </c>
      <c r="O462" cm="1" vm="2842">
        <f t="array" aca="1" ref="O462" ca="1">IFERROR(INDEX(_xlfn.ANCHORARRAY($C$3),T_CALC[[#This Row],[DAY]]+1,5),NA())</f>
        <v>1.3782000000000001</v>
      </c>
      <c r="P462" cm="1" vm="1931">
        <f t="array" aca="1" ref="P462" ca="1">IFERROR(INDEX(_xlfn.ANCHORARRAY($C$3),T_CALC[[#This Row],[DAY]]+1,6),NA())</f>
        <v>1.3805000000000001</v>
      </c>
      <c r="Q462" cm="1">
        <f t="array" aca="1" ref="Q462" ca="1">IFERROR(INDEX(_xlfn.ANCHORARRAY($C$3),T_CALC[[#This Row],[DAY]]+1,2),NA())</f>
        <v>0</v>
      </c>
    </row>
    <row r="463" spans="3:17">
      <c r="C463" vm="2843">
        <f ca="1"/>
        <v>43399</v>
      </c>
      <c r="D463">
        <f ca="1"/>
        <v>0</v>
      </c>
      <c r="E463" vm="1931">
        <f ca="1"/>
        <v>1.3805000000000001</v>
      </c>
      <c r="F463" vm="1907">
        <f ca="1"/>
        <v>1.3848</v>
      </c>
      <c r="G463" vm="2736">
        <f ca="1"/>
        <v>1.3789</v>
      </c>
      <c r="H463" vm="2807">
        <f ca="1"/>
        <v>1.3794999999999999</v>
      </c>
      <c r="K463">
        <f ca="1">IF(ROW(T_CALC[[#This Row],[DAY]])-ROW(T_CALC[[#Headers],[DAY]])&gt;C_N_TRADING_DAYS,"",ROW(T_CALC[[#This Row],[DAY]])-ROW(T_CALC[[#Headers],[DAY]]))</f>
        <v>460</v>
      </c>
      <c r="L463" cm="1" vm="2843">
        <f t="array" aca="1" ref="L463" ca="1">IFERROR(INDEX(_xlfn.ANCHORARRAY($C$3),T_CALC[[#This Row],[DAY]]+1,1),NA())</f>
        <v>43399</v>
      </c>
      <c r="M463" cm="1" vm="1931">
        <f t="array" aca="1" ref="M463" ca="1">IFERROR(INDEX(_xlfn.ANCHORARRAY($C$3),T_CALC[[#This Row],[DAY]]+1,3),NA())</f>
        <v>1.3805000000000001</v>
      </c>
      <c r="N463" cm="1" vm="1907">
        <f t="array" aca="1" ref="N463" ca="1">IFERROR(INDEX(_xlfn.ANCHORARRAY($C$3),T_CALC[[#This Row],[DAY]]+1,4),NA())</f>
        <v>1.3848</v>
      </c>
      <c r="O463" cm="1" vm="2736">
        <f t="array" aca="1" ref="O463" ca="1">IFERROR(INDEX(_xlfn.ANCHORARRAY($C$3),T_CALC[[#This Row],[DAY]]+1,5),NA())</f>
        <v>1.3789</v>
      </c>
      <c r="P463" cm="1" vm="2807">
        <f t="array" aca="1" ref="P463" ca="1">IFERROR(INDEX(_xlfn.ANCHORARRAY($C$3),T_CALC[[#This Row],[DAY]]+1,6),NA())</f>
        <v>1.3794999999999999</v>
      </c>
      <c r="Q463" cm="1">
        <f t="array" aca="1" ref="Q463" ca="1">IFERROR(INDEX(_xlfn.ANCHORARRAY($C$3),T_CALC[[#This Row],[DAY]]+1,2),NA())</f>
        <v>0</v>
      </c>
    </row>
    <row r="464" spans="3:17">
      <c r="C464" vm="2844">
        <f ca="1"/>
        <v>43402</v>
      </c>
      <c r="D464">
        <f ca="1"/>
        <v>0</v>
      </c>
      <c r="E464" vm="1868">
        <f ca="1"/>
        <v>1.3795999999999999</v>
      </c>
      <c r="F464" vm="1827">
        <f ca="1"/>
        <v>1.3836999999999999</v>
      </c>
      <c r="G464" vm="1930">
        <f ca="1"/>
        <v>1.3792</v>
      </c>
      <c r="H464" vm="2845">
        <f ca="1"/>
        <v>1.3835</v>
      </c>
      <c r="K464">
        <f ca="1">IF(ROW(T_CALC[[#This Row],[DAY]])-ROW(T_CALC[[#Headers],[DAY]])&gt;C_N_TRADING_DAYS,"",ROW(T_CALC[[#This Row],[DAY]])-ROW(T_CALC[[#Headers],[DAY]]))</f>
        <v>461</v>
      </c>
      <c r="L464" cm="1" vm="2844">
        <f t="array" aca="1" ref="L464" ca="1">IFERROR(INDEX(_xlfn.ANCHORARRAY($C$3),T_CALC[[#This Row],[DAY]]+1,1),NA())</f>
        <v>43402</v>
      </c>
      <c r="M464" cm="1" vm="1868">
        <f t="array" aca="1" ref="M464" ca="1">IFERROR(INDEX(_xlfn.ANCHORARRAY($C$3),T_CALC[[#This Row],[DAY]]+1,3),NA())</f>
        <v>1.3795999999999999</v>
      </c>
      <c r="N464" cm="1" vm="1827">
        <f t="array" aca="1" ref="N464" ca="1">IFERROR(INDEX(_xlfn.ANCHORARRAY($C$3),T_CALC[[#This Row],[DAY]]+1,4),NA())</f>
        <v>1.3836999999999999</v>
      </c>
      <c r="O464" cm="1" vm="1930">
        <f t="array" aca="1" ref="O464" ca="1">IFERROR(INDEX(_xlfn.ANCHORARRAY($C$3),T_CALC[[#This Row],[DAY]]+1,5),NA())</f>
        <v>1.3792</v>
      </c>
      <c r="P464" cm="1" vm="2845">
        <f t="array" aca="1" ref="P464" ca="1">IFERROR(INDEX(_xlfn.ANCHORARRAY($C$3),T_CALC[[#This Row],[DAY]]+1,6),NA())</f>
        <v>1.3835</v>
      </c>
      <c r="Q464" cm="1">
        <f t="array" aca="1" ref="Q464" ca="1">IFERROR(INDEX(_xlfn.ANCHORARRAY($C$3),T_CALC[[#This Row],[DAY]]+1,2),NA())</f>
        <v>0</v>
      </c>
    </row>
    <row r="465" spans="3:17">
      <c r="C465" vm="2846">
        <f ca="1"/>
        <v>43403</v>
      </c>
      <c r="D465">
        <f ca="1"/>
        <v>0</v>
      </c>
      <c r="E465" vm="1846">
        <f ca="1"/>
        <v>1.3831</v>
      </c>
      <c r="F465" vm="1871">
        <f ca="1"/>
        <v>1.3852</v>
      </c>
      <c r="G465" vm="1917">
        <f ca="1"/>
        <v>1.3817999999999999</v>
      </c>
      <c r="H465" vm="1815">
        <f ca="1"/>
        <v>1.3847</v>
      </c>
      <c r="K465">
        <f ca="1">IF(ROW(T_CALC[[#This Row],[DAY]])-ROW(T_CALC[[#Headers],[DAY]])&gt;C_N_TRADING_DAYS,"",ROW(T_CALC[[#This Row],[DAY]])-ROW(T_CALC[[#Headers],[DAY]]))</f>
        <v>462</v>
      </c>
      <c r="L465" cm="1" vm="2846">
        <f t="array" aca="1" ref="L465" ca="1">IFERROR(INDEX(_xlfn.ANCHORARRAY($C$3),T_CALC[[#This Row],[DAY]]+1,1),NA())</f>
        <v>43403</v>
      </c>
      <c r="M465" cm="1" vm="1846">
        <f t="array" aca="1" ref="M465" ca="1">IFERROR(INDEX(_xlfn.ANCHORARRAY($C$3),T_CALC[[#This Row],[DAY]]+1,3),NA())</f>
        <v>1.3831</v>
      </c>
      <c r="N465" cm="1" vm="1871">
        <f t="array" aca="1" ref="N465" ca="1">IFERROR(INDEX(_xlfn.ANCHORARRAY($C$3),T_CALC[[#This Row],[DAY]]+1,4),NA())</f>
        <v>1.3852</v>
      </c>
      <c r="O465" cm="1" vm="1917">
        <f t="array" aca="1" ref="O465" ca="1">IFERROR(INDEX(_xlfn.ANCHORARRAY($C$3),T_CALC[[#This Row],[DAY]]+1,5),NA())</f>
        <v>1.3817999999999999</v>
      </c>
      <c r="P465" cm="1" vm="1815">
        <f t="array" aca="1" ref="P465" ca="1">IFERROR(INDEX(_xlfn.ANCHORARRAY($C$3),T_CALC[[#This Row],[DAY]]+1,6),NA())</f>
        <v>1.3847</v>
      </c>
      <c r="Q465" cm="1">
        <f t="array" aca="1" ref="Q465" ca="1">IFERROR(INDEX(_xlfn.ANCHORARRAY($C$3),T_CALC[[#This Row],[DAY]]+1,2),NA())</f>
        <v>0</v>
      </c>
    </row>
    <row r="466" spans="3:17">
      <c r="C466" vm="2847">
        <f ca="1"/>
        <v>43404</v>
      </c>
      <c r="D466">
        <f ca="1"/>
        <v>0</v>
      </c>
      <c r="E466" vm="2848">
        <f ca="1"/>
        <v>1.3846000000000001</v>
      </c>
      <c r="F466" vm="2849">
        <f ca="1"/>
        <v>1.3871</v>
      </c>
      <c r="G466" vm="1830">
        <f ca="1"/>
        <v>1.3839999999999999</v>
      </c>
      <c r="H466" vm="2850">
        <f ca="1"/>
        <v>1.3854</v>
      </c>
      <c r="K466">
        <f ca="1">IF(ROW(T_CALC[[#This Row],[DAY]])-ROW(T_CALC[[#Headers],[DAY]])&gt;C_N_TRADING_DAYS,"",ROW(T_CALC[[#This Row],[DAY]])-ROW(T_CALC[[#Headers],[DAY]]))</f>
        <v>463</v>
      </c>
      <c r="L466" cm="1" vm="2847">
        <f t="array" aca="1" ref="L466" ca="1">IFERROR(INDEX(_xlfn.ANCHORARRAY($C$3),T_CALC[[#This Row],[DAY]]+1,1),NA())</f>
        <v>43404</v>
      </c>
      <c r="M466" cm="1" vm="2848">
        <f t="array" aca="1" ref="M466" ca="1">IFERROR(INDEX(_xlfn.ANCHORARRAY($C$3),T_CALC[[#This Row],[DAY]]+1,3),NA())</f>
        <v>1.3846000000000001</v>
      </c>
      <c r="N466" cm="1" vm="2849">
        <f t="array" aca="1" ref="N466" ca="1">IFERROR(INDEX(_xlfn.ANCHORARRAY($C$3),T_CALC[[#This Row],[DAY]]+1,4),NA())</f>
        <v>1.3871</v>
      </c>
      <c r="O466" cm="1" vm="1830">
        <f t="array" aca="1" ref="O466" ca="1">IFERROR(INDEX(_xlfn.ANCHORARRAY($C$3),T_CALC[[#This Row],[DAY]]+1,5),NA())</f>
        <v>1.3839999999999999</v>
      </c>
      <c r="P466" cm="1" vm="2850">
        <f t="array" aca="1" ref="P466" ca="1">IFERROR(INDEX(_xlfn.ANCHORARRAY($C$3),T_CALC[[#This Row],[DAY]]+1,6),NA())</f>
        <v>1.3854</v>
      </c>
      <c r="Q466" cm="1">
        <f t="array" aca="1" ref="Q466" ca="1">IFERROR(INDEX(_xlfn.ANCHORARRAY($C$3),T_CALC[[#This Row],[DAY]]+1,2),NA())</f>
        <v>0</v>
      </c>
    </row>
    <row r="467" spans="3:17">
      <c r="C467" vm="2851">
        <f ca="1"/>
        <v>43405</v>
      </c>
      <c r="D467">
        <f ca="1"/>
        <v>0</v>
      </c>
      <c r="E467" vm="2850">
        <f ca="1"/>
        <v>1.3854</v>
      </c>
      <c r="F467" vm="1839">
        <f ca="1"/>
        <v>1.3861000000000001</v>
      </c>
      <c r="G467" vm="1884">
        <f ca="1"/>
        <v>1.3751</v>
      </c>
      <c r="H467" vm="1943">
        <f ca="1"/>
        <v>1.3762000000000001</v>
      </c>
      <c r="K467">
        <f ca="1">IF(ROW(T_CALC[[#This Row],[DAY]])-ROW(T_CALC[[#Headers],[DAY]])&gt;C_N_TRADING_DAYS,"",ROW(T_CALC[[#This Row],[DAY]])-ROW(T_CALC[[#Headers],[DAY]]))</f>
        <v>464</v>
      </c>
      <c r="L467" cm="1" vm="2851">
        <f t="array" aca="1" ref="L467" ca="1">IFERROR(INDEX(_xlfn.ANCHORARRAY($C$3),T_CALC[[#This Row],[DAY]]+1,1),NA())</f>
        <v>43405</v>
      </c>
      <c r="M467" cm="1" vm="2850">
        <f t="array" aca="1" ref="M467" ca="1">IFERROR(INDEX(_xlfn.ANCHORARRAY($C$3),T_CALC[[#This Row],[DAY]]+1,3),NA())</f>
        <v>1.3854</v>
      </c>
      <c r="N467" cm="1" vm="1839">
        <f t="array" aca="1" ref="N467" ca="1">IFERROR(INDEX(_xlfn.ANCHORARRAY($C$3),T_CALC[[#This Row],[DAY]]+1,4),NA())</f>
        <v>1.3861000000000001</v>
      </c>
      <c r="O467" cm="1" vm="1884">
        <f t="array" aca="1" ref="O467" ca="1">IFERROR(INDEX(_xlfn.ANCHORARRAY($C$3),T_CALC[[#This Row],[DAY]]+1,5),NA())</f>
        <v>1.3751</v>
      </c>
      <c r="P467" cm="1" vm="1943">
        <f t="array" aca="1" ref="P467" ca="1">IFERROR(INDEX(_xlfn.ANCHORARRAY($C$3),T_CALC[[#This Row],[DAY]]+1,6),NA())</f>
        <v>1.3762000000000001</v>
      </c>
      <c r="Q467" cm="1">
        <f t="array" aca="1" ref="Q467" ca="1">IFERROR(INDEX(_xlfn.ANCHORARRAY($C$3),T_CALC[[#This Row],[DAY]]+1,2),NA())</f>
        <v>0</v>
      </c>
    </row>
    <row r="468" spans="3:17">
      <c r="C468" vm="2852">
        <f ca="1"/>
        <v>43406</v>
      </c>
      <c r="D468">
        <f ca="1"/>
        <v>0</v>
      </c>
      <c r="E468" vm="2820">
        <f ca="1"/>
        <v>1.3761000000000001</v>
      </c>
      <c r="F468" vm="1944">
        <f ca="1"/>
        <v>1.3773</v>
      </c>
      <c r="G468" vm="2853">
        <f ca="1"/>
        <v>1.3695999999999999</v>
      </c>
      <c r="H468" vm="2828">
        <f ca="1"/>
        <v>1.3747</v>
      </c>
      <c r="K468">
        <f ca="1">IF(ROW(T_CALC[[#This Row],[DAY]])-ROW(T_CALC[[#Headers],[DAY]])&gt;C_N_TRADING_DAYS,"",ROW(T_CALC[[#This Row],[DAY]])-ROW(T_CALC[[#Headers],[DAY]]))</f>
        <v>465</v>
      </c>
      <c r="L468" cm="1" vm="2852">
        <f t="array" aca="1" ref="L468" ca="1">IFERROR(INDEX(_xlfn.ANCHORARRAY($C$3),T_CALC[[#This Row],[DAY]]+1,1),NA())</f>
        <v>43406</v>
      </c>
      <c r="M468" cm="1" vm="2820">
        <f t="array" aca="1" ref="M468" ca="1">IFERROR(INDEX(_xlfn.ANCHORARRAY($C$3),T_CALC[[#This Row],[DAY]]+1,3),NA())</f>
        <v>1.3761000000000001</v>
      </c>
      <c r="N468" cm="1" vm="1944">
        <f t="array" aca="1" ref="N468" ca="1">IFERROR(INDEX(_xlfn.ANCHORARRAY($C$3),T_CALC[[#This Row],[DAY]]+1,4),NA())</f>
        <v>1.3773</v>
      </c>
      <c r="O468" cm="1" vm="2853">
        <f t="array" aca="1" ref="O468" ca="1">IFERROR(INDEX(_xlfn.ANCHORARRAY($C$3),T_CALC[[#This Row],[DAY]]+1,5),NA())</f>
        <v>1.3695999999999999</v>
      </c>
      <c r="P468" cm="1" vm="2828">
        <f t="array" aca="1" ref="P468" ca="1">IFERROR(INDEX(_xlfn.ANCHORARRAY($C$3),T_CALC[[#This Row],[DAY]]+1,6),NA())</f>
        <v>1.3747</v>
      </c>
      <c r="Q468" cm="1">
        <f t="array" aca="1" ref="Q468" ca="1">IFERROR(INDEX(_xlfn.ANCHORARRAY($C$3),T_CALC[[#This Row],[DAY]]+1,2),NA())</f>
        <v>0</v>
      </c>
    </row>
    <row r="469" spans="3:17">
      <c r="C469" vm="2854">
        <f ca="1"/>
        <v>43409</v>
      </c>
      <c r="D469">
        <f ca="1"/>
        <v>0</v>
      </c>
      <c r="E469" vm="2828">
        <f ca="1"/>
        <v>1.3747</v>
      </c>
      <c r="F469" vm="2834">
        <f ca="1"/>
        <v>1.3771</v>
      </c>
      <c r="G469" vm="2829">
        <f ca="1"/>
        <v>1.3723000000000001</v>
      </c>
      <c r="H469" vm="2826">
        <f ca="1"/>
        <v>1.3748</v>
      </c>
      <c r="K469">
        <f ca="1">IF(ROW(T_CALC[[#This Row],[DAY]])-ROW(T_CALC[[#Headers],[DAY]])&gt;C_N_TRADING_DAYS,"",ROW(T_CALC[[#This Row],[DAY]])-ROW(T_CALC[[#Headers],[DAY]]))</f>
        <v>466</v>
      </c>
      <c r="L469" cm="1" vm="2854">
        <f t="array" aca="1" ref="L469" ca="1">IFERROR(INDEX(_xlfn.ANCHORARRAY($C$3),T_CALC[[#This Row],[DAY]]+1,1),NA())</f>
        <v>43409</v>
      </c>
      <c r="M469" cm="1" vm="2828">
        <f t="array" aca="1" ref="M469" ca="1">IFERROR(INDEX(_xlfn.ANCHORARRAY($C$3),T_CALC[[#This Row],[DAY]]+1,3),NA())</f>
        <v>1.3747</v>
      </c>
      <c r="N469" cm="1" vm="2834">
        <f t="array" aca="1" ref="N469" ca="1">IFERROR(INDEX(_xlfn.ANCHORARRAY($C$3),T_CALC[[#This Row],[DAY]]+1,4),NA())</f>
        <v>1.3771</v>
      </c>
      <c r="O469" cm="1" vm="2829">
        <f t="array" aca="1" ref="O469" ca="1">IFERROR(INDEX(_xlfn.ANCHORARRAY($C$3),T_CALC[[#This Row],[DAY]]+1,5),NA())</f>
        <v>1.3723000000000001</v>
      </c>
      <c r="P469" cm="1" vm="2826">
        <f t="array" aca="1" ref="P469" ca="1">IFERROR(INDEX(_xlfn.ANCHORARRAY($C$3),T_CALC[[#This Row],[DAY]]+1,6),NA())</f>
        <v>1.3748</v>
      </c>
      <c r="Q469" cm="1">
        <f t="array" aca="1" ref="Q469" ca="1">IFERROR(INDEX(_xlfn.ANCHORARRAY($C$3),T_CALC[[#This Row],[DAY]]+1,2),NA())</f>
        <v>0</v>
      </c>
    </row>
    <row r="470" spans="3:17">
      <c r="C470" vm="2855">
        <f ca="1"/>
        <v>43410</v>
      </c>
      <c r="D470">
        <f ca="1"/>
        <v>0</v>
      </c>
      <c r="E470" vm="2684">
        <f ca="1"/>
        <v>1.3745000000000001</v>
      </c>
      <c r="F470" vm="2733">
        <f ca="1"/>
        <v>1.3755999999999999</v>
      </c>
      <c r="G470" vm="2856">
        <f ca="1"/>
        <v>1.3725000000000001</v>
      </c>
      <c r="H470" vm="2767">
        <f ca="1"/>
        <v>1.3732</v>
      </c>
      <c r="K470">
        <f ca="1">IF(ROW(T_CALC[[#This Row],[DAY]])-ROW(T_CALC[[#Headers],[DAY]])&gt;C_N_TRADING_DAYS,"",ROW(T_CALC[[#This Row],[DAY]])-ROW(T_CALC[[#Headers],[DAY]]))</f>
        <v>467</v>
      </c>
      <c r="L470" cm="1" vm="2855">
        <f t="array" aca="1" ref="L470" ca="1">IFERROR(INDEX(_xlfn.ANCHORARRAY($C$3),T_CALC[[#This Row],[DAY]]+1,1),NA())</f>
        <v>43410</v>
      </c>
      <c r="M470" cm="1" vm="2684">
        <f t="array" aca="1" ref="M470" ca="1">IFERROR(INDEX(_xlfn.ANCHORARRAY($C$3),T_CALC[[#This Row],[DAY]]+1,3),NA())</f>
        <v>1.3745000000000001</v>
      </c>
      <c r="N470" cm="1" vm="2733">
        <f t="array" aca="1" ref="N470" ca="1">IFERROR(INDEX(_xlfn.ANCHORARRAY($C$3),T_CALC[[#This Row],[DAY]]+1,4),NA())</f>
        <v>1.3755999999999999</v>
      </c>
      <c r="O470" cm="1" vm="2856">
        <f t="array" aca="1" ref="O470" ca="1">IFERROR(INDEX(_xlfn.ANCHORARRAY($C$3),T_CALC[[#This Row],[DAY]]+1,5),NA())</f>
        <v>1.3725000000000001</v>
      </c>
      <c r="P470" cm="1" vm="2767">
        <f t="array" aca="1" ref="P470" ca="1">IFERROR(INDEX(_xlfn.ANCHORARRAY($C$3),T_CALC[[#This Row],[DAY]]+1,6),NA())</f>
        <v>1.3732</v>
      </c>
      <c r="Q470" cm="1">
        <f t="array" aca="1" ref="Q470" ca="1">IFERROR(INDEX(_xlfn.ANCHORARRAY($C$3),T_CALC[[#This Row],[DAY]]+1,2),NA())</f>
        <v>0</v>
      </c>
    </row>
    <row r="471" spans="3:17">
      <c r="C471" vm="2857">
        <f ca="1"/>
        <v>43411</v>
      </c>
      <c r="D471">
        <f ca="1"/>
        <v>0</v>
      </c>
      <c r="E471" vm="2858">
        <f ca="1"/>
        <v>1.3731</v>
      </c>
      <c r="F471" vm="1923">
        <f ca="1"/>
        <v>1.3759999999999999</v>
      </c>
      <c r="G471" vm="2760">
        <f ca="1"/>
        <v>1.3678999999999999</v>
      </c>
      <c r="H471" vm="2732">
        <f ca="1"/>
        <v>1.3716999999999999</v>
      </c>
      <c r="K471">
        <f ca="1">IF(ROW(T_CALC[[#This Row],[DAY]])-ROW(T_CALC[[#Headers],[DAY]])&gt;C_N_TRADING_DAYS,"",ROW(T_CALC[[#This Row],[DAY]])-ROW(T_CALC[[#Headers],[DAY]]))</f>
        <v>468</v>
      </c>
      <c r="L471" cm="1" vm="2857">
        <f t="array" aca="1" ref="L471" ca="1">IFERROR(INDEX(_xlfn.ANCHORARRAY($C$3),T_CALC[[#This Row],[DAY]]+1,1),NA())</f>
        <v>43411</v>
      </c>
      <c r="M471" cm="1" vm="2858">
        <f t="array" aca="1" ref="M471" ca="1">IFERROR(INDEX(_xlfn.ANCHORARRAY($C$3),T_CALC[[#This Row],[DAY]]+1,3),NA())</f>
        <v>1.3731</v>
      </c>
      <c r="N471" cm="1" vm="1923">
        <f t="array" aca="1" ref="N471" ca="1">IFERROR(INDEX(_xlfn.ANCHORARRAY($C$3),T_CALC[[#This Row],[DAY]]+1,4),NA())</f>
        <v>1.3759999999999999</v>
      </c>
      <c r="O471" cm="1" vm="2760">
        <f t="array" aca="1" ref="O471" ca="1">IFERROR(INDEX(_xlfn.ANCHORARRAY($C$3),T_CALC[[#This Row],[DAY]]+1,5),NA())</f>
        <v>1.3678999999999999</v>
      </c>
      <c r="P471" cm="1" vm="2732">
        <f t="array" aca="1" ref="P471" ca="1">IFERROR(INDEX(_xlfn.ANCHORARRAY($C$3),T_CALC[[#This Row],[DAY]]+1,6),NA())</f>
        <v>1.3716999999999999</v>
      </c>
      <c r="Q471" cm="1">
        <f t="array" aca="1" ref="Q471" ca="1">IFERROR(INDEX(_xlfn.ANCHORARRAY($C$3),T_CALC[[#This Row],[DAY]]+1,2),NA())</f>
        <v>0</v>
      </c>
    </row>
    <row r="472" spans="3:17">
      <c r="C472" vm="2859">
        <f ca="1"/>
        <v>43412</v>
      </c>
      <c r="D472">
        <f ca="1"/>
        <v>0</v>
      </c>
      <c r="E472" vm="2732">
        <f ca="1"/>
        <v>1.3716999999999999</v>
      </c>
      <c r="F472" vm="2733">
        <f ca="1"/>
        <v>1.3755999999999999</v>
      </c>
      <c r="G472" vm="2723">
        <f ca="1"/>
        <v>1.3691</v>
      </c>
      <c r="H472" vm="2733">
        <f ca="1"/>
        <v>1.3755999999999999</v>
      </c>
      <c r="K472">
        <f ca="1">IF(ROW(T_CALC[[#This Row],[DAY]])-ROW(T_CALC[[#Headers],[DAY]])&gt;C_N_TRADING_DAYS,"",ROW(T_CALC[[#This Row],[DAY]])-ROW(T_CALC[[#Headers],[DAY]]))</f>
        <v>469</v>
      </c>
      <c r="L472" cm="1" vm="2859">
        <f t="array" aca="1" ref="L472" ca="1">IFERROR(INDEX(_xlfn.ANCHORARRAY($C$3),T_CALC[[#This Row],[DAY]]+1,1),NA())</f>
        <v>43412</v>
      </c>
      <c r="M472" cm="1" vm="2732">
        <f t="array" aca="1" ref="M472" ca="1">IFERROR(INDEX(_xlfn.ANCHORARRAY($C$3),T_CALC[[#This Row],[DAY]]+1,3),NA())</f>
        <v>1.3716999999999999</v>
      </c>
      <c r="N472" cm="1" vm="2733">
        <f t="array" aca="1" ref="N472" ca="1">IFERROR(INDEX(_xlfn.ANCHORARRAY($C$3),T_CALC[[#This Row],[DAY]]+1,4),NA())</f>
        <v>1.3755999999999999</v>
      </c>
      <c r="O472" cm="1" vm="2723">
        <f t="array" aca="1" ref="O472" ca="1">IFERROR(INDEX(_xlfn.ANCHORARRAY($C$3),T_CALC[[#This Row],[DAY]]+1,5),NA())</f>
        <v>1.3691</v>
      </c>
      <c r="P472" cm="1" vm="2733">
        <f t="array" aca="1" ref="P472" ca="1">IFERROR(INDEX(_xlfn.ANCHORARRAY($C$3),T_CALC[[#This Row],[DAY]]+1,6),NA())</f>
        <v>1.3755999999999999</v>
      </c>
      <c r="Q472" cm="1">
        <f t="array" aca="1" ref="Q472" ca="1">IFERROR(INDEX(_xlfn.ANCHORARRAY($C$3),T_CALC[[#This Row],[DAY]]+1,2),NA())</f>
        <v>0</v>
      </c>
    </row>
    <row r="473" spans="3:17">
      <c r="C473" vm="2860">
        <f ca="1"/>
        <v>43413</v>
      </c>
      <c r="D473">
        <f ca="1"/>
        <v>0</v>
      </c>
      <c r="E473" vm="1882">
        <f ca="1"/>
        <v>1.3753</v>
      </c>
      <c r="F473" vm="1868">
        <f ca="1"/>
        <v>1.3795999999999999</v>
      </c>
      <c r="G473" vm="2771">
        <f ca="1"/>
        <v>1.3742000000000001</v>
      </c>
      <c r="H473" vm="2736">
        <f ca="1"/>
        <v>1.3789</v>
      </c>
      <c r="K473">
        <f ca="1">IF(ROW(T_CALC[[#This Row],[DAY]])-ROW(T_CALC[[#Headers],[DAY]])&gt;C_N_TRADING_DAYS,"",ROW(T_CALC[[#This Row],[DAY]])-ROW(T_CALC[[#Headers],[DAY]]))</f>
        <v>470</v>
      </c>
      <c r="L473" cm="1" vm="2860">
        <f t="array" aca="1" ref="L473" ca="1">IFERROR(INDEX(_xlfn.ANCHORARRAY($C$3),T_CALC[[#This Row],[DAY]]+1,1),NA())</f>
        <v>43413</v>
      </c>
      <c r="M473" cm="1" vm="1882">
        <f t="array" aca="1" ref="M473" ca="1">IFERROR(INDEX(_xlfn.ANCHORARRAY($C$3),T_CALC[[#This Row],[DAY]]+1,3),NA())</f>
        <v>1.3753</v>
      </c>
      <c r="N473" cm="1" vm="1868">
        <f t="array" aca="1" ref="N473" ca="1">IFERROR(INDEX(_xlfn.ANCHORARRAY($C$3),T_CALC[[#This Row],[DAY]]+1,4),NA())</f>
        <v>1.3795999999999999</v>
      </c>
      <c r="O473" cm="1" vm="2771">
        <f t="array" aca="1" ref="O473" ca="1">IFERROR(INDEX(_xlfn.ANCHORARRAY($C$3),T_CALC[[#This Row],[DAY]]+1,5),NA())</f>
        <v>1.3742000000000001</v>
      </c>
      <c r="P473" cm="1" vm="2736">
        <f t="array" aca="1" ref="P473" ca="1">IFERROR(INDEX(_xlfn.ANCHORARRAY($C$3),T_CALC[[#This Row],[DAY]]+1,6),NA())</f>
        <v>1.3789</v>
      </c>
      <c r="Q473" cm="1">
        <f t="array" aca="1" ref="Q473" ca="1">IFERROR(INDEX(_xlfn.ANCHORARRAY($C$3),T_CALC[[#This Row],[DAY]]+1,2),NA())</f>
        <v>0</v>
      </c>
    </row>
    <row r="474" spans="3:17">
      <c r="C474" vm="2861">
        <f ca="1"/>
        <v>43416</v>
      </c>
      <c r="D474">
        <f ca="1"/>
        <v>0</v>
      </c>
      <c r="E474" vm="2773">
        <f ca="1"/>
        <v>1.3784000000000001</v>
      </c>
      <c r="F474" vm="1871">
        <f ca="1"/>
        <v>1.3852</v>
      </c>
      <c r="G474" vm="2809">
        <f ca="1"/>
        <v>1.3775999999999999</v>
      </c>
      <c r="H474" vm="1872">
        <f ca="1"/>
        <v>1.3842000000000001</v>
      </c>
      <c r="K474">
        <f ca="1">IF(ROW(T_CALC[[#This Row],[DAY]])-ROW(T_CALC[[#Headers],[DAY]])&gt;C_N_TRADING_DAYS,"",ROW(T_CALC[[#This Row],[DAY]])-ROW(T_CALC[[#Headers],[DAY]]))</f>
        <v>471</v>
      </c>
      <c r="L474" cm="1" vm="2861">
        <f t="array" aca="1" ref="L474" ca="1">IFERROR(INDEX(_xlfn.ANCHORARRAY($C$3),T_CALC[[#This Row],[DAY]]+1,1),NA())</f>
        <v>43416</v>
      </c>
      <c r="M474" cm="1" vm="2773">
        <f t="array" aca="1" ref="M474" ca="1">IFERROR(INDEX(_xlfn.ANCHORARRAY($C$3),T_CALC[[#This Row],[DAY]]+1,3),NA())</f>
        <v>1.3784000000000001</v>
      </c>
      <c r="N474" cm="1" vm="1871">
        <f t="array" aca="1" ref="N474" ca="1">IFERROR(INDEX(_xlfn.ANCHORARRAY($C$3),T_CALC[[#This Row],[DAY]]+1,4),NA())</f>
        <v>1.3852</v>
      </c>
      <c r="O474" cm="1" vm="2809">
        <f t="array" aca="1" ref="O474" ca="1">IFERROR(INDEX(_xlfn.ANCHORARRAY($C$3),T_CALC[[#This Row],[DAY]]+1,5),NA())</f>
        <v>1.3775999999999999</v>
      </c>
      <c r="P474" cm="1" vm="1872">
        <f t="array" aca="1" ref="P474" ca="1">IFERROR(INDEX(_xlfn.ANCHORARRAY($C$3),T_CALC[[#This Row],[DAY]]+1,6),NA())</f>
        <v>1.3842000000000001</v>
      </c>
      <c r="Q474" cm="1">
        <f t="array" aca="1" ref="Q474" ca="1">IFERROR(INDEX(_xlfn.ANCHORARRAY($C$3),T_CALC[[#This Row],[DAY]]+1,2),NA())</f>
        <v>0</v>
      </c>
    </row>
    <row r="475" spans="3:17">
      <c r="C475" vm="2862">
        <f ca="1"/>
        <v>43417</v>
      </c>
      <c r="D475">
        <f ca="1"/>
        <v>0</v>
      </c>
      <c r="E475" vm="1827">
        <f ca="1"/>
        <v>1.3836999999999999</v>
      </c>
      <c r="F475" vm="2863">
        <f ca="1"/>
        <v>1.3853</v>
      </c>
      <c r="G475" vm="1920">
        <f ca="1"/>
        <v>1.3785000000000001</v>
      </c>
      <c r="H475" vm="2736">
        <f ca="1"/>
        <v>1.3789</v>
      </c>
      <c r="K475">
        <f ca="1">IF(ROW(T_CALC[[#This Row],[DAY]])-ROW(T_CALC[[#Headers],[DAY]])&gt;C_N_TRADING_DAYS,"",ROW(T_CALC[[#This Row],[DAY]])-ROW(T_CALC[[#Headers],[DAY]]))</f>
        <v>472</v>
      </c>
      <c r="L475" cm="1" vm="2862">
        <f t="array" aca="1" ref="L475" ca="1">IFERROR(INDEX(_xlfn.ANCHORARRAY($C$3),T_CALC[[#This Row],[DAY]]+1,1),NA())</f>
        <v>43417</v>
      </c>
      <c r="M475" cm="1" vm="1827">
        <f t="array" aca="1" ref="M475" ca="1">IFERROR(INDEX(_xlfn.ANCHORARRAY($C$3),T_CALC[[#This Row],[DAY]]+1,3),NA())</f>
        <v>1.3836999999999999</v>
      </c>
      <c r="N475" cm="1" vm="2863">
        <f t="array" aca="1" ref="N475" ca="1">IFERROR(INDEX(_xlfn.ANCHORARRAY($C$3),T_CALC[[#This Row],[DAY]]+1,4),NA())</f>
        <v>1.3853</v>
      </c>
      <c r="O475" cm="1" vm="1920">
        <f t="array" aca="1" ref="O475" ca="1">IFERROR(INDEX(_xlfn.ANCHORARRAY($C$3),T_CALC[[#This Row],[DAY]]+1,5),NA())</f>
        <v>1.3785000000000001</v>
      </c>
      <c r="P475" cm="1" vm="2736">
        <f t="array" aca="1" ref="P475" ca="1">IFERROR(INDEX(_xlfn.ANCHORARRAY($C$3),T_CALC[[#This Row],[DAY]]+1,6),NA())</f>
        <v>1.3789</v>
      </c>
      <c r="Q475" cm="1">
        <f t="array" aca="1" ref="Q475" ca="1">IFERROR(INDEX(_xlfn.ANCHORARRAY($C$3),T_CALC[[#This Row],[DAY]]+1,2),NA())</f>
        <v>0</v>
      </c>
    </row>
    <row r="476" spans="3:17">
      <c r="C476" vm="2864">
        <f ca="1"/>
        <v>43418</v>
      </c>
      <c r="D476">
        <f ca="1"/>
        <v>0</v>
      </c>
      <c r="E476" vm="1946">
        <f ca="1"/>
        <v>1.3787</v>
      </c>
      <c r="F476" vm="1874">
        <f ca="1"/>
        <v>1.3821000000000001</v>
      </c>
      <c r="G476" vm="2769">
        <f ca="1"/>
        <v>1.3758999999999999</v>
      </c>
      <c r="H476" vm="2736">
        <f ca="1"/>
        <v>1.3789</v>
      </c>
      <c r="K476">
        <f ca="1">IF(ROW(T_CALC[[#This Row],[DAY]])-ROW(T_CALC[[#Headers],[DAY]])&gt;C_N_TRADING_DAYS,"",ROW(T_CALC[[#This Row],[DAY]])-ROW(T_CALC[[#Headers],[DAY]]))</f>
        <v>473</v>
      </c>
      <c r="L476" cm="1" vm="2864">
        <f t="array" aca="1" ref="L476" ca="1">IFERROR(INDEX(_xlfn.ANCHORARRAY($C$3),T_CALC[[#This Row],[DAY]]+1,1),NA())</f>
        <v>43418</v>
      </c>
      <c r="M476" cm="1" vm="1946">
        <f t="array" aca="1" ref="M476" ca="1">IFERROR(INDEX(_xlfn.ANCHORARRAY($C$3),T_CALC[[#This Row],[DAY]]+1,3),NA())</f>
        <v>1.3787</v>
      </c>
      <c r="N476" cm="1" vm="1874">
        <f t="array" aca="1" ref="N476" ca="1">IFERROR(INDEX(_xlfn.ANCHORARRAY($C$3),T_CALC[[#This Row],[DAY]]+1,4),NA())</f>
        <v>1.3821000000000001</v>
      </c>
      <c r="O476" cm="1" vm="2769">
        <f t="array" aca="1" ref="O476" ca="1">IFERROR(INDEX(_xlfn.ANCHORARRAY($C$3),T_CALC[[#This Row],[DAY]]+1,5),NA())</f>
        <v>1.3758999999999999</v>
      </c>
      <c r="P476" cm="1" vm="2736">
        <f t="array" aca="1" ref="P476" ca="1">IFERROR(INDEX(_xlfn.ANCHORARRAY($C$3),T_CALC[[#This Row],[DAY]]+1,6),NA())</f>
        <v>1.3789</v>
      </c>
      <c r="Q476" cm="1">
        <f t="array" aca="1" ref="Q476" ca="1">IFERROR(INDEX(_xlfn.ANCHORARRAY($C$3),T_CALC[[#This Row],[DAY]]+1,2),NA())</f>
        <v>0</v>
      </c>
    </row>
    <row r="477" spans="3:17">
      <c r="C477" vm="2865">
        <f ca="1"/>
        <v>43419</v>
      </c>
      <c r="D477">
        <f ca="1"/>
        <v>0</v>
      </c>
      <c r="E477" vm="1946">
        <f ca="1"/>
        <v>1.3787</v>
      </c>
      <c r="F477" vm="1921">
        <f ca="1"/>
        <v>1.3793</v>
      </c>
      <c r="G477" vm="1886">
        <f ca="1"/>
        <v>1.3734999999999999</v>
      </c>
      <c r="H477" vm="2866">
        <f ca="1"/>
        <v>1.3749</v>
      </c>
      <c r="K477">
        <f ca="1">IF(ROW(T_CALC[[#This Row],[DAY]])-ROW(T_CALC[[#Headers],[DAY]])&gt;C_N_TRADING_DAYS,"",ROW(T_CALC[[#This Row],[DAY]])-ROW(T_CALC[[#Headers],[DAY]]))</f>
        <v>474</v>
      </c>
      <c r="L477" cm="1" vm="2865">
        <f t="array" aca="1" ref="L477" ca="1">IFERROR(INDEX(_xlfn.ANCHORARRAY($C$3),T_CALC[[#This Row],[DAY]]+1,1),NA())</f>
        <v>43419</v>
      </c>
      <c r="M477" cm="1" vm="1946">
        <f t="array" aca="1" ref="M477" ca="1">IFERROR(INDEX(_xlfn.ANCHORARRAY($C$3),T_CALC[[#This Row],[DAY]]+1,3),NA())</f>
        <v>1.3787</v>
      </c>
      <c r="N477" cm="1" vm="1921">
        <f t="array" aca="1" ref="N477" ca="1">IFERROR(INDEX(_xlfn.ANCHORARRAY($C$3),T_CALC[[#This Row],[DAY]]+1,4),NA())</f>
        <v>1.3793</v>
      </c>
      <c r="O477" cm="1" vm="1886">
        <f t="array" aca="1" ref="O477" ca="1">IFERROR(INDEX(_xlfn.ANCHORARRAY($C$3),T_CALC[[#This Row],[DAY]]+1,5),NA())</f>
        <v>1.3734999999999999</v>
      </c>
      <c r="P477" cm="1" vm="2866">
        <f t="array" aca="1" ref="P477" ca="1">IFERROR(INDEX(_xlfn.ANCHORARRAY($C$3),T_CALC[[#This Row],[DAY]]+1,6),NA())</f>
        <v>1.3749</v>
      </c>
      <c r="Q477" cm="1">
        <f t="array" aca="1" ref="Q477" ca="1">IFERROR(INDEX(_xlfn.ANCHORARRAY($C$3),T_CALC[[#This Row],[DAY]]+1,2),NA())</f>
        <v>0</v>
      </c>
    </row>
    <row r="478" spans="3:17">
      <c r="C478" vm="2867">
        <f ca="1"/>
        <v>43420</v>
      </c>
      <c r="D478">
        <f ca="1"/>
        <v>0</v>
      </c>
      <c r="E478" vm="2826">
        <f ca="1"/>
        <v>1.3748</v>
      </c>
      <c r="F478" vm="2868">
        <f ca="1"/>
        <v>1.3769</v>
      </c>
      <c r="G478" vm="2718">
        <f ca="1"/>
        <v>1.3712</v>
      </c>
      <c r="H478" vm="2765">
        <f ca="1"/>
        <v>1.3718999999999999</v>
      </c>
      <c r="K478">
        <f ca="1">IF(ROW(T_CALC[[#This Row],[DAY]])-ROW(T_CALC[[#Headers],[DAY]])&gt;C_N_TRADING_DAYS,"",ROW(T_CALC[[#This Row],[DAY]])-ROW(T_CALC[[#Headers],[DAY]]))</f>
        <v>475</v>
      </c>
      <c r="L478" cm="1" vm="2867">
        <f t="array" aca="1" ref="L478" ca="1">IFERROR(INDEX(_xlfn.ANCHORARRAY($C$3),T_CALC[[#This Row],[DAY]]+1,1),NA())</f>
        <v>43420</v>
      </c>
      <c r="M478" cm="1" vm="2826">
        <f t="array" aca="1" ref="M478" ca="1">IFERROR(INDEX(_xlfn.ANCHORARRAY($C$3),T_CALC[[#This Row],[DAY]]+1,3),NA())</f>
        <v>1.3748</v>
      </c>
      <c r="N478" cm="1" vm="2868">
        <f t="array" aca="1" ref="N478" ca="1">IFERROR(INDEX(_xlfn.ANCHORARRAY($C$3),T_CALC[[#This Row],[DAY]]+1,4),NA())</f>
        <v>1.3769</v>
      </c>
      <c r="O478" cm="1" vm="2718">
        <f t="array" aca="1" ref="O478" ca="1">IFERROR(INDEX(_xlfn.ANCHORARRAY($C$3),T_CALC[[#This Row],[DAY]]+1,5),NA())</f>
        <v>1.3712</v>
      </c>
      <c r="P478" cm="1" vm="2765">
        <f t="array" aca="1" ref="P478" ca="1">IFERROR(INDEX(_xlfn.ANCHORARRAY($C$3),T_CALC[[#This Row],[DAY]]+1,6),NA())</f>
        <v>1.3718999999999999</v>
      </c>
      <c r="Q478" cm="1">
        <f t="array" aca="1" ref="Q478" ca="1">IFERROR(INDEX(_xlfn.ANCHORARRAY($C$3),T_CALC[[#This Row],[DAY]]+1,2),NA())</f>
        <v>0</v>
      </c>
    </row>
    <row r="479" spans="3:17">
      <c r="C479" vm="2869">
        <f ca="1"/>
        <v>43423</v>
      </c>
      <c r="D479">
        <f ca="1"/>
        <v>0</v>
      </c>
      <c r="E479" vm="2765">
        <f ca="1"/>
        <v>1.3718999999999999</v>
      </c>
      <c r="F479" vm="2755">
        <f ca="1"/>
        <v>1.3743000000000001</v>
      </c>
      <c r="G479" vm="2678">
        <f ca="1"/>
        <v>1.3705000000000001</v>
      </c>
      <c r="H479" vm="2682">
        <f ca="1"/>
        <v>1.3714999999999999</v>
      </c>
      <c r="K479">
        <f ca="1">IF(ROW(T_CALC[[#This Row],[DAY]])-ROW(T_CALC[[#Headers],[DAY]])&gt;C_N_TRADING_DAYS,"",ROW(T_CALC[[#This Row],[DAY]])-ROW(T_CALC[[#Headers],[DAY]]))</f>
        <v>476</v>
      </c>
      <c r="L479" cm="1" vm="2869">
        <f t="array" aca="1" ref="L479" ca="1">IFERROR(INDEX(_xlfn.ANCHORARRAY($C$3),T_CALC[[#This Row],[DAY]]+1,1),NA())</f>
        <v>43423</v>
      </c>
      <c r="M479" cm="1" vm="2765">
        <f t="array" aca="1" ref="M479" ca="1">IFERROR(INDEX(_xlfn.ANCHORARRAY($C$3),T_CALC[[#This Row],[DAY]]+1,3),NA())</f>
        <v>1.3718999999999999</v>
      </c>
      <c r="N479" cm="1" vm="2755">
        <f t="array" aca="1" ref="N479" ca="1">IFERROR(INDEX(_xlfn.ANCHORARRAY($C$3),T_CALC[[#This Row],[DAY]]+1,4),NA())</f>
        <v>1.3743000000000001</v>
      </c>
      <c r="O479" cm="1" vm="2678">
        <f t="array" aca="1" ref="O479" ca="1">IFERROR(INDEX(_xlfn.ANCHORARRAY($C$3),T_CALC[[#This Row],[DAY]]+1,5),NA())</f>
        <v>1.3705000000000001</v>
      </c>
      <c r="P479" cm="1" vm="2682">
        <f t="array" aca="1" ref="P479" ca="1">IFERROR(INDEX(_xlfn.ANCHORARRAY($C$3),T_CALC[[#This Row],[DAY]]+1,6),NA())</f>
        <v>1.3714999999999999</v>
      </c>
      <c r="Q479" cm="1">
        <f t="array" aca="1" ref="Q479" ca="1">IFERROR(INDEX(_xlfn.ANCHORARRAY($C$3),T_CALC[[#This Row],[DAY]]+1,2),NA())</f>
        <v>0</v>
      </c>
    </row>
    <row r="480" spans="3:17">
      <c r="C480" vm="2870">
        <f ca="1"/>
        <v>43424</v>
      </c>
      <c r="D480">
        <f ca="1"/>
        <v>0</v>
      </c>
      <c r="E480" vm="2829">
        <f ca="1"/>
        <v>1.3723000000000001</v>
      </c>
      <c r="F480" vm="2735">
        <f ca="1"/>
        <v>1.3754</v>
      </c>
      <c r="G480" vm="2871">
        <f ca="1"/>
        <v>1.3697999999999999</v>
      </c>
      <c r="H480" vm="2823">
        <f ca="1"/>
        <v>1.3746</v>
      </c>
      <c r="K480">
        <f ca="1">IF(ROW(T_CALC[[#This Row],[DAY]])-ROW(T_CALC[[#Headers],[DAY]])&gt;C_N_TRADING_DAYS,"",ROW(T_CALC[[#This Row],[DAY]])-ROW(T_CALC[[#Headers],[DAY]]))</f>
        <v>477</v>
      </c>
      <c r="L480" cm="1" vm="2870">
        <f t="array" aca="1" ref="L480" ca="1">IFERROR(INDEX(_xlfn.ANCHORARRAY($C$3),T_CALC[[#This Row],[DAY]]+1,1),NA())</f>
        <v>43424</v>
      </c>
      <c r="M480" cm="1" vm="2829">
        <f t="array" aca="1" ref="M480" ca="1">IFERROR(INDEX(_xlfn.ANCHORARRAY($C$3),T_CALC[[#This Row],[DAY]]+1,3),NA())</f>
        <v>1.3723000000000001</v>
      </c>
      <c r="N480" cm="1" vm="2735">
        <f t="array" aca="1" ref="N480" ca="1">IFERROR(INDEX(_xlfn.ANCHORARRAY($C$3),T_CALC[[#This Row],[DAY]]+1,4),NA())</f>
        <v>1.3754</v>
      </c>
      <c r="O480" cm="1" vm="2871">
        <f t="array" aca="1" ref="O480" ca="1">IFERROR(INDEX(_xlfn.ANCHORARRAY($C$3),T_CALC[[#This Row],[DAY]]+1,5),NA())</f>
        <v>1.3697999999999999</v>
      </c>
      <c r="P480" cm="1" vm="2823">
        <f t="array" aca="1" ref="P480" ca="1">IFERROR(INDEX(_xlfn.ANCHORARRAY($C$3),T_CALC[[#This Row],[DAY]]+1,6),NA())</f>
        <v>1.3746</v>
      </c>
      <c r="Q480" cm="1">
        <f t="array" aca="1" ref="Q480" ca="1">IFERROR(INDEX(_xlfn.ANCHORARRAY($C$3),T_CALC[[#This Row],[DAY]]+1,2),NA())</f>
        <v>0</v>
      </c>
    </row>
    <row r="481" spans="3:17">
      <c r="C481" vm="2872">
        <f ca="1"/>
        <v>43425</v>
      </c>
      <c r="D481">
        <f ca="1"/>
        <v>0</v>
      </c>
      <c r="E481" vm="2684">
        <f ca="1"/>
        <v>1.3745000000000001</v>
      </c>
      <c r="F481" vm="2840">
        <f ca="1"/>
        <v>1.3766</v>
      </c>
      <c r="G481" vm="2737">
        <f ca="1"/>
        <v>1.3714</v>
      </c>
      <c r="H481" vm="2873">
        <f ca="1"/>
        <v>1.3722000000000001</v>
      </c>
      <c r="K481">
        <f ca="1">IF(ROW(T_CALC[[#This Row],[DAY]])-ROW(T_CALC[[#Headers],[DAY]])&gt;C_N_TRADING_DAYS,"",ROW(T_CALC[[#This Row],[DAY]])-ROW(T_CALC[[#Headers],[DAY]]))</f>
        <v>478</v>
      </c>
      <c r="L481" cm="1" vm="2872">
        <f t="array" aca="1" ref="L481" ca="1">IFERROR(INDEX(_xlfn.ANCHORARRAY($C$3),T_CALC[[#This Row],[DAY]]+1,1),NA())</f>
        <v>43425</v>
      </c>
      <c r="M481" cm="1" vm="2684">
        <f t="array" aca="1" ref="M481" ca="1">IFERROR(INDEX(_xlfn.ANCHORARRAY($C$3),T_CALC[[#This Row],[DAY]]+1,3),NA())</f>
        <v>1.3745000000000001</v>
      </c>
      <c r="N481" cm="1" vm="2840">
        <f t="array" aca="1" ref="N481" ca="1">IFERROR(INDEX(_xlfn.ANCHORARRAY($C$3),T_CALC[[#This Row],[DAY]]+1,4),NA())</f>
        <v>1.3766</v>
      </c>
      <c r="O481" cm="1" vm="2737">
        <f t="array" aca="1" ref="O481" ca="1">IFERROR(INDEX(_xlfn.ANCHORARRAY($C$3),T_CALC[[#This Row],[DAY]]+1,5),NA())</f>
        <v>1.3714</v>
      </c>
      <c r="P481" cm="1" vm="2873">
        <f t="array" aca="1" ref="P481" ca="1">IFERROR(INDEX(_xlfn.ANCHORARRAY($C$3),T_CALC[[#This Row],[DAY]]+1,6),NA())</f>
        <v>1.3722000000000001</v>
      </c>
      <c r="Q481" cm="1">
        <f t="array" aca="1" ref="Q481" ca="1">IFERROR(INDEX(_xlfn.ANCHORARRAY($C$3),T_CALC[[#This Row],[DAY]]+1,2),NA())</f>
        <v>0</v>
      </c>
    </row>
    <row r="482" spans="3:17">
      <c r="C482" vm="2874">
        <f ca="1"/>
        <v>43426</v>
      </c>
      <c r="D482">
        <f ca="1"/>
        <v>0</v>
      </c>
      <c r="E482" vm="2825">
        <f ca="1"/>
        <v>1.3724000000000001</v>
      </c>
      <c r="F482" vm="2875">
        <f ca="1"/>
        <v>1.3741000000000001</v>
      </c>
      <c r="G482" vm="2732">
        <f ca="1"/>
        <v>1.3716999999999999</v>
      </c>
      <c r="H482" vm="2856">
        <f ca="1"/>
        <v>1.3725000000000001</v>
      </c>
      <c r="K482">
        <f ca="1">IF(ROW(T_CALC[[#This Row],[DAY]])-ROW(T_CALC[[#Headers],[DAY]])&gt;C_N_TRADING_DAYS,"",ROW(T_CALC[[#This Row],[DAY]])-ROW(T_CALC[[#Headers],[DAY]]))</f>
        <v>479</v>
      </c>
      <c r="L482" cm="1" vm="2874">
        <f t="array" aca="1" ref="L482" ca="1">IFERROR(INDEX(_xlfn.ANCHORARRAY($C$3),T_CALC[[#This Row],[DAY]]+1,1),NA())</f>
        <v>43426</v>
      </c>
      <c r="M482" cm="1" vm="2825">
        <f t="array" aca="1" ref="M482" ca="1">IFERROR(INDEX(_xlfn.ANCHORARRAY($C$3),T_CALC[[#This Row],[DAY]]+1,3),NA())</f>
        <v>1.3724000000000001</v>
      </c>
      <c r="N482" cm="1" vm="2875">
        <f t="array" aca="1" ref="N482" ca="1">IFERROR(INDEX(_xlfn.ANCHORARRAY($C$3),T_CALC[[#This Row],[DAY]]+1,4),NA())</f>
        <v>1.3741000000000001</v>
      </c>
      <c r="O482" cm="1" vm="2732">
        <f t="array" aca="1" ref="O482" ca="1">IFERROR(INDEX(_xlfn.ANCHORARRAY($C$3),T_CALC[[#This Row],[DAY]]+1,5),NA())</f>
        <v>1.3716999999999999</v>
      </c>
      <c r="P482" cm="1" vm="2856">
        <f t="array" aca="1" ref="P482" ca="1">IFERROR(INDEX(_xlfn.ANCHORARRAY($C$3),T_CALC[[#This Row],[DAY]]+1,6),NA())</f>
        <v>1.3725000000000001</v>
      </c>
      <c r="Q482" cm="1">
        <f t="array" aca="1" ref="Q482" ca="1">IFERROR(INDEX(_xlfn.ANCHORARRAY($C$3),T_CALC[[#This Row],[DAY]]+1,2),NA())</f>
        <v>0</v>
      </c>
    </row>
    <row r="483" spans="3:17">
      <c r="C483" vm="2876">
        <f ca="1"/>
        <v>43427</v>
      </c>
      <c r="D483">
        <f ca="1"/>
        <v>0</v>
      </c>
      <c r="E483" vm="2731">
        <f ca="1"/>
        <v>1.3728</v>
      </c>
      <c r="F483" vm="2733">
        <f ca="1"/>
        <v>1.3755999999999999</v>
      </c>
      <c r="G483" vm="2732">
        <f ca="1"/>
        <v>1.3716999999999999</v>
      </c>
      <c r="H483" vm="1922">
        <f ca="1"/>
        <v>1.375</v>
      </c>
      <c r="K483">
        <f ca="1">IF(ROW(T_CALC[[#This Row],[DAY]])-ROW(T_CALC[[#Headers],[DAY]])&gt;C_N_TRADING_DAYS,"",ROW(T_CALC[[#This Row],[DAY]])-ROW(T_CALC[[#Headers],[DAY]]))</f>
        <v>480</v>
      </c>
      <c r="L483" cm="1" vm="2876">
        <f t="array" aca="1" ref="L483" ca="1">IFERROR(INDEX(_xlfn.ANCHORARRAY($C$3),T_CALC[[#This Row],[DAY]]+1,1),NA())</f>
        <v>43427</v>
      </c>
      <c r="M483" cm="1" vm="2731">
        <f t="array" aca="1" ref="M483" ca="1">IFERROR(INDEX(_xlfn.ANCHORARRAY($C$3),T_CALC[[#This Row],[DAY]]+1,3),NA())</f>
        <v>1.3728</v>
      </c>
      <c r="N483" cm="1" vm="2733">
        <f t="array" aca="1" ref="N483" ca="1">IFERROR(INDEX(_xlfn.ANCHORARRAY($C$3),T_CALC[[#This Row],[DAY]]+1,4),NA())</f>
        <v>1.3755999999999999</v>
      </c>
      <c r="O483" cm="1" vm="2732">
        <f t="array" aca="1" ref="O483" ca="1">IFERROR(INDEX(_xlfn.ANCHORARRAY($C$3),T_CALC[[#This Row],[DAY]]+1,5),NA())</f>
        <v>1.3716999999999999</v>
      </c>
      <c r="P483" cm="1" vm="1922">
        <f t="array" aca="1" ref="P483" ca="1">IFERROR(INDEX(_xlfn.ANCHORARRAY($C$3),T_CALC[[#This Row],[DAY]]+1,6),NA())</f>
        <v>1.375</v>
      </c>
      <c r="Q483" cm="1">
        <f t="array" aca="1" ref="Q483" ca="1">IFERROR(INDEX(_xlfn.ANCHORARRAY($C$3),T_CALC[[#This Row],[DAY]]+1,2),NA())</f>
        <v>0</v>
      </c>
    </row>
    <row r="484" spans="3:17">
      <c r="C484" vm="2877">
        <f ca="1"/>
        <v>43430</v>
      </c>
      <c r="D484">
        <f ca="1"/>
        <v>0</v>
      </c>
      <c r="E484" vm="2828">
        <f ca="1"/>
        <v>1.3747</v>
      </c>
      <c r="F484" vm="2743">
        <f ca="1"/>
        <v>1.3756999999999999</v>
      </c>
      <c r="G484" vm="1956">
        <f ca="1"/>
        <v>1.3720000000000001</v>
      </c>
      <c r="H484" vm="1882">
        <f ca="1"/>
        <v>1.3753</v>
      </c>
      <c r="K484">
        <f ca="1">IF(ROW(T_CALC[[#This Row],[DAY]])-ROW(T_CALC[[#Headers],[DAY]])&gt;C_N_TRADING_DAYS,"",ROW(T_CALC[[#This Row],[DAY]])-ROW(T_CALC[[#Headers],[DAY]]))</f>
        <v>481</v>
      </c>
      <c r="L484" cm="1" vm="2877">
        <f t="array" aca="1" ref="L484" ca="1">IFERROR(INDEX(_xlfn.ANCHORARRAY($C$3),T_CALC[[#This Row],[DAY]]+1,1),NA())</f>
        <v>43430</v>
      </c>
      <c r="M484" cm="1" vm="2828">
        <f t="array" aca="1" ref="M484" ca="1">IFERROR(INDEX(_xlfn.ANCHORARRAY($C$3),T_CALC[[#This Row],[DAY]]+1,3),NA())</f>
        <v>1.3747</v>
      </c>
      <c r="N484" cm="1" vm="2743">
        <f t="array" aca="1" ref="N484" ca="1">IFERROR(INDEX(_xlfn.ANCHORARRAY($C$3),T_CALC[[#This Row],[DAY]]+1,4),NA())</f>
        <v>1.3756999999999999</v>
      </c>
      <c r="O484" cm="1" vm="1956">
        <f t="array" aca="1" ref="O484" ca="1">IFERROR(INDEX(_xlfn.ANCHORARRAY($C$3),T_CALC[[#This Row],[DAY]]+1,5),NA())</f>
        <v>1.3720000000000001</v>
      </c>
      <c r="P484" cm="1" vm="1882">
        <f t="array" aca="1" ref="P484" ca="1">IFERROR(INDEX(_xlfn.ANCHORARRAY($C$3),T_CALC[[#This Row],[DAY]]+1,6),NA())</f>
        <v>1.3753</v>
      </c>
      <c r="Q484" cm="1">
        <f t="array" aca="1" ref="Q484" ca="1">IFERROR(INDEX(_xlfn.ANCHORARRAY($C$3),T_CALC[[#This Row],[DAY]]+1,2),NA())</f>
        <v>0</v>
      </c>
    </row>
    <row r="485" spans="3:17">
      <c r="C485" vm="2878">
        <f ca="1"/>
        <v>43431</v>
      </c>
      <c r="D485">
        <f ca="1"/>
        <v>0</v>
      </c>
      <c r="E485" vm="2776">
        <f ca="1"/>
        <v>1.3744000000000001</v>
      </c>
      <c r="F485" vm="1877">
        <f ca="1"/>
        <v>1.3796999999999999</v>
      </c>
      <c r="G485" vm="2777">
        <f ca="1"/>
        <v>1.3734</v>
      </c>
      <c r="H485" vm="2879">
        <f ca="1"/>
        <v>1.3774999999999999</v>
      </c>
      <c r="K485">
        <f ca="1">IF(ROW(T_CALC[[#This Row],[DAY]])-ROW(T_CALC[[#Headers],[DAY]])&gt;C_N_TRADING_DAYS,"",ROW(T_CALC[[#This Row],[DAY]])-ROW(T_CALC[[#Headers],[DAY]]))</f>
        <v>482</v>
      </c>
      <c r="L485" cm="1" vm="2878">
        <f t="array" aca="1" ref="L485" ca="1">IFERROR(INDEX(_xlfn.ANCHORARRAY($C$3),T_CALC[[#This Row],[DAY]]+1,1),NA())</f>
        <v>43431</v>
      </c>
      <c r="M485" cm="1" vm="2776">
        <f t="array" aca="1" ref="M485" ca="1">IFERROR(INDEX(_xlfn.ANCHORARRAY($C$3),T_CALC[[#This Row],[DAY]]+1,3),NA())</f>
        <v>1.3744000000000001</v>
      </c>
      <c r="N485" cm="1" vm="1877">
        <f t="array" aca="1" ref="N485" ca="1">IFERROR(INDEX(_xlfn.ANCHORARRAY($C$3),T_CALC[[#This Row],[DAY]]+1,4),NA())</f>
        <v>1.3796999999999999</v>
      </c>
      <c r="O485" cm="1" vm="2777">
        <f t="array" aca="1" ref="O485" ca="1">IFERROR(INDEX(_xlfn.ANCHORARRAY($C$3),T_CALC[[#This Row],[DAY]]+1,5),NA())</f>
        <v>1.3734</v>
      </c>
      <c r="P485" cm="1" vm="2879">
        <f t="array" aca="1" ref="P485" ca="1">IFERROR(INDEX(_xlfn.ANCHORARRAY($C$3),T_CALC[[#This Row],[DAY]]+1,6),NA())</f>
        <v>1.3774999999999999</v>
      </c>
      <c r="Q485" cm="1">
        <f t="array" aca="1" ref="Q485" ca="1">IFERROR(INDEX(_xlfn.ANCHORARRAY($C$3),T_CALC[[#This Row],[DAY]]+1,2),NA())</f>
        <v>0</v>
      </c>
    </row>
    <row r="486" spans="3:17">
      <c r="C486" vm="2880">
        <f ca="1"/>
        <v>43432</v>
      </c>
      <c r="D486">
        <f ca="1"/>
        <v>0</v>
      </c>
      <c r="E486" vm="2879">
        <f ca="1"/>
        <v>1.3774999999999999</v>
      </c>
      <c r="F486" vm="1946">
        <f ca="1"/>
        <v>1.3787</v>
      </c>
      <c r="G486" vm="2805">
        <f ca="1"/>
        <v>1.371</v>
      </c>
      <c r="H486" vm="2881">
        <f ca="1"/>
        <v>1.3726</v>
      </c>
      <c r="K486">
        <f ca="1">IF(ROW(T_CALC[[#This Row],[DAY]])-ROW(T_CALC[[#Headers],[DAY]])&gt;C_N_TRADING_DAYS,"",ROW(T_CALC[[#This Row],[DAY]])-ROW(T_CALC[[#Headers],[DAY]]))</f>
        <v>483</v>
      </c>
      <c r="L486" cm="1" vm="2880">
        <f t="array" aca="1" ref="L486" ca="1">IFERROR(INDEX(_xlfn.ANCHORARRAY($C$3),T_CALC[[#This Row],[DAY]]+1,1),NA())</f>
        <v>43432</v>
      </c>
      <c r="M486" cm="1" vm="2879">
        <f t="array" aca="1" ref="M486" ca="1">IFERROR(INDEX(_xlfn.ANCHORARRAY($C$3),T_CALC[[#This Row],[DAY]]+1,3),NA())</f>
        <v>1.3774999999999999</v>
      </c>
      <c r="N486" cm="1" vm="1946">
        <f t="array" aca="1" ref="N486" ca="1">IFERROR(INDEX(_xlfn.ANCHORARRAY($C$3),T_CALC[[#This Row],[DAY]]+1,4),NA())</f>
        <v>1.3787</v>
      </c>
      <c r="O486" cm="1" vm="2805">
        <f t="array" aca="1" ref="O486" ca="1">IFERROR(INDEX(_xlfn.ANCHORARRAY($C$3),T_CALC[[#This Row],[DAY]]+1,5),NA())</f>
        <v>1.371</v>
      </c>
      <c r="P486" cm="1" vm="2881">
        <f t="array" aca="1" ref="P486" ca="1">IFERROR(INDEX(_xlfn.ANCHORARRAY($C$3),T_CALC[[#This Row],[DAY]]+1,6),NA())</f>
        <v>1.3726</v>
      </c>
      <c r="Q486" cm="1">
        <f t="array" aca="1" ref="Q486" ca="1">IFERROR(INDEX(_xlfn.ANCHORARRAY($C$3),T_CALC[[#This Row],[DAY]]+1,2),NA())</f>
        <v>0</v>
      </c>
    </row>
    <row r="487" spans="3:17">
      <c r="C487" vm="2882">
        <f ca="1"/>
        <v>43433</v>
      </c>
      <c r="D487">
        <f ca="1"/>
        <v>0</v>
      </c>
      <c r="E487" vm="2856">
        <f ca="1"/>
        <v>1.3725000000000001</v>
      </c>
      <c r="F487" vm="1948">
        <f ca="1"/>
        <v>1.3735999999999999</v>
      </c>
      <c r="G487" vm="2680">
        <f ca="1"/>
        <v>1.3687</v>
      </c>
      <c r="H487" vm="2784">
        <f ca="1"/>
        <v>1.37</v>
      </c>
      <c r="K487">
        <f ca="1">IF(ROW(T_CALC[[#This Row],[DAY]])-ROW(T_CALC[[#Headers],[DAY]])&gt;C_N_TRADING_DAYS,"",ROW(T_CALC[[#This Row],[DAY]])-ROW(T_CALC[[#Headers],[DAY]]))</f>
        <v>484</v>
      </c>
      <c r="L487" cm="1" vm="2882">
        <f t="array" aca="1" ref="L487" ca="1">IFERROR(INDEX(_xlfn.ANCHORARRAY($C$3),T_CALC[[#This Row],[DAY]]+1,1),NA())</f>
        <v>43433</v>
      </c>
      <c r="M487" cm="1" vm="2856">
        <f t="array" aca="1" ref="M487" ca="1">IFERROR(INDEX(_xlfn.ANCHORARRAY($C$3),T_CALC[[#This Row],[DAY]]+1,3),NA())</f>
        <v>1.3725000000000001</v>
      </c>
      <c r="N487" cm="1" vm="1948">
        <f t="array" aca="1" ref="N487" ca="1">IFERROR(INDEX(_xlfn.ANCHORARRAY($C$3),T_CALC[[#This Row],[DAY]]+1,4),NA())</f>
        <v>1.3735999999999999</v>
      </c>
      <c r="O487" cm="1" vm="2680">
        <f t="array" aca="1" ref="O487" ca="1">IFERROR(INDEX(_xlfn.ANCHORARRAY($C$3),T_CALC[[#This Row],[DAY]]+1,5),NA())</f>
        <v>1.3687</v>
      </c>
      <c r="P487" cm="1" vm="2784">
        <f t="array" aca="1" ref="P487" ca="1">IFERROR(INDEX(_xlfn.ANCHORARRAY($C$3),T_CALC[[#This Row],[DAY]]+1,6),NA())</f>
        <v>1.37</v>
      </c>
      <c r="Q487" cm="1">
        <f t="array" aca="1" ref="Q487" ca="1">IFERROR(INDEX(_xlfn.ANCHORARRAY($C$3),T_CALC[[#This Row],[DAY]]+1,2),NA())</f>
        <v>0</v>
      </c>
    </row>
    <row r="488" spans="3:17">
      <c r="C488" vm="2883">
        <f ca="1"/>
        <v>43434</v>
      </c>
      <c r="D488">
        <f ca="1"/>
        <v>0</v>
      </c>
      <c r="E488" vm="2884">
        <f ca="1"/>
        <v>1.3702000000000001</v>
      </c>
      <c r="F488" vm="2858">
        <f ca="1"/>
        <v>1.3731</v>
      </c>
      <c r="G488" vm="2680">
        <f ca="1"/>
        <v>1.3687</v>
      </c>
      <c r="H488" vm="2765">
        <f ca="1"/>
        <v>1.3718999999999999</v>
      </c>
      <c r="K488">
        <f ca="1">IF(ROW(T_CALC[[#This Row],[DAY]])-ROW(T_CALC[[#Headers],[DAY]])&gt;C_N_TRADING_DAYS,"",ROW(T_CALC[[#This Row],[DAY]])-ROW(T_CALC[[#Headers],[DAY]]))</f>
        <v>485</v>
      </c>
      <c r="L488" cm="1" vm="2883">
        <f t="array" aca="1" ref="L488" ca="1">IFERROR(INDEX(_xlfn.ANCHORARRAY($C$3),T_CALC[[#This Row],[DAY]]+1,1),NA())</f>
        <v>43434</v>
      </c>
      <c r="M488" cm="1" vm="2884">
        <f t="array" aca="1" ref="M488" ca="1">IFERROR(INDEX(_xlfn.ANCHORARRAY($C$3),T_CALC[[#This Row],[DAY]]+1,3),NA())</f>
        <v>1.3702000000000001</v>
      </c>
      <c r="N488" cm="1" vm="2858">
        <f t="array" aca="1" ref="N488" ca="1">IFERROR(INDEX(_xlfn.ANCHORARRAY($C$3),T_CALC[[#This Row],[DAY]]+1,4),NA())</f>
        <v>1.3731</v>
      </c>
      <c r="O488" cm="1" vm="2680">
        <f t="array" aca="1" ref="O488" ca="1">IFERROR(INDEX(_xlfn.ANCHORARRAY($C$3),T_CALC[[#This Row],[DAY]]+1,5),NA())</f>
        <v>1.3687</v>
      </c>
      <c r="P488" cm="1" vm="2765">
        <f t="array" aca="1" ref="P488" ca="1">IFERROR(INDEX(_xlfn.ANCHORARRAY($C$3),T_CALC[[#This Row],[DAY]]+1,6),NA())</f>
        <v>1.3718999999999999</v>
      </c>
      <c r="Q488" cm="1">
        <f t="array" aca="1" ref="Q488" ca="1">IFERROR(INDEX(_xlfn.ANCHORARRAY($C$3),T_CALC[[#This Row],[DAY]]+1,2),NA())</f>
        <v>0</v>
      </c>
    </row>
    <row r="489" spans="3:17">
      <c r="C489" vm="2885">
        <f ca="1"/>
        <v>43437</v>
      </c>
      <c r="D489">
        <f ca="1"/>
        <v>0</v>
      </c>
      <c r="E489" vm="2746">
        <f ca="1"/>
        <v>1.3703000000000001</v>
      </c>
      <c r="F489" vm="1881">
        <f ca="1"/>
        <v>1.3704000000000001</v>
      </c>
      <c r="G489" vm="2165">
        <f ca="1"/>
        <v>1.3653</v>
      </c>
      <c r="H489" vm="2196">
        <f ca="1"/>
        <v>1.3668</v>
      </c>
      <c r="K489">
        <f ca="1">IF(ROW(T_CALC[[#This Row],[DAY]])-ROW(T_CALC[[#Headers],[DAY]])&gt;C_N_TRADING_DAYS,"",ROW(T_CALC[[#This Row],[DAY]])-ROW(T_CALC[[#Headers],[DAY]]))</f>
        <v>486</v>
      </c>
      <c r="L489" cm="1" vm="2885">
        <f t="array" aca="1" ref="L489" ca="1">IFERROR(INDEX(_xlfn.ANCHORARRAY($C$3),T_CALC[[#This Row],[DAY]]+1,1),NA())</f>
        <v>43437</v>
      </c>
      <c r="M489" cm="1" vm="2746">
        <f t="array" aca="1" ref="M489" ca="1">IFERROR(INDEX(_xlfn.ANCHORARRAY($C$3),T_CALC[[#This Row],[DAY]]+1,3),NA())</f>
        <v>1.3703000000000001</v>
      </c>
      <c r="N489" cm="1" vm="1881">
        <f t="array" aca="1" ref="N489" ca="1">IFERROR(INDEX(_xlfn.ANCHORARRAY($C$3),T_CALC[[#This Row],[DAY]]+1,4),NA())</f>
        <v>1.3704000000000001</v>
      </c>
      <c r="O489" cm="1" vm="2165">
        <f t="array" aca="1" ref="O489" ca="1">IFERROR(INDEX(_xlfn.ANCHORARRAY($C$3),T_CALC[[#This Row],[DAY]]+1,5),NA())</f>
        <v>1.3653</v>
      </c>
      <c r="P489" cm="1" vm="2196">
        <f t="array" aca="1" ref="P489" ca="1">IFERROR(INDEX(_xlfn.ANCHORARRAY($C$3),T_CALC[[#This Row],[DAY]]+1,6),NA())</f>
        <v>1.3668</v>
      </c>
      <c r="Q489" cm="1">
        <f t="array" aca="1" ref="Q489" ca="1">IFERROR(INDEX(_xlfn.ANCHORARRAY($C$3),T_CALC[[#This Row],[DAY]]+1,2),NA())</f>
        <v>0</v>
      </c>
    </row>
    <row r="490" spans="3:17">
      <c r="C490" vm="2886">
        <f ca="1"/>
        <v>43438</v>
      </c>
      <c r="D490">
        <f ca="1"/>
        <v>0</v>
      </c>
      <c r="E490" vm="2797">
        <f ca="1"/>
        <v>1.3667</v>
      </c>
      <c r="F490" vm="1966">
        <f ca="1"/>
        <v>1.3676999999999999</v>
      </c>
      <c r="G490" vm="1975">
        <f ca="1"/>
        <v>1.3621000000000001</v>
      </c>
      <c r="H490" vm="2702">
        <f ca="1"/>
        <v>1.365</v>
      </c>
      <c r="K490">
        <f ca="1">IF(ROW(T_CALC[[#This Row],[DAY]])-ROW(T_CALC[[#Headers],[DAY]])&gt;C_N_TRADING_DAYS,"",ROW(T_CALC[[#This Row],[DAY]])-ROW(T_CALC[[#Headers],[DAY]]))</f>
        <v>487</v>
      </c>
      <c r="L490" cm="1" vm="2886">
        <f t="array" aca="1" ref="L490" ca="1">IFERROR(INDEX(_xlfn.ANCHORARRAY($C$3),T_CALC[[#This Row],[DAY]]+1,1),NA())</f>
        <v>43438</v>
      </c>
      <c r="M490" cm="1" vm="2797">
        <f t="array" aca="1" ref="M490" ca="1">IFERROR(INDEX(_xlfn.ANCHORARRAY($C$3),T_CALC[[#This Row],[DAY]]+1,3),NA())</f>
        <v>1.3667</v>
      </c>
      <c r="N490" cm="1" vm="1966">
        <f t="array" aca="1" ref="N490" ca="1">IFERROR(INDEX(_xlfn.ANCHORARRAY($C$3),T_CALC[[#This Row],[DAY]]+1,4),NA())</f>
        <v>1.3676999999999999</v>
      </c>
      <c r="O490" cm="1" vm="1975">
        <f t="array" aca="1" ref="O490" ca="1">IFERROR(INDEX(_xlfn.ANCHORARRAY($C$3),T_CALC[[#This Row],[DAY]]+1,5),NA())</f>
        <v>1.3621000000000001</v>
      </c>
      <c r="P490" cm="1" vm="2702">
        <f t="array" aca="1" ref="P490" ca="1">IFERROR(INDEX(_xlfn.ANCHORARRAY($C$3),T_CALC[[#This Row],[DAY]]+1,6),NA())</f>
        <v>1.365</v>
      </c>
      <c r="Q490" cm="1">
        <f t="array" aca="1" ref="Q490" ca="1">IFERROR(INDEX(_xlfn.ANCHORARRAY($C$3),T_CALC[[#This Row],[DAY]]+1,2),NA())</f>
        <v>0</v>
      </c>
    </row>
    <row r="491" spans="3:17">
      <c r="C491" vm="2887">
        <f ca="1"/>
        <v>43439</v>
      </c>
      <c r="D491">
        <f ca="1"/>
        <v>0</v>
      </c>
      <c r="E491" vm="1961">
        <f ca="1"/>
        <v>1.3648</v>
      </c>
      <c r="F491" vm="2680">
        <f ca="1"/>
        <v>1.3687</v>
      </c>
      <c r="G491" vm="2035">
        <f ca="1"/>
        <v>1.3644000000000001</v>
      </c>
      <c r="H491" vm="2196">
        <f ca="1"/>
        <v>1.3668</v>
      </c>
      <c r="K491">
        <f ca="1">IF(ROW(T_CALC[[#This Row],[DAY]])-ROW(T_CALC[[#Headers],[DAY]])&gt;C_N_TRADING_DAYS,"",ROW(T_CALC[[#This Row],[DAY]])-ROW(T_CALC[[#Headers],[DAY]]))</f>
        <v>488</v>
      </c>
      <c r="L491" cm="1" vm="2887">
        <f t="array" aca="1" ref="L491" ca="1">IFERROR(INDEX(_xlfn.ANCHORARRAY($C$3),T_CALC[[#This Row],[DAY]]+1,1),NA())</f>
        <v>43439</v>
      </c>
      <c r="M491" cm="1" vm="1961">
        <f t="array" aca="1" ref="M491" ca="1">IFERROR(INDEX(_xlfn.ANCHORARRAY($C$3),T_CALC[[#This Row],[DAY]]+1,3),NA())</f>
        <v>1.3648</v>
      </c>
      <c r="N491" cm="1" vm="2680">
        <f t="array" aca="1" ref="N491" ca="1">IFERROR(INDEX(_xlfn.ANCHORARRAY($C$3),T_CALC[[#This Row],[DAY]]+1,4),NA())</f>
        <v>1.3687</v>
      </c>
      <c r="O491" cm="1" vm="2035">
        <f t="array" aca="1" ref="O491" ca="1">IFERROR(INDEX(_xlfn.ANCHORARRAY($C$3),T_CALC[[#This Row],[DAY]]+1,5),NA())</f>
        <v>1.3644000000000001</v>
      </c>
      <c r="P491" cm="1" vm="2196">
        <f t="array" aca="1" ref="P491" ca="1">IFERROR(INDEX(_xlfn.ANCHORARRAY($C$3),T_CALC[[#This Row],[DAY]]+1,6),NA())</f>
        <v>1.3668</v>
      </c>
      <c r="Q491" cm="1">
        <f t="array" aca="1" ref="Q491" ca="1">IFERROR(INDEX(_xlfn.ANCHORARRAY($C$3),T_CALC[[#This Row],[DAY]]+1,2),NA())</f>
        <v>0</v>
      </c>
    </row>
    <row r="492" spans="3:17">
      <c r="C492" vm="2888">
        <f ca="1"/>
        <v>43440</v>
      </c>
      <c r="D492">
        <f ca="1"/>
        <v>0</v>
      </c>
      <c r="E492" vm="2720">
        <f ca="1"/>
        <v>1.3664000000000001</v>
      </c>
      <c r="F492" vm="2873">
        <f ca="1"/>
        <v>1.3722000000000001</v>
      </c>
      <c r="G492" vm="1964">
        <f ca="1"/>
        <v>1.3661000000000001</v>
      </c>
      <c r="H492" vm="2889">
        <f ca="1"/>
        <v>1.3692</v>
      </c>
      <c r="K492">
        <f ca="1">IF(ROW(T_CALC[[#This Row],[DAY]])-ROW(T_CALC[[#Headers],[DAY]])&gt;C_N_TRADING_DAYS,"",ROW(T_CALC[[#This Row],[DAY]])-ROW(T_CALC[[#Headers],[DAY]]))</f>
        <v>489</v>
      </c>
      <c r="L492" cm="1" vm="2888">
        <f t="array" aca="1" ref="L492" ca="1">IFERROR(INDEX(_xlfn.ANCHORARRAY($C$3),T_CALC[[#This Row],[DAY]]+1,1),NA())</f>
        <v>43440</v>
      </c>
      <c r="M492" cm="1" vm="2720">
        <f t="array" aca="1" ref="M492" ca="1">IFERROR(INDEX(_xlfn.ANCHORARRAY($C$3),T_CALC[[#This Row],[DAY]]+1,3),NA())</f>
        <v>1.3664000000000001</v>
      </c>
      <c r="N492" cm="1" vm="2873">
        <f t="array" aca="1" ref="N492" ca="1">IFERROR(INDEX(_xlfn.ANCHORARRAY($C$3),T_CALC[[#This Row],[DAY]]+1,4),NA())</f>
        <v>1.3722000000000001</v>
      </c>
      <c r="O492" cm="1" vm="1964">
        <f t="array" aca="1" ref="O492" ca="1">IFERROR(INDEX(_xlfn.ANCHORARRAY($C$3),T_CALC[[#This Row],[DAY]]+1,5),NA())</f>
        <v>1.3661000000000001</v>
      </c>
      <c r="P492" cm="1" vm="2889">
        <f t="array" aca="1" ref="P492" ca="1">IFERROR(INDEX(_xlfn.ANCHORARRAY($C$3),T_CALC[[#This Row],[DAY]]+1,6),NA())</f>
        <v>1.3692</v>
      </c>
      <c r="Q492" cm="1">
        <f t="array" aca="1" ref="Q492" ca="1">IFERROR(INDEX(_xlfn.ANCHORARRAY($C$3),T_CALC[[#This Row],[DAY]]+1,2),NA())</f>
        <v>0</v>
      </c>
    </row>
    <row r="493" spans="3:17">
      <c r="C493" vm="2890">
        <f ca="1"/>
        <v>43441</v>
      </c>
      <c r="D493">
        <f ca="1"/>
        <v>0</v>
      </c>
      <c r="E493" vm="2697">
        <f ca="1"/>
        <v>1.3689</v>
      </c>
      <c r="F493" vm="2805">
        <f ca="1"/>
        <v>1.371</v>
      </c>
      <c r="G493" vm="2727">
        <f ca="1"/>
        <v>1.3675999999999999</v>
      </c>
      <c r="H493" vm="2853">
        <f ca="1"/>
        <v>1.3695999999999999</v>
      </c>
      <c r="K493">
        <f ca="1">IF(ROW(T_CALC[[#This Row],[DAY]])-ROW(T_CALC[[#Headers],[DAY]])&gt;C_N_TRADING_DAYS,"",ROW(T_CALC[[#This Row],[DAY]])-ROW(T_CALC[[#Headers],[DAY]]))</f>
        <v>490</v>
      </c>
      <c r="L493" cm="1" vm="2890">
        <f t="array" aca="1" ref="L493" ca="1">IFERROR(INDEX(_xlfn.ANCHORARRAY($C$3),T_CALC[[#This Row],[DAY]]+1,1),NA())</f>
        <v>43441</v>
      </c>
      <c r="M493" cm="1" vm="2697">
        <f t="array" aca="1" ref="M493" ca="1">IFERROR(INDEX(_xlfn.ANCHORARRAY($C$3),T_CALC[[#This Row],[DAY]]+1,3),NA())</f>
        <v>1.3689</v>
      </c>
      <c r="N493" cm="1" vm="2805">
        <f t="array" aca="1" ref="N493" ca="1">IFERROR(INDEX(_xlfn.ANCHORARRAY($C$3),T_CALC[[#This Row],[DAY]]+1,4),NA())</f>
        <v>1.371</v>
      </c>
      <c r="O493" cm="1" vm="2727">
        <f t="array" aca="1" ref="O493" ca="1">IFERROR(INDEX(_xlfn.ANCHORARRAY($C$3),T_CALC[[#This Row],[DAY]]+1,5),NA())</f>
        <v>1.3675999999999999</v>
      </c>
      <c r="P493" cm="1" vm="2853">
        <f t="array" aca="1" ref="P493" ca="1">IFERROR(INDEX(_xlfn.ANCHORARRAY($C$3),T_CALC[[#This Row],[DAY]]+1,6),NA())</f>
        <v>1.3695999999999999</v>
      </c>
      <c r="Q493" cm="1">
        <f t="array" aca="1" ref="Q493" ca="1">IFERROR(INDEX(_xlfn.ANCHORARRAY($C$3),T_CALC[[#This Row],[DAY]]+1,2),NA())</f>
        <v>0</v>
      </c>
    </row>
    <row r="494" spans="3:17">
      <c r="C494" vm="2891">
        <f ca="1"/>
        <v>43444</v>
      </c>
      <c r="D494">
        <f ca="1"/>
        <v>0</v>
      </c>
      <c r="E494" vm="2892">
        <f ca="1"/>
        <v>1.3696999999999999</v>
      </c>
      <c r="F494" vm="2866">
        <f ca="1"/>
        <v>1.3749</v>
      </c>
      <c r="G494" vm="2676">
        <f ca="1"/>
        <v>1.3685</v>
      </c>
      <c r="H494" vm="2771">
        <f ca="1"/>
        <v>1.3742000000000001</v>
      </c>
      <c r="K494">
        <f ca="1">IF(ROW(T_CALC[[#This Row],[DAY]])-ROW(T_CALC[[#Headers],[DAY]])&gt;C_N_TRADING_DAYS,"",ROW(T_CALC[[#This Row],[DAY]])-ROW(T_CALC[[#Headers],[DAY]]))</f>
        <v>491</v>
      </c>
      <c r="L494" cm="1" vm="2891">
        <f t="array" aca="1" ref="L494" ca="1">IFERROR(INDEX(_xlfn.ANCHORARRAY($C$3),T_CALC[[#This Row],[DAY]]+1,1),NA())</f>
        <v>43444</v>
      </c>
      <c r="M494" cm="1" vm="2892">
        <f t="array" aca="1" ref="M494" ca="1">IFERROR(INDEX(_xlfn.ANCHORARRAY($C$3),T_CALC[[#This Row],[DAY]]+1,3),NA())</f>
        <v>1.3696999999999999</v>
      </c>
      <c r="N494" cm="1" vm="2866">
        <f t="array" aca="1" ref="N494" ca="1">IFERROR(INDEX(_xlfn.ANCHORARRAY($C$3),T_CALC[[#This Row],[DAY]]+1,4),NA())</f>
        <v>1.3749</v>
      </c>
      <c r="O494" cm="1" vm="2676">
        <f t="array" aca="1" ref="O494" ca="1">IFERROR(INDEX(_xlfn.ANCHORARRAY($C$3),T_CALC[[#This Row],[DAY]]+1,5),NA())</f>
        <v>1.3685</v>
      </c>
      <c r="P494" cm="1" vm="2771">
        <f t="array" aca="1" ref="P494" ca="1">IFERROR(INDEX(_xlfn.ANCHORARRAY($C$3),T_CALC[[#This Row],[DAY]]+1,6),NA())</f>
        <v>1.3742000000000001</v>
      </c>
      <c r="Q494" cm="1">
        <f t="array" aca="1" ref="Q494" ca="1">IFERROR(INDEX(_xlfn.ANCHORARRAY($C$3),T_CALC[[#This Row],[DAY]]+1,2),NA())</f>
        <v>0</v>
      </c>
    </row>
    <row r="495" spans="3:17">
      <c r="C495" vm="2893">
        <f ca="1"/>
        <v>43445</v>
      </c>
      <c r="D495">
        <f ca="1"/>
        <v>0</v>
      </c>
      <c r="E495" vm="2771">
        <f ca="1"/>
        <v>1.3742000000000001</v>
      </c>
      <c r="F495" vm="1882">
        <f ca="1"/>
        <v>1.3753</v>
      </c>
      <c r="G495" vm="2199">
        <f ca="1"/>
        <v>1.3713</v>
      </c>
      <c r="H495" vm="2777">
        <f ca="1"/>
        <v>1.3734</v>
      </c>
      <c r="K495">
        <f ca="1">IF(ROW(T_CALC[[#This Row],[DAY]])-ROW(T_CALC[[#Headers],[DAY]])&gt;C_N_TRADING_DAYS,"",ROW(T_CALC[[#This Row],[DAY]])-ROW(T_CALC[[#Headers],[DAY]]))</f>
        <v>492</v>
      </c>
      <c r="L495" cm="1" vm="2893">
        <f t="array" aca="1" ref="L495" ca="1">IFERROR(INDEX(_xlfn.ANCHORARRAY($C$3),T_CALC[[#This Row],[DAY]]+1,1),NA())</f>
        <v>43445</v>
      </c>
      <c r="M495" cm="1" vm="2771">
        <f t="array" aca="1" ref="M495" ca="1">IFERROR(INDEX(_xlfn.ANCHORARRAY($C$3),T_CALC[[#This Row],[DAY]]+1,3),NA())</f>
        <v>1.3742000000000001</v>
      </c>
      <c r="N495" cm="1" vm="1882">
        <f t="array" aca="1" ref="N495" ca="1">IFERROR(INDEX(_xlfn.ANCHORARRAY($C$3),T_CALC[[#This Row],[DAY]]+1,4),NA())</f>
        <v>1.3753</v>
      </c>
      <c r="O495" cm="1" vm="2199">
        <f t="array" aca="1" ref="O495" ca="1">IFERROR(INDEX(_xlfn.ANCHORARRAY($C$3),T_CALC[[#This Row],[DAY]]+1,5),NA())</f>
        <v>1.3713</v>
      </c>
      <c r="P495" cm="1" vm="2777">
        <f t="array" aca="1" ref="P495" ca="1">IFERROR(INDEX(_xlfn.ANCHORARRAY($C$3),T_CALC[[#This Row],[DAY]]+1,6),NA())</f>
        <v>1.3734</v>
      </c>
      <c r="Q495" cm="1">
        <f t="array" aca="1" ref="Q495" ca="1">IFERROR(INDEX(_xlfn.ANCHORARRAY($C$3),T_CALC[[#This Row],[DAY]]+1,2),NA())</f>
        <v>0</v>
      </c>
    </row>
    <row r="496" spans="3:17">
      <c r="C496" vm="2894">
        <f ca="1"/>
        <v>43446</v>
      </c>
      <c r="D496">
        <f ca="1"/>
        <v>0</v>
      </c>
      <c r="E496" vm="1947">
        <f ca="1"/>
        <v>1.3733</v>
      </c>
      <c r="F496" vm="2826">
        <f ca="1"/>
        <v>1.3748</v>
      </c>
      <c r="G496" vm="1960">
        <f ca="1"/>
        <v>1.3706</v>
      </c>
      <c r="H496" vm="2765">
        <f ca="1"/>
        <v>1.3718999999999999</v>
      </c>
      <c r="K496">
        <f ca="1">IF(ROW(T_CALC[[#This Row],[DAY]])-ROW(T_CALC[[#Headers],[DAY]])&gt;C_N_TRADING_DAYS,"",ROW(T_CALC[[#This Row],[DAY]])-ROW(T_CALC[[#Headers],[DAY]]))</f>
        <v>493</v>
      </c>
      <c r="L496" cm="1" vm="2894">
        <f t="array" aca="1" ref="L496" ca="1">IFERROR(INDEX(_xlfn.ANCHORARRAY($C$3),T_CALC[[#This Row],[DAY]]+1,1),NA())</f>
        <v>43446</v>
      </c>
      <c r="M496" cm="1" vm="1947">
        <f t="array" aca="1" ref="M496" ca="1">IFERROR(INDEX(_xlfn.ANCHORARRAY($C$3),T_CALC[[#This Row],[DAY]]+1,3),NA())</f>
        <v>1.3733</v>
      </c>
      <c r="N496" cm="1" vm="2826">
        <f t="array" aca="1" ref="N496" ca="1">IFERROR(INDEX(_xlfn.ANCHORARRAY($C$3),T_CALC[[#This Row],[DAY]]+1,4),NA())</f>
        <v>1.3748</v>
      </c>
      <c r="O496" cm="1" vm="1960">
        <f t="array" aca="1" ref="O496" ca="1">IFERROR(INDEX(_xlfn.ANCHORARRAY($C$3),T_CALC[[#This Row],[DAY]]+1,5),NA())</f>
        <v>1.3706</v>
      </c>
      <c r="P496" cm="1" vm="2765">
        <f t="array" aca="1" ref="P496" ca="1">IFERROR(INDEX(_xlfn.ANCHORARRAY($C$3),T_CALC[[#This Row],[DAY]]+1,6),NA())</f>
        <v>1.3718999999999999</v>
      </c>
      <c r="Q496" cm="1">
        <f t="array" aca="1" ref="Q496" ca="1">IFERROR(INDEX(_xlfn.ANCHORARRAY($C$3),T_CALC[[#This Row],[DAY]]+1,2),NA())</f>
        <v>0</v>
      </c>
    </row>
    <row r="497" spans="3:17">
      <c r="C497" vm="2895">
        <f ca="1"/>
        <v>43447</v>
      </c>
      <c r="D497">
        <f ca="1"/>
        <v>0</v>
      </c>
      <c r="E497" vm="2765">
        <f ca="1"/>
        <v>1.3718999999999999</v>
      </c>
      <c r="F497" vm="2856">
        <f ca="1"/>
        <v>1.3725000000000001</v>
      </c>
      <c r="G497" vm="2889">
        <f ca="1"/>
        <v>1.3692</v>
      </c>
      <c r="H497" vm="1953">
        <f ca="1"/>
        <v>1.3711</v>
      </c>
      <c r="K497">
        <f ca="1">IF(ROW(T_CALC[[#This Row],[DAY]])-ROW(T_CALC[[#Headers],[DAY]])&gt;C_N_TRADING_DAYS,"",ROW(T_CALC[[#This Row],[DAY]])-ROW(T_CALC[[#Headers],[DAY]]))</f>
        <v>494</v>
      </c>
      <c r="L497" cm="1" vm="2895">
        <f t="array" aca="1" ref="L497" ca="1">IFERROR(INDEX(_xlfn.ANCHORARRAY($C$3),T_CALC[[#This Row],[DAY]]+1,1),NA())</f>
        <v>43447</v>
      </c>
      <c r="M497" cm="1" vm="2765">
        <f t="array" aca="1" ref="M497" ca="1">IFERROR(INDEX(_xlfn.ANCHORARRAY($C$3),T_CALC[[#This Row],[DAY]]+1,3),NA())</f>
        <v>1.3718999999999999</v>
      </c>
      <c r="N497" cm="1" vm="2856">
        <f t="array" aca="1" ref="N497" ca="1">IFERROR(INDEX(_xlfn.ANCHORARRAY($C$3),T_CALC[[#This Row],[DAY]]+1,4),NA())</f>
        <v>1.3725000000000001</v>
      </c>
      <c r="O497" cm="1" vm="2889">
        <f t="array" aca="1" ref="O497" ca="1">IFERROR(INDEX(_xlfn.ANCHORARRAY($C$3),T_CALC[[#This Row],[DAY]]+1,5),NA())</f>
        <v>1.3692</v>
      </c>
      <c r="P497" cm="1" vm="1953">
        <f t="array" aca="1" ref="P497" ca="1">IFERROR(INDEX(_xlfn.ANCHORARRAY($C$3),T_CALC[[#This Row],[DAY]]+1,6),NA())</f>
        <v>1.3711</v>
      </c>
      <c r="Q497" cm="1">
        <f t="array" aca="1" ref="Q497" ca="1">IFERROR(INDEX(_xlfn.ANCHORARRAY($C$3),T_CALC[[#This Row],[DAY]]+1,2),NA())</f>
        <v>0</v>
      </c>
    </row>
    <row r="498" spans="3:17">
      <c r="C498" vm="2896">
        <f ca="1"/>
        <v>43448</v>
      </c>
      <c r="D498">
        <f ca="1"/>
        <v>0</v>
      </c>
      <c r="E498" vm="2791">
        <f ca="1"/>
        <v>1.3707</v>
      </c>
      <c r="F498" vm="2821">
        <f ca="1"/>
        <v>1.3774</v>
      </c>
      <c r="G498" vm="2678">
        <f ca="1"/>
        <v>1.3705000000000001</v>
      </c>
      <c r="H498" vm="2840">
        <f ca="1"/>
        <v>1.3766</v>
      </c>
      <c r="K498">
        <f ca="1">IF(ROW(T_CALC[[#This Row],[DAY]])-ROW(T_CALC[[#Headers],[DAY]])&gt;C_N_TRADING_DAYS,"",ROW(T_CALC[[#This Row],[DAY]])-ROW(T_CALC[[#Headers],[DAY]]))</f>
        <v>495</v>
      </c>
      <c r="L498" cm="1" vm="2896">
        <f t="array" aca="1" ref="L498" ca="1">IFERROR(INDEX(_xlfn.ANCHORARRAY($C$3),T_CALC[[#This Row],[DAY]]+1,1),NA())</f>
        <v>43448</v>
      </c>
      <c r="M498" cm="1" vm="2791">
        <f t="array" aca="1" ref="M498" ca="1">IFERROR(INDEX(_xlfn.ANCHORARRAY($C$3),T_CALC[[#This Row],[DAY]]+1,3),NA())</f>
        <v>1.3707</v>
      </c>
      <c r="N498" cm="1" vm="2821">
        <f t="array" aca="1" ref="N498" ca="1">IFERROR(INDEX(_xlfn.ANCHORARRAY($C$3),T_CALC[[#This Row],[DAY]]+1,4),NA())</f>
        <v>1.3774</v>
      </c>
      <c r="O498" cm="1" vm="2678">
        <f t="array" aca="1" ref="O498" ca="1">IFERROR(INDEX(_xlfn.ANCHORARRAY($C$3),T_CALC[[#This Row],[DAY]]+1,5),NA())</f>
        <v>1.3705000000000001</v>
      </c>
      <c r="P498" cm="1" vm="2840">
        <f t="array" aca="1" ref="P498" ca="1">IFERROR(INDEX(_xlfn.ANCHORARRAY($C$3),T_CALC[[#This Row],[DAY]]+1,6),NA())</f>
        <v>1.3766</v>
      </c>
      <c r="Q498" cm="1">
        <f t="array" aca="1" ref="Q498" ca="1">IFERROR(INDEX(_xlfn.ANCHORARRAY($C$3),T_CALC[[#This Row],[DAY]]+1,2),NA())</f>
        <v>0</v>
      </c>
    </row>
    <row r="499" spans="3:17">
      <c r="C499" vm="2897">
        <f ca="1"/>
        <v>43451</v>
      </c>
      <c r="D499">
        <f ca="1"/>
        <v>0</v>
      </c>
      <c r="E499" vm="2818">
        <f ca="1"/>
        <v>1.3764000000000001</v>
      </c>
      <c r="F499" vm="2898">
        <f ca="1"/>
        <v>1.3772</v>
      </c>
      <c r="G499" vm="2765">
        <f ca="1"/>
        <v>1.3718999999999999</v>
      </c>
      <c r="H499" vm="2856">
        <f ca="1"/>
        <v>1.3725000000000001</v>
      </c>
      <c r="K499">
        <f ca="1">IF(ROW(T_CALC[[#This Row],[DAY]])-ROW(T_CALC[[#Headers],[DAY]])&gt;C_N_TRADING_DAYS,"",ROW(T_CALC[[#This Row],[DAY]])-ROW(T_CALC[[#Headers],[DAY]]))</f>
        <v>496</v>
      </c>
      <c r="L499" cm="1" vm="2897">
        <f t="array" aca="1" ref="L499" ca="1">IFERROR(INDEX(_xlfn.ANCHORARRAY($C$3),T_CALC[[#This Row],[DAY]]+1,1),NA())</f>
        <v>43451</v>
      </c>
      <c r="M499" cm="1" vm="2818">
        <f t="array" aca="1" ref="M499" ca="1">IFERROR(INDEX(_xlfn.ANCHORARRAY($C$3),T_CALC[[#This Row],[DAY]]+1,3),NA())</f>
        <v>1.3764000000000001</v>
      </c>
      <c r="N499" cm="1" vm="2898">
        <f t="array" aca="1" ref="N499" ca="1">IFERROR(INDEX(_xlfn.ANCHORARRAY($C$3),T_CALC[[#This Row],[DAY]]+1,4),NA())</f>
        <v>1.3772</v>
      </c>
      <c r="O499" cm="1" vm="2765">
        <f t="array" aca="1" ref="O499" ca="1">IFERROR(INDEX(_xlfn.ANCHORARRAY($C$3),T_CALC[[#This Row],[DAY]]+1,5),NA())</f>
        <v>1.3718999999999999</v>
      </c>
      <c r="P499" cm="1" vm="2856">
        <f t="array" aca="1" ref="P499" ca="1">IFERROR(INDEX(_xlfn.ANCHORARRAY($C$3),T_CALC[[#This Row],[DAY]]+1,6),NA())</f>
        <v>1.3725000000000001</v>
      </c>
      <c r="Q499" cm="1">
        <f t="array" aca="1" ref="Q499" ca="1">IFERROR(INDEX(_xlfn.ANCHORARRAY($C$3),T_CALC[[#This Row],[DAY]]+1,2),NA())</f>
        <v>0</v>
      </c>
    </row>
    <row r="500" spans="3:17">
      <c r="C500" vm="2899">
        <f ca="1"/>
        <v>43452</v>
      </c>
      <c r="D500">
        <f ca="1"/>
        <v>0</v>
      </c>
      <c r="E500" vm="2881">
        <f ca="1"/>
        <v>1.3726</v>
      </c>
      <c r="F500" vm="2900">
        <f ca="1"/>
        <v>1.373</v>
      </c>
      <c r="G500" vm="2889">
        <f ca="1"/>
        <v>1.3692</v>
      </c>
      <c r="H500" vm="2784">
        <f ca="1"/>
        <v>1.37</v>
      </c>
      <c r="K500">
        <f ca="1">IF(ROW(T_CALC[[#This Row],[DAY]])-ROW(T_CALC[[#Headers],[DAY]])&gt;C_N_TRADING_DAYS,"",ROW(T_CALC[[#This Row],[DAY]])-ROW(T_CALC[[#Headers],[DAY]]))</f>
        <v>497</v>
      </c>
      <c r="L500" cm="1" vm="2899">
        <f t="array" aca="1" ref="L500" ca="1">IFERROR(INDEX(_xlfn.ANCHORARRAY($C$3),T_CALC[[#This Row],[DAY]]+1,1),NA())</f>
        <v>43452</v>
      </c>
      <c r="M500" cm="1" vm="2881">
        <f t="array" aca="1" ref="M500" ca="1">IFERROR(INDEX(_xlfn.ANCHORARRAY($C$3),T_CALC[[#This Row],[DAY]]+1,3),NA())</f>
        <v>1.3726</v>
      </c>
      <c r="N500" cm="1" vm="2900">
        <f t="array" aca="1" ref="N500" ca="1">IFERROR(INDEX(_xlfn.ANCHORARRAY($C$3),T_CALC[[#This Row],[DAY]]+1,4),NA())</f>
        <v>1.373</v>
      </c>
      <c r="O500" cm="1" vm="2889">
        <f t="array" aca="1" ref="O500" ca="1">IFERROR(INDEX(_xlfn.ANCHORARRAY($C$3),T_CALC[[#This Row],[DAY]]+1,5),NA())</f>
        <v>1.3692</v>
      </c>
      <c r="P500" cm="1" vm="2784">
        <f t="array" aca="1" ref="P500" ca="1">IFERROR(INDEX(_xlfn.ANCHORARRAY($C$3),T_CALC[[#This Row],[DAY]]+1,6),NA())</f>
        <v>1.37</v>
      </c>
      <c r="Q500" cm="1">
        <f t="array" aca="1" ref="Q500" ca="1">IFERROR(INDEX(_xlfn.ANCHORARRAY($C$3),T_CALC[[#This Row],[DAY]]+1,2),NA())</f>
        <v>0</v>
      </c>
    </row>
    <row r="501" spans="3:17">
      <c r="C501" vm="2901">
        <f ca="1"/>
        <v>43453</v>
      </c>
      <c r="D501">
        <f ca="1"/>
        <v>0</v>
      </c>
      <c r="E501" vm="2786">
        <f ca="1"/>
        <v>1.3701000000000001</v>
      </c>
      <c r="F501" vm="2900">
        <f ca="1"/>
        <v>1.373</v>
      </c>
      <c r="G501" vm="2047">
        <f ca="1"/>
        <v>1.3673</v>
      </c>
      <c r="H501" vm="2873">
        <f ca="1"/>
        <v>1.3722000000000001</v>
      </c>
      <c r="K501">
        <f ca="1">IF(ROW(T_CALC[[#This Row],[DAY]])-ROW(T_CALC[[#Headers],[DAY]])&gt;C_N_TRADING_DAYS,"",ROW(T_CALC[[#This Row],[DAY]])-ROW(T_CALC[[#Headers],[DAY]]))</f>
        <v>498</v>
      </c>
      <c r="L501" cm="1" vm="2901">
        <f t="array" aca="1" ref="L501" ca="1">IFERROR(INDEX(_xlfn.ANCHORARRAY($C$3),T_CALC[[#This Row],[DAY]]+1,1),NA())</f>
        <v>43453</v>
      </c>
      <c r="M501" cm="1" vm="2786">
        <f t="array" aca="1" ref="M501" ca="1">IFERROR(INDEX(_xlfn.ANCHORARRAY($C$3),T_CALC[[#This Row],[DAY]]+1,3),NA())</f>
        <v>1.3701000000000001</v>
      </c>
      <c r="N501" cm="1" vm="2900">
        <f t="array" aca="1" ref="N501" ca="1">IFERROR(INDEX(_xlfn.ANCHORARRAY($C$3),T_CALC[[#This Row],[DAY]]+1,4),NA())</f>
        <v>1.373</v>
      </c>
      <c r="O501" cm="1" vm="2047">
        <f t="array" aca="1" ref="O501" ca="1">IFERROR(INDEX(_xlfn.ANCHORARRAY($C$3),T_CALC[[#This Row],[DAY]]+1,5),NA())</f>
        <v>1.3673</v>
      </c>
      <c r="P501" cm="1" vm="2873">
        <f t="array" aca="1" ref="P501" ca="1">IFERROR(INDEX(_xlfn.ANCHORARRAY($C$3),T_CALC[[#This Row],[DAY]]+1,6),NA())</f>
        <v>1.3722000000000001</v>
      </c>
      <c r="Q501" cm="1">
        <f t="array" aca="1" ref="Q501" ca="1">IFERROR(INDEX(_xlfn.ANCHORARRAY($C$3),T_CALC[[#This Row],[DAY]]+1,2),NA())</f>
        <v>0</v>
      </c>
    </row>
    <row r="502" spans="3:17">
      <c r="C502" vm="2902">
        <f ca="1"/>
        <v>43454</v>
      </c>
      <c r="D502">
        <f ca="1"/>
        <v>0</v>
      </c>
      <c r="E502" vm="2903">
        <f ca="1"/>
        <v>1.3721000000000001</v>
      </c>
      <c r="F502" vm="2742">
        <f ca="1"/>
        <v>1.3729</v>
      </c>
      <c r="G502" vm="1957">
        <f ca="1"/>
        <v>1.3663000000000001</v>
      </c>
      <c r="H502" vm="2678">
        <f ca="1"/>
        <v>1.3705000000000001</v>
      </c>
      <c r="K502">
        <f ca="1">IF(ROW(T_CALC[[#This Row],[DAY]])-ROW(T_CALC[[#Headers],[DAY]])&gt;C_N_TRADING_DAYS,"",ROW(T_CALC[[#This Row],[DAY]])-ROW(T_CALC[[#Headers],[DAY]]))</f>
        <v>499</v>
      </c>
      <c r="L502" cm="1" vm="2902">
        <f t="array" aca="1" ref="L502" ca="1">IFERROR(INDEX(_xlfn.ANCHORARRAY($C$3),T_CALC[[#This Row],[DAY]]+1,1),NA())</f>
        <v>43454</v>
      </c>
      <c r="M502" cm="1" vm="2903">
        <f t="array" aca="1" ref="M502" ca="1">IFERROR(INDEX(_xlfn.ANCHORARRAY($C$3),T_CALC[[#This Row],[DAY]]+1,3),NA())</f>
        <v>1.3721000000000001</v>
      </c>
      <c r="N502" cm="1" vm="2742">
        <f t="array" aca="1" ref="N502" ca="1">IFERROR(INDEX(_xlfn.ANCHORARRAY($C$3),T_CALC[[#This Row],[DAY]]+1,4),NA())</f>
        <v>1.3729</v>
      </c>
      <c r="O502" cm="1" vm="1957">
        <f t="array" aca="1" ref="O502" ca="1">IFERROR(INDEX(_xlfn.ANCHORARRAY($C$3),T_CALC[[#This Row],[DAY]]+1,5),NA())</f>
        <v>1.3663000000000001</v>
      </c>
      <c r="P502" cm="1" vm="2678">
        <f t="array" aca="1" ref="P502" ca="1">IFERROR(INDEX(_xlfn.ANCHORARRAY($C$3),T_CALC[[#This Row],[DAY]]+1,6),NA())</f>
        <v>1.3705000000000001</v>
      </c>
      <c r="Q502" cm="1">
        <f t="array" aca="1" ref="Q502" ca="1">IFERROR(INDEX(_xlfn.ANCHORARRAY($C$3),T_CALC[[#This Row],[DAY]]+1,2),NA())</f>
        <v>0</v>
      </c>
    </row>
    <row r="503" spans="3:17">
      <c r="C503" vm="2904">
        <f ca="1"/>
        <v>43455</v>
      </c>
      <c r="D503">
        <f ca="1"/>
        <v>0</v>
      </c>
      <c r="E503" vm="2678">
        <f ca="1"/>
        <v>1.3705000000000001</v>
      </c>
      <c r="F503" vm="1882">
        <f ca="1"/>
        <v>1.3753</v>
      </c>
      <c r="G503" vm="1966">
        <f ca="1"/>
        <v>1.3676999999999999</v>
      </c>
      <c r="H503" vm="2684">
        <f ca="1"/>
        <v>1.3745000000000001</v>
      </c>
      <c r="K503">
        <f ca="1">IF(ROW(T_CALC[[#This Row],[DAY]])-ROW(T_CALC[[#Headers],[DAY]])&gt;C_N_TRADING_DAYS,"",ROW(T_CALC[[#This Row],[DAY]])-ROW(T_CALC[[#Headers],[DAY]]))</f>
        <v>500</v>
      </c>
      <c r="L503" cm="1" vm="2904">
        <f t="array" aca="1" ref="L503" ca="1">IFERROR(INDEX(_xlfn.ANCHORARRAY($C$3),T_CALC[[#This Row],[DAY]]+1,1),NA())</f>
        <v>43455</v>
      </c>
      <c r="M503" cm="1" vm="2678">
        <f t="array" aca="1" ref="M503" ca="1">IFERROR(INDEX(_xlfn.ANCHORARRAY($C$3),T_CALC[[#This Row],[DAY]]+1,3),NA())</f>
        <v>1.3705000000000001</v>
      </c>
      <c r="N503" cm="1" vm="1882">
        <f t="array" aca="1" ref="N503" ca="1">IFERROR(INDEX(_xlfn.ANCHORARRAY($C$3),T_CALC[[#This Row],[DAY]]+1,4),NA())</f>
        <v>1.3753</v>
      </c>
      <c r="O503" cm="1" vm="1966">
        <f t="array" aca="1" ref="O503" ca="1">IFERROR(INDEX(_xlfn.ANCHORARRAY($C$3),T_CALC[[#This Row],[DAY]]+1,5),NA())</f>
        <v>1.3676999999999999</v>
      </c>
      <c r="P503" cm="1" vm="2684">
        <f t="array" aca="1" ref="P503" ca="1">IFERROR(INDEX(_xlfn.ANCHORARRAY($C$3),T_CALC[[#This Row],[DAY]]+1,6),NA())</f>
        <v>1.3745000000000001</v>
      </c>
      <c r="Q503" cm="1">
        <f t="array" aca="1" ref="Q503" ca="1">IFERROR(INDEX(_xlfn.ANCHORARRAY($C$3),T_CALC[[#This Row],[DAY]]+1,2),NA())</f>
        <v>0</v>
      </c>
    </row>
    <row r="504" spans="3:17">
      <c r="C504" vm="2905">
        <f ca="1"/>
        <v>43458</v>
      </c>
      <c r="D504">
        <f ca="1"/>
        <v>0</v>
      </c>
      <c r="E504" vm="1886">
        <f ca="1"/>
        <v>1.3734999999999999</v>
      </c>
      <c r="F504" vm="2823">
        <f ca="1"/>
        <v>1.3746</v>
      </c>
      <c r="G504" vm="2678">
        <f ca="1"/>
        <v>1.3705000000000001</v>
      </c>
      <c r="H504" vm="2731">
        <f ca="1"/>
        <v>1.3728</v>
      </c>
      <c r="K504">
        <f ca="1">IF(ROW(T_CALC[[#This Row],[DAY]])-ROW(T_CALC[[#Headers],[DAY]])&gt;C_N_TRADING_DAYS,"",ROW(T_CALC[[#This Row],[DAY]])-ROW(T_CALC[[#Headers],[DAY]]))</f>
        <v>501</v>
      </c>
      <c r="L504" cm="1" vm="2905">
        <f t="array" aca="1" ref="L504" ca="1">IFERROR(INDEX(_xlfn.ANCHORARRAY($C$3),T_CALC[[#This Row],[DAY]]+1,1),NA())</f>
        <v>43458</v>
      </c>
      <c r="M504" cm="1" vm="1886">
        <f t="array" aca="1" ref="M504" ca="1">IFERROR(INDEX(_xlfn.ANCHORARRAY($C$3),T_CALC[[#This Row],[DAY]]+1,3),NA())</f>
        <v>1.3734999999999999</v>
      </c>
      <c r="N504" cm="1" vm="2823">
        <f t="array" aca="1" ref="N504" ca="1">IFERROR(INDEX(_xlfn.ANCHORARRAY($C$3),T_CALC[[#This Row],[DAY]]+1,4),NA())</f>
        <v>1.3746</v>
      </c>
      <c r="O504" cm="1" vm="2678">
        <f t="array" aca="1" ref="O504" ca="1">IFERROR(INDEX(_xlfn.ANCHORARRAY($C$3),T_CALC[[#This Row],[DAY]]+1,5),NA())</f>
        <v>1.3705000000000001</v>
      </c>
      <c r="P504" cm="1" vm="2731">
        <f t="array" aca="1" ref="P504" ca="1">IFERROR(INDEX(_xlfn.ANCHORARRAY($C$3),T_CALC[[#This Row],[DAY]]+1,6),NA())</f>
        <v>1.3728</v>
      </c>
      <c r="Q504" cm="1">
        <f t="array" aca="1" ref="Q504" ca="1">IFERROR(INDEX(_xlfn.ANCHORARRAY($C$3),T_CALC[[#This Row],[DAY]]+1,2),NA())</f>
        <v>0</v>
      </c>
    </row>
    <row r="505" spans="3:17">
      <c r="C505" vm="2906">
        <f ca="1"/>
        <v>43459</v>
      </c>
      <c r="D505">
        <f ca="1"/>
        <v>0</v>
      </c>
      <c r="E505" vm="1947">
        <f ca="1"/>
        <v>1.3733</v>
      </c>
      <c r="F505" vm="1948">
        <f ca="1"/>
        <v>1.3735999999999999</v>
      </c>
      <c r="G505" vm="2682">
        <f ca="1"/>
        <v>1.3714999999999999</v>
      </c>
      <c r="H505" vm="2856">
        <f ca="1"/>
        <v>1.3725000000000001</v>
      </c>
      <c r="K505">
        <f ca="1">IF(ROW(T_CALC[[#This Row],[DAY]])-ROW(T_CALC[[#Headers],[DAY]])&gt;C_N_TRADING_DAYS,"",ROW(T_CALC[[#This Row],[DAY]])-ROW(T_CALC[[#Headers],[DAY]]))</f>
        <v>502</v>
      </c>
      <c r="L505" cm="1" vm="2906">
        <f t="array" aca="1" ref="L505" ca="1">IFERROR(INDEX(_xlfn.ANCHORARRAY($C$3),T_CALC[[#This Row],[DAY]]+1,1),NA())</f>
        <v>43459</v>
      </c>
      <c r="M505" cm="1" vm="1947">
        <f t="array" aca="1" ref="M505" ca="1">IFERROR(INDEX(_xlfn.ANCHORARRAY($C$3),T_CALC[[#This Row],[DAY]]+1,3),NA())</f>
        <v>1.3733</v>
      </c>
      <c r="N505" cm="1" vm="1948">
        <f t="array" aca="1" ref="N505" ca="1">IFERROR(INDEX(_xlfn.ANCHORARRAY($C$3),T_CALC[[#This Row],[DAY]]+1,4),NA())</f>
        <v>1.3735999999999999</v>
      </c>
      <c r="O505" cm="1" vm="2682">
        <f t="array" aca="1" ref="O505" ca="1">IFERROR(INDEX(_xlfn.ANCHORARRAY($C$3),T_CALC[[#This Row],[DAY]]+1,5),NA())</f>
        <v>1.3714999999999999</v>
      </c>
      <c r="P505" cm="1" vm="2856">
        <f t="array" aca="1" ref="P505" ca="1">IFERROR(INDEX(_xlfn.ANCHORARRAY($C$3),T_CALC[[#This Row],[DAY]]+1,6),NA())</f>
        <v>1.3725000000000001</v>
      </c>
      <c r="Q505" cm="1">
        <f t="array" aca="1" ref="Q505" ca="1">IFERROR(INDEX(_xlfn.ANCHORARRAY($C$3),T_CALC[[#This Row],[DAY]]+1,2),NA())</f>
        <v>0</v>
      </c>
    </row>
    <row r="506" spans="3:17">
      <c r="C506" vm="2907">
        <f ca="1"/>
        <v>43460</v>
      </c>
      <c r="D506">
        <f ca="1"/>
        <v>0</v>
      </c>
      <c r="E506" vm="2856">
        <f ca="1"/>
        <v>1.3725000000000001</v>
      </c>
      <c r="F506" vm="1947">
        <f ca="1"/>
        <v>1.3733</v>
      </c>
      <c r="G506" vm="2892">
        <f ca="1"/>
        <v>1.3696999999999999</v>
      </c>
      <c r="H506" vm="2732">
        <f ca="1"/>
        <v>1.3716999999999999</v>
      </c>
      <c r="K506">
        <f ca="1">IF(ROW(T_CALC[[#This Row],[DAY]])-ROW(T_CALC[[#Headers],[DAY]])&gt;C_N_TRADING_DAYS,"",ROW(T_CALC[[#This Row],[DAY]])-ROW(T_CALC[[#Headers],[DAY]]))</f>
        <v>503</v>
      </c>
      <c r="L506" cm="1" vm="2907">
        <f t="array" aca="1" ref="L506" ca="1">IFERROR(INDEX(_xlfn.ANCHORARRAY($C$3),T_CALC[[#This Row],[DAY]]+1,1),NA())</f>
        <v>43460</v>
      </c>
      <c r="M506" cm="1" vm="2856">
        <f t="array" aca="1" ref="M506" ca="1">IFERROR(INDEX(_xlfn.ANCHORARRAY($C$3),T_CALC[[#This Row],[DAY]]+1,3),NA())</f>
        <v>1.3725000000000001</v>
      </c>
      <c r="N506" cm="1" vm="1947">
        <f t="array" aca="1" ref="N506" ca="1">IFERROR(INDEX(_xlfn.ANCHORARRAY($C$3),T_CALC[[#This Row],[DAY]]+1,4),NA())</f>
        <v>1.3733</v>
      </c>
      <c r="O506" cm="1" vm="2892">
        <f t="array" aca="1" ref="O506" ca="1">IFERROR(INDEX(_xlfn.ANCHORARRAY($C$3),T_CALC[[#This Row],[DAY]]+1,5),NA())</f>
        <v>1.3696999999999999</v>
      </c>
      <c r="P506" cm="1" vm="2732">
        <f t="array" aca="1" ref="P506" ca="1">IFERROR(INDEX(_xlfn.ANCHORARRAY($C$3),T_CALC[[#This Row],[DAY]]+1,6),NA())</f>
        <v>1.3716999999999999</v>
      </c>
      <c r="Q506" cm="1">
        <f t="array" aca="1" ref="Q506" ca="1">IFERROR(INDEX(_xlfn.ANCHORARRAY($C$3),T_CALC[[#This Row],[DAY]]+1,2),NA())</f>
        <v>0</v>
      </c>
    </row>
    <row r="507" spans="3:17">
      <c r="C507" vm="2908">
        <f ca="1"/>
        <v>43461</v>
      </c>
      <c r="D507">
        <f ca="1"/>
        <v>0</v>
      </c>
      <c r="E507" vm="1956">
        <f ca="1"/>
        <v>1.3720000000000001</v>
      </c>
      <c r="F507" vm="1950">
        <f ca="1"/>
        <v>1.3737999999999999</v>
      </c>
      <c r="G507" vm="2784">
        <f ca="1"/>
        <v>1.37</v>
      </c>
      <c r="H507" vm="2678">
        <f ca="1"/>
        <v>1.3705000000000001</v>
      </c>
      <c r="K507">
        <f ca="1">IF(ROW(T_CALC[[#This Row],[DAY]])-ROW(T_CALC[[#Headers],[DAY]])&gt;C_N_TRADING_DAYS,"",ROW(T_CALC[[#This Row],[DAY]])-ROW(T_CALC[[#Headers],[DAY]]))</f>
        <v>504</v>
      </c>
      <c r="L507" cm="1" vm="2908">
        <f t="array" aca="1" ref="L507" ca="1">IFERROR(INDEX(_xlfn.ANCHORARRAY($C$3),T_CALC[[#This Row],[DAY]]+1,1),NA())</f>
        <v>43461</v>
      </c>
      <c r="M507" cm="1" vm="1956">
        <f t="array" aca="1" ref="M507" ca="1">IFERROR(INDEX(_xlfn.ANCHORARRAY($C$3),T_CALC[[#This Row],[DAY]]+1,3),NA())</f>
        <v>1.3720000000000001</v>
      </c>
      <c r="N507" cm="1" vm="1950">
        <f t="array" aca="1" ref="N507" ca="1">IFERROR(INDEX(_xlfn.ANCHORARRAY($C$3),T_CALC[[#This Row],[DAY]]+1,4),NA())</f>
        <v>1.3737999999999999</v>
      </c>
      <c r="O507" cm="1" vm="2784">
        <f t="array" aca="1" ref="O507" ca="1">IFERROR(INDEX(_xlfn.ANCHORARRAY($C$3),T_CALC[[#This Row],[DAY]]+1,5),NA())</f>
        <v>1.37</v>
      </c>
      <c r="P507" cm="1" vm="2678">
        <f t="array" aca="1" ref="P507" ca="1">IFERROR(INDEX(_xlfn.ANCHORARRAY($C$3),T_CALC[[#This Row],[DAY]]+1,6),NA())</f>
        <v>1.3705000000000001</v>
      </c>
      <c r="Q507" cm="1">
        <f t="array" aca="1" ref="Q507" ca="1">IFERROR(INDEX(_xlfn.ANCHORARRAY($C$3),T_CALC[[#This Row],[DAY]]+1,2),NA())</f>
        <v>0</v>
      </c>
    </row>
    <row r="508" spans="3:17">
      <c r="C508" vm="2909">
        <f ca="1"/>
        <v>43462</v>
      </c>
      <c r="D508">
        <f ca="1"/>
        <v>0</v>
      </c>
      <c r="E508" vm="2678">
        <f ca="1"/>
        <v>1.3705000000000001</v>
      </c>
      <c r="F508" vm="2805">
        <f ca="1"/>
        <v>1.371</v>
      </c>
      <c r="G508" vm="2029">
        <f ca="1"/>
        <v>1.3647</v>
      </c>
      <c r="H508" vm="2705">
        <f ca="1"/>
        <v>1.3660000000000001</v>
      </c>
      <c r="K508">
        <f ca="1">IF(ROW(T_CALC[[#This Row],[DAY]])-ROW(T_CALC[[#Headers],[DAY]])&gt;C_N_TRADING_DAYS,"",ROW(T_CALC[[#This Row],[DAY]])-ROW(T_CALC[[#Headers],[DAY]]))</f>
        <v>505</v>
      </c>
      <c r="L508" cm="1" vm="2909">
        <f t="array" aca="1" ref="L508" ca="1">IFERROR(INDEX(_xlfn.ANCHORARRAY($C$3),T_CALC[[#This Row],[DAY]]+1,1),NA())</f>
        <v>43462</v>
      </c>
      <c r="M508" cm="1" vm="2678">
        <f t="array" aca="1" ref="M508" ca="1">IFERROR(INDEX(_xlfn.ANCHORARRAY($C$3),T_CALC[[#This Row],[DAY]]+1,3),NA())</f>
        <v>1.3705000000000001</v>
      </c>
      <c r="N508" cm="1" vm="2805">
        <f t="array" aca="1" ref="N508" ca="1">IFERROR(INDEX(_xlfn.ANCHORARRAY($C$3),T_CALC[[#This Row],[DAY]]+1,4),NA())</f>
        <v>1.371</v>
      </c>
      <c r="O508" cm="1" vm="2029">
        <f t="array" aca="1" ref="O508" ca="1">IFERROR(INDEX(_xlfn.ANCHORARRAY($C$3),T_CALC[[#This Row],[DAY]]+1,5),NA())</f>
        <v>1.3647</v>
      </c>
      <c r="P508" cm="1" vm="2705">
        <f t="array" aca="1" ref="P508" ca="1">IFERROR(INDEX(_xlfn.ANCHORARRAY($C$3),T_CALC[[#This Row],[DAY]]+1,6),NA())</f>
        <v>1.3660000000000001</v>
      </c>
      <c r="Q508" cm="1">
        <f t="array" aca="1" ref="Q508" ca="1">IFERROR(INDEX(_xlfn.ANCHORARRAY($C$3),T_CALC[[#This Row],[DAY]]+1,2),NA())</f>
        <v>0</v>
      </c>
    </row>
    <row r="509" spans="3:17">
      <c r="C509" vm="2910">
        <f ca="1"/>
        <v>43465</v>
      </c>
      <c r="D509">
        <f ca="1"/>
        <v>0</v>
      </c>
      <c r="E509" vm="1962">
        <f ca="1"/>
        <v>1.3662000000000001</v>
      </c>
      <c r="F509" vm="2041">
        <f ca="1"/>
        <v>1.3669</v>
      </c>
      <c r="G509" vm="2053">
        <f ca="1"/>
        <v>1.3609</v>
      </c>
      <c r="H509" vm="2675">
        <f ca="1"/>
        <v>1.3627</v>
      </c>
      <c r="K509">
        <f ca="1">IF(ROW(T_CALC[[#This Row],[DAY]])-ROW(T_CALC[[#Headers],[DAY]])&gt;C_N_TRADING_DAYS,"",ROW(T_CALC[[#This Row],[DAY]])-ROW(T_CALC[[#Headers],[DAY]]))</f>
        <v>506</v>
      </c>
      <c r="L509" cm="1" vm="2910">
        <f t="array" aca="1" ref="L509" ca="1">IFERROR(INDEX(_xlfn.ANCHORARRAY($C$3),T_CALC[[#This Row],[DAY]]+1,1),NA())</f>
        <v>43465</v>
      </c>
      <c r="M509" cm="1" vm="1962">
        <f t="array" aca="1" ref="M509" ca="1">IFERROR(INDEX(_xlfn.ANCHORARRAY($C$3),T_CALC[[#This Row],[DAY]]+1,3),NA())</f>
        <v>1.3662000000000001</v>
      </c>
      <c r="N509" cm="1" vm="2041">
        <f t="array" aca="1" ref="N509" ca="1">IFERROR(INDEX(_xlfn.ANCHORARRAY($C$3),T_CALC[[#This Row],[DAY]]+1,4),NA())</f>
        <v>1.3669</v>
      </c>
      <c r="O509" cm="1" vm="2053">
        <f t="array" aca="1" ref="O509" ca="1">IFERROR(INDEX(_xlfn.ANCHORARRAY($C$3),T_CALC[[#This Row],[DAY]]+1,5),NA())</f>
        <v>1.3609</v>
      </c>
      <c r="P509" cm="1" vm="2675">
        <f t="array" aca="1" ref="P509" ca="1">IFERROR(INDEX(_xlfn.ANCHORARRAY($C$3),T_CALC[[#This Row],[DAY]]+1,6),NA())</f>
        <v>1.3627</v>
      </c>
      <c r="Q509" cm="1">
        <f t="array" aca="1" ref="Q509" ca="1">IFERROR(INDEX(_xlfn.ANCHORARRAY($C$3),T_CALC[[#This Row],[DAY]]+1,2),NA())</f>
        <v>0</v>
      </c>
    </row>
    <row r="510" spans="3:17">
      <c r="C510" vm="2911">
        <f ca="1"/>
        <v>43466</v>
      </c>
      <c r="D510">
        <f ca="1"/>
        <v>0</v>
      </c>
      <c r="E510" vm="2675">
        <f ca="1"/>
        <v>1.3627</v>
      </c>
      <c r="F510" vm="2711">
        <f ca="1"/>
        <v>1.3649</v>
      </c>
      <c r="G510" vm="2040">
        <f ca="1"/>
        <v>1.3614999999999999</v>
      </c>
      <c r="H510" vm="2168">
        <f ca="1"/>
        <v>1.3631</v>
      </c>
      <c r="K510">
        <f ca="1">IF(ROW(T_CALC[[#This Row],[DAY]])-ROW(T_CALC[[#Headers],[DAY]])&gt;C_N_TRADING_DAYS,"",ROW(T_CALC[[#This Row],[DAY]])-ROW(T_CALC[[#Headers],[DAY]]))</f>
        <v>507</v>
      </c>
      <c r="L510" cm="1" vm="2911">
        <f t="array" aca="1" ref="L510" ca="1">IFERROR(INDEX(_xlfn.ANCHORARRAY($C$3),T_CALC[[#This Row],[DAY]]+1,1),NA())</f>
        <v>43466</v>
      </c>
      <c r="M510" cm="1" vm="2675">
        <f t="array" aca="1" ref="M510" ca="1">IFERROR(INDEX(_xlfn.ANCHORARRAY($C$3),T_CALC[[#This Row],[DAY]]+1,3),NA())</f>
        <v>1.3627</v>
      </c>
      <c r="N510" cm="1" vm="2711">
        <f t="array" aca="1" ref="N510" ca="1">IFERROR(INDEX(_xlfn.ANCHORARRAY($C$3),T_CALC[[#This Row],[DAY]]+1,4),NA())</f>
        <v>1.3649</v>
      </c>
      <c r="O510" cm="1" vm="2040">
        <f t="array" aca="1" ref="O510" ca="1">IFERROR(INDEX(_xlfn.ANCHORARRAY($C$3),T_CALC[[#This Row],[DAY]]+1,5),NA())</f>
        <v>1.3614999999999999</v>
      </c>
      <c r="P510" cm="1" vm="2168">
        <f t="array" aca="1" ref="P510" ca="1">IFERROR(INDEX(_xlfn.ANCHORARRAY($C$3),T_CALC[[#This Row],[DAY]]+1,6),NA())</f>
        <v>1.3631</v>
      </c>
      <c r="Q510" cm="1">
        <f t="array" aca="1" ref="Q510" ca="1">IFERROR(INDEX(_xlfn.ANCHORARRAY($C$3),T_CALC[[#This Row],[DAY]]+1,2),NA())</f>
        <v>0</v>
      </c>
    </row>
    <row r="511" spans="3:17">
      <c r="C511" vm="2912">
        <f ca="1"/>
        <v>43467</v>
      </c>
      <c r="D511">
        <f ca="1"/>
        <v>0</v>
      </c>
      <c r="E511" vm="2168">
        <f ca="1"/>
        <v>1.3631</v>
      </c>
      <c r="F511" vm="2720">
        <f ca="1"/>
        <v>1.3664000000000001</v>
      </c>
      <c r="G511" vm="2054">
        <f ca="1"/>
        <v>1.3622000000000001</v>
      </c>
      <c r="H511" vm="1957">
        <f ca="1"/>
        <v>1.3663000000000001</v>
      </c>
      <c r="K511">
        <f ca="1">IF(ROW(T_CALC[[#This Row],[DAY]])-ROW(T_CALC[[#Headers],[DAY]])&gt;C_N_TRADING_DAYS,"",ROW(T_CALC[[#This Row],[DAY]])-ROW(T_CALC[[#Headers],[DAY]]))</f>
        <v>508</v>
      </c>
      <c r="L511" cm="1" vm="2912">
        <f t="array" aca="1" ref="L511" ca="1">IFERROR(INDEX(_xlfn.ANCHORARRAY($C$3),T_CALC[[#This Row],[DAY]]+1,1),NA())</f>
        <v>43467</v>
      </c>
      <c r="M511" cm="1" vm="2168">
        <f t="array" aca="1" ref="M511" ca="1">IFERROR(INDEX(_xlfn.ANCHORARRAY($C$3),T_CALC[[#This Row],[DAY]]+1,3),NA())</f>
        <v>1.3631</v>
      </c>
      <c r="N511" cm="1" vm="2720">
        <f t="array" aca="1" ref="N511" ca="1">IFERROR(INDEX(_xlfn.ANCHORARRAY($C$3),T_CALC[[#This Row],[DAY]]+1,4),NA())</f>
        <v>1.3664000000000001</v>
      </c>
      <c r="O511" cm="1" vm="2054">
        <f t="array" aca="1" ref="O511" ca="1">IFERROR(INDEX(_xlfn.ANCHORARRAY($C$3),T_CALC[[#This Row],[DAY]]+1,5),NA())</f>
        <v>1.3622000000000001</v>
      </c>
      <c r="P511" cm="1" vm="1957">
        <f t="array" aca="1" ref="P511" ca="1">IFERROR(INDEX(_xlfn.ANCHORARRAY($C$3),T_CALC[[#This Row],[DAY]]+1,6),NA())</f>
        <v>1.3663000000000001</v>
      </c>
      <c r="Q511" cm="1">
        <f t="array" aca="1" ref="Q511" ca="1">IFERROR(INDEX(_xlfn.ANCHORARRAY($C$3),T_CALC[[#This Row],[DAY]]+1,2),NA())</f>
        <v>0</v>
      </c>
    </row>
    <row r="512" spans="3:17">
      <c r="C512" vm="2913">
        <f ca="1"/>
        <v>43468</v>
      </c>
      <c r="D512">
        <f ca="1"/>
        <v>0</v>
      </c>
      <c r="E512" vm="1957">
        <f ca="1"/>
        <v>1.3663000000000001</v>
      </c>
      <c r="F512" vm="1966">
        <f ca="1"/>
        <v>1.3676999999999999</v>
      </c>
      <c r="G512" vm="2675">
        <f ca="1"/>
        <v>1.3627</v>
      </c>
      <c r="H512" vm="2169">
        <f ca="1"/>
        <v>1.3635999999999999</v>
      </c>
      <c r="K512">
        <f ca="1">IF(ROW(T_CALC[[#This Row],[DAY]])-ROW(T_CALC[[#Headers],[DAY]])&gt;C_N_TRADING_DAYS,"",ROW(T_CALC[[#This Row],[DAY]])-ROW(T_CALC[[#Headers],[DAY]]))</f>
        <v>509</v>
      </c>
      <c r="L512" cm="1" vm="2913">
        <f t="array" aca="1" ref="L512" ca="1">IFERROR(INDEX(_xlfn.ANCHORARRAY($C$3),T_CALC[[#This Row],[DAY]]+1,1),NA())</f>
        <v>43468</v>
      </c>
      <c r="M512" cm="1" vm="1957">
        <f t="array" aca="1" ref="M512" ca="1">IFERROR(INDEX(_xlfn.ANCHORARRAY($C$3),T_CALC[[#This Row],[DAY]]+1,3),NA())</f>
        <v>1.3663000000000001</v>
      </c>
      <c r="N512" cm="1" vm="1966">
        <f t="array" aca="1" ref="N512" ca="1">IFERROR(INDEX(_xlfn.ANCHORARRAY($C$3),T_CALC[[#This Row],[DAY]]+1,4),NA())</f>
        <v>1.3676999999999999</v>
      </c>
      <c r="O512" cm="1" vm="2675">
        <f t="array" aca="1" ref="O512" ca="1">IFERROR(INDEX(_xlfn.ANCHORARRAY($C$3),T_CALC[[#This Row],[DAY]]+1,5),NA())</f>
        <v>1.3627</v>
      </c>
      <c r="P512" cm="1" vm="2169">
        <f t="array" aca="1" ref="P512" ca="1">IFERROR(INDEX(_xlfn.ANCHORARRAY($C$3),T_CALC[[#This Row],[DAY]]+1,6),NA())</f>
        <v>1.3635999999999999</v>
      </c>
      <c r="Q512" cm="1">
        <f t="array" aca="1" ref="Q512" ca="1">IFERROR(INDEX(_xlfn.ANCHORARRAY($C$3),T_CALC[[#This Row],[DAY]]+1,2),NA())</f>
        <v>0</v>
      </c>
    </row>
    <row r="513" spans="3:17">
      <c r="C513" vm="2914">
        <f ca="1"/>
        <v>43469</v>
      </c>
      <c r="D513">
        <f ca="1"/>
        <v>0</v>
      </c>
      <c r="E513" vm="2193">
        <f ca="1"/>
        <v>1.3638999999999999</v>
      </c>
      <c r="F513" vm="2029">
        <f ca="1"/>
        <v>1.3647</v>
      </c>
      <c r="G513" vm="2160">
        <f ca="1"/>
        <v>1.3580000000000001</v>
      </c>
      <c r="H513" vm="1994">
        <f ca="1"/>
        <v>1.359</v>
      </c>
      <c r="K513">
        <f ca="1">IF(ROW(T_CALC[[#This Row],[DAY]])-ROW(T_CALC[[#Headers],[DAY]])&gt;C_N_TRADING_DAYS,"",ROW(T_CALC[[#This Row],[DAY]])-ROW(T_CALC[[#Headers],[DAY]]))</f>
        <v>510</v>
      </c>
      <c r="L513" cm="1" vm="2914">
        <f t="array" aca="1" ref="L513" ca="1">IFERROR(INDEX(_xlfn.ANCHORARRAY($C$3),T_CALC[[#This Row],[DAY]]+1,1),NA())</f>
        <v>43469</v>
      </c>
      <c r="M513" cm="1" vm="2193">
        <f t="array" aca="1" ref="M513" ca="1">IFERROR(INDEX(_xlfn.ANCHORARRAY($C$3),T_CALC[[#This Row],[DAY]]+1,3),NA())</f>
        <v>1.3638999999999999</v>
      </c>
      <c r="N513" cm="1" vm="2029">
        <f t="array" aca="1" ref="N513" ca="1">IFERROR(INDEX(_xlfn.ANCHORARRAY($C$3),T_CALC[[#This Row],[DAY]]+1,4),NA())</f>
        <v>1.3647</v>
      </c>
      <c r="O513" cm="1" vm="2160">
        <f t="array" aca="1" ref="O513" ca="1">IFERROR(INDEX(_xlfn.ANCHORARRAY($C$3),T_CALC[[#This Row],[DAY]]+1,5),NA())</f>
        <v>1.3580000000000001</v>
      </c>
      <c r="P513" cm="1" vm="1994">
        <f t="array" aca="1" ref="P513" ca="1">IFERROR(INDEX(_xlfn.ANCHORARRAY($C$3),T_CALC[[#This Row],[DAY]]+1,6),NA())</f>
        <v>1.359</v>
      </c>
      <c r="Q513" cm="1">
        <f t="array" aca="1" ref="Q513" ca="1">IFERROR(INDEX(_xlfn.ANCHORARRAY($C$3),T_CALC[[#This Row],[DAY]]+1,2),NA())</f>
        <v>0</v>
      </c>
    </row>
    <row r="514" spans="3:17">
      <c r="C514" vm="2915">
        <f ca="1"/>
        <v>43472</v>
      </c>
      <c r="D514">
        <f ca="1"/>
        <v>0</v>
      </c>
      <c r="E514" vm="2051">
        <f ca="1"/>
        <v>1.3594999999999999</v>
      </c>
      <c r="F514" vm="2051">
        <f ca="1"/>
        <v>1.3594999999999999</v>
      </c>
      <c r="G514" vm="2064">
        <f ca="1"/>
        <v>1.3548</v>
      </c>
      <c r="H514" vm="2916">
        <f ca="1"/>
        <v>1.3560000000000001</v>
      </c>
      <c r="K514">
        <f ca="1">IF(ROW(T_CALC[[#This Row],[DAY]])-ROW(T_CALC[[#Headers],[DAY]])&gt;C_N_TRADING_DAYS,"",ROW(T_CALC[[#This Row],[DAY]])-ROW(T_CALC[[#Headers],[DAY]]))</f>
        <v>511</v>
      </c>
      <c r="L514" cm="1" vm="2915">
        <f t="array" aca="1" ref="L514" ca="1">IFERROR(INDEX(_xlfn.ANCHORARRAY($C$3),T_CALC[[#This Row],[DAY]]+1,1),NA())</f>
        <v>43472</v>
      </c>
      <c r="M514" cm="1" vm="2051">
        <f t="array" aca="1" ref="M514" ca="1">IFERROR(INDEX(_xlfn.ANCHORARRAY($C$3),T_CALC[[#This Row],[DAY]]+1,3),NA())</f>
        <v>1.3594999999999999</v>
      </c>
      <c r="N514" cm="1" vm="2051">
        <f t="array" aca="1" ref="N514" ca="1">IFERROR(INDEX(_xlfn.ANCHORARRAY($C$3),T_CALC[[#This Row],[DAY]]+1,4),NA())</f>
        <v>1.3594999999999999</v>
      </c>
      <c r="O514" cm="1" vm="2064">
        <f t="array" aca="1" ref="O514" ca="1">IFERROR(INDEX(_xlfn.ANCHORARRAY($C$3),T_CALC[[#This Row],[DAY]]+1,5),NA())</f>
        <v>1.3548</v>
      </c>
      <c r="P514" cm="1" vm="2916">
        <f t="array" aca="1" ref="P514" ca="1">IFERROR(INDEX(_xlfn.ANCHORARRAY($C$3),T_CALC[[#This Row],[DAY]]+1,6),NA())</f>
        <v>1.3560000000000001</v>
      </c>
      <c r="Q514" cm="1">
        <f t="array" aca="1" ref="Q514" ca="1">IFERROR(INDEX(_xlfn.ANCHORARRAY($C$3),T_CALC[[#This Row],[DAY]]+1,2),NA())</f>
        <v>0</v>
      </c>
    </row>
    <row r="515" spans="3:17">
      <c r="C515" vm="2917">
        <f ca="1"/>
        <v>43473</v>
      </c>
      <c r="D515">
        <f ca="1"/>
        <v>0</v>
      </c>
      <c r="E515" vm="2916">
        <f ca="1"/>
        <v>1.3560000000000001</v>
      </c>
      <c r="F515" vm="2058">
        <f ca="1"/>
        <v>1.3593999999999999</v>
      </c>
      <c r="G515" vm="2061">
        <f ca="1"/>
        <v>1.3547</v>
      </c>
      <c r="H515" vm="2151">
        <f ca="1"/>
        <v>1.3575999999999999</v>
      </c>
      <c r="K515">
        <f ca="1">IF(ROW(T_CALC[[#This Row],[DAY]])-ROW(T_CALC[[#Headers],[DAY]])&gt;C_N_TRADING_DAYS,"",ROW(T_CALC[[#This Row],[DAY]])-ROW(T_CALC[[#Headers],[DAY]]))</f>
        <v>512</v>
      </c>
      <c r="L515" cm="1" vm="2917">
        <f t="array" aca="1" ref="L515" ca="1">IFERROR(INDEX(_xlfn.ANCHORARRAY($C$3),T_CALC[[#This Row],[DAY]]+1,1),NA())</f>
        <v>43473</v>
      </c>
      <c r="M515" cm="1" vm="2916">
        <f t="array" aca="1" ref="M515" ca="1">IFERROR(INDEX(_xlfn.ANCHORARRAY($C$3),T_CALC[[#This Row],[DAY]]+1,3),NA())</f>
        <v>1.3560000000000001</v>
      </c>
      <c r="N515" cm="1" vm="2058">
        <f t="array" aca="1" ref="N515" ca="1">IFERROR(INDEX(_xlfn.ANCHORARRAY($C$3),T_CALC[[#This Row],[DAY]]+1,4),NA())</f>
        <v>1.3593999999999999</v>
      </c>
      <c r="O515" cm="1" vm="2061">
        <f t="array" aca="1" ref="O515" ca="1">IFERROR(INDEX(_xlfn.ANCHORARRAY($C$3),T_CALC[[#This Row],[DAY]]+1,5),NA())</f>
        <v>1.3547</v>
      </c>
      <c r="P515" cm="1" vm="2151">
        <f t="array" aca="1" ref="P515" ca="1">IFERROR(INDEX(_xlfn.ANCHORARRAY($C$3),T_CALC[[#This Row],[DAY]]+1,6),NA())</f>
        <v>1.3575999999999999</v>
      </c>
      <c r="Q515" cm="1">
        <f t="array" aca="1" ref="Q515" ca="1">IFERROR(INDEX(_xlfn.ANCHORARRAY($C$3),T_CALC[[#This Row],[DAY]]+1,2),NA())</f>
        <v>0</v>
      </c>
    </row>
    <row r="516" spans="3:17">
      <c r="C516" vm="2918">
        <f ca="1"/>
        <v>43474</v>
      </c>
      <c r="D516">
        <f ca="1"/>
        <v>0</v>
      </c>
      <c r="E516" vm="2183">
        <f ca="1"/>
        <v>1.3577999999999999</v>
      </c>
      <c r="F516" vm="2183">
        <f ca="1"/>
        <v>1.3577999999999999</v>
      </c>
      <c r="G516" vm="2176">
        <f ca="1"/>
        <v>1.3521000000000001</v>
      </c>
      <c r="H516" vm="2136">
        <f ca="1"/>
        <v>1.3532999999999999</v>
      </c>
      <c r="K516">
        <f ca="1">IF(ROW(T_CALC[[#This Row],[DAY]])-ROW(T_CALC[[#Headers],[DAY]])&gt;C_N_TRADING_DAYS,"",ROW(T_CALC[[#This Row],[DAY]])-ROW(T_CALC[[#Headers],[DAY]]))</f>
        <v>513</v>
      </c>
      <c r="L516" cm="1" vm="2918">
        <f t="array" aca="1" ref="L516" ca="1">IFERROR(INDEX(_xlfn.ANCHORARRAY($C$3),T_CALC[[#This Row],[DAY]]+1,1),NA())</f>
        <v>43474</v>
      </c>
      <c r="M516" cm="1" vm="2183">
        <f t="array" aca="1" ref="M516" ca="1">IFERROR(INDEX(_xlfn.ANCHORARRAY($C$3),T_CALC[[#This Row],[DAY]]+1,3),NA())</f>
        <v>1.3577999999999999</v>
      </c>
      <c r="N516" cm="1" vm="2183">
        <f t="array" aca="1" ref="N516" ca="1">IFERROR(INDEX(_xlfn.ANCHORARRAY($C$3),T_CALC[[#This Row],[DAY]]+1,4),NA())</f>
        <v>1.3577999999999999</v>
      </c>
      <c r="O516" cm="1" vm="2176">
        <f t="array" aca="1" ref="O516" ca="1">IFERROR(INDEX(_xlfn.ANCHORARRAY($C$3),T_CALC[[#This Row],[DAY]]+1,5),NA())</f>
        <v>1.3521000000000001</v>
      </c>
      <c r="P516" cm="1" vm="2136">
        <f t="array" aca="1" ref="P516" ca="1">IFERROR(INDEX(_xlfn.ANCHORARRAY($C$3),T_CALC[[#This Row],[DAY]]+1,6),NA())</f>
        <v>1.3532999999999999</v>
      </c>
      <c r="Q516" cm="1">
        <f t="array" aca="1" ref="Q516" ca="1">IFERROR(INDEX(_xlfn.ANCHORARRAY($C$3),T_CALC[[#This Row],[DAY]]+1,2),NA())</f>
        <v>0</v>
      </c>
    </row>
    <row r="517" spans="3:17">
      <c r="C517" vm="2919">
        <f ca="1"/>
        <v>43475</v>
      </c>
      <c r="D517">
        <f ca="1"/>
        <v>0</v>
      </c>
      <c r="E517" vm="2671">
        <f ca="1"/>
        <v>1.3531</v>
      </c>
      <c r="F517" vm="2920">
        <f ca="1"/>
        <v>1.3546</v>
      </c>
      <c r="G517" vm="2126">
        <f ca="1"/>
        <v>1.3495999999999999</v>
      </c>
      <c r="H517" vm="2265">
        <f ca="1"/>
        <v>1.3520000000000001</v>
      </c>
      <c r="K517">
        <f ca="1">IF(ROW(T_CALC[[#This Row],[DAY]])-ROW(T_CALC[[#Headers],[DAY]])&gt;C_N_TRADING_DAYS,"",ROW(T_CALC[[#This Row],[DAY]])-ROW(T_CALC[[#Headers],[DAY]]))</f>
        <v>514</v>
      </c>
      <c r="L517" cm="1" vm="2919">
        <f t="array" aca="1" ref="L517" ca="1">IFERROR(INDEX(_xlfn.ANCHORARRAY($C$3),T_CALC[[#This Row],[DAY]]+1,1),NA())</f>
        <v>43475</v>
      </c>
      <c r="M517" cm="1" vm="2671">
        <f t="array" aca="1" ref="M517" ca="1">IFERROR(INDEX(_xlfn.ANCHORARRAY($C$3),T_CALC[[#This Row],[DAY]]+1,3),NA())</f>
        <v>1.3531</v>
      </c>
      <c r="N517" cm="1" vm="2920">
        <f t="array" aca="1" ref="N517" ca="1">IFERROR(INDEX(_xlfn.ANCHORARRAY($C$3),T_CALC[[#This Row],[DAY]]+1,4),NA())</f>
        <v>1.3546</v>
      </c>
      <c r="O517" cm="1" vm="2126">
        <f t="array" aca="1" ref="O517" ca="1">IFERROR(INDEX(_xlfn.ANCHORARRAY($C$3),T_CALC[[#This Row],[DAY]]+1,5),NA())</f>
        <v>1.3495999999999999</v>
      </c>
      <c r="P517" cm="1" vm="2265">
        <f t="array" aca="1" ref="P517" ca="1">IFERROR(INDEX(_xlfn.ANCHORARRAY($C$3),T_CALC[[#This Row],[DAY]]+1,6),NA())</f>
        <v>1.3520000000000001</v>
      </c>
      <c r="Q517" cm="1">
        <f t="array" aca="1" ref="Q517" ca="1">IFERROR(INDEX(_xlfn.ANCHORARRAY($C$3),T_CALC[[#This Row],[DAY]]+1,2),NA())</f>
        <v>0</v>
      </c>
    </row>
    <row r="518" spans="3:17">
      <c r="C518" vm="2921">
        <f ca="1"/>
        <v>43476</v>
      </c>
      <c r="D518">
        <f ca="1"/>
        <v>0</v>
      </c>
      <c r="E518" vm="2178">
        <f ca="1"/>
        <v>1.3523000000000001</v>
      </c>
      <c r="F518" vm="2002">
        <f ca="1"/>
        <v>1.3540000000000001</v>
      </c>
      <c r="G518" vm="2922">
        <f ca="1"/>
        <v>1.3492999999999999</v>
      </c>
      <c r="H518" vm="2923">
        <f ca="1"/>
        <v>1.3527</v>
      </c>
      <c r="K518">
        <f ca="1">IF(ROW(T_CALC[[#This Row],[DAY]])-ROW(T_CALC[[#Headers],[DAY]])&gt;C_N_TRADING_DAYS,"",ROW(T_CALC[[#This Row],[DAY]])-ROW(T_CALC[[#Headers],[DAY]]))</f>
        <v>515</v>
      </c>
      <c r="L518" cm="1" vm="2921">
        <f t="array" aca="1" ref="L518" ca="1">IFERROR(INDEX(_xlfn.ANCHORARRAY($C$3),T_CALC[[#This Row],[DAY]]+1,1),NA())</f>
        <v>43476</v>
      </c>
      <c r="M518" cm="1" vm="2178">
        <f t="array" aca="1" ref="M518" ca="1">IFERROR(INDEX(_xlfn.ANCHORARRAY($C$3),T_CALC[[#This Row],[DAY]]+1,3),NA())</f>
        <v>1.3523000000000001</v>
      </c>
      <c r="N518" cm="1" vm="2002">
        <f t="array" aca="1" ref="N518" ca="1">IFERROR(INDEX(_xlfn.ANCHORARRAY($C$3),T_CALC[[#This Row],[DAY]]+1,4),NA())</f>
        <v>1.3540000000000001</v>
      </c>
      <c r="O518" cm="1" vm="2922">
        <f t="array" aca="1" ref="O518" ca="1">IFERROR(INDEX(_xlfn.ANCHORARRAY($C$3),T_CALC[[#This Row],[DAY]]+1,5),NA())</f>
        <v>1.3492999999999999</v>
      </c>
      <c r="P518" cm="1" vm="2923">
        <f t="array" aca="1" ref="P518" ca="1">IFERROR(INDEX(_xlfn.ANCHORARRAY($C$3),T_CALC[[#This Row],[DAY]]+1,6),NA())</f>
        <v>1.3527</v>
      </c>
      <c r="Q518" cm="1">
        <f t="array" aca="1" ref="Q518" ca="1">IFERROR(INDEX(_xlfn.ANCHORARRAY($C$3),T_CALC[[#This Row],[DAY]]+1,2),NA())</f>
        <v>0</v>
      </c>
    </row>
    <row r="519" spans="3:17">
      <c r="C519" vm="2924">
        <f ca="1"/>
        <v>43479</v>
      </c>
      <c r="D519">
        <f ca="1"/>
        <v>0</v>
      </c>
      <c r="E519" vm="2692">
        <f ca="1"/>
        <v>1.3525</v>
      </c>
      <c r="F519" vm="2062">
        <f ca="1"/>
        <v>1.3553999999999999</v>
      </c>
      <c r="G519" vm="2086">
        <f ca="1"/>
        <v>1.351</v>
      </c>
      <c r="H519" vm="2136">
        <f ca="1"/>
        <v>1.3532999999999999</v>
      </c>
      <c r="K519">
        <f ca="1">IF(ROW(T_CALC[[#This Row],[DAY]])-ROW(T_CALC[[#Headers],[DAY]])&gt;C_N_TRADING_DAYS,"",ROW(T_CALC[[#This Row],[DAY]])-ROW(T_CALC[[#Headers],[DAY]]))</f>
        <v>516</v>
      </c>
      <c r="L519" cm="1" vm="2924">
        <f t="array" aca="1" ref="L519" ca="1">IFERROR(INDEX(_xlfn.ANCHORARRAY($C$3),T_CALC[[#This Row],[DAY]]+1,1),NA())</f>
        <v>43479</v>
      </c>
      <c r="M519" cm="1" vm="2692">
        <f t="array" aca="1" ref="M519" ca="1">IFERROR(INDEX(_xlfn.ANCHORARRAY($C$3),T_CALC[[#This Row],[DAY]]+1,3),NA())</f>
        <v>1.3525</v>
      </c>
      <c r="N519" cm="1" vm="2062">
        <f t="array" aca="1" ref="N519" ca="1">IFERROR(INDEX(_xlfn.ANCHORARRAY($C$3),T_CALC[[#This Row],[DAY]]+1,4),NA())</f>
        <v>1.3553999999999999</v>
      </c>
      <c r="O519" cm="1" vm="2086">
        <f t="array" aca="1" ref="O519" ca="1">IFERROR(INDEX(_xlfn.ANCHORARRAY($C$3),T_CALC[[#This Row],[DAY]]+1,5),NA())</f>
        <v>1.351</v>
      </c>
      <c r="P519" cm="1" vm="2136">
        <f t="array" aca="1" ref="P519" ca="1">IFERROR(INDEX(_xlfn.ANCHORARRAY($C$3),T_CALC[[#This Row],[DAY]]+1,6),NA())</f>
        <v>1.3532999999999999</v>
      </c>
      <c r="Q519" cm="1">
        <f t="array" aca="1" ref="Q519" ca="1">IFERROR(INDEX(_xlfn.ANCHORARRAY($C$3),T_CALC[[#This Row],[DAY]]+1,2),NA())</f>
        <v>0</v>
      </c>
    </row>
    <row r="520" spans="3:17">
      <c r="C520" vm="2925">
        <f ca="1"/>
        <v>43480</v>
      </c>
      <c r="D520">
        <f ca="1"/>
        <v>0</v>
      </c>
      <c r="E520" vm="2067">
        <f ca="1"/>
        <v>1.3533999999999999</v>
      </c>
      <c r="F520" vm="2151">
        <f ca="1"/>
        <v>1.3575999999999999</v>
      </c>
      <c r="G520" vm="2094">
        <f ca="1"/>
        <v>1.3508</v>
      </c>
      <c r="H520" vm="2916">
        <f ca="1"/>
        <v>1.3560000000000001</v>
      </c>
      <c r="K520">
        <f ca="1">IF(ROW(T_CALC[[#This Row],[DAY]])-ROW(T_CALC[[#Headers],[DAY]])&gt;C_N_TRADING_DAYS,"",ROW(T_CALC[[#This Row],[DAY]])-ROW(T_CALC[[#Headers],[DAY]]))</f>
        <v>517</v>
      </c>
      <c r="L520" cm="1" vm="2925">
        <f t="array" aca="1" ref="L520" ca="1">IFERROR(INDEX(_xlfn.ANCHORARRAY($C$3),T_CALC[[#This Row],[DAY]]+1,1),NA())</f>
        <v>43480</v>
      </c>
      <c r="M520" cm="1" vm="2067">
        <f t="array" aca="1" ref="M520" ca="1">IFERROR(INDEX(_xlfn.ANCHORARRAY($C$3),T_CALC[[#This Row],[DAY]]+1,3),NA())</f>
        <v>1.3533999999999999</v>
      </c>
      <c r="N520" cm="1" vm="2151">
        <f t="array" aca="1" ref="N520" ca="1">IFERROR(INDEX(_xlfn.ANCHORARRAY($C$3),T_CALC[[#This Row],[DAY]]+1,4),NA())</f>
        <v>1.3575999999999999</v>
      </c>
      <c r="O520" cm="1" vm="2094">
        <f t="array" aca="1" ref="O520" ca="1">IFERROR(INDEX(_xlfn.ANCHORARRAY($C$3),T_CALC[[#This Row],[DAY]]+1,5),NA())</f>
        <v>1.3508</v>
      </c>
      <c r="P520" cm="1" vm="2916">
        <f t="array" aca="1" ref="P520" ca="1">IFERROR(INDEX(_xlfn.ANCHORARRAY($C$3),T_CALC[[#This Row],[DAY]]+1,6),NA())</f>
        <v>1.3560000000000001</v>
      </c>
      <c r="Q520" cm="1">
        <f t="array" aca="1" ref="Q520" ca="1">IFERROR(INDEX(_xlfn.ANCHORARRAY($C$3),T_CALC[[#This Row],[DAY]]+1,2),NA())</f>
        <v>0</v>
      </c>
    </row>
    <row r="521" spans="3:17">
      <c r="C521" vm="2926">
        <f ca="1"/>
        <v>43481</v>
      </c>
      <c r="D521">
        <f ca="1"/>
        <v>0</v>
      </c>
      <c r="E521" vm="1998">
        <f ca="1"/>
        <v>1.3564000000000001</v>
      </c>
      <c r="F521" vm="1998">
        <f ca="1"/>
        <v>1.3564000000000001</v>
      </c>
      <c r="G521" vm="2073">
        <f ca="1"/>
        <v>1.3532</v>
      </c>
      <c r="H521" vm="2017">
        <f ca="1"/>
        <v>1.3549</v>
      </c>
      <c r="K521">
        <f ca="1">IF(ROW(T_CALC[[#This Row],[DAY]])-ROW(T_CALC[[#Headers],[DAY]])&gt;C_N_TRADING_DAYS,"",ROW(T_CALC[[#This Row],[DAY]])-ROW(T_CALC[[#Headers],[DAY]]))</f>
        <v>518</v>
      </c>
      <c r="L521" cm="1" vm="2926">
        <f t="array" aca="1" ref="L521" ca="1">IFERROR(INDEX(_xlfn.ANCHORARRAY($C$3),T_CALC[[#This Row],[DAY]]+1,1),NA())</f>
        <v>43481</v>
      </c>
      <c r="M521" cm="1" vm="1998">
        <f t="array" aca="1" ref="M521" ca="1">IFERROR(INDEX(_xlfn.ANCHORARRAY($C$3),T_CALC[[#This Row],[DAY]]+1,3),NA())</f>
        <v>1.3564000000000001</v>
      </c>
      <c r="N521" cm="1" vm="1998">
        <f t="array" aca="1" ref="N521" ca="1">IFERROR(INDEX(_xlfn.ANCHORARRAY($C$3),T_CALC[[#This Row],[DAY]]+1,4),NA())</f>
        <v>1.3564000000000001</v>
      </c>
      <c r="O521" cm="1" vm="2073">
        <f t="array" aca="1" ref="O521" ca="1">IFERROR(INDEX(_xlfn.ANCHORARRAY($C$3),T_CALC[[#This Row],[DAY]]+1,5),NA())</f>
        <v>1.3532</v>
      </c>
      <c r="P521" cm="1" vm="2017">
        <f t="array" aca="1" ref="P521" ca="1">IFERROR(INDEX(_xlfn.ANCHORARRAY($C$3),T_CALC[[#This Row],[DAY]]+1,6),NA())</f>
        <v>1.3549</v>
      </c>
      <c r="Q521" cm="1">
        <f t="array" aca="1" ref="Q521" ca="1">IFERROR(INDEX(_xlfn.ANCHORARRAY($C$3),T_CALC[[#This Row],[DAY]]+1,2),NA())</f>
        <v>0</v>
      </c>
    </row>
    <row r="522" spans="3:17">
      <c r="C522" vm="2927">
        <f ca="1"/>
        <v>43482</v>
      </c>
      <c r="D522">
        <f ca="1"/>
        <v>0</v>
      </c>
      <c r="E522" vm="2017">
        <f ca="1"/>
        <v>1.3549</v>
      </c>
      <c r="F522" vm="2015">
        <f ca="1"/>
        <v>1.3573999999999999</v>
      </c>
      <c r="G522" vm="2928">
        <f ca="1"/>
        <v>1.3534999999999999</v>
      </c>
      <c r="H522" vm="2077">
        <f ca="1"/>
        <v>1.355</v>
      </c>
      <c r="K522">
        <f ca="1">IF(ROW(T_CALC[[#This Row],[DAY]])-ROW(T_CALC[[#Headers],[DAY]])&gt;C_N_TRADING_DAYS,"",ROW(T_CALC[[#This Row],[DAY]])-ROW(T_CALC[[#Headers],[DAY]]))</f>
        <v>519</v>
      </c>
      <c r="L522" cm="1" vm="2927">
        <f t="array" aca="1" ref="L522" ca="1">IFERROR(INDEX(_xlfn.ANCHORARRAY($C$3),T_CALC[[#This Row],[DAY]]+1,1),NA())</f>
        <v>43482</v>
      </c>
      <c r="M522" cm="1" vm="2017">
        <f t="array" aca="1" ref="M522" ca="1">IFERROR(INDEX(_xlfn.ANCHORARRAY($C$3),T_CALC[[#This Row],[DAY]]+1,3),NA())</f>
        <v>1.3549</v>
      </c>
      <c r="N522" cm="1" vm="2015">
        <f t="array" aca="1" ref="N522" ca="1">IFERROR(INDEX(_xlfn.ANCHORARRAY($C$3),T_CALC[[#This Row],[DAY]]+1,4),NA())</f>
        <v>1.3573999999999999</v>
      </c>
      <c r="O522" cm="1" vm="2928">
        <f t="array" aca="1" ref="O522" ca="1">IFERROR(INDEX(_xlfn.ANCHORARRAY($C$3),T_CALC[[#This Row],[DAY]]+1,5),NA())</f>
        <v>1.3534999999999999</v>
      </c>
      <c r="P522" cm="1" vm="2077">
        <f t="array" aca="1" ref="P522" ca="1">IFERROR(INDEX(_xlfn.ANCHORARRAY($C$3),T_CALC[[#This Row],[DAY]]+1,6),NA())</f>
        <v>1.355</v>
      </c>
      <c r="Q522" cm="1">
        <f t="array" aca="1" ref="Q522" ca="1">IFERROR(INDEX(_xlfn.ANCHORARRAY($C$3),T_CALC[[#This Row],[DAY]]+1,2),NA())</f>
        <v>0</v>
      </c>
    </row>
    <row r="523" spans="3:17">
      <c r="C523" vm="2929">
        <f ca="1"/>
        <v>43483</v>
      </c>
      <c r="D523">
        <f ca="1"/>
        <v>0</v>
      </c>
      <c r="E523" vm="2930">
        <f ca="1"/>
        <v>1.3556999999999999</v>
      </c>
      <c r="F523" vm="2022">
        <f ca="1"/>
        <v>1.3587</v>
      </c>
      <c r="G523" vm="2148">
        <f ca="1"/>
        <v>1.3543000000000001</v>
      </c>
      <c r="H523" vm="2006">
        <f ca="1"/>
        <v>1.3585</v>
      </c>
      <c r="K523">
        <f ca="1">IF(ROW(T_CALC[[#This Row],[DAY]])-ROW(T_CALC[[#Headers],[DAY]])&gt;C_N_TRADING_DAYS,"",ROW(T_CALC[[#This Row],[DAY]])-ROW(T_CALC[[#Headers],[DAY]]))</f>
        <v>520</v>
      </c>
      <c r="L523" cm="1" vm="2929">
        <f t="array" aca="1" ref="L523" ca="1">IFERROR(INDEX(_xlfn.ANCHORARRAY($C$3),T_CALC[[#This Row],[DAY]]+1,1),NA())</f>
        <v>43483</v>
      </c>
      <c r="M523" cm="1" vm="2930">
        <f t="array" aca="1" ref="M523" ca="1">IFERROR(INDEX(_xlfn.ANCHORARRAY($C$3),T_CALC[[#This Row],[DAY]]+1,3),NA())</f>
        <v>1.3556999999999999</v>
      </c>
      <c r="N523" cm="1" vm="2022">
        <f t="array" aca="1" ref="N523" ca="1">IFERROR(INDEX(_xlfn.ANCHORARRAY($C$3),T_CALC[[#This Row],[DAY]]+1,4),NA())</f>
        <v>1.3587</v>
      </c>
      <c r="O523" cm="1" vm="2148">
        <f t="array" aca="1" ref="O523" ca="1">IFERROR(INDEX(_xlfn.ANCHORARRAY($C$3),T_CALC[[#This Row],[DAY]]+1,5),NA())</f>
        <v>1.3543000000000001</v>
      </c>
      <c r="P523" cm="1" vm="2006">
        <f t="array" aca="1" ref="P523" ca="1">IFERROR(INDEX(_xlfn.ANCHORARRAY($C$3),T_CALC[[#This Row],[DAY]]+1,6),NA())</f>
        <v>1.3585</v>
      </c>
      <c r="Q523" cm="1">
        <f t="array" aca="1" ref="Q523" ca="1">IFERROR(INDEX(_xlfn.ANCHORARRAY($C$3),T_CALC[[#This Row],[DAY]]+1,2),NA())</f>
        <v>0</v>
      </c>
    </row>
    <row r="524" spans="3:17">
      <c r="C524" vm="2931">
        <f ca="1"/>
        <v>43486</v>
      </c>
      <c r="D524">
        <f ca="1"/>
        <v>0</v>
      </c>
      <c r="E524" vm="2160">
        <f ca="1"/>
        <v>1.3580000000000001</v>
      </c>
      <c r="F524" vm="1974">
        <f ca="1"/>
        <v>1.3608</v>
      </c>
      <c r="G524" vm="2000">
        <f ca="1"/>
        <v>1.3569</v>
      </c>
      <c r="H524" vm="2013">
        <f ca="1"/>
        <v>1.3588</v>
      </c>
      <c r="K524">
        <f ca="1">IF(ROW(T_CALC[[#This Row],[DAY]])-ROW(T_CALC[[#Headers],[DAY]])&gt;C_N_TRADING_DAYS,"",ROW(T_CALC[[#This Row],[DAY]])-ROW(T_CALC[[#Headers],[DAY]]))</f>
        <v>521</v>
      </c>
      <c r="L524" cm="1" vm="2931">
        <f t="array" aca="1" ref="L524" ca="1">IFERROR(INDEX(_xlfn.ANCHORARRAY($C$3),T_CALC[[#This Row],[DAY]]+1,1),NA())</f>
        <v>43486</v>
      </c>
      <c r="M524" cm="1" vm="2160">
        <f t="array" aca="1" ref="M524" ca="1">IFERROR(INDEX(_xlfn.ANCHORARRAY($C$3),T_CALC[[#This Row],[DAY]]+1,3),NA())</f>
        <v>1.3580000000000001</v>
      </c>
      <c r="N524" cm="1" vm="1974">
        <f t="array" aca="1" ref="N524" ca="1">IFERROR(INDEX(_xlfn.ANCHORARRAY($C$3),T_CALC[[#This Row],[DAY]]+1,4),NA())</f>
        <v>1.3608</v>
      </c>
      <c r="O524" cm="1" vm="2000">
        <f t="array" aca="1" ref="O524" ca="1">IFERROR(INDEX(_xlfn.ANCHORARRAY($C$3),T_CALC[[#This Row],[DAY]]+1,5),NA())</f>
        <v>1.3569</v>
      </c>
      <c r="P524" cm="1" vm="2013">
        <f t="array" aca="1" ref="P524" ca="1">IFERROR(INDEX(_xlfn.ANCHORARRAY($C$3),T_CALC[[#This Row],[DAY]]+1,6),NA())</f>
        <v>1.3588</v>
      </c>
      <c r="Q524" cm="1">
        <f t="array" aca="1" ref="Q524" ca="1">IFERROR(INDEX(_xlfn.ANCHORARRAY($C$3),T_CALC[[#This Row],[DAY]]+1,2),NA())</f>
        <v>0</v>
      </c>
    </row>
    <row r="525" spans="3:17">
      <c r="C525" vm="2932">
        <f ca="1"/>
        <v>43488</v>
      </c>
      <c r="D525">
        <f ca="1"/>
        <v>0</v>
      </c>
      <c r="E525" vm="2216">
        <f ca="1"/>
        <v>1.36</v>
      </c>
      <c r="F525" vm="2158">
        <f ca="1"/>
        <v>1.3605</v>
      </c>
      <c r="G525" vm="2160">
        <f ca="1"/>
        <v>1.3580000000000001</v>
      </c>
      <c r="H525" vm="2022">
        <f ca="1"/>
        <v>1.3587</v>
      </c>
      <c r="K525">
        <f ca="1">IF(ROW(T_CALC[[#This Row],[DAY]])-ROW(T_CALC[[#Headers],[DAY]])&gt;C_N_TRADING_DAYS,"",ROW(T_CALC[[#This Row],[DAY]])-ROW(T_CALC[[#Headers],[DAY]]))</f>
        <v>522</v>
      </c>
      <c r="L525" cm="1" vm="2932">
        <f t="array" aca="1" ref="L525" ca="1">IFERROR(INDEX(_xlfn.ANCHORARRAY($C$3),T_CALC[[#This Row],[DAY]]+1,1),NA())</f>
        <v>43488</v>
      </c>
      <c r="M525" cm="1" vm="2216">
        <f t="array" aca="1" ref="M525" ca="1">IFERROR(INDEX(_xlfn.ANCHORARRAY($C$3),T_CALC[[#This Row],[DAY]]+1,3),NA())</f>
        <v>1.36</v>
      </c>
      <c r="N525" cm="1" vm="2158">
        <f t="array" aca="1" ref="N525" ca="1">IFERROR(INDEX(_xlfn.ANCHORARRAY($C$3),T_CALC[[#This Row],[DAY]]+1,4),NA())</f>
        <v>1.3605</v>
      </c>
      <c r="O525" cm="1" vm="2160">
        <f t="array" aca="1" ref="O525" ca="1">IFERROR(INDEX(_xlfn.ANCHORARRAY($C$3),T_CALC[[#This Row],[DAY]]+1,5),NA())</f>
        <v>1.3580000000000001</v>
      </c>
      <c r="P525" cm="1" vm="2022">
        <f t="array" aca="1" ref="P525" ca="1">IFERROR(INDEX(_xlfn.ANCHORARRAY($C$3),T_CALC[[#This Row],[DAY]]+1,6),NA())</f>
        <v>1.3587</v>
      </c>
      <c r="Q525" cm="1">
        <f t="array" aca="1" ref="Q525" ca="1">IFERROR(INDEX(_xlfn.ANCHORARRAY($C$3),T_CALC[[#This Row],[DAY]]+1,2),NA())</f>
        <v>0</v>
      </c>
    </row>
    <row r="526" spans="3:17">
      <c r="C526" vm="2933">
        <f ca="1"/>
        <v>43489</v>
      </c>
      <c r="D526">
        <f ca="1"/>
        <v>0</v>
      </c>
      <c r="E526" vm="2022">
        <f ca="1"/>
        <v>1.3587</v>
      </c>
      <c r="F526" vm="2040">
        <f ca="1"/>
        <v>1.3614999999999999</v>
      </c>
      <c r="G526" vm="1998">
        <f ca="1"/>
        <v>1.3564000000000001</v>
      </c>
      <c r="H526" vm="1992">
        <f ca="1"/>
        <v>1.3607</v>
      </c>
      <c r="K526">
        <f ca="1">IF(ROW(T_CALC[[#This Row],[DAY]])-ROW(T_CALC[[#Headers],[DAY]])&gt;C_N_TRADING_DAYS,"",ROW(T_CALC[[#This Row],[DAY]])-ROW(T_CALC[[#Headers],[DAY]]))</f>
        <v>523</v>
      </c>
      <c r="L526" cm="1" vm="2933">
        <f t="array" aca="1" ref="L526" ca="1">IFERROR(INDEX(_xlfn.ANCHORARRAY($C$3),T_CALC[[#This Row],[DAY]]+1,1),NA())</f>
        <v>43489</v>
      </c>
      <c r="M526" cm="1" vm="2022">
        <f t="array" aca="1" ref="M526" ca="1">IFERROR(INDEX(_xlfn.ANCHORARRAY($C$3),T_CALC[[#This Row],[DAY]]+1,3),NA())</f>
        <v>1.3587</v>
      </c>
      <c r="N526" cm="1" vm="2040">
        <f t="array" aca="1" ref="N526" ca="1">IFERROR(INDEX(_xlfn.ANCHORARRAY($C$3),T_CALC[[#This Row],[DAY]]+1,4),NA())</f>
        <v>1.3614999999999999</v>
      </c>
      <c r="O526" cm="1" vm="1998">
        <f t="array" aca="1" ref="O526" ca="1">IFERROR(INDEX(_xlfn.ANCHORARRAY($C$3),T_CALC[[#This Row],[DAY]]+1,5),NA())</f>
        <v>1.3564000000000001</v>
      </c>
      <c r="P526" cm="1" vm="1992">
        <f t="array" aca="1" ref="P526" ca="1">IFERROR(INDEX(_xlfn.ANCHORARRAY($C$3),T_CALC[[#This Row],[DAY]]+1,6),NA())</f>
        <v>1.3607</v>
      </c>
      <c r="Q526" cm="1">
        <f t="array" aca="1" ref="Q526" ca="1">IFERROR(INDEX(_xlfn.ANCHORARRAY($C$3),T_CALC[[#This Row],[DAY]]+1,2),NA())</f>
        <v>0</v>
      </c>
    </row>
    <row r="527" spans="3:17">
      <c r="C527" vm="2934">
        <f ca="1"/>
        <v>43490</v>
      </c>
      <c r="D527">
        <f ca="1"/>
        <v>0</v>
      </c>
      <c r="E527" vm="1992">
        <f ca="1"/>
        <v>1.3607</v>
      </c>
      <c r="F527" vm="1996">
        <f ca="1"/>
        <v>1.3613999999999999</v>
      </c>
      <c r="G527" vm="2265">
        <f ca="1"/>
        <v>1.3520000000000001</v>
      </c>
      <c r="H527" vm="1993">
        <f ca="1"/>
        <v>1.3535999999999999</v>
      </c>
      <c r="K527">
        <f ca="1">IF(ROW(T_CALC[[#This Row],[DAY]])-ROW(T_CALC[[#Headers],[DAY]])&gt;C_N_TRADING_DAYS,"",ROW(T_CALC[[#This Row],[DAY]])-ROW(T_CALC[[#Headers],[DAY]]))</f>
        <v>524</v>
      </c>
      <c r="L527" cm="1" vm="2934">
        <f t="array" aca="1" ref="L527" ca="1">IFERROR(INDEX(_xlfn.ANCHORARRAY($C$3),T_CALC[[#This Row],[DAY]]+1,1),NA())</f>
        <v>43490</v>
      </c>
      <c r="M527" cm="1" vm="1992">
        <f t="array" aca="1" ref="M527" ca="1">IFERROR(INDEX(_xlfn.ANCHORARRAY($C$3),T_CALC[[#This Row],[DAY]]+1,3),NA())</f>
        <v>1.3607</v>
      </c>
      <c r="N527" cm="1" vm="1996">
        <f t="array" aca="1" ref="N527" ca="1">IFERROR(INDEX(_xlfn.ANCHORARRAY($C$3),T_CALC[[#This Row],[DAY]]+1,4),NA())</f>
        <v>1.3613999999999999</v>
      </c>
      <c r="O527" cm="1" vm="2265">
        <f t="array" aca="1" ref="O527" ca="1">IFERROR(INDEX(_xlfn.ANCHORARRAY($C$3),T_CALC[[#This Row],[DAY]]+1,5),NA())</f>
        <v>1.3520000000000001</v>
      </c>
      <c r="P527" cm="1" vm="1993">
        <f t="array" aca="1" ref="P527" ca="1">IFERROR(INDEX(_xlfn.ANCHORARRAY($C$3),T_CALC[[#This Row],[DAY]]+1,6),NA())</f>
        <v>1.3535999999999999</v>
      </c>
      <c r="Q527" cm="1">
        <f t="array" aca="1" ref="Q527" ca="1">IFERROR(INDEX(_xlfn.ANCHORARRAY($C$3),T_CALC[[#This Row],[DAY]]+1,2),NA())</f>
        <v>0</v>
      </c>
    </row>
    <row r="528" spans="3:17">
      <c r="C528" vm="2935">
        <f ca="1"/>
        <v>43493</v>
      </c>
      <c r="D528">
        <f ca="1"/>
        <v>0</v>
      </c>
      <c r="E528" vm="2073">
        <f ca="1"/>
        <v>1.3532</v>
      </c>
      <c r="F528" vm="2148">
        <f ca="1"/>
        <v>1.3543000000000001</v>
      </c>
      <c r="G528" vm="2184">
        <f ca="1"/>
        <v>1.3505</v>
      </c>
      <c r="H528" vm="2066">
        <f ca="1"/>
        <v>1.3524</v>
      </c>
      <c r="K528">
        <f ca="1">IF(ROW(T_CALC[[#This Row],[DAY]])-ROW(T_CALC[[#Headers],[DAY]])&gt;C_N_TRADING_DAYS,"",ROW(T_CALC[[#This Row],[DAY]])-ROW(T_CALC[[#Headers],[DAY]]))</f>
        <v>525</v>
      </c>
      <c r="L528" cm="1" vm="2935">
        <f t="array" aca="1" ref="L528" ca="1">IFERROR(INDEX(_xlfn.ANCHORARRAY($C$3),T_CALC[[#This Row],[DAY]]+1,1),NA())</f>
        <v>43493</v>
      </c>
      <c r="M528" cm="1" vm="2073">
        <f t="array" aca="1" ref="M528" ca="1">IFERROR(INDEX(_xlfn.ANCHORARRAY($C$3),T_CALC[[#This Row],[DAY]]+1,3),NA())</f>
        <v>1.3532</v>
      </c>
      <c r="N528" cm="1" vm="2148">
        <f t="array" aca="1" ref="N528" ca="1">IFERROR(INDEX(_xlfn.ANCHORARRAY($C$3),T_CALC[[#This Row],[DAY]]+1,4),NA())</f>
        <v>1.3543000000000001</v>
      </c>
      <c r="O528" cm="1" vm="2184">
        <f t="array" aca="1" ref="O528" ca="1">IFERROR(INDEX(_xlfn.ANCHORARRAY($C$3),T_CALC[[#This Row],[DAY]]+1,5),NA())</f>
        <v>1.3505</v>
      </c>
      <c r="P528" cm="1" vm="2066">
        <f t="array" aca="1" ref="P528" ca="1">IFERROR(INDEX(_xlfn.ANCHORARRAY($C$3),T_CALC[[#This Row],[DAY]]+1,6),NA())</f>
        <v>1.3524</v>
      </c>
      <c r="Q528" cm="1">
        <f t="array" aca="1" ref="Q528" ca="1">IFERROR(INDEX(_xlfn.ANCHORARRAY($C$3),T_CALC[[#This Row],[DAY]]+1,2),NA())</f>
        <v>0</v>
      </c>
    </row>
    <row r="529" spans="3:17">
      <c r="C529" vm="2936">
        <f ca="1"/>
        <v>43494</v>
      </c>
      <c r="D529">
        <f ca="1"/>
        <v>0</v>
      </c>
      <c r="E529" vm="2088">
        <f ca="1"/>
        <v>1.3526</v>
      </c>
      <c r="F529" vm="2003">
        <f ca="1"/>
        <v>1.3545</v>
      </c>
      <c r="G529" vm="2139">
        <f ca="1"/>
        <v>1.3506</v>
      </c>
      <c r="H529" vm="2269">
        <f ca="1"/>
        <v>1.3519000000000001</v>
      </c>
      <c r="K529">
        <f ca="1">IF(ROW(T_CALC[[#This Row],[DAY]])-ROW(T_CALC[[#Headers],[DAY]])&gt;C_N_TRADING_DAYS,"",ROW(T_CALC[[#This Row],[DAY]])-ROW(T_CALC[[#Headers],[DAY]]))</f>
        <v>526</v>
      </c>
      <c r="L529" cm="1" vm="2936">
        <f t="array" aca="1" ref="L529" ca="1">IFERROR(INDEX(_xlfn.ANCHORARRAY($C$3),T_CALC[[#This Row],[DAY]]+1,1),NA())</f>
        <v>43494</v>
      </c>
      <c r="M529" cm="1" vm="2088">
        <f t="array" aca="1" ref="M529" ca="1">IFERROR(INDEX(_xlfn.ANCHORARRAY($C$3),T_CALC[[#This Row],[DAY]]+1,3),NA())</f>
        <v>1.3526</v>
      </c>
      <c r="N529" cm="1" vm="2003">
        <f t="array" aca="1" ref="N529" ca="1">IFERROR(INDEX(_xlfn.ANCHORARRAY($C$3),T_CALC[[#This Row],[DAY]]+1,4),NA())</f>
        <v>1.3545</v>
      </c>
      <c r="O529" cm="1" vm="2139">
        <f t="array" aca="1" ref="O529" ca="1">IFERROR(INDEX(_xlfn.ANCHORARRAY($C$3),T_CALC[[#This Row],[DAY]]+1,5),NA())</f>
        <v>1.3506</v>
      </c>
      <c r="P529" cm="1" vm="2269">
        <f t="array" aca="1" ref="P529" ca="1">IFERROR(INDEX(_xlfn.ANCHORARRAY($C$3),T_CALC[[#This Row],[DAY]]+1,6),NA())</f>
        <v>1.3519000000000001</v>
      </c>
      <c r="Q529" cm="1">
        <f t="array" aca="1" ref="Q529" ca="1">IFERROR(INDEX(_xlfn.ANCHORARRAY($C$3),T_CALC[[#This Row],[DAY]]+1,2),NA())</f>
        <v>0</v>
      </c>
    </row>
    <row r="530" spans="3:17">
      <c r="C530" vm="2937">
        <f ca="1"/>
        <v>43495</v>
      </c>
      <c r="D530">
        <f ca="1"/>
        <v>0</v>
      </c>
      <c r="E530" vm="2269">
        <f ca="1"/>
        <v>1.3519000000000001</v>
      </c>
      <c r="F530" vm="2088">
        <f ca="1"/>
        <v>1.3526</v>
      </c>
      <c r="G530" vm="2239">
        <f ca="1"/>
        <v>1.3454999999999999</v>
      </c>
      <c r="H530" vm="2257">
        <f ca="1"/>
        <v>1.3471</v>
      </c>
      <c r="K530">
        <f ca="1">IF(ROW(T_CALC[[#This Row],[DAY]])-ROW(T_CALC[[#Headers],[DAY]])&gt;C_N_TRADING_DAYS,"",ROW(T_CALC[[#This Row],[DAY]])-ROW(T_CALC[[#Headers],[DAY]]))</f>
        <v>527</v>
      </c>
      <c r="L530" cm="1" vm="2937">
        <f t="array" aca="1" ref="L530" ca="1">IFERROR(INDEX(_xlfn.ANCHORARRAY($C$3),T_CALC[[#This Row],[DAY]]+1,1),NA())</f>
        <v>43495</v>
      </c>
      <c r="M530" cm="1" vm="2269">
        <f t="array" aca="1" ref="M530" ca="1">IFERROR(INDEX(_xlfn.ANCHORARRAY($C$3),T_CALC[[#This Row],[DAY]]+1,3),NA())</f>
        <v>1.3519000000000001</v>
      </c>
      <c r="N530" cm="1" vm="2088">
        <f t="array" aca="1" ref="N530" ca="1">IFERROR(INDEX(_xlfn.ANCHORARRAY($C$3),T_CALC[[#This Row],[DAY]]+1,4),NA())</f>
        <v>1.3526</v>
      </c>
      <c r="O530" cm="1" vm="2239">
        <f t="array" aca="1" ref="O530" ca="1">IFERROR(INDEX(_xlfn.ANCHORARRAY($C$3),T_CALC[[#This Row],[DAY]]+1,5),NA())</f>
        <v>1.3454999999999999</v>
      </c>
      <c r="P530" cm="1" vm="2257">
        <f t="array" aca="1" ref="P530" ca="1">IFERROR(INDEX(_xlfn.ANCHORARRAY($C$3),T_CALC[[#This Row],[DAY]]+1,6),NA())</f>
        <v>1.3471</v>
      </c>
      <c r="Q530" cm="1">
        <f t="array" aca="1" ref="Q530" ca="1">IFERROR(INDEX(_xlfn.ANCHORARRAY($C$3),T_CALC[[#This Row],[DAY]]+1,2),NA())</f>
        <v>0</v>
      </c>
    </row>
    <row r="531" spans="3:17">
      <c r="C531" vm="2938">
        <f ca="1"/>
        <v>43496</v>
      </c>
      <c r="D531">
        <f ca="1"/>
        <v>0</v>
      </c>
      <c r="E531" vm="2104">
        <f ca="1"/>
        <v>1.3469</v>
      </c>
      <c r="F531" vm="2111">
        <f ca="1"/>
        <v>1.3472999999999999</v>
      </c>
      <c r="G531" vm="2272">
        <f ca="1"/>
        <v>1.3438000000000001</v>
      </c>
      <c r="H531" vm="2235">
        <f ca="1"/>
        <v>1.3452</v>
      </c>
      <c r="K531">
        <f ca="1">IF(ROW(T_CALC[[#This Row],[DAY]])-ROW(T_CALC[[#Headers],[DAY]])&gt;C_N_TRADING_DAYS,"",ROW(T_CALC[[#This Row],[DAY]])-ROW(T_CALC[[#Headers],[DAY]]))</f>
        <v>528</v>
      </c>
      <c r="L531" cm="1" vm="2938">
        <f t="array" aca="1" ref="L531" ca="1">IFERROR(INDEX(_xlfn.ANCHORARRAY($C$3),T_CALC[[#This Row],[DAY]]+1,1),NA())</f>
        <v>43496</v>
      </c>
      <c r="M531" cm="1" vm="2104">
        <f t="array" aca="1" ref="M531" ca="1">IFERROR(INDEX(_xlfn.ANCHORARRAY($C$3),T_CALC[[#This Row],[DAY]]+1,3),NA())</f>
        <v>1.3469</v>
      </c>
      <c r="N531" cm="1" vm="2111">
        <f t="array" aca="1" ref="N531" ca="1">IFERROR(INDEX(_xlfn.ANCHORARRAY($C$3),T_CALC[[#This Row],[DAY]]+1,4),NA())</f>
        <v>1.3472999999999999</v>
      </c>
      <c r="O531" cm="1" vm="2272">
        <f t="array" aca="1" ref="O531" ca="1">IFERROR(INDEX(_xlfn.ANCHORARRAY($C$3),T_CALC[[#This Row],[DAY]]+1,5),NA())</f>
        <v>1.3438000000000001</v>
      </c>
      <c r="P531" cm="1" vm="2235">
        <f t="array" aca="1" ref="P531" ca="1">IFERROR(INDEX(_xlfn.ANCHORARRAY($C$3),T_CALC[[#This Row],[DAY]]+1,6),NA())</f>
        <v>1.3452</v>
      </c>
      <c r="Q531" cm="1">
        <f t="array" aca="1" ref="Q531" ca="1">IFERROR(INDEX(_xlfn.ANCHORARRAY($C$3),T_CALC[[#This Row],[DAY]]+1,2),NA())</f>
        <v>0</v>
      </c>
    </row>
    <row r="532" spans="3:17">
      <c r="C532" vm="2939">
        <f ca="1"/>
        <v>43497</v>
      </c>
      <c r="D532">
        <f ca="1"/>
        <v>0</v>
      </c>
      <c r="E532" vm="2611">
        <f ca="1"/>
        <v>1.3455999999999999</v>
      </c>
      <c r="F532" vm="2940">
        <f ca="1"/>
        <v>1.3509</v>
      </c>
      <c r="G532" vm="2661">
        <f ca="1"/>
        <v>1.3449</v>
      </c>
      <c r="H532" vm="2267">
        <f ca="1"/>
        <v>1.3498000000000001</v>
      </c>
      <c r="K532">
        <f ca="1">IF(ROW(T_CALC[[#This Row],[DAY]])-ROW(T_CALC[[#Headers],[DAY]])&gt;C_N_TRADING_DAYS,"",ROW(T_CALC[[#This Row],[DAY]])-ROW(T_CALC[[#Headers],[DAY]]))</f>
        <v>529</v>
      </c>
      <c r="L532" cm="1" vm="2939">
        <f t="array" aca="1" ref="L532" ca="1">IFERROR(INDEX(_xlfn.ANCHORARRAY($C$3),T_CALC[[#This Row],[DAY]]+1,1),NA())</f>
        <v>43497</v>
      </c>
      <c r="M532" cm="1" vm="2611">
        <f t="array" aca="1" ref="M532" ca="1">IFERROR(INDEX(_xlfn.ANCHORARRAY($C$3),T_CALC[[#This Row],[DAY]]+1,3),NA())</f>
        <v>1.3455999999999999</v>
      </c>
      <c r="N532" cm="1" vm="2940">
        <f t="array" aca="1" ref="N532" ca="1">IFERROR(INDEX(_xlfn.ANCHORARRAY($C$3),T_CALC[[#This Row],[DAY]]+1,4),NA())</f>
        <v>1.3509</v>
      </c>
      <c r="O532" cm="1" vm="2661">
        <f t="array" aca="1" ref="O532" ca="1">IFERROR(INDEX(_xlfn.ANCHORARRAY($C$3),T_CALC[[#This Row],[DAY]]+1,5),NA())</f>
        <v>1.3449</v>
      </c>
      <c r="P532" cm="1" vm="2267">
        <f t="array" aca="1" ref="P532" ca="1">IFERROR(INDEX(_xlfn.ANCHORARRAY($C$3),T_CALC[[#This Row],[DAY]]+1,6),NA())</f>
        <v>1.3498000000000001</v>
      </c>
      <c r="Q532" cm="1">
        <f t="array" aca="1" ref="Q532" ca="1">IFERROR(INDEX(_xlfn.ANCHORARRAY($C$3),T_CALC[[#This Row],[DAY]]+1,2),NA())</f>
        <v>0</v>
      </c>
    </row>
    <row r="533" spans="3:17">
      <c r="C533" vm="2941">
        <f ca="1"/>
        <v>43500</v>
      </c>
      <c r="D533">
        <f ca="1"/>
        <v>0</v>
      </c>
      <c r="E533" vm="2922">
        <f ca="1"/>
        <v>1.3492999999999999</v>
      </c>
      <c r="F533" vm="2228">
        <f ca="1"/>
        <v>1.3539000000000001</v>
      </c>
      <c r="G533" vm="2179">
        <f ca="1"/>
        <v>1.349</v>
      </c>
      <c r="H533" vm="2692">
        <f ca="1"/>
        <v>1.3525</v>
      </c>
      <c r="K533">
        <f ca="1">IF(ROW(T_CALC[[#This Row],[DAY]])-ROW(T_CALC[[#Headers],[DAY]])&gt;C_N_TRADING_DAYS,"",ROW(T_CALC[[#This Row],[DAY]])-ROW(T_CALC[[#Headers],[DAY]]))</f>
        <v>530</v>
      </c>
      <c r="L533" cm="1" vm="2941">
        <f t="array" aca="1" ref="L533" ca="1">IFERROR(INDEX(_xlfn.ANCHORARRAY($C$3),T_CALC[[#This Row],[DAY]]+1,1),NA())</f>
        <v>43500</v>
      </c>
      <c r="M533" cm="1" vm="2922">
        <f t="array" aca="1" ref="M533" ca="1">IFERROR(INDEX(_xlfn.ANCHORARRAY($C$3),T_CALC[[#This Row],[DAY]]+1,3),NA())</f>
        <v>1.3492999999999999</v>
      </c>
      <c r="N533" cm="1" vm="2228">
        <f t="array" aca="1" ref="N533" ca="1">IFERROR(INDEX(_xlfn.ANCHORARRAY($C$3),T_CALC[[#This Row],[DAY]]+1,4),NA())</f>
        <v>1.3539000000000001</v>
      </c>
      <c r="O533" cm="1" vm="2179">
        <f t="array" aca="1" ref="O533" ca="1">IFERROR(INDEX(_xlfn.ANCHORARRAY($C$3),T_CALC[[#This Row],[DAY]]+1,5),NA())</f>
        <v>1.349</v>
      </c>
      <c r="P533" cm="1" vm="2692">
        <f t="array" aca="1" ref="P533" ca="1">IFERROR(INDEX(_xlfn.ANCHORARRAY($C$3),T_CALC[[#This Row],[DAY]]+1,6),NA())</f>
        <v>1.3525</v>
      </c>
      <c r="Q533" cm="1">
        <f t="array" aca="1" ref="Q533" ca="1">IFERROR(INDEX(_xlfn.ANCHORARRAY($C$3),T_CALC[[#This Row],[DAY]]+1,2),NA())</f>
        <v>0</v>
      </c>
    </row>
    <row r="534" spans="3:17">
      <c r="C534" vm="2942">
        <f ca="1"/>
        <v>43501</v>
      </c>
      <c r="D534">
        <f ca="1"/>
        <v>0</v>
      </c>
      <c r="E534" vm="2088">
        <f ca="1"/>
        <v>1.3526</v>
      </c>
      <c r="F534" vm="1993">
        <f ca="1"/>
        <v>1.3535999999999999</v>
      </c>
      <c r="G534" vm="2071">
        <f ca="1"/>
        <v>1.3502000000000001</v>
      </c>
      <c r="H534" vm="2261">
        <f ca="1"/>
        <v>1.3514999999999999</v>
      </c>
      <c r="K534">
        <f ca="1">IF(ROW(T_CALC[[#This Row],[DAY]])-ROW(T_CALC[[#Headers],[DAY]])&gt;C_N_TRADING_DAYS,"",ROW(T_CALC[[#This Row],[DAY]])-ROW(T_CALC[[#Headers],[DAY]]))</f>
        <v>531</v>
      </c>
      <c r="L534" cm="1" vm="2942">
        <f t="array" aca="1" ref="L534" ca="1">IFERROR(INDEX(_xlfn.ANCHORARRAY($C$3),T_CALC[[#This Row],[DAY]]+1,1),NA())</f>
        <v>43501</v>
      </c>
      <c r="M534" cm="1" vm="2088">
        <f t="array" aca="1" ref="M534" ca="1">IFERROR(INDEX(_xlfn.ANCHORARRAY($C$3),T_CALC[[#This Row],[DAY]]+1,3),NA())</f>
        <v>1.3526</v>
      </c>
      <c r="N534" cm="1" vm="1993">
        <f t="array" aca="1" ref="N534" ca="1">IFERROR(INDEX(_xlfn.ANCHORARRAY($C$3),T_CALC[[#This Row],[DAY]]+1,4),NA())</f>
        <v>1.3535999999999999</v>
      </c>
      <c r="O534" cm="1" vm="2071">
        <f t="array" aca="1" ref="O534" ca="1">IFERROR(INDEX(_xlfn.ANCHORARRAY($C$3),T_CALC[[#This Row],[DAY]]+1,5),NA())</f>
        <v>1.3502000000000001</v>
      </c>
      <c r="P534" cm="1" vm="2261">
        <f t="array" aca="1" ref="P534" ca="1">IFERROR(INDEX(_xlfn.ANCHORARRAY($C$3),T_CALC[[#This Row],[DAY]]+1,6),NA())</f>
        <v>1.3514999999999999</v>
      </c>
      <c r="Q534" cm="1">
        <f t="array" aca="1" ref="Q534" ca="1">IFERROR(INDEX(_xlfn.ANCHORARRAY($C$3),T_CALC[[#This Row],[DAY]]+1,2),NA())</f>
        <v>0</v>
      </c>
    </row>
    <row r="535" spans="3:17">
      <c r="C535" vm="2943">
        <f ca="1"/>
        <v>43502</v>
      </c>
      <c r="D535">
        <f ca="1"/>
        <v>0</v>
      </c>
      <c r="E535" vm="2261">
        <f ca="1"/>
        <v>1.3514999999999999</v>
      </c>
      <c r="F535" vm="2170">
        <f ca="1"/>
        <v>1.3559000000000001</v>
      </c>
      <c r="G535" vm="2080">
        <f ca="1"/>
        <v>1.3501000000000001</v>
      </c>
      <c r="H535" vm="2930">
        <f ca="1"/>
        <v>1.3556999999999999</v>
      </c>
      <c r="K535">
        <f ca="1">IF(ROW(T_CALC[[#This Row],[DAY]])-ROW(T_CALC[[#Headers],[DAY]])&gt;C_N_TRADING_DAYS,"",ROW(T_CALC[[#This Row],[DAY]])-ROW(T_CALC[[#Headers],[DAY]]))</f>
        <v>532</v>
      </c>
      <c r="L535" cm="1" vm="2943">
        <f t="array" aca="1" ref="L535" ca="1">IFERROR(INDEX(_xlfn.ANCHORARRAY($C$3),T_CALC[[#This Row],[DAY]]+1,1),NA())</f>
        <v>43502</v>
      </c>
      <c r="M535" cm="1" vm="2261">
        <f t="array" aca="1" ref="M535" ca="1">IFERROR(INDEX(_xlfn.ANCHORARRAY($C$3),T_CALC[[#This Row],[DAY]]+1,3),NA())</f>
        <v>1.3514999999999999</v>
      </c>
      <c r="N535" cm="1" vm="2170">
        <f t="array" aca="1" ref="N535" ca="1">IFERROR(INDEX(_xlfn.ANCHORARRAY($C$3),T_CALC[[#This Row],[DAY]]+1,4),NA())</f>
        <v>1.3559000000000001</v>
      </c>
      <c r="O535" cm="1" vm="2080">
        <f t="array" aca="1" ref="O535" ca="1">IFERROR(INDEX(_xlfn.ANCHORARRAY($C$3),T_CALC[[#This Row],[DAY]]+1,5),NA())</f>
        <v>1.3501000000000001</v>
      </c>
      <c r="P535" cm="1" vm="2930">
        <f t="array" aca="1" ref="P535" ca="1">IFERROR(INDEX(_xlfn.ANCHORARRAY($C$3),T_CALC[[#This Row],[DAY]]+1,6),NA())</f>
        <v>1.3556999999999999</v>
      </c>
      <c r="Q535" cm="1">
        <f t="array" aca="1" ref="Q535" ca="1">IFERROR(INDEX(_xlfn.ANCHORARRAY($C$3),T_CALC[[#This Row],[DAY]]+1,2),NA())</f>
        <v>0</v>
      </c>
    </row>
    <row r="536" spans="3:17">
      <c r="C536" vm="2944">
        <f ca="1"/>
        <v>43503</v>
      </c>
      <c r="D536">
        <f ca="1"/>
        <v>0</v>
      </c>
      <c r="E536" vm="2078">
        <f ca="1"/>
        <v>1.3555999999999999</v>
      </c>
      <c r="F536" vm="2081">
        <f ca="1"/>
        <v>1.3573</v>
      </c>
      <c r="G536" vm="2089">
        <f ca="1"/>
        <v>1.3537999999999999</v>
      </c>
      <c r="H536" vm="2223">
        <f ca="1"/>
        <v>1.3562000000000001</v>
      </c>
      <c r="K536">
        <f ca="1">IF(ROW(T_CALC[[#This Row],[DAY]])-ROW(T_CALC[[#Headers],[DAY]])&gt;C_N_TRADING_DAYS,"",ROW(T_CALC[[#This Row],[DAY]])-ROW(T_CALC[[#Headers],[DAY]]))</f>
        <v>533</v>
      </c>
      <c r="L536" cm="1" vm="2944">
        <f t="array" aca="1" ref="L536" ca="1">IFERROR(INDEX(_xlfn.ANCHORARRAY($C$3),T_CALC[[#This Row],[DAY]]+1,1),NA())</f>
        <v>43503</v>
      </c>
      <c r="M536" cm="1" vm="2078">
        <f t="array" aca="1" ref="M536" ca="1">IFERROR(INDEX(_xlfn.ANCHORARRAY($C$3),T_CALC[[#This Row],[DAY]]+1,3),NA())</f>
        <v>1.3555999999999999</v>
      </c>
      <c r="N536" cm="1" vm="2081">
        <f t="array" aca="1" ref="N536" ca="1">IFERROR(INDEX(_xlfn.ANCHORARRAY($C$3),T_CALC[[#This Row],[DAY]]+1,4),NA())</f>
        <v>1.3573</v>
      </c>
      <c r="O536" cm="1" vm="2089">
        <f t="array" aca="1" ref="O536" ca="1">IFERROR(INDEX(_xlfn.ANCHORARRAY($C$3),T_CALC[[#This Row],[DAY]]+1,5),NA())</f>
        <v>1.3537999999999999</v>
      </c>
      <c r="P536" cm="1" vm="2223">
        <f t="array" aca="1" ref="P536" ca="1">IFERROR(INDEX(_xlfn.ANCHORARRAY($C$3),T_CALC[[#This Row],[DAY]]+1,6),NA())</f>
        <v>1.3562000000000001</v>
      </c>
      <c r="Q536" cm="1">
        <f t="array" aca="1" ref="Q536" ca="1">IFERROR(INDEX(_xlfn.ANCHORARRAY($C$3),T_CALC[[#This Row],[DAY]]+1,2),NA())</f>
        <v>0</v>
      </c>
    </row>
    <row r="537" spans="3:17">
      <c r="C537" vm="2945">
        <f ca="1"/>
        <v>43504</v>
      </c>
      <c r="D537">
        <f ca="1"/>
        <v>0</v>
      </c>
      <c r="E537" vm="2916">
        <f ca="1"/>
        <v>1.3560000000000001</v>
      </c>
      <c r="F537" vm="2006">
        <f ca="1"/>
        <v>1.3585</v>
      </c>
      <c r="G537" vm="2148">
        <f ca="1"/>
        <v>1.3543000000000001</v>
      </c>
      <c r="H537" vm="2070">
        <f ca="1"/>
        <v>1.3563000000000001</v>
      </c>
      <c r="K537">
        <f ca="1">IF(ROW(T_CALC[[#This Row],[DAY]])-ROW(T_CALC[[#Headers],[DAY]])&gt;C_N_TRADING_DAYS,"",ROW(T_CALC[[#This Row],[DAY]])-ROW(T_CALC[[#Headers],[DAY]]))</f>
        <v>534</v>
      </c>
      <c r="L537" cm="1" vm="2945">
        <f t="array" aca="1" ref="L537" ca="1">IFERROR(INDEX(_xlfn.ANCHORARRAY($C$3),T_CALC[[#This Row],[DAY]]+1,1),NA())</f>
        <v>43504</v>
      </c>
      <c r="M537" cm="1" vm="2916">
        <f t="array" aca="1" ref="M537" ca="1">IFERROR(INDEX(_xlfn.ANCHORARRAY($C$3),T_CALC[[#This Row],[DAY]]+1,3),NA())</f>
        <v>1.3560000000000001</v>
      </c>
      <c r="N537" cm="1" vm="2006">
        <f t="array" aca="1" ref="N537" ca="1">IFERROR(INDEX(_xlfn.ANCHORARRAY($C$3),T_CALC[[#This Row],[DAY]]+1,4),NA())</f>
        <v>1.3585</v>
      </c>
      <c r="O537" cm="1" vm="2148">
        <f t="array" aca="1" ref="O537" ca="1">IFERROR(INDEX(_xlfn.ANCHORARRAY($C$3),T_CALC[[#This Row],[DAY]]+1,5),NA())</f>
        <v>1.3543000000000001</v>
      </c>
      <c r="P537" cm="1" vm="2070">
        <f t="array" aca="1" ref="P537" ca="1">IFERROR(INDEX(_xlfn.ANCHORARRAY($C$3),T_CALC[[#This Row],[DAY]]+1,6),NA())</f>
        <v>1.3563000000000001</v>
      </c>
      <c r="Q537" cm="1">
        <f t="array" aca="1" ref="Q537" ca="1">IFERROR(INDEX(_xlfn.ANCHORARRAY($C$3),T_CALC[[#This Row],[DAY]]+1,2),NA())</f>
        <v>0</v>
      </c>
    </row>
    <row r="538" spans="3:17">
      <c r="C538" vm="2946">
        <f ca="1"/>
        <v>43507</v>
      </c>
      <c r="D538">
        <f ca="1"/>
        <v>0</v>
      </c>
      <c r="E538" vm="2223">
        <f ca="1"/>
        <v>1.3562000000000001</v>
      </c>
      <c r="F538" vm="2156">
        <f ca="1"/>
        <v>1.3613</v>
      </c>
      <c r="G538" vm="2061">
        <f ca="1"/>
        <v>1.3547</v>
      </c>
      <c r="H538" vm="1974">
        <f ca="1"/>
        <v>1.3608</v>
      </c>
      <c r="K538">
        <f ca="1">IF(ROW(T_CALC[[#This Row],[DAY]])-ROW(T_CALC[[#Headers],[DAY]])&gt;C_N_TRADING_DAYS,"",ROW(T_CALC[[#This Row],[DAY]])-ROW(T_CALC[[#Headers],[DAY]]))</f>
        <v>535</v>
      </c>
      <c r="L538" cm="1" vm="2946">
        <f t="array" aca="1" ref="L538" ca="1">IFERROR(INDEX(_xlfn.ANCHORARRAY($C$3),T_CALC[[#This Row],[DAY]]+1,1),NA())</f>
        <v>43507</v>
      </c>
      <c r="M538" cm="1" vm="2223">
        <f t="array" aca="1" ref="M538" ca="1">IFERROR(INDEX(_xlfn.ANCHORARRAY($C$3),T_CALC[[#This Row],[DAY]]+1,3),NA())</f>
        <v>1.3562000000000001</v>
      </c>
      <c r="N538" cm="1" vm="2156">
        <f t="array" aca="1" ref="N538" ca="1">IFERROR(INDEX(_xlfn.ANCHORARRAY($C$3),T_CALC[[#This Row],[DAY]]+1,4),NA())</f>
        <v>1.3613</v>
      </c>
      <c r="O538" cm="1" vm="2061">
        <f t="array" aca="1" ref="O538" ca="1">IFERROR(INDEX(_xlfn.ANCHORARRAY($C$3),T_CALC[[#This Row],[DAY]]+1,5),NA())</f>
        <v>1.3547</v>
      </c>
      <c r="P538" cm="1" vm="1974">
        <f t="array" aca="1" ref="P538" ca="1">IFERROR(INDEX(_xlfn.ANCHORARRAY($C$3),T_CALC[[#This Row],[DAY]]+1,6),NA())</f>
        <v>1.3608</v>
      </c>
      <c r="Q538" cm="1">
        <f t="array" aca="1" ref="Q538" ca="1">IFERROR(INDEX(_xlfn.ANCHORARRAY($C$3),T_CALC[[#This Row],[DAY]]+1,2),NA())</f>
        <v>0</v>
      </c>
    </row>
    <row r="539" spans="3:17">
      <c r="C539" vm="2947">
        <f ca="1"/>
        <v>43508</v>
      </c>
      <c r="D539">
        <f ca="1"/>
        <v>0</v>
      </c>
      <c r="E539" vm="1992">
        <f ca="1"/>
        <v>1.3607</v>
      </c>
      <c r="F539" vm="1996">
        <f ca="1"/>
        <v>1.3613999999999999</v>
      </c>
      <c r="G539" vm="2185">
        <f ca="1"/>
        <v>1.3552999999999999</v>
      </c>
      <c r="H539" vm="2916">
        <f ca="1"/>
        <v>1.3560000000000001</v>
      </c>
      <c r="K539">
        <f ca="1">IF(ROW(T_CALC[[#This Row],[DAY]])-ROW(T_CALC[[#Headers],[DAY]])&gt;C_N_TRADING_DAYS,"",ROW(T_CALC[[#This Row],[DAY]])-ROW(T_CALC[[#Headers],[DAY]]))</f>
        <v>536</v>
      </c>
      <c r="L539" cm="1" vm="2947">
        <f t="array" aca="1" ref="L539" ca="1">IFERROR(INDEX(_xlfn.ANCHORARRAY($C$3),T_CALC[[#This Row],[DAY]]+1,1),NA())</f>
        <v>43508</v>
      </c>
      <c r="M539" cm="1" vm="1992">
        <f t="array" aca="1" ref="M539" ca="1">IFERROR(INDEX(_xlfn.ANCHORARRAY($C$3),T_CALC[[#This Row],[DAY]]+1,3),NA())</f>
        <v>1.3607</v>
      </c>
      <c r="N539" cm="1" vm="1996">
        <f t="array" aca="1" ref="N539" ca="1">IFERROR(INDEX(_xlfn.ANCHORARRAY($C$3),T_CALC[[#This Row],[DAY]]+1,4),NA())</f>
        <v>1.3613999999999999</v>
      </c>
      <c r="O539" cm="1" vm="2185">
        <f t="array" aca="1" ref="O539" ca="1">IFERROR(INDEX(_xlfn.ANCHORARRAY($C$3),T_CALC[[#This Row],[DAY]]+1,5),NA())</f>
        <v>1.3552999999999999</v>
      </c>
      <c r="P539" cm="1" vm="2916">
        <f t="array" aca="1" ref="P539" ca="1">IFERROR(INDEX(_xlfn.ANCHORARRAY($C$3),T_CALC[[#This Row],[DAY]]+1,6),NA())</f>
        <v>1.3560000000000001</v>
      </c>
      <c r="Q539" cm="1">
        <f t="array" aca="1" ref="Q539" ca="1">IFERROR(INDEX(_xlfn.ANCHORARRAY($C$3),T_CALC[[#This Row],[DAY]]+1,2),NA())</f>
        <v>0</v>
      </c>
    </row>
    <row r="540" spans="3:17">
      <c r="C540" vm="2948">
        <f ca="1"/>
        <v>43509</v>
      </c>
      <c r="D540">
        <f ca="1"/>
        <v>0</v>
      </c>
      <c r="E540" vm="2916">
        <f ca="1"/>
        <v>1.3560000000000001</v>
      </c>
      <c r="F540" vm="2695">
        <f ca="1"/>
        <v>1.3601000000000001</v>
      </c>
      <c r="G540" vm="2073">
        <f ca="1"/>
        <v>1.3532</v>
      </c>
      <c r="H540" vm="2218">
        <f ca="1"/>
        <v>1.3596999999999999</v>
      </c>
      <c r="K540">
        <f ca="1">IF(ROW(T_CALC[[#This Row],[DAY]])-ROW(T_CALC[[#Headers],[DAY]])&gt;C_N_TRADING_DAYS,"",ROW(T_CALC[[#This Row],[DAY]])-ROW(T_CALC[[#Headers],[DAY]]))</f>
        <v>537</v>
      </c>
      <c r="L540" cm="1" vm="2948">
        <f t="array" aca="1" ref="L540" ca="1">IFERROR(INDEX(_xlfn.ANCHORARRAY($C$3),T_CALC[[#This Row],[DAY]]+1,1),NA())</f>
        <v>43509</v>
      </c>
      <c r="M540" cm="1" vm="2916">
        <f t="array" aca="1" ref="M540" ca="1">IFERROR(INDEX(_xlfn.ANCHORARRAY($C$3),T_CALC[[#This Row],[DAY]]+1,3),NA())</f>
        <v>1.3560000000000001</v>
      </c>
      <c r="N540" cm="1" vm="2695">
        <f t="array" aca="1" ref="N540" ca="1">IFERROR(INDEX(_xlfn.ANCHORARRAY($C$3),T_CALC[[#This Row],[DAY]]+1,4),NA())</f>
        <v>1.3601000000000001</v>
      </c>
      <c r="O540" cm="1" vm="2073">
        <f t="array" aca="1" ref="O540" ca="1">IFERROR(INDEX(_xlfn.ANCHORARRAY($C$3),T_CALC[[#This Row],[DAY]]+1,5),NA())</f>
        <v>1.3532</v>
      </c>
      <c r="P540" cm="1" vm="2218">
        <f t="array" aca="1" ref="P540" ca="1">IFERROR(INDEX(_xlfn.ANCHORARRAY($C$3),T_CALC[[#This Row],[DAY]]+1,6),NA())</f>
        <v>1.3596999999999999</v>
      </c>
      <c r="Q540" cm="1">
        <f t="array" aca="1" ref="Q540" ca="1">IFERROR(INDEX(_xlfn.ANCHORARRAY($C$3),T_CALC[[#This Row],[DAY]]+1,2),NA())</f>
        <v>0</v>
      </c>
    </row>
    <row r="541" spans="3:17">
      <c r="C541" vm="2949">
        <f ca="1"/>
        <v>43510</v>
      </c>
      <c r="D541">
        <f ca="1"/>
        <v>0</v>
      </c>
      <c r="E541" vm="2051">
        <f ca="1"/>
        <v>1.3594999999999999</v>
      </c>
      <c r="F541" vm="2216">
        <f ca="1"/>
        <v>1.36</v>
      </c>
      <c r="G541" vm="2223">
        <f ca="1"/>
        <v>1.3562000000000001</v>
      </c>
      <c r="H541" vm="2183">
        <f ca="1"/>
        <v>1.3577999999999999</v>
      </c>
      <c r="K541">
        <f ca="1">IF(ROW(T_CALC[[#This Row],[DAY]])-ROW(T_CALC[[#Headers],[DAY]])&gt;C_N_TRADING_DAYS,"",ROW(T_CALC[[#This Row],[DAY]])-ROW(T_CALC[[#Headers],[DAY]]))</f>
        <v>538</v>
      </c>
      <c r="L541" cm="1" vm="2949">
        <f t="array" aca="1" ref="L541" ca="1">IFERROR(INDEX(_xlfn.ANCHORARRAY($C$3),T_CALC[[#This Row],[DAY]]+1,1),NA())</f>
        <v>43510</v>
      </c>
      <c r="M541" cm="1" vm="2051">
        <f t="array" aca="1" ref="M541" ca="1">IFERROR(INDEX(_xlfn.ANCHORARRAY($C$3),T_CALC[[#This Row],[DAY]]+1,3),NA())</f>
        <v>1.3594999999999999</v>
      </c>
      <c r="N541" cm="1" vm="2216">
        <f t="array" aca="1" ref="N541" ca="1">IFERROR(INDEX(_xlfn.ANCHORARRAY($C$3),T_CALC[[#This Row],[DAY]]+1,4),NA())</f>
        <v>1.36</v>
      </c>
      <c r="O541" cm="1" vm="2223">
        <f t="array" aca="1" ref="O541" ca="1">IFERROR(INDEX(_xlfn.ANCHORARRAY($C$3),T_CALC[[#This Row],[DAY]]+1,5),NA())</f>
        <v>1.3562000000000001</v>
      </c>
      <c r="P541" cm="1" vm="2183">
        <f t="array" aca="1" ref="P541" ca="1">IFERROR(INDEX(_xlfn.ANCHORARRAY($C$3),T_CALC[[#This Row],[DAY]]+1,6),NA())</f>
        <v>1.3577999999999999</v>
      </c>
      <c r="Q541" cm="1">
        <f t="array" aca="1" ref="Q541" ca="1">IFERROR(INDEX(_xlfn.ANCHORARRAY($C$3),T_CALC[[#This Row],[DAY]]+1,2),NA())</f>
        <v>0</v>
      </c>
    </row>
    <row r="542" spans="3:17">
      <c r="C542" vm="2950">
        <f ca="1"/>
        <v>43511</v>
      </c>
      <c r="D542">
        <f ca="1"/>
        <v>0</v>
      </c>
      <c r="E542" vm="2015">
        <f ca="1"/>
        <v>1.3573999999999999</v>
      </c>
      <c r="F542" vm="2051">
        <f ca="1"/>
        <v>1.3594999999999999</v>
      </c>
      <c r="G542" vm="2062">
        <f ca="1"/>
        <v>1.3553999999999999</v>
      </c>
      <c r="H542" vm="2012">
        <f ca="1"/>
        <v>1.3565</v>
      </c>
      <c r="K542">
        <f ca="1">IF(ROW(T_CALC[[#This Row],[DAY]])-ROW(T_CALC[[#Headers],[DAY]])&gt;C_N_TRADING_DAYS,"",ROW(T_CALC[[#This Row],[DAY]])-ROW(T_CALC[[#Headers],[DAY]]))</f>
        <v>539</v>
      </c>
      <c r="L542" cm="1" vm="2950">
        <f t="array" aca="1" ref="L542" ca="1">IFERROR(INDEX(_xlfn.ANCHORARRAY($C$3),T_CALC[[#This Row],[DAY]]+1,1),NA())</f>
        <v>43511</v>
      </c>
      <c r="M542" cm="1" vm="2015">
        <f t="array" aca="1" ref="M542" ca="1">IFERROR(INDEX(_xlfn.ANCHORARRAY($C$3),T_CALC[[#This Row],[DAY]]+1,3),NA())</f>
        <v>1.3573999999999999</v>
      </c>
      <c r="N542" cm="1" vm="2051">
        <f t="array" aca="1" ref="N542" ca="1">IFERROR(INDEX(_xlfn.ANCHORARRAY($C$3),T_CALC[[#This Row],[DAY]]+1,4),NA())</f>
        <v>1.3594999999999999</v>
      </c>
      <c r="O542" cm="1" vm="2062">
        <f t="array" aca="1" ref="O542" ca="1">IFERROR(INDEX(_xlfn.ANCHORARRAY($C$3),T_CALC[[#This Row],[DAY]]+1,5),NA())</f>
        <v>1.3553999999999999</v>
      </c>
      <c r="P542" cm="1" vm="2012">
        <f t="array" aca="1" ref="P542" ca="1">IFERROR(INDEX(_xlfn.ANCHORARRAY($C$3),T_CALC[[#This Row],[DAY]]+1,6),NA())</f>
        <v>1.3565</v>
      </c>
      <c r="Q542" cm="1">
        <f t="array" aca="1" ref="Q542" ca="1">IFERROR(INDEX(_xlfn.ANCHORARRAY($C$3),T_CALC[[#This Row],[DAY]]+1,2),NA())</f>
        <v>0</v>
      </c>
    </row>
    <row r="543" spans="3:17">
      <c r="C543" vm="2951">
        <f ca="1"/>
        <v>43514</v>
      </c>
      <c r="D543">
        <f ca="1"/>
        <v>0</v>
      </c>
      <c r="E543" vm="2012">
        <f ca="1"/>
        <v>1.3565</v>
      </c>
      <c r="F543" vm="1991">
        <f ca="1"/>
        <v>1.357</v>
      </c>
      <c r="G543" vm="2148">
        <f ca="1"/>
        <v>1.3543000000000001</v>
      </c>
      <c r="H543" vm="1998">
        <f ca="1"/>
        <v>1.3564000000000001</v>
      </c>
      <c r="K543">
        <f ca="1">IF(ROW(T_CALC[[#This Row],[DAY]])-ROW(T_CALC[[#Headers],[DAY]])&gt;C_N_TRADING_DAYS,"",ROW(T_CALC[[#This Row],[DAY]])-ROW(T_CALC[[#Headers],[DAY]]))</f>
        <v>540</v>
      </c>
      <c r="L543" cm="1" vm="2951">
        <f t="array" aca="1" ref="L543" ca="1">IFERROR(INDEX(_xlfn.ANCHORARRAY($C$3),T_CALC[[#This Row],[DAY]]+1,1),NA())</f>
        <v>43514</v>
      </c>
      <c r="M543" cm="1" vm="2012">
        <f t="array" aca="1" ref="M543" ca="1">IFERROR(INDEX(_xlfn.ANCHORARRAY($C$3),T_CALC[[#This Row],[DAY]]+1,3),NA())</f>
        <v>1.3565</v>
      </c>
      <c r="N543" cm="1" vm="1991">
        <f t="array" aca="1" ref="N543" ca="1">IFERROR(INDEX(_xlfn.ANCHORARRAY($C$3),T_CALC[[#This Row],[DAY]]+1,4),NA())</f>
        <v>1.357</v>
      </c>
      <c r="O543" cm="1" vm="2148">
        <f t="array" aca="1" ref="O543" ca="1">IFERROR(INDEX(_xlfn.ANCHORARRAY($C$3),T_CALC[[#This Row],[DAY]]+1,5),NA())</f>
        <v>1.3543000000000001</v>
      </c>
      <c r="P543" cm="1" vm="1998">
        <f t="array" aca="1" ref="P543" ca="1">IFERROR(INDEX(_xlfn.ANCHORARRAY($C$3),T_CALC[[#This Row],[DAY]]+1,6),NA())</f>
        <v>1.3564000000000001</v>
      </c>
      <c r="Q543" cm="1">
        <f t="array" aca="1" ref="Q543" ca="1">IFERROR(INDEX(_xlfn.ANCHORARRAY($C$3),T_CALC[[#This Row],[DAY]]+1,2),NA())</f>
        <v>0</v>
      </c>
    </row>
    <row r="544" spans="3:17">
      <c r="C544" vm="2952">
        <f ca="1"/>
        <v>43515</v>
      </c>
      <c r="D544">
        <f ca="1"/>
        <v>0</v>
      </c>
      <c r="E544" vm="2012">
        <f ca="1"/>
        <v>1.3565</v>
      </c>
      <c r="F544" vm="2183">
        <f ca="1"/>
        <v>1.3577999999999999</v>
      </c>
      <c r="G544" vm="2178">
        <f ca="1"/>
        <v>1.3523000000000001</v>
      </c>
      <c r="H544" vm="2172">
        <f ca="1"/>
        <v>1.3528</v>
      </c>
      <c r="K544">
        <f ca="1">IF(ROW(T_CALC[[#This Row],[DAY]])-ROW(T_CALC[[#Headers],[DAY]])&gt;C_N_TRADING_DAYS,"",ROW(T_CALC[[#This Row],[DAY]])-ROW(T_CALC[[#Headers],[DAY]]))</f>
        <v>541</v>
      </c>
      <c r="L544" cm="1" vm="2952">
        <f t="array" aca="1" ref="L544" ca="1">IFERROR(INDEX(_xlfn.ANCHORARRAY($C$3),T_CALC[[#This Row],[DAY]]+1,1),NA())</f>
        <v>43515</v>
      </c>
      <c r="M544" cm="1" vm="2012">
        <f t="array" aca="1" ref="M544" ca="1">IFERROR(INDEX(_xlfn.ANCHORARRAY($C$3),T_CALC[[#This Row],[DAY]]+1,3),NA())</f>
        <v>1.3565</v>
      </c>
      <c r="N544" cm="1" vm="2183">
        <f t="array" aca="1" ref="N544" ca="1">IFERROR(INDEX(_xlfn.ANCHORARRAY($C$3),T_CALC[[#This Row],[DAY]]+1,4),NA())</f>
        <v>1.3577999999999999</v>
      </c>
      <c r="O544" cm="1" vm="2178">
        <f t="array" aca="1" ref="O544" ca="1">IFERROR(INDEX(_xlfn.ANCHORARRAY($C$3),T_CALC[[#This Row],[DAY]]+1,5),NA())</f>
        <v>1.3523000000000001</v>
      </c>
      <c r="P544" cm="1" vm="2172">
        <f t="array" aca="1" ref="P544" ca="1">IFERROR(INDEX(_xlfn.ANCHORARRAY($C$3),T_CALC[[#This Row],[DAY]]+1,6),NA())</f>
        <v>1.3528</v>
      </c>
      <c r="Q544" cm="1">
        <f t="array" aca="1" ref="Q544" ca="1">IFERROR(INDEX(_xlfn.ANCHORARRAY($C$3),T_CALC[[#This Row],[DAY]]+1,2),NA())</f>
        <v>0</v>
      </c>
    </row>
    <row r="545" spans="3:17">
      <c r="C545" vm="2953">
        <f ca="1"/>
        <v>43516</v>
      </c>
      <c r="D545">
        <f ca="1"/>
        <v>0</v>
      </c>
      <c r="E545" vm="2088">
        <f ca="1"/>
        <v>1.3526</v>
      </c>
      <c r="F545" vm="2136">
        <f ca="1"/>
        <v>1.3532999999999999</v>
      </c>
      <c r="G545" vm="2954">
        <f ca="1"/>
        <v>1.3491</v>
      </c>
      <c r="H545" vm="2261">
        <f ca="1"/>
        <v>1.3514999999999999</v>
      </c>
      <c r="K545">
        <f ca="1">IF(ROW(T_CALC[[#This Row],[DAY]])-ROW(T_CALC[[#Headers],[DAY]])&gt;C_N_TRADING_DAYS,"",ROW(T_CALC[[#This Row],[DAY]])-ROW(T_CALC[[#Headers],[DAY]]))</f>
        <v>542</v>
      </c>
      <c r="L545" cm="1" vm="2953">
        <f t="array" aca="1" ref="L545" ca="1">IFERROR(INDEX(_xlfn.ANCHORARRAY($C$3),T_CALC[[#This Row],[DAY]]+1,1),NA())</f>
        <v>43516</v>
      </c>
      <c r="M545" cm="1" vm="2088">
        <f t="array" aca="1" ref="M545" ca="1">IFERROR(INDEX(_xlfn.ANCHORARRAY($C$3),T_CALC[[#This Row],[DAY]]+1,3),NA())</f>
        <v>1.3526</v>
      </c>
      <c r="N545" cm="1" vm="2136">
        <f t="array" aca="1" ref="N545" ca="1">IFERROR(INDEX(_xlfn.ANCHORARRAY($C$3),T_CALC[[#This Row],[DAY]]+1,4),NA())</f>
        <v>1.3532999999999999</v>
      </c>
      <c r="O545" cm="1" vm="2954">
        <f t="array" aca="1" ref="O545" ca="1">IFERROR(INDEX(_xlfn.ANCHORARRAY($C$3),T_CALC[[#This Row],[DAY]]+1,5),NA())</f>
        <v>1.3491</v>
      </c>
      <c r="P545" cm="1" vm="2261">
        <f t="array" aca="1" ref="P545" ca="1">IFERROR(INDEX(_xlfn.ANCHORARRAY($C$3),T_CALC[[#This Row],[DAY]]+1,6),NA())</f>
        <v>1.3514999999999999</v>
      </c>
      <c r="Q545" cm="1">
        <f t="array" aca="1" ref="Q545" ca="1">IFERROR(INDEX(_xlfn.ANCHORARRAY($C$3),T_CALC[[#This Row],[DAY]]+1,2),NA())</f>
        <v>0</v>
      </c>
    </row>
    <row r="546" spans="3:17">
      <c r="C546" vm="2955">
        <f ca="1"/>
        <v>43517</v>
      </c>
      <c r="D546">
        <f ca="1"/>
        <v>0</v>
      </c>
      <c r="E546" vm="2956">
        <f ca="1"/>
        <v>1.3515999999999999</v>
      </c>
      <c r="F546" vm="2920">
        <f ca="1"/>
        <v>1.3546</v>
      </c>
      <c r="G546" vm="2126">
        <f ca="1"/>
        <v>1.3495999999999999</v>
      </c>
      <c r="H546" vm="2067">
        <f ca="1"/>
        <v>1.3533999999999999</v>
      </c>
      <c r="K546">
        <f ca="1">IF(ROW(T_CALC[[#This Row],[DAY]])-ROW(T_CALC[[#Headers],[DAY]])&gt;C_N_TRADING_DAYS,"",ROW(T_CALC[[#This Row],[DAY]])-ROW(T_CALC[[#Headers],[DAY]]))</f>
        <v>543</v>
      </c>
      <c r="L546" cm="1" vm="2955">
        <f t="array" aca="1" ref="L546" ca="1">IFERROR(INDEX(_xlfn.ANCHORARRAY($C$3),T_CALC[[#This Row],[DAY]]+1,1),NA())</f>
        <v>43517</v>
      </c>
      <c r="M546" cm="1" vm="2956">
        <f t="array" aca="1" ref="M546" ca="1">IFERROR(INDEX(_xlfn.ANCHORARRAY($C$3),T_CALC[[#This Row],[DAY]]+1,3),NA())</f>
        <v>1.3515999999999999</v>
      </c>
      <c r="N546" cm="1" vm="2920">
        <f t="array" aca="1" ref="N546" ca="1">IFERROR(INDEX(_xlfn.ANCHORARRAY($C$3),T_CALC[[#This Row],[DAY]]+1,4),NA())</f>
        <v>1.3546</v>
      </c>
      <c r="O546" cm="1" vm="2126">
        <f t="array" aca="1" ref="O546" ca="1">IFERROR(INDEX(_xlfn.ANCHORARRAY($C$3),T_CALC[[#This Row],[DAY]]+1,5),NA())</f>
        <v>1.3495999999999999</v>
      </c>
      <c r="P546" cm="1" vm="2067">
        <f t="array" aca="1" ref="P546" ca="1">IFERROR(INDEX(_xlfn.ANCHORARRAY($C$3),T_CALC[[#This Row],[DAY]]+1,6),NA())</f>
        <v>1.3533999999999999</v>
      </c>
      <c r="Q546" cm="1">
        <f t="array" aca="1" ref="Q546" ca="1">IFERROR(INDEX(_xlfn.ANCHORARRAY($C$3),T_CALC[[#This Row],[DAY]]+1,2),NA())</f>
        <v>0</v>
      </c>
    </row>
    <row r="547" spans="3:17">
      <c r="C547" vm="2957">
        <f ca="1"/>
        <v>43518</v>
      </c>
      <c r="D547">
        <f ca="1"/>
        <v>0</v>
      </c>
      <c r="E547" vm="2089">
        <f ca="1"/>
        <v>1.3537999999999999</v>
      </c>
      <c r="F547" vm="1988">
        <f ca="1"/>
        <v>1.3552</v>
      </c>
      <c r="G547" vm="2146">
        <f ca="1"/>
        <v>1.3496999999999999</v>
      </c>
      <c r="H547" vm="2940">
        <f ca="1"/>
        <v>1.3509</v>
      </c>
      <c r="K547">
        <f ca="1">IF(ROW(T_CALC[[#This Row],[DAY]])-ROW(T_CALC[[#Headers],[DAY]])&gt;C_N_TRADING_DAYS,"",ROW(T_CALC[[#This Row],[DAY]])-ROW(T_CALC[[#Headers],[DAY]]))</f>
        <v>544</v>
      </c>
      <c r="L547" cm="1" vm="2957">
        <f t="array" aca="1" ref="L547" ca="1">IFERROR(INDEX(_xlfn.ANCHORARRAY($C$3),T_CALC[[#This Row],[DAY]]+1,1),NA())</f>
        <v>43518</v>
      </c>
      <c r="M547" cm="1" vm="2089">
        <f t="array" aca="1" ref="M547" ca="1">IFERROR(INDEX(_xlfn.ANCHORARRAY($C$3),T_CALC[[#This Row],[DAY]]+1,3),NA())</f>
        <v>1.3537999999999999</v>
      </c>
      <c r="N547" cm="1" vm="1988">
        <f t="array" aca="1" ref="N547" ca="1">IFERROR(INDEX(_xlfn.ANCHORARRAY($C$3),T_CALC[[#This Row],[DAY]]+1,4),NA())</f>
        <v>1.3552</v>
      </c>
      <c r="O547" cm="1" vm="2146">
        <f t="array" aca="1" ref="O547" ca="1">IFERROR(INDEX(_xlfn.ANCHORARRAY($C$3),T_CALC[[#This Row],[DAY]]+1,5),NA())</f>
        <v>1.3496999999999999</v>
      </c>
      <c r="P547" cm="1" vm="2940">
        <f t="array" aca="1" ref="P547" ca="1">IFERROR(INDEX(_xlfn.ANCHORARRAY($C$3),T_CALC[[#This Row],[DAY]]+1,6),NA())</f>
        <v>1.3509</v>
      </c>
      <c r="Q547" cm="1">
        <f t="array" aca="1" ref="Q547" ca="1">IFERROR(INDEX(_xlfn.ANCHORARRAY($C$3),T_CALC[[#This Row],[DAY]]+1,2),NA())</f>
        <v>0</v>
      </c>
    </row>
    <row r="548" spans="3:17">
      <c r="C548" vm="2958">
        <f ca="1"/>
        <v>43521</v>
      </c>
      <c r="D548">
        <f ca="1"/>
        <v>0</v>
      </c>
      <c r="E548" vm="2940">
        <f ca="1"/>
        <v>1.3509</v>
      </c>
      <c r="F548" vm="2261">
        <f ca="1"/>
        <v>1.3514999999999999</v>
      </c>
      <c r="G548" vm="2109">
        <f ca="1"/>
        <v>1.3481000000000001</v>
      </c>
      <c r="H548" vm="2137">
        <f ca="1"/>
        <v>1.3494999999999999</v>
      </c>
      <c r="K548">
        <f ca="1">IF(ROW(T_CALC[[#This Row],[DAY]])-ROW(T_CALC[[#Headers],[DAY]])&gt;C_N_TRADING_DAYS,"",ROW(T_CALC[[#This Row],[DAY]])-ROW(T_CALC[[#Headers],[DAY]]))</f>
        <v>545</v>
      </c>
      <c r="L548" cm="1" vm="2958">
        <f t="array" aca="1" ref="L548" ca="1">IFERROR(INDEX(_xlfn.ANCHORARRAY($C$3),T_CALC[[#This Row],[DAY]]+1,1),NA())</f>
        <v>43521</v>
      </c>
      <c r="M548" cm="1" vm="2940">
        <f t="array" aca="1" ref="M548" ca="1">IFERROR(INDEX(_xlfn.ANCHORARRAY($C$3),T_CALC[[#This Row],[DAY]]+1,3),NA())</f>
        <v>1.3509</v>
      </c>
      <c r="N548" cm="1" vm="2261">
        <f t="array" aca="1" ref="N548" ca="1">IFERROR(INDEX(_xlfn.ANCHORARRAY($C$3),T_CALC[[#This Row],[DAY]]+1,4),NA())</f>
        <v>1.3514999999999999</v>
      </c>
      <c r="O548" cm="1" vm="2109">
        <f t="array" aca="1" ref="O548" ca="1">IFERROR(INDEX(_xlfn.ANCHORARRAY($C$3),T_CALC[[#This Row],[DAY]]+1,5),NA())</f>
        <v>1.3481000000000001</v>
      </c>
      <c r="P548" cm="1" vm="2137">
        <f t="array" aca="1" ref="P548" ca="1">IFERROR(INDEX(_xlfn.ANCHORARRAY($C$3),T_CALC[[#This Row],[DAY]]+1,6),NA())</f>
        <v>1.3494999999999999</v>
      </c>
      <c r="Q548" cm="1">
        <f t="array" aca="1" ref="Q548" ca="1">IFERROR(INDEX(_xlfn.ANCHORARRAY($C$3),T_CALC[[#This Row],[DAY]]+1,2),NA())</f>
        <v>0</v>
      </c>
    </row>
    <row r="549" spans="3:17">
      <c r="C549" vm="2959">
        <f ca="1"/>
        <v>43522</v>
      </c>
      <c r="D549">
        <f ca="1"/>
        <v>0</v>
      </c>
      <c r="E549" vm="2146">
        <f ca="1"/>
        <v>1.3496999999999999</v>
      </c>
      <c r="F549" vm="2094">
        <f ca="1"/>
        <v>1.3508</v>
      </c>
      <c r="G549" vm="2106">
        <f ca="1"/>
        <v>1.3466</v>
      </c>
      <c r="H549" vm="2257">
        <f ca="1"/>
        <v>1.3471</v>
      </c>
      <c r="K549">
        <f ca="1">IF(ROW(T_CALC[[#This Row],[DAY]])-ROW(T_CALC[[#Headers],[DAY]])&gt;C_N_TRADING_DAYS,"",ROW(T_CALC[[#This Row],[DAY]])-ROW(T_CALC[[#Headers],[DAY]]))</f>
        <v>546</v>
      </c>
      <c r="L549" cm="1" vm="2959">
        <f t="array" aca="1" ref="L549" ca="1">IFERROR(INDEX(_xlfn.ANCHORARRAY($C$3),T_CALC[[#This Row],[DAY]]+1,1),NA())</f>
        <v>43522</v>
      </c>
      <c r="M549" cm="1" vm="2146">
        <f t="array" aca="1" ref="M549" ca="1">IFERROR(INDEX(_xlfn.ANCHORARRAY($C$3),T_CALC[[#This Row],[DAY]]+1,3),NA())</f>
        <v>1.3496999999999999</v>
      </c>
      <c r="N549" cm="1" vm="2094">
        <f t="array" aca="1" ref="N549" ca="1">IFERROR(INDEX(_xlfn.ANCHORARRAY($C$3),T_CALC[[#This Row],[DAY]]+1,4),NA())</f>
        <v>1.3508</v>
      </c>
      <c r="O549" cm="1" vm="2106">
        <f t="array" aca="1" ref="O549" ca="1">IFERROR(INDEX(_xlfn.ANCHORARRAY($C$3),T_CALC[[#This Row],[DAY]]+1,5),NA())</f>
        <v>1.3466</v>
      </c>
      <c r="P549" cm="1" vm="2257">
        <f t="array" aca="1" ref="P549" ca="1">IFERROR(INDEX(_xlfn.ANCHORARRAY($C$3),T_CALC[[#This Row],[DAY]]+1,6),NA())</f>
        <v>1.3471</v>
      </c>
      <c r="Q549" cm="1">
        <f t="array" aca="1" ref="Q549" ca="1">IFERROR(INDEX(_xlfn.ANCHORARRAY($C$3),T_CALC[[#This Row],[DAY]]+1,2),NA())</f>
        <v>0</v>
      </c>
    </row>
    <row r="550" spans="3:17">
      <c r="C550" vm="2960">
        <f ca="1"/>
        <v>43523</v>
      </c>
      <c r="D550">
        <f ca="1"/>
        <v>0</v>
      </c>
      <c r="E550" vm="2257">
        <f ca="1"/>
        <v>1.3471</v>
      </c>
      <c r="F550" vm="2267">
        <f ca="1"/>
        <v>1.3498000000000001</v>
      </c>
      <c r="G550" vm="2106">
        <f ca="1"/>
        <v>1.3466</v>
      </c>
      <c r="H550" vm="2250">
        <f ca="1"/>
        <v>1.3483000000000001</v>
      </c>
      <c r="K550">
        <f ca="1">IF(ROW(T_CALC[[#This Row],[DAY]])-ROW(T_CALC[[#Headers],[DAY]])&gt;C_N_TRADING_DAYS,"",ROW(T_CALC[[#This Row],[DAY]])-ROW(T_CALC[[#Headers],[DAY]]))</f>
        <v>547</v>
      </c>
      <c r="L550" cm="1" vm="2960">
        <f t="array" aca="1" ref="L550" ca="1">IFERROR(INDEX(_xlfn.ANCHORARRAY($C$3),T_CALC[[#This Row],[DAY]]+1,1),NA())</f>
        <v>43523</v>
      </c>
      <c r="M550" cm="1" vm="2257">
        <f t="array" aca="1" ref="M550" ca="1">IFERROR(INDEX(_xlfn.ANCHORARRAY($C$3),T_CALC[[#This Row],[DAY]]+1,3),NA())</f>
        <v>1.3471</v>
      </c>
      <c r="N550" cm="1" vm="2267">
        <f t="array" aca="1" ref="N550" ca="1">IFERROR(INDEX(_xlfn.ANCHORARRAY($C$3),T_CALC[[#This Row],[DAY]]+1,4),NA())</f>
        <v>1.3498000000000001</v>
      </c>
      <c r="O550" cm="1" vm="2106">
        <f t="array" aca="1" ref="O550" ca="1">IFERROR(INDEX(_xlfn.ANCHORARRAY($C$3),T_CALC[[#This Row],[DAY]]+1,5),NA())</f>
        <v>1.3466</v>
      </c>
      <c r="P550" cm="1" vm="2250">
        <f t="array" aca="1" ref="P550" ca="1">IFERROR(INDEX(_xlfn.ANCHORARRAY($C$3),T_CALC[[#This Row],[DAY]]+1,6),NA())</f>
        <v>1.3483000000000001</v>
      </c>
      <c r="Q550" cm="1">
        <f t="array" aca="1" ref="Q550" ca="1">IFERROR(INDEX(_xlfn.ANCHORARRAY($C$3),T_CALC[[#This Row],[DAY]]+1,2),NA())</f>
        <v>0</v>
      </c>
    </row>
    <row r="551" spans="3:17">
      <c r="C551" vm="2961">
        <f ca="1"/>
        <v>43524</v>
      </c>
      <c r="D551">
        <f ca="1"/>
        <v>0</v>
      </c>
      <c r="E551" vm="2133">
        <f ca="1"/>
        <v>1.3484</v>
      </c>
      <c r="F551" vm="2178">
        <f ca="1"/>
        <v>1.3523000000000001</v>
      </c>
      <c r="G551" vm="2253">
        <f ca="1"/>
        <v>1.3472</v>
      </c>
      <c r="H551" vm="2269">
        <f ca="1"/>
        <v>1.3519000000000001</v>
      </c>
      <c r="K551">
        <f ca="1">IF(ROW(T_CALC[[#This Row],[DAY]])-ROW(T_CALC[[#Headers],[DAY]])&gt;C_N_TRADING_DAYS,"",ROW(T_CALC[[#This Row],[DAY]])-ROW(T_CALC[[#Headers],[DAY]]))</f>
        <v>548</v>
      </c>
      <c r="L551" cm="1" vm="2961">
        <f t="array" aca="1" ref="L551" ca="1">IFERROR(INDEX(_xlfn.ANCHORARRAY($C$3),T_CALC[[#This Row],[DAY]]+1,1),NA())</f>
        <v>43524</v>
      </c>
      <c r="M551" cm="1" vm="2133">
        <f t="array" aca="1" ref="M551" ca="1">IFERROR(INDEX(_xlfn.ANCHORARRAY($C$3),T_CALC[[#This Row],[DAY]]+1,3),NA())</f>
        <v>1.3484</v>
      </c>
      <c r="N551" cm="1" vm="2178">
        <f t="array" aca="1" ref="N551" ca="1">IFERROR(INDEX(_xlfn.ANCHORARRAY($C$3),T_CALC[[#This Row],[DAY]]+1,4),NA())</f>
        <v>1.3523000000000001</v>
      </c>
      <c r="O551" cm="1" vm="2253">
        <f t="array" aca="1" ref="O551" ca="1">IFERROR(INDEX(_xlfn.ANCHORARRAY($C$3),T_CALC[[#This Row],[DAY]]+1,5),NA())</f>
        <v>1.3472</v>
      </c>
      <c r="P551" cm="1" vm="2269">
        <f t="array" aca="1" ref="P551" ca="1">IFERROR(INDEX(_xlfn.ANCHORARRAY($C$3),T_CALC[[#This Row],[DAY]]+1,6),NA())</f>
        <v>1.3519000000000001</v>
      </c>
      <c r="Q551" cm="1">
        <f t="array" aca="1" ref="Q551" ca="1">IFERROR(INDEX(_xlfn.ANCHORARRAY($C$3),T_CALC[[#This Row],[DAY]]+1,2),NA())</f>
        <v>0</v>
      </c>
    </row>
    <row r="552" spans="3:17">
      <c r="C552" vm="2962">
        <f ca="1"/>
        <v>43525</v>
      </c>
      <c r="D552">
        <f ca="1"/>
        <v>0</v>
      </c>
      <c r="E552" vm="2269">
        <f ca="1"/>
        <v>1.3519000000000001</v>
      </c>
      <c r="F552" vm="2078">
        <f ca="1"/>
        <v>1.3555999999999999</v>
      </c>
      <c r="G552" vm="2071">
        <f ca="1"/>
        <v>1.3502000000000001</v>
      </c>
      <c r="H552" vm="2017">
        <f ca="1"/>
        <v>1.3549</v>
      </c>
      <c r="K552">
        <f ca="1">IF(ROW(T_CALC[[#This Row],[DAY]])-ROW(T_CALC[[#Headers],[DAY]])&gt;C_N_TRADING_DAYS,"",ROW(T_CALC[[#This Row],[DAY]])-ROW(T_CALC[[#Headers],[DAY]]))</f>
        <v>549</v>
      </c>
      <c r="L552" cm="1" vm="2962">
        <f t="array" aca="1" ref="L552" ca="1">IFERROR(INDEX(_xlfn.ANCHORARRAY($C$3),T_CALC[[#This Row],[DAY]]+1,1),NA())</f>
        <v>43525</v>
      </c>
      <c r="M552" cm="1" vm="2269">
        <f t="array" aca="1" ref="M552" ca="1">IFERROR(INDEX(_xlfn.ANCHORARRAY($C$3),T_CALC[[#This Row],[DAY]]+1,3),NA())</f>
        <v>1.3519000000000001</v>
      </c>
      <c r="N552" cm="1" vm="2078">
        <f t="array" aca="1" ref="N552" ca="1">IFERROR(INDEX(_xlfn.ANCHORARRAY($C$3),T_CALC[[#This Row],[DAY]]+1,4),NA())</f>
        <v>1.3555999999999999</v>
      </c>
      <c r="O552" cm="1" vm="2071">
        <f t="array" aca="1" ref="O552" ca="1">IFERROR(INDEX(_xlfn.ANCHORARRAY($C$3),T_CALC[[#This Row],[DAY]]+1,5),NA())</f>
        <v>1.3502000000000001</v>
      </c>
      <c r="P552" cm="1" vm="2017">
        <f t="array" aca="1" ref="P552" ca="1">IFERROR(INDEX(_xlfn.ANCHORARRAY($C$3),T_CALC[[#This Row],[DAY]]+1,6),NA())</f>
        <v>1.3549</v>
      </c>
      <c r="Q552" cm="1">
        <f t="array" aca="1" ref="Q552" ca="1">IFERROR(INDEX(_xlfn.ANCHORARRAY($C$3),T_CALC[[#This Row],[DAY]]+1,2),NA())</f>
        <v>0</v>
      </c>
    </row>
    <row r="553" spans="3:17">
      <c r="C553" vm="2963">
        <f ca="1"/>
        <v>43528</v>
      </c>
      <c r="D553">
        <f ca="1"/>
        <v>0</v>
      </c>
      <c r="E553" vm="2017">
        <f ca="1"/>
        <v>1.3549</v>
      </c>
      <c r="F553" vm="2170">
        <f ca="1"/>
        <v>1.3559000000000001</v>
      </c>
      <c r="G553" vm="2964">
        <f ca="1"/>
        <v>1.3522000000000001</v>
      </c>
      <c r="H553" vm="2965">
        <f ca="1"/>
        <v>1.3544</v>
      </c>
      <c r="K553">
        <f ca="1">IF(ROW(T_CALC[[#This Row],[DAY]])-ROW(T_CALC[[#Headers],[DAY]])&gt;C_N_TRADING_DAYS,"",ROW(T_CALC[[#This Row],[DAY]])-ROW(T_CALC[[#Headers],[DAY]]))</f>
        <v>550</v>
      </c>
      <c r="L553" cm="1" vm="2963">
        <f t="array" aca="1" ref="L553" ca="1">IFERROR(INDEX(_xlfn.ANCHORARRAY($C$3),T_CALC[[#This Row],[DAY]]+1,1),NA())</f>
        <v>43528</v>
      </c>
      <c r="M553" cm="1" vm="2017">
        <f t="array" aca="1" ref="M553" ca="1">IFERROR(INDEX(_xlfn.ANCHORARRAY($C$3),T_CALC[[#This Row],[DAY]]+1,3),NA())</f>
        <v>1.3549</v>
      </c>
      <c r="N553" cm="1" vm="2170">
        <f t="array" aca="1" ref="N553" ca="1">IFERROR(INDEX(_xlfn.ANCHORARRAY($C$3),T_CALC[[#This Row],[DAY]]+1,4),NA())</f>
        <v>1.3559000000000001</v>
      </c>
      <c r="O553" cm="1" vm="2964">
        <f t="array" aca="1" ref="O553" ca="1">IFERROR(INDEX(_xlfn.ANCHORARRAY($C$3),T_CALC[[#This Row],[DAY]]+1,5),NA())</f>
        <v>1.3522000000000001</v>
      </c>
      <c r="P553" cm="1" vm="2965">
        <f t="array" aca="1" ref="P553" ca="1">IFERROR(INDEX(_xlfn.ANCHORARRAY($C$3),T_CALC[[#This Row],[DAY]]+1,6),NA())</f>
        <v>1.3544</v>
      </c>
      <c r="Q553" cm="1">
        <f t="array" aca="1" ref="Q553" ca="1">IFERROR(INDEX(_xlfn.ANCHORARRAY($C$3),T_CALC[[#This Row],[DAY]]+1,2),NA())</f>
        <v>0</v>
      </c>
    </row>
    <row r="554" spans="3:17">
      <c r="C554" vm="2966">
        <f ca="1"/>
        <v>43529</v>
      </c>
      <c r="D554">
        <f ca="1"/>
        <v>0</v>
      </c>
      <c r="E554" vm="2061">
        <f ca="1"/>
        <v>1.3547</v>
      </c>
      <c r="F554" vm="2000">
        <f ca="1"/>
        <v>1.3569</v>
      </c>
      <c r="G554" vm="2007">
        <f ca="1"/>
        <v>1.3536999999999999</v>
      </c>
      <c r="H554" vm="2062">
        <f ca="1"/>
        <v>1.3553999999999999</v>
      </c>
      <c r="K554">
        <f ca="1">IF(ROW(T_CALC[[#This Row],[DAY]])-ROW(T_CALC[[#Headers],[DAY]])&gt;C_N_TRADING_DAYS,"",ROW(T_CALC[[#This Row],[DAY]])-ROW(T_CALC[[#Headers],[DAY]]))</f>
        <v>551</v>
      </c>
      <c r="L554" cm="1" vm="2966">
        <f t="array" aca="1" ref="L554" ca="1">IFERROR(INDEX(_xlfn.ANCHORARRAY($C$3),T_CALC[[#This Row],[DAY]]+1,1),NA())</f>
        <v>43529</v>
      </c>
      <c r="M554" cm="1" vm="2061">
        <f t="array" aca="1" ref="M554" ca="1">IFERROR(INDEX(_xlfn.ANCHORARRAY($C$3),T_CALC[[#This Row],[DAY]]+1,3),NA())</f>
        <v>1.3547</v>
      </c>
      <c r="N554" cm="1" vm="2000">
        <f t="array" aca="1" ref="N554" ca="1">IFERROR(INDEX(_xlfn.ANCHORARRAY($C$3),T_CALC[[#This Row],[DAY]]+1,4),NA())</f>
        <v>1.3569</v>
      </c>
      <c r="O554" cm="1" vm="2007">
        <f t="array" aca="1" ref="O554" ca="1">IFERROR(INDEX(_xlfn.ANCHORARRAY($C$3),T_CALC[[#This Row],[DAY]]+1,5),NA())</f>
        <v>1.3536999999999999</v>
      </c>
      <c r="P554" cm="1" vm="2062">
        <f t="array" aca="1" ref="P554" ca="1">IFERROR(INDEX(_xlfn.ANCHORARRAY($C$3),T_CALC[[#This Row],[DAY]]+1,6),NA())</f>
        <v>1.3553999999999999</v>
      </c>
      <c r="Q554" cm="1">
        <f t="array" aca="1" ref="Q554" ca="1">IFERROR(INDEX(_xlfn.ANCHORARRAY($C$3),T_CALC[[#This Row],[DAY]]+1,2),NA())</f>
        <v>0</v>
      </c>
    </row>
    <row r="555" spans="3:17">
      <c r="C555" vm="2967">
        <f ca="1"/>
        <v>43530</v>
      </c>
      <c r="D555">
        <f ca="1"/>
        <v>0</v>
      </c>
      <c r="E555" vm="2062">
        <f ca="1"/>
        <v>1.3553999999999999</v>
      </c>
      <c r="F555" vm="2006">
        <f ca="1"/>
        <v>1.3585</v>
      </c>
      <c r="G555" vm="2153">
        <f ca="1"/>
        <v>1.3551</v>
      </c>
      <c r="H555" vm="2081">
        <f ca="1"/>
        <v>1.3573</v>
      </c>
      <c r="K555">
        <f ca="1">IF(ROW(T_CALC[[#This Row],[DAY]])-ROW(T_CALC[[#Headers],[DAY]])&gt;C_N_TRADING_DAYS,"",ROW(T_CALC[[#This Row],[DAY]])-ROW(T_CALC[[#Headers],[DAY]]))</f>
        <v>552</v>
      </c>
      <c r="L555" cm="1" vm="2967">
        <f t="array" aca="1" ref="L555" ca="1">IFERROR(INDEX(_xlfn.ANCHORARRAY($C$3),T_CALC[[#This Row],[DAY]]+1,1),NA())</f>
        <v>43530</v>
      </c>
      <c r="M555" cm="1" vm="2062">
        <f t="array" aca="1" ref="M555" ca="1">IFERROR(INDEX(_xlfn.ANCHORARRAY($C$3),T_CALC[[#This Row],[DAY]]+1,3),NA())</f>
        <v>1.3553999999999999</v>
      </c>
      <c r="N555" cm="1" vm="2006">
        <f t="array" aca="1" ref="N555" ca="1">IFERROR(INDEX(_xlfn.ANCHORARRAY($C$3),T_CALC[[#This Row],[DAY]]+1,4),NA())</f>
        <v>1.3585</v>
      </c>
      <c r="O555" cm="1" vm="2153">
        <f t="array" aca="1" ref="O555" ca="1">IFERROR(INDEX(_xlfn.ANCHORARRAY($C$3),T_CALC[[#This Row],[DAY]]+1,5),NA())</f>
        <v>1.3551</v>
      </c>
      <c r="P555" cm="1" vm="2081">
        <f t="array" aca="1" ref="P555" ca="1">IFERROR(INDEX(_xlfn.ANCHORARRAY($C$3),T_CALC[[#This Row],[DAY]]+1,6),NA())</f>
        <v>1.3573</v>
      </c>
      <c r="Q555" cm="1">
        <f t="array" aca="1" ref="Q555" ca="1">IFERROR(INDEX(_xlfn.ANCHORARRAY($C$3),T_CALC[[#This Row],[DAY]]+1,2),NA())</f>
        <v>0</v>
      </c>
    </row>
    <row r="556" spans="3:17">
      <c r="C556" vm="2968">
        <f ca="1"/>
        <v>43531</v>
      </c>
      <c r="D556">
        <f ca="1"/>
        <v>0</v>
      </c>
      <c r="E556" vm="2154">
        <f ca="1"/>
        <v>1.3572</v>
      </c>
      <c r="F556" vm="2011">
        <f ca="1"/>
        <v>1.3611</v>
      </c>
      <c r="G556" vm="2916">
        <f ca="1"/>
        <v>1.3560000000000001</v>
      </c>
      <c r="H556" vm="2018">
        <f ca="1"/>
        <v>1.3606</v>
      </c>
      <c r="K556">
        <f ca="1">IF(ROW(T_CALC[[#This Row],[DAY]])-ROW(T_CALC[[#Headers],[DAY]])&gt;C_N_TRADING_DAYS,"",ROW(T_CALC[[#This Row],[DAY]])-ROW(T_CALC[[#Headers],[DAY]]))</f>
        <v>553</v>
      </c>
      <c r="L556" cm="1" vm="2968">
        <f t="array" aca="1" ref="L556" ca="1">IFERROR(INDEX(_xlfn.ANCHORARRAY($C$3),T_CALC[[#This Row],[DAY]]+1,1),NA())</f>
        <v>43531</v>
      </c>
      <c r="M556" cm="1" vm="2154">
        <f t="array" aca="1" ref="M556" ca="1">IFERROR(INDEX(_xlfn.ANCHORARRAY($C$3),T_CALC[[#This Row],[DAY]]+1,3),NA())</f>
        <v>1.3572</v>
      </c>
      <c r="N556" cm="1" vm="2011">
        <f t="array" aca="1" ref="N556" ca="1">IFERROR(INDEX(_xlfn.ANCHORARRAY($C$3),T_CALC[[#This Row],[DAY]]+1,4),NA())</f>
        <v>1.3611</v>
      </c>
      <c r="O556" cm="1" vm="2916">
        <f t="array" aca="1" ref="O556" ca="1">IFERROR(INDEX(_xlfn.ANCHORARRAY($C$3),T_CALC[[#This Row],[DAY]]+1,5),NA())</f>
        <v>1.3560000000000001</v>
      </c>
      <c r="P556" cm="1" vm="2018">
        <f t="array" aca="1" ref="P556" ca="1">IFERROR(INDEX(_xlfn.ANCHORARRAY($C$3),T_CALC[[#This Row],[DAY]]+1,6),NA())</f>
        <v>1.3606</v>
      </c>
      <c r="Q556" cm="1">
        <f t="array" aca="1" ref="Q556" ca="1">IFERROR(INDEX(_xlfn.ANCHORARRAY($C$3),T_CALC[[#This Row],[DAY]]+1,2),NA())</f>
        <v>0</v>
      </c>
    </row>
    <row r="557" spans="3:17">
      <c r="C557" vm="2969">
        <f ca="1"/>
        <v>43532</v>
      </c>
      <c r="D557">
        <f ca="1"/>
        <v>0</v>
      </c>
      <c r="E557" vm="2036">
        <f ca="1"/>
        <v>1.3604000000000001</v>
      </c>
      <c r="F557" vm="1996">
        <f ca="1"/>
        <v>1.3613999999999999</v>
      </c>
      <c r="G557" vm="2008">
        <f ca="1"/>
        <v>1.3574999999999999</v>
      </c>
      <c r="H557" vm="2013">
        <f ca="1"/>
        <v>1.3588</v>
      </c>
      <c r="K557">
        <f ca="1">IF(ROW(T_CALC[[#This Row],[DAY]])-ROW(T_CALC[[#Headers],[DAY]])&gt;C_N_TRADING_DAYS,"",ROW(T_CALC[[#This Row],[DAY]])-ROW(T_CALC[[#Headers],[DAY]]))</f>
        <v>554</v>
      </c>
      <c r="L557" cm="1" vm="2969">
        <f t="array" aca="1" ref="L557" ca="1">IFERROR(INDEX(_xlfn.ANCHORARRAY($C$3),T_CALC[[#This Row],[DAY]]+1,1),NA())</f>
        <v>43532</v>
      </c>
      <c r="M557" cm="1" vm="2036">
        <f t="array" aca="1" ref="M557" ca="1">IFERROR(INDEX(_xlfn.ANCHORARRAY($C$3),T_CALC[[#This Row],[DAY]]+1,3),NA())</f>
        <v>1.3604000000000001</v>
      </c>
      <c r="N557" cm="1" vm="1996">
        <f t="array" aca="1" ref="N557" ca="1">IFERROR(INDEX(_xlfn.ANCHORARRAY($C$3),T_CALC[[#This Row],[DAY]]+1,4),NA())</f>
        <v>1.3613999999999999</v>
      </c>
      <c r="O557" cm="1" vm="2008">
        <f t="array" aca="1" ref="O557" ca="1">IFERROR(INDEX(_xlfn.ANCHORARRAY($C$3),T_CALC[[#This Row],[DAY]]+1,5),NA())</f>
        <v>1.3574999999999999</v>
      </c>
      <c r="P557" cm="1" vm="2013">
        <f t="array" aca="1" ref="P557" ca="1">IFERROR(INDEX(_xlfn.ANCHORARRAY($C$3),T_CALC[[#This Row],[DAY]]+1,6),NA())</f>
        <v>1.3588</v>
      </c>
      <c r="Q557" cm="1">
        <f t="array" aca="1" ref="Q557" ca="1">IFERROR(INDEX(_xlfn.ANCHORARRAY($C$3),T_CALC[[#This Row],[DAY]]+1,2),NA())</f>
        <v>0</v>
      </c>
    </row>
    <row r="558" spans="3:17">
      <c r="C558" vm="2970">
        <f ca="1"/>
        <v>43535</v>
      </c>
      <c r="D558">
        <f ca="1"/>
        <v>0</v>
      </c>
      <c r="E558" vm="2006">
        <f ca="1"/>
        <v>1.3585</v>
      </c>
      <c r="F558" vm="2216">
        <f ca="1"/>
        <v>1.36</v>
      </c>
      <c r="G558" vm="2081">
        <f ca="1"/>
        <v>1.3573</v>
      </c>
      <c r="H558" vm="2183">
        <f ca="1"/>
        <v>1.3577999999999999</v>
      </c>
      <c r="K558">
        <f ca="1">IF(ROW(T_CALC[[#This Row],[DAY]])-ROW(T_CALC[[#Headers],[DAY]])&gt;C_N_TRADING_DAYS,"",ROW(T_CALC[[#This Row],[DAY]])-ROW(T_CALC[[#Headers],[DAY]]))</f>
        <v>555</v>
      </c>
      <c r="L558" cm="1" vm="2970">
        <f t="array" aca="1" ref="L558" ca="1">IFERROR(INDEX(_xlfn.ANCHORARRAY($C$3),T_CALC[[#This Row],[DAY]]+1,1),NA())</f>
        <v>43535</v>
      </c>
      <c r="M558" cm="1" vm="2006">
        <f t="array" aca="1" ref="M558" ca="1">IFERROR(INDEX(_xlfn.ANCHORARRAY($C$3),T_CALC[[#This Row],[DAY]]+1,3),NA())</f>
        <v>1.3585</v>
      </c>
      <c r="N558" cm="1" vm="2216">
        <f t="array" aca="1" ref="N558" ca="1">IFERROR(INDEX(_xlfn.ANCHORARRAY($C$3),T_CALC[[#This Row],[DAY]]+1,4),NA())</f>
        <v>1.36</v>
      </c>
      <c r="O558" cm="1" vm="2081">
        <f t="array" aca="1" ref="O558" ca="1">IFERROR(INDEX(_xlfn.ANCHORARRAY($C$3),T_CALC[[#This Row],[DAY]]+1,5),NA())</f>
        <v>1.3573</v>
      </c>
      <c r="P558" cm="1" vm="2183">
        <f t="array" aca="1" ref="P558" ca="1">IFERROR(INDEX(_xlfn.ANCHORARRAY($C$3),T_CALC[[#This Row],[DAY]]+1,6),NA())</f>
        <v>1.3577999999999999</v>
      </c>
      <c r="Q558" cm="1">
        <f t="array" aca="1" ref="Q558" ca="1">IFERROR(INDEX(_xlfn.ANCHORARRAY($C$3),T_CALC[[#This Row],[DAY]]+1,2),NA())</f>
        <v>0</v>
      </c>
    </row>
    <row r="559" spans="3:17">
      <c r="C559" vm="2971">
        <f ca="1"/>
        <v>43536</v>
      </c>
      <c r="D559">
        <f ca="1"/>
        <v>0</v>
      </c>
      <c r="E559" vm="2010">
        <f ca="1"/>
        <v>1.3576999999999999</v>
      </c>
      <c r="F559" vm="2231">
        <f ca="1"/>
        <v>1.3579000000000001</v>
      </c>
      <c r="G559" vm="2061">
        <f ca="1"/>
        <v>1.3547</v>
      </c>
      <c r="H559" vm="2930">
        <f ca="1"/>
        <v>1.3556999999999999</v>
      </c>
      <c r="K559">
        <f ca="1">IF(ROW(T_CALC[[#This Row],[DAY]])-ROW(T_CALC[[#Headers],[DAY]])&gt;C_N_TRADING_DAYS,"",ROW(T_CALC[[#This Row],[DAY]])-ROW(T_CALC[[#Headers],[DAY]]))</f>
        <v>556</v>
      </c>
      <c r="L559" cm="1" vm="2971">
        <f t="array" aca="1" ref="L559" ca="1">IFERROR(INDEX(_xlfn.ANCHORARRAY($C$3),T_CALC[[#This Row],[DAY]]+1,1),NA())</f>
        <v>43536</v>
      </c>
      <c r="M559" cm="1" vm="2010">
        <f t="array" aca="1" ref="M559" ca="1">IFERROR(INDEX(_xlfn.ANCHORARRAY($C$3),T_CALC[[#This Row],[DAY]]+1,3),NA())</f>
        <v>1.3576999999999999</v>
      </c>
      <c r="N559" cm="1" vm="2231">
        <f t="array" aca="1" ref="N559" ca="1">IFERROR(INDEX(_xlfn.ANCHORARRAY($C$3),T_CALC[[#This Row],[DAY]]+1,4),NA())</f>
        <v>1.3579000000000001</v>
      </c>
      <c r="O559" cm="1" vm="2061">
        <f t="array" aca="1" ref="O559" ca="1">IFERROR(INDEX(_xlfn.ANCHORARRAY($C$3),T_CALC[[#This Row],[DAY]]+1,5),NA())</f>
        <v>1.3547</v>
      </c>
      <c r="P559" cm="1" vm="2930">
        <f t="array" aca="1" ref="P559" ca="1">IFERROR(INDEX(_xlfn.ANCHORARRAY($C$3),T_CALC[[#This Row],[DAY]]+1,6),NA())</f>
        <v>1.3556999999999999</v>
      </c>
      <c r="Q559" cm="1">
        <f t="array" aca="1" ref="Q559" ca="1">IFERROR(INDEX(_xlfn.ANCHORARRAY($C$3),T_CALC[[#This Row],[DAY]]+1,2),NA())</f>
        <v>0</v>
      </c>
    </row>
    <row r="560" spans="3:17">
      <c r="C560" vm="2972">
        <f ca="1"/>
        <v>43537</v>
      </c>
      <c r="D560">
        <f ca="1"/>
        <v>0</v>
      </c>
      <c r="E560" vm="2078">
        <f ca="1"/>
        <v>1.3555999999999999</v>
      </c>
      <c r="F560" vm="1991">
        <f ca="1"/>
        <v>1.357</v>
      </c>
      <c r="G560" vm="2132">
        <f ca="1"/>
        <v>1.3516999999999999</v>
      </c>
      <c r="H560" vm="2176">
        <f ca="1"/>
        <v>1.3521000000000001</v>
      </c>
      <c r="K560">
        <f ca="1">IF(ROW(T_CALC[[#This Row],[DAY]])-ROW(T_CALC[[#Headers],[DAY]])&gt;C_N_TRADING_DAYS,"",ROW(T_CALC[[#This Row],[DAY]])-ROW(T_CALC[[#Headers],[DAY]]))</f>
        <v>557</v>
      </c>
      <c r="L560" cm="1" vm="2972">
        <f t="array" aca="1" ref="L560" ca="1">IFERROR(INDEX(_xlfn.ANCHORARRAY($C$3),T_CALC[[#This Row],[DAY]]+1,1),NA())</f>
        <v>43537</v>
      </c>
      <c r="M560" cm="1" vm="2078">
        <f t="array" aca="1" ref="M560" ca="1">IFERROR(INDEX(_xlfn.ANCHORARRAY($C$3),T_CALC[[#This Row],[DAY]]+1,3),NA())</f>
        <v>1.3555999999999999</v>
      </c>
      <c r="N560" cm="1" vm="1991">
        <f t="array" aca="1" ref="N560" ca="1">IFERROR(INDEX(_xlfn.ANCHORARRAY($C$3),T_CALC[[#This Row],[DAY]]+1,4),NA())</f>
        <v>1.357</v>
      </c>
      <c r="O560" cm="1" vm="2132">
        <f t="array" aca="1" ref="O560" ca="1">IFERROR(INDEX(_xlfn.ANCHORARRAY($C$3),T_CALC[[#This Row],[DAY]]+1,5),NA())</f>
        <v>1.3516999999999999</v>
      </c>
      <c r="P560" cm="1" vm="2176">
        <f t="array" aca="1" ref="P560" ca="1">IFERROR(INDEX(_xlfn.ANCHORARRAY($C$3),T_CALC[[#This Row],[DAY]]+1,6),NA())</f>
        <v>1.3521000000000001</v>
      </c>
      <c r="Q560" cm="1">
        <f t="array" aca="1" ref="Q560" ca="1">IFERROR(INDEX(_xlfn.ANCHORARRAY($C$3),T_CALC[[#This Row],[DAY]]+1,2),NA())</f>
        <v>0</v>
      </c>
    </row>
    <row r="561" spans="3:17">
      <c r="C561" vm="2973">
        <f ca="1"/>
        <v>43538</v>
      </c>
      <c r="D561">
        <f ca="1"/>
        <v>0</v>
      </c>
      <c r="E561" vm="2176">
        <f ca="1"/>
        <v>1.3521000000000001</v>
      </c>
      <c r="F561" vm="1989">
        <f ca="1"/>
        <v>1.3571</v>
      </c>
      <c r="G561" vm="2132">
        <f ca="1"/>
        <v>1.3516999999999999</v>
      </c>
      <c r="H561" vm="2078">
        <f ca="1"/>
        <v>1.3555999999999999</v>
      </c>
      <c r="K561">
        <f ca="1">IF(ROW(T_CALC[[#This Row],[DAY]])-ROW(T_CALC[[#Headers],[DAY]])&gt;C_N_TRADING_DAYS,"",ROW(T_CALC[[#This Row],[DAY]])-ROW(T_CALC[[#Headers],[DAY]]))</f>
        <v>558</v>
      </c>
      <c r="L561" cm="1" vm="2973">
        <f t="array" aca="1" ref="L561" ca="1">IFERROR(INDEX(_xlfn.ANCHORARRAY($C$3),T_CALC[[#This Row],[DAY]]+1,1),NA())</f>
        <v>43538</v>
      </c>
      <c r="M561" cm="1" vm="2176">
        <f t="array" aca="1" ref="M561" ca="1">IFERROR(INDEX(_xlfn.ANCHORARRAY($C$3),T_CALC[[#This Row],[DAY]]+1,3),NA())</f>
        <v>1.3521000000000001</v>
      </c>
      <c r="N561" cm="1" vm="1989">
        <f t="array" aca="1" ref="N561" ca="1">IFERROR(INDEX(_xlfn.ANCHORARRAY($C$3),T_CALC[[#This Row],[DAY]]+1,4),NA())</f>
        <v>1.3571</v>
      </c>
      <c r="O561" cm="1" vm="2132">
        <f t="array" aca="1" ref="O561" ca="1">IFERROR(INDEX(_xlfn.ANCHORARRAY($C$3),T_CALC[[#This Row],[DAY]]+1,5),NA())</f>
        <v>1.3516999999999999</v>
      </c>
      <c r="P561" cm="1" vm="2078">
        <f t="array" aca="1" ref="P561" ca="1">IFERROR(INDEX(_xlfn.ANCHORARRAY($C$3),T_CALC[[#This Row],[DAY]]+1,6),NA())</f>
        <v>1.3555999999999999</v>
      </c>
      <c r="Q561" cm="1">
        <f t="array" aca="1" ref="Q561" ca="1">IFERROR(INDEX(_xlfn.ANCHORARRAY($C$3),T_CALC[[#This Row],[DAY]]+1,2),NA())</f>
        <v>0</v>
      </c>
    </row>
    <row r="562" spans="3:17">
      <c r="C562" vm="2974">
        <f ca="1"/>
        <v>43539</v>
      </c>
      <c r="D562">
        <f ca="1"/>
        <v>0</v>
      </c>
      <c r="E562" vm="2078">
        <f ca="1"/>
        <v>1.3555999999999999</v>
      </c>
      <c r="F562" vm="2225">
        <f ca="1"/>
        <v>1.3561000000000001</v>
      </c>
      <c r="G562" vm="2269">
        <f ca="1"/>
        <v>1.3519000000000001</v>
      </c>
      <c r="H562" vm="2178">
        <f ca="1"/>
        <v>1.3523000000000001</v>
      </c>
      <c r="K562">
        <f ca="1">IF(ROW(T_CALC[[#This Row],[DAY]])-ROW(T_CALC[[#Headers],[DAY]])&gt;C_N_TRADING_DAYS,"",ROW(T_CALC[[#This Row],[DAY]])-ROW(T_CALC[[#Headers],[DAY]]))</f>
        <v>559</v>
      </c>
      <c r="L562" cm="1" vm="2974">
        <f t="array" aca="1" ref="L562" ca="1">IFERROR(INDEX(_xlfn.ANCHORARRAY($C$3),T_CALC[[#This Row],[DAY]]+1,1),NA())</f>
        <v>43539</v>
      </c>
      <c r="M562" cm="1" vm="2078">
        <f t="array" aca="1" ref="M562" ca="1">IFERROR(INDEX(_xlfn.ANCHORARRAY($C$3),T_CALC[[#This Row],[DAY]]+1,3),NA())</f>
        <v>1.3555999999999999</v>
      </c>
      <c r="N562" cm="1" vm="2225">
        <f t="array" aca="1" ref="N562" ca="1">IFERROR(INDEX(_xlfn.ANCHORARRAY($C$3),T_CALC[[#This Row],[DAY]]+1,4),NA())</f>
        <v>1.3561000000000001</v>
      </c>
      <c r="O562" cm="1" vm="2269">
        <f t="array" aca="1" ref="O562" ca="1">IFERROR(INDEX(_xlfn.ANCHORARRAY($C$3),T_CALC[[#This Row],[DAY]]+1,5),NA())</f>
        <v>1.3519000000000001</v>
      </c>
      <c r="P562" cm="1" vm="2178">
        <f t="array" aca="1" ref="P562" ca="1">IFERROR(INDEX(_xlfn.ANCHORARRAY($C$3),T_CALC[[#This Row],[DAY]]+1,6),NA())</f>
        <v>1.3523000000000001</v>
      </c>
      <c r="Q562" cm="1">
        <f t="array" aca="1" ref="Q562" ca="1">IFERROR(INDEX(_xlfn.ANCHORARRAY($C$3),T_CALC[[#This Row],[DAY]]+1,2),NA())</f>
        <v>0</v>
      </c>
    </row>
    <row r="563" spans="3:17">
      <c r="C563" vm="2975">
        <f ca="1"/>
        <v>43542</v>
      </c>
      <c r="D563">
        <f ca="1"/>
        <v>0</v>
      </c>
      <c r="E563" vm="2265">
        <f ca="1"/>
        <v>1.3520000000000001</v>
      </c>
      <c r="F563" vm="2067">
        <f ca="1"/>
        <v>1.3533999999999999</v>
      </c>
      <c r="G563" vm="2175">
        <f ca="1"/>
        <v>1.3504</v>
      </c>
      <c r="H563" vm="2940">
        <f ca="1"/>
        <v>1.3509</v>
      </c>
      <c r="K563">
        <f ca="1">IF(ROW(T_CALC[[#This Row],[DAY]])-ROW(T_CALC[[#Headers],[DAY]])&gt;C_N_TRADING_DAYS,"",ROW(T_CALC[[#This Row],[DAY]])-ROW(T_CALC[[#Headers],[DAY]]))</f>
        <v>560</v>
      </c>
      <c r="L563" cm="1" vm="2975">
        <f t="array" aca="1" ref="L563" ca="1">IFERROR(INDEX(_xlfn.ANCHORARRAY($C$3),T_CALC[[#This Row],[DAY]]+1,1),NA())</f>
        <v>43542</v>
      </c>
      <c r="M563" cm="1" vm="2265">
        <f t="array" aca="1" ref="M563" ca="1">IFERROR(INDEX(_xlfn.ANCHORARRAY($C$3),T_CALC[[#This Row],[DAY]]+1,3),NA())</f>
        <v>1.3520000000000001</v>
      </c>
      <c r="N563" cm="1" vm="2067">
        <f t="array" aca="1" ref="N563" ca="1">IFERROR(INDEX(_xlfn.ANCHORARRAY($C$3),T_CALC[[#This Row],[DAY]]+1,4),NA())</f>
        <v>1.3533999999999999</v>
      </c>
      <c r="O563" cm="1" vm="2175">
        <f t="array" aca="1" ref="O563" ca="1">IFERROR(INDEX(_xlfn.ANCHORARRAY($C$3),T_CALC[[#This Row],[DAY]]+1,5),NA())</f>
        <v>1.3504</v>
      </c>
      <c r="P563" cm="1" vm="2940">
        <f t="array" aca="1" ref="P563" ca="1">IFERROR(INDEX(_xlfn.ANCHORARRAY($C$3),T_CALC[[#This Row],[DAY]]+1,6),NA())</f>
        <v>1.3509</v>
      </c>
      <c r="Q563" cm="1">
        <f t="array" aca="1" ref="Q563" ca="1">IFERROR(INDEX(_xlfn.ANCHORARRAY($C$3),T_CALC[[#This Row],[DAY]]+1,2),NA())</f>
        <v>0</v>
      </c>
    </row>
    <row r="564" spans="3:17">
      <c r="C564" vm="2976">
        <f ca="1"/>
        <v>43543</v>
      </c>
      <c r="D564">
        <f ca="1"/>
        <v>0</v>
      </c>
      <c r="E564" vm="2086">
        <f ca="1"/>
        <v>1.351</v>
      </c>
      <c r="F564" vm="2663">
        <f ca="1"/>
        <v>1.3517999999999999</v>
      </c>
      <c r="G564" vm="2093">
        <f ca="1"/>
        <v>1.3499000000000001</v>
      </c>
      <c r="H564" vm="2940">
        <f ca="1"/>
        <v>1.3509</v>
      </c>
      <c r="K564">
        <f ca="1">IF(ROW(T_CALC[[#This Row],[DAY]])-ROW(T_CALC[[#Headers],[DAY]])&gt;C_N_TRADING_DAYS,"",ROW(T_CALC[[#This Row],[DAY]])-ROW(T_CALC[[#Headers],[DAY]]))</f>
        <v>561</v>
      </c>
      <c r="L564" cm="1" vm="2976">
        <f t="array" aca="1" ref="L564" ca="1">IFERROR(INDEX(_xlfn.ANCHORARRAY($C$3),T_CALC[[#This Row],[DAY]]+1,1),NA())</f>
        <v>43543</v>
      </c>
      <c r="M564" cm="1" vm="2086">
        <f t="array" aca="1" ref="M564" ca="1">IFERROR(INDEX(_xlfn.ANCHORARRAY($C$3),T_CALC[[#This Row],[DAY]]+1,3),NA())</f>
        <v>1.351</v>
      </c>
      <c r="N564" cm="1" vm="2663">
        <f t="array" aca="1" ref="N564" ca="1">IFERROR(INDEX(_xlfn.ANCHORARRAY($C$3),T_CALC[[#This Row],[DAY]]+1,4),NA())</f>
        <v>1.3517999999999999</v>
      </c>
      <c r="O564" cm="1" vm="2093">
        <f t="array" aca="1" ref="O564" ca="1">IFERROR(INDEX(_xlfn.ANCHORARRAY($C$3),T_CALC[[#This Row],[DAY]]+1,5),NA())</f>
        <v>1.3499000000000001</v>
      </c>
      <c r="P564" cm="1" vm="2940">
        <f t="array" aca="1" ref="P564" ca="1">IFERROR(INDEX(_xlfn.ANCHORARRAY($C$3),T_CALC[[#This Row],[DAY]]+1,6),NA())</f>
        <v>1.3509</v>
      </c>
      <c r="Q564" cm="1">
        <f t="array" aca="1" ref="Q564" ca="1">IFERROR(INDEX(_xlfn.ANCHORARRAY($C$3),T_CALC[[#This Row],[DAY]]+1,2),NA())</f>
        <v>0</v>
      </c>
    </row>
    <row r="565" spans="3:17">
      <c r="C565" vm="2977">
        <f ca="1"/>
        <v>43544</v>
      </c>
      <c r="D565">
        <f ca="1"/>
        <v>0</v>
      </c>
      <c r="E565" vm="2114">
        <f ca="1"/>
        <v>1.3512999999999999</v>
      </c>
      <c r="F565" vm="2172">
        <f ca="1"/>
        <v>1.3528</v>
      </c>
      <c r="G565" vm="2143">
        <f ca="1"/>
        <v>1.3452999999999999</v>
      </c>
      <c r="H565" vm="2113">
        <f ca="1"/>
        <v>1.3468</v>
      </c>
      <c r="K565">
        <f ca="1">IF(ROW(T_CALC[[#This Row],[DAY]])-ROW(T_CALC[[#Headers],[DAY]])&gt;C_N_TRADING_DAYS,"",ROW(T_CALC[[#This Row],[DAY]])-ROW(T_CALC[[#Headers],[DAY]]))</f>
        <v>562</v>
      </c>
      <c r="L565" cm="1" vm="2977">
        <f t="array" aca="1" ref="L565" ca="1">IFERROR(INDEX(_xlfn.ANCHORARRAY($C$3),T_CALC[[#This Row],[DAY]]+1,1),NA())</f>
        <v>43544</v>
      </c>
      <c r="M565" cm="1" vm="2114">
        <f t="array" aca="1" ref="M565" ca="1">IFERROR(INDEX(_xlfn.ANCHORARRAY($C$3),T_CALC[[#This Row],[DAY]]+1,3),NA())</f>
        <v>1.3512999999999999</v>
      </c>
      <c r="N565" cm="1" vm="2172">
        <f t="array" aca="1" ref="N565" ca="1">IFERROR(INDEX(_xlfn.ANCHORARRAY($C$3),T_CALC[[#This Row],[DAY]]+1,4),NA())</f>
        <v>1.3528</v>
      </c>
      <c r="O565" cm="1" vm="2143">
        <f t="array" aca="1" ref="O565" ca="1">IFERROR(INDEX(_xlfn.ANCHORARRAY($C$3),T_CALC[[#This Row],[DAY]]+1,5),NA())</f>
        <v>1.3452999999999999</v>
      </c>
      <c r="P565" cm="1" vm="2113">
        <f t="array" aca="1" ref="P565" ca="1">IFERROR(INDEX(_xlfn.ANCHORARRAY($C$3),T_CALC[[#This Row],[DAY]]+1,6),NA())</f>
        <v>1.3468</v>
      </c>
      <c r="Q565" cm="1">
        <f t="array" aca="1" ref="Q565" ca="1">IFERROR(INDEX(_xlfn.ANCHORARRAY($C$3),T_CALC[[#This Row],[DAY]]+1,2),NA())</f>
        <v>0</v>
      </c>
    </row>
    <row r="566" spans="3:17">
      <c r="C566" vm="2978">
        <f ca="1"/>
        <v>43545</v>
      </c>
      <c r="D566">
        <f ca="1"/>
        <v>0</v>
      </c>
      <c r="E566" vm="2979">
        <f ca="1"/>
        <v>1.3467</v>
      </c>
      <c r="F566" vm="2666">
        <f ca="1"/>
        <v>1.3511</v>
      </c>
      <c r="G566" vm="2661">
        <f ca="1"/>
        <v>1.3449</v>
      </c>
      <c r="H566" vm="2259">
        <f ca="1"/>
        <v>1.3489</v>
      </c>
      <c r="K566">
        <f ca="1">IF(ROW(T_CALC[[#This Row],[DAY]])-ROW(T_CALC[[#Headers],[DAY]])&gt;C_N_TRADING_DAYS,"",ROW(T_CALC[[#This Row],[DAY]])-ROW(T_CALC[[#Headers],[DAY]]))</f>
        <v>563</v>
      </c>
      <c r="L566" cm="1" vm="2978">
        <f t="array" aca="1" ref="L566" ca="1">IFERROR(INDEX(_xlfn.ANCHORARRAY($C$3),T_CALC[[#This Row],[DAY]]+1,1),NA())</f>
        <v>43545</v>
      </c>
      <c r="M566" cm="1" vm="2979">
        <f t="array" aca="1" ref="M566" ca="1">IFERROR(INDEX(_xlfn.ANCHORARRAY($C$3),T_CALC[[#This Row],[DAY]]+1,3),NA())</f>
        <v>1.3467</v>
      </c>
      <c r="N566" cm="1" vm="2666">
        <f t="array" aca="1" ref="N566" ca="1">IFERROR(INDEX(_xlfn.ANCHORARRAY($C$3),T_CALC[[#This Row],[DAY]]+1,4),NA())</f>
        <v>1.3511</v>
      </c>
      <c r="O566" cm="1" vm="2661">
        <f t="array" aca="1" ref="O566" ca="1">IFERROR(INDEX(_xlfn.ANCHORARRAY($C$3),T_CALC[[#This Row],[DAY]]+1,5),NA())</f>
        <v>1.3449</v>
      </c>
      <c r="P566" cm="1" vm="2259">
        <f t="array" aca="1" ref="P566" ca="1">IFERROR(INDEX(_xlfn.ANCHORARRAY($C$3),T_CALC[[#This Row],[DAY]]+1,6),NA())</f>
        <v>1.3489</v>
      </c>
      <c r="Q566" cm="1">
        <f t="array" aca="1" ref="Q566" ca="1">IFERROR(INDEX(_xlfn.ANCHORARRAY($C$3),T_CALC[[#This Row],[DAY]]+1,2),NA())</f>
        <v>0</v>
      </c>
    </row>
    <row r="567" spans="3:17">
      <c r="C567" vm="2980">
        <f ca="1"/>
        <v>43546</v>
      </c>
      <c r="D567">
        <f ca="1"/>
        <v>0</v>
      </c>
      <c r="E567" vm="2259">
        <f ca="1"/>
        <v>1.3489</v>
      </c>
      <c r="F567" vm="2671">
        <f ca="1"/>
        <v>1.3531</v>
      </c>
      <c r="G567" vm="2981">
        <f ca="1"/>
        <v>1.3478000000000001</v>
      </c>
      <c r="H567" vm="2178">
        <f ca="1"/>
        <v>1.3523000000000001</v>
      </c>
      <c r="K567">
        <f ca="1">IF(ROW(T_CALC[[#This Row],[DAY]])-ROW(T_CALC[[#Headers],[DAY]])&gt;C_N_TRADING_DAYS,"",ROW(T_CALC[[#This Row],[DAY]])-ROW(T_CALC[[#Headers],[DAY]]))</f>
        <v>564</v>
      </c>
      <c r="L567" cm="1" vm="2980">
        <f t="array" aca="1" ref="L567" ca="1">IFERROR(INDEX(_xlfn.ANCHORARRAY($C$3),T_CALC[[#This Row],[DAY]]+1,1),NA())</f>
        <v>43546</v>
      </c>
      <c r="M567" cm="1" vm="2259">
        <f t="array" aca="1" ref="M567" ca="1">IFERROR(INDEX(_xlfn.ANCHORARRAY($C$3),T_CALC[[#This Row],[DAY]]+1,3),NA())</f>
        <v>1.3489</v>
      </c>
      <c r="N567" cm="1" vm="2671">
        <f t="array" aca="1" ref="N567" ca="1">IFERROR(INDEX(_xlfn.ANCHORARRAY($C$3),T_CALC[[#This Row],[DAY]]+1,4),NA())</f>
        <v>1.3531</v>
      </c>
      <c r="O567" cm="1" vm="2981">
        <f t="array" aca="1" ref="O567" ca="1">IFERROR(INDEX(_xlfn.ANCHORARRAY($C$3),T_CALC[[#This Row],[DAY]]+1,5),NA())</f>
        <v>1.3478000000000001</v>
      </c>
      <c r="P567" cm="1" vm="2178">
        <f t="array" aca="1" ref="P567" ca="1">IFERROR(INDEX(_xlfn.ANCHORARRAY($C$3),T_CALC[[#This Row],[DAY]]+1,6),NA())</f>
        <v>1.3523000000000001</v>
      </c>
      <c r="Q567" cm="1">
        <f t="array" aca="1" ref="Q567" ca="1">IFERROR(INDEX(_xlfn.ANCHORARRAY($C$3),T_CALC[[#This Row],[DAY]]+1,2),NA())</f>
        <v>0</v>
      </c>
    </row>
    <row r="568" spans="3:17">
      <c r="C568" vm="2982">
        <f ca="1"/>
        <v>43549</v>
      </c>
      <c r="D568">
        <f ca="1"/>
        <v>0</v>
      </c>
      <c r="E568" vm="2964">
        <f ca="1"/>
        <v>1.3522000000000001</v>
      </c>
      <c r="F568" vm="2671">
        <f ca="1"/>
        <v>1.3531</v>
      </c>
      <c r="G568" vm="2259">
        <f ca="1"/>
        <v>1.3489</v>
      </c>
      <c r="H568" vm="2146">
        <f ca="1"/>
        <v>1.3496999999999999</v>
      </c>
      <c r="K568">
        <f ca="1">IF(ROW(T_CALC[[#This Row],[DAY]])-ROW(T_CALC[[#Headers],[DAY]])&gt;C_N_TRADING_DAYS,"",ROW(T_CALC[[#This Row],[DAY]])-ROW(T_CALC[[#Headers],[DAY]]))</f>
        <v>565</v>
      </c>
      <c r="L568" cm="1" vm="2982">
        <f t="array" aca="1" ref="L568" ca="1">IFERROR(INDEX(_xlfn.ANCHORARRAY($C$3),T_CALC[[#This Row],[DAY]]+1,1),NA())</f>
        <v>43549</v>
      </c>
      <c r="M568" cm="1" vm="2964">
        <f t="array" aca="1" ref="M568" ca="1">IFERROR(INDEX(_xlfn.ANCHORARRAY($C$3),T_CALC[[#This Row],[DAY]]+1,3),NA())</f>
        <v>1.3522000000000001</v>
      </c>
      <c r="N568" cm="1" vm="2671">
        <f t="array" aca="1" ref="N568" ca="1">IFERROR(INDEX(_xlfn.ANCHORARRAY($C$3),T_CALC[[#This Row],[DAY]]+1,4),NA())</f>
        <v>1.3531</v>
      </c>
      <c r="O568" cm="1" vm="2259">
        <f t="array" aca="1" ref="O568" ca="1">IFERROR(INDEX(_xlfn.ANCHORARRAY($C$3),T_CALC[[#This Row],[DAY]]+1,5),NA())</f>
        <v>1.3489</v>
      </c>
      <c r="P568" cm="1" vm="2146">
        <f t="array" aca="1" ref="P568" ca="1">IFERROR(INDEX(_xlfn.ANCHORARRAY($C$3),T_CALC[[#This Row],[DAY]]+1,6),NA())</f>
        <v>1.3496999999999999</v>
      </c>
      <c r="Q568" cm="1">
        <f t="array" aca="1" ref="Q568" ca="1">IFERROR(INDEX(_xlfn.ANCHORARRAY($C$3),T_CALC[[#This Row],[DAY]]+1,2),NA())</f>
        <v>0</v>
      </c>
    </row>
    <row r="569" spans="3:17">
      <c r="C569" vm="2983">
        <f ca="1"/>
        <v>43550</v>
      </c>
      <c r="D569">
        <f ca="1"/>
        <v>0</v>
      </c>
      <c r="E569" vm="2093">
        <f ca="1"/>
        <v>1.3499000000000001</v>
      </c>
      <c r="F569" vm="2066">
        <f ca="1"/>
        <v>1.3524</v>
      </c>
      <c r="G569" vm="2984">
        <f ca="1"/>
        <v>1.3485</v>
      </c>
      <c r="H569" vm="2964">
        <f ca="1"/>
        <v>1.3522000000000001</v>
      </c>
      <c r="K569">
        <f ca="1">IF(ROW(T_CALC[[#This Row],[DAY]])-ROW(T_CALC[[#Headers],[DAY]])&gt;C_N_TRADING_DAYS,"",ROW(T_CALC[[#This Row],[DAY]])-ROW(T_CALC[[#Headers],[DAY]]))</f>
        <v>566</v>
      </c>
      <c r="L569" cm="1" vm="2983">
        <f t="array" aca="1" ref="L569" ca="1">IFERROR(INDEX(_xlfn.ANCHORARRAY($C$3),T_CALC[[#This Row],[DAY]]+1,1),NA())</f>
        <v>43550</v>
      </c>
      <c r="M569" cm="1" vm="2093">
        <f t="array" aca="1" ref="M569" ca="1">IFERROR(INDEX(_xlfn.ANCHORARRAY($C$3),T_CALC[[#This Row],[DAY]]+1,3),NA())</f>
        <v>1.3499000000000001</v>
      </c>
      <c r="N569" cm="1" vm="2066">
        <f t="array" aca="1" ref="N569" ca="1">IFERROR(INDEX(_xlfn.ANCHORARRAY($C$3),T_CALC[[#This Row],[DAY]]+1,4),NA())</f>
        <v>1.3524</v>
      </c>
      <c r="O569" cm="1" vm="2984">
        <f t="array" aca="1" ref="O569" ca="1">IFERROR(INDEX(_xlfn.ANCHORARRAY($C$3),T_CALC[[#This Row],[DAY]]+1,5),NA())</f>
        <v>1.3485</v>
      </c>
      <c r="P569" cm="1" vm="2964">
        <f t="array" aca="1" ref="P569" ca="1">IFERROR(INDEX(_xlfn.ANCHORARRAY($C$3),T_CALC[[#This Row],[DAY]]+1,6),NA())</f>
        <v>1.3522000000000001</v>
      </c>
      <c r="Q569" cm="1">
        <f t="array" aca="1" ref="Q569" ca="1">IFERROR(INDEX(_xlfn.ANCHORARRAY($C$3),T_CALC[[#This Row],[DAY]]+1,2),NA())</f>
        <v>0</v>
      </c>
    </row>
    <row r="570" spans="3:17">
      <c r="C570" vm="2985">
        <f ca="1"/>
        <v>43551</v>
      </c>
      <c r="D570">
        <f ca="1"/>
        <v>0</v>
      </c>
      <c r="E570" vm="2176">
        <f ca="1"/>
        <v>1.3521000000000001</v>
      </c>
      <c r="F570" vm="2084">
        <f ca="1"/>
        <v>1.3566</v>
      </c>
      <c r="G570" vm="2145">
        <f ca="1"/>
        <v>1.3512</v>
      </c>
      <c r="H570" vm="2153">
        <f ca="1"/>
        <v>1.3551</v>
      </c>
      <c r="K570">
        <f ca="1">IF(ROW(T_CALC[[#This Row],[DAY]])-ROW(T_CALC[[#Headers],[DAY]])&gt;C_N_TRADING_DAYS,"",ROW(T_CALC[[#This Row],[DAY]])-ROW(T_CALC[[#Headers],[DAY]]))</f>
        <v>567</v>
      </c>
      <c r="L570" cm="1" vm="2985">
        <f t="array" aca="1" ref="L570" ca="1">IFERROR(INDEX(_xlfn.ANCHORARRAY($C$3),T_CALC[[#This Row],[DAY]]+1,1),NA())</f>
        <v>43551</v>
      </c>
      <c r="M570" cm="1" vm="2176">
        <f t="array" aca="1" ref="M570" ca="1">IFERROR(INDEX(_xlfn.ANCHORARRAY($C$3),T_CALC[[#This Row],[DAY]]+1,3),NA())</f>
        <v>1.3521000000000001</v>
      </c>
      <c r="N570" cm="1" vm="2084">
        <f t="array" aca="1" ref="N570" ca="1">IFERROR(INDEX(_xlfn.ANCHORARRAY($C$3),T_CALC[[#This Row],[DAY]]+1,4),NA())</f>
        <v>1.3566</v>
      </c>
      <c r="O570" cm="1" vm="2145">
        <f t="array" aca="1" ref="O570" ca="1">IFERROR(INDEX(_xlfn.ANCHORARRAY($C$3),T_CALC[[#This Row],[DAY]]+1,5),NA())</f>
        <v>1.3512</v>
      </c>
      <c r="P570" cm="1" vm="2153">
        <f t="array" aca="1" ref="P570" ca="1">IFERROR(INDEX(_xlfn.ANCHORARRAY($C$3),T_CALC[[#This Row],[DAY]]+1,6),NA())</f>
        <v>1.3551</v>
      </c>
      <c r="Q570" cm="1">
        <f t="array" aca="1" ref="Q570" ca="1">IFERROR(INDEX(_xlfn.ANCHORARRAY($C$3),T_CALC[[#This Row],[DAY]]+1,2),NA())</f>
        <v>0</v>
      </c>
    </row>
    <row r="571" spans="3:17">
      <c r="C571" vm="2986">
        <f ca="1"/>
        <v>43552</v>
      </c>
      <c r="D571">
        <f ca="1"/>
        <v>0</v>
      </c>
      <c r="E571" vm="1988">
        <f ca="1"/>
        <v>1.3552</v>
      </c>
      <c r="F571" vm="2015">
        <f ca="1"/>
        <v>1.3573999999999999</v>
      </c>
      <c r="G571" vm="1993">
        <f ca="1"/>
        <v>1.3535999999999999</v>
      </c>
      <c r="H571" vm="2223">
        <f ca="1"/>
        <v>1.3562000000000001</v>
      </c>
      <c r="K571">
        <f ca="1">IF(ROW(T_CALC[[#This Row],[DAY]])-ROW(T_CALC[[#Headers],[DAY]])&gt;C_N_TRADING_DAYS,"",ROW(T_CALC[[#This Row],[DAY]])-ROW(T_CALC[[#Headers],[DAY]]))</f>
        <v>568</v>
      </c>
      <c r="L571" cm="1" vm="2986">
        <f t="array" aca="1" ref="L571" ca="1">IFERROR(INDEX(_xlfn.ANCHORARRAY($C$3),T_CALC[[#This Row],[DAY]]+1,1),NA())</f>
        <v>43552</v>
      </c>
      <c r="M571" cm="1" vm="1988">
        <f t="array" aca="1" ref="M571" ca="1">IFERROR(INDEX(_xlfn.ANCHORARRAY($C$3),T_CALC[[#This Row],[DAY]]+1,3),NA())</f>
        <v>1.3552</v>
      </c>
      <c r="N571" cm="1" vm="2015">
        <f t="array" aca="1" ref="N571" ca="1">IFERROR(INDEX(_xlfn.ANCHORARRAY($C$3),T_CALC[[#This Row],[DAY]]+1,4),NA())</f>
        <v>1.3573999999999999</v>
      </c>
      <c r="O571" cm="1" vm="1993">
        <f t="array" aca="1" ref="O571" ca="1">IFERROR(INDEX(_xlfn.ANCHORARRAY($C$3),T_CALC[[#This Row],[DAY]]+1,5),NA())</f>
        <v>1.3535999999999999</v>
      </c>
      <c r="P571" cm="1" vm="2223">
        <f t="array" aca="1" ref="P571" ca="1">IFERROR(INDEX(_xlfn.ANCHORARRAY($C$3),T_CALC[[#This Row],[DAY]]+1,6),NA())</f>
        <v>1.3562000000000001</v>
      </c>
      <c r="Q571" cm="1">
        <f t="array" aca="1" ref="Q571" ca="1">IFERROR(INDEX(_xlfn.ANCHORARRAY($C$3),T_CALC[[#This Row],[DAY]]+1,2),NA())</f>
        <v>0</v>
      </c>
    </row>
    <row r="572" spans="3:17">
      <c r="C572" vm="2987">
        <f ca="1"/>
        <v>43553</v>
      </c>
      <c r="D572">
        <f ca="1"/>
        <v>0</v>
      </c>
      <c r="E572" vm="2223">
        <f ca="1"/>
        <v>1.3562000000000001</v>
      </c>
      <c r="F572" vm="2230">
        <f ca="1"/>
        <v>1.3567</v>
      </c>
      <c r="G572" vm="2136">
        <f ca="1"/>
        <v>1.3532999999999999</v>
      </c>
      <c r="H572" vm="1997">
        <f ca="1"/>
        <v>1.3554999999999999</v>
      </c>
      <c r="K572">
        <f ca="1">IF(ROW(T_CALC[[#This Row],[DAY]])-ROW(T_CALC[[#Headers],[DAY]])&gt;C_N_TRADING_DAYS,"",ROW(T_CALC[[#This Row],[DAY]])-ROW(T_CALC[[#Headers],[DAY]]))</f>
        <v>569</v>
      </c>
      <c r="L572" cm="1" vm="2987">
        <f t="array" aca="1" ref="L572" ca="1">IFERROR(INDEX(_xlfn.ANCHORARRAY($C$3),T_CALC[[#This Row],[DAY]]+1,1),NA())</f>
        <v>43553</v>
      </c>
      <c r="M572" cm="1" vm="2223">
        <f t="array" aca="1" ref="M572" ca="1">IFERROR(INDEX(_xlfn.ANCHORARRAY($C$3),T_CALC[[#This Row],[DAY]]+1,3),NA())</f>
        <v>1.3562000000000001</v>
      </c>
      <c r="N572" cm="1" vm="2230">
        <f t="array" aca="1" ref="N572" ca="1">IFERROR(INDEX(_xlfn.ANCHORARRAY($C$3),T_CALC[[#This Row],[DAY]]+1,4),NA())</f>
        <v>1.3567</v>
      </c>
      <c r="O572" cm="1" vm="2136">
        <f t="array" aca="1" ref="O572" ca="1">IFERROR(INDEX(_xlfn.ANCHORARRAY($C$3),T_CALC[[#This Row],[DAY]]+1,5),NA())</f>
        <v>1.3532999999999999</v>
      </c>
      <c r="P572" cm="1" vm="1997">
        <f t="array" aca="1" ref="P572" ca="1">IFERROR(INDEX(_xlfn.ANCHORARRAY($C$3),T_CALC[[#This Row],[DAY]]+1,6),NA())</f>
        <v>1.3554999999999999</v>
      </c>
      <c r="Q572" cm="1">
        <f t="array" aca="1" ref="Q572" ca="1">IFERROR(INDEX(_xlfn.ANCHORARRAY($C$3),T_CALC[[#This Row],[DAY]]+1,2),NA())</f>
        <v>0</v>
      </c>
    </row>
    <row r="573" spans="3:17">
      <c r="C573" vm="2988">
        <f ca="1"/>
        <v>43556</v>
      </c>
      <c r="D573">
        <f ca="1"/>
        <v>0</v>
      </c>
      <c r="E573" vm="2153">
        <f ca="1"/>
        <v>1.3551</v>
      </c>
      <c r="F573" vm="2153">
        <f ca="1"/>
        <v>1.3551</v>
      </c>
      <c r="G573" vm="2088">
        <f ca="1"/>
        <v>1.3526</v>
      </c>
      <c r="H573" vm="2003">
        <f ca="1"/>
        <v>1.3545</v>
      </c>
      <c r="K573">
        <f ca="1">IF(ROW(T_CALC[[#This Row],[DAY]])-ROW(T_CALC[[#Headers],[DAY]])&gt;C_N_TRADING_DAYS,"",ROW(T_CALC[[#This Row],[DAY]])-ROW(T_CALC[[#Headers],[DAY]]))</f>
        <v>570</v>
      </c>
      <c r="L573" cm="1" vm="2988">
        <f t="array" aca="1" ref="L573" ca="1">IFERROR(INDEX(_xlfn.ANCHORARRAY($C$3),T_CALC[[#This Row],[DAY]]+1,1),NA())</f>
        <v>43556</v>
      </c>
      <c r="M573" cm="1" vm="2153">
        <f t="array" aca="1" ref="M573" ca="1">IFERROR(INDEX(_xlfn.ANCHORARRAY($C$3),T_CALC[[#This Row],[DAY]]+1,3),NA())</f>
        <v>1.3551</v>
      </c>
      <c r="N573" cm="1" vm="2153">
        <f t="array" aca="1" ref="N573" ca="1">IFERROR(INDEX(_xlfn.ANCHORARRAY($C$3),T_CALC[[#This Row],[DAY]]+1,4),NA())</f>
        <v>1.3551</v>
      </c>
      <c r="O573" cm="1" vm="2088">
        <f t="array" aca="1" ref="O573" ca="1">IFERROR(INDEX(_xlfn.ANCHORARRAY($C$3),T_CALC[[#This Row],[DAY]]+1,5),NA())</f>
        <v>1.3526</v>
      </c>
      <c r="P573" cm="1" vm="2003">
        <f t="array" aca="1" ref="P573" ca="1">IFERROR(INDEX(_xlfn.ANCHORARRAY($C$3),T_CALC[[#This Row],[DAY]]+1,6),NA())</f>
        <v>1.3545</v>
      </c>
      <c r="Q573" cm="1">
        <f t="array" aca="1" ref="Q573" ca="1">IFERROR(INDEX(_xlfn.ANCHORARRAY($C$3),T_CALC[[#This Row],[DAY]]+1,2),NA())</f>
        <v>0</v>
      </c>
    </row>
    <row r="574" spans="3:17">
      <c r="C574" vm="2989">
        <f ca="1"/>
        <v>43557</v>
      </c>
      <c r="D574">
        <f ca="1"/>
        <v>0</v>
      </c>
      <c r="E574" vm="2173">
        <f ca="1"/>
        <v>1.3541000000000001</v>
      </c>
      <c r="F574" vm="1989">
        <f ca="1"/>
        <v>1.3571</v>
      </c>
      <c r="G574" vm="2228">
        <f ca="1"/>
        <v>1.3539000000000001</v>
      </c>
      <c r="H574" vm="2064">
        <f ca="1"/>
        <v>1.3548</v>
      </c>
      <c r="K574">
        <f ca="1">IF(ROW(T_CALC[[#This Row],[DAY]])-ROW(T_CALC[[#Headers],[DAY]])&gt;C_N_TRADING_DAYS,"",ROW(T_CALC[[#This Row],[DAY]])-ROW(T_CALC[[#Headers],[DAY]]))</f>
        <v>571</v>
      </c>
      <c r="L574" cm="1" vm="2989">
        <f t="array" aca="1" ref="L574" ca="1">IFERROR(INDEX(_xlfn.ANCHORARRAY($C$3),T_CALC[[#This Row],[DAY]]+1,1),NA())</f>
        <v>43557</v>
      </c>
      <c r="M574" cm="1" vm="2173">
        <f t="array" aca="1" ref="M574" ca="1">IFERROR(INDEX(_xlfn.ANCHORARRAY($C$3),T_CALC[[#This Row],[DAY]]+1,3),NA())</f>
        <v>1.3541000000000001</v>
      </c>
      <c r="N574" cm="1" vm="1989">
        <f t="array" aca="1" ref="N574" ca="1">IFERROR(INDEX(_xlfn.ANCHORARRAY($C$3),T_CALC[[#This Row],[DAY]]+1,4),NA())</f>
        <v>1.3571</v>
      </c>
      <c r="O574" cm="1" vm="2228">
        <f t="array" aca="1" ref="O574" ca="1">IFERROR(INDEX(_xlfn.ANCHORARRAY($C$3),T_CALC[[#This Row],[DAY]]+1,5),NA())</f>
        <v>1.3539000000000001</v>
      </c>
      <c r="P574" cm="1" vm="2064">
        <f t="array" aca="1" ref="P574" ca="1">IFERROR(INDEX(_xlfn.ANCHORARRAY($C$3),T_CALC[[#This Row],[DAY]]+1,6),NA())</f>
        <v>1.3548</v>
      </c>
      <c r="Q574" cm="1">
        <f t="array" aca="1" ref="Q574" ca="1">IFERROR(INDEX(_xlfn.ANCHORARRAY($C$3),T_CALC[[#This Row],[DAY]]+1,2),NA())</f>
        <v>0</v>
      </c>
    </row>
    <row r="575" spans="3:17">
      <c r="C575" vm="2990">
        <f ca="1"/>
        <v>43558</v>
      </c>
      <c r="D575">
        <f ca="1"/>
        <v>0</v>
      </c>
      <c r="E575" vm="2064">
        <f ca="1"/>
        <v>1.3548</v>
      </c>
      <c r="F575" vm="2930">
        <f ca="1"/>
        <v>1.3556999999999999</v>
      </c>
      <c r="G575" vm="2132">
        <f ca="1"/>
        <v>1.3516999999999999</v>
      </c>
      <c r="H575" vm="2136">
        <f ca="1"/>
        <v>1.3532999999999999</v>
      </c>
      <c r="K575">
        <f ca="1">IF(ROW(T_CALC[[#This Row],[DAY]])-ROW(T_CALC[[#Headers],[DAY]])&gt;C_N_TRADING_DAYS,"",ROW(T_CALC[[#This Row],[DAY]])-ROW(T_CALC[[#Headers],[DAY]]))</f>
        <v>572</v>
      </c>
      <c r="L575" cm="1" vm="2990">
        <f t="array" aca="1" ref="L575" ca="1">IFERROR(INDEX(_xlfn.ANCHORARRAY($C$3),T_CALC[[#This Row],[DAY]]+1,1),NA())</f>
        <v>43558</v>
      </c>
      <c r="M575" cm="1" vm="2064">
        <f t="array" aca="1" ref="M575" ca="1">IFERROR(INDEX(_xlfn.ANCHORARRAY($C$3),T_CALC[[#This Row],[DAY]]+1,3),NA())</f>
        <v>1.3548</v>
      </c>
      <c r="N575" cm="1" vm="2930">
        <f t="array" aca="1" ref="N575" ca="1">IFERROR(INDEX(_xlfn.ANCHORARRAY($C$3),T_CALC[[#This Row],[DAY]]+1,4),NA())</f>
        <v>1.3556999999999999</v>
      </c>
      <c r="O575" cm="1" vm="2132">
        <f t="array" aca="1" ref="O575" ca="1">IFERROR(INDEX(_xlfn.ANCHORARRAY($C$3),T_CALC[[#This Row],[DAY]]+1,5),NA())</f>
        <v>1.3516999999999999</v>
      </c>
      <c r="P575" cm="1" vm="2136">
        <f t="array" aca="1" ref="P575" ca="1">IFERROR(INDEX(_xlfn.ANCHORARRAY($C$3),T_CALC[[#This Row],[DAY]]+1,6),NA())</f>
        <v>1.3532999999999999</v>
      </c>
      <c r="Q575" cm="1">
        <f t="array" aca="1" ref="Q575" ca="1">IFERROR(INDEX(_xlfn.ANCHORARRAY($C$3),T_CALC[[#This Row],[DAY]]+1,2),NA())</f>
        <v>0</v>
      </c>
    </row>
    <row r="576" spans="3:17">
      <c r="C576" vm="2991">
        <f ca="1"/>
        <v>43559</v>
      </c>
      <c r="D576">
        <f ca="1"/>
        <v>0</v>
      </c>
      <c r="E576" vm="1993">
        <f ca="1"/>
        <v>1.3535999999999999</v>
      </c>
      <c r="F576" vm="2077">
        <f ca="1"/>
        <v>1.355</v>
      </c>
      <c r="G576" vm="2269">
        <f ca="1"/>
        <v>1.3519000000000001</v>
      </c>
      <c r="H576" vm="2017">
        <f ca="1"/>
        <v>1.3549</v>
      </c>
      <c r="K576">
        <f ca="1">IF(ROW(T_CALC[[#This Row],[DAY]])-ROW(T_CALC[[#Headers],[DAY]])&gt;C_N_TRADING_DAYS,"",ROW(T_CALC[[#This Row],[DAY]])-ROW(T_CALC[[#Headers],[DAY]]))</f>
        <v>573</v>
      </c>
      <c r="L576" cm="1" vm="2991">
        <f t="array" aca="1" ref="L576" ca="1">IFERROR(INDEX(_xlfn.ANCHORARRAY($C$3),T_CALC[[#This Row],[DAY]]+1,1),NA())</f>
        <v>43559</v>
      </c>
      <c r="M576" cm="1" vm="1993">
        <f t="array" aca="1" ref="M576" ca="1">IFERROR(INDEX(_xlfn.ANCHORARRAY($C$3),T_CALC[[#This Row],[DAY]]+1,3),NA())</f>
        <v>1.3535999999999999</v>
      </c>
      <c r="N576" cm="1" vm="2077">
        <f t="array" aca="1" ref="N576" ca="1">IFERROR(INDEX(_xlfn.ANCHORARRAY($C$3),T_CALC[[#This Row],[DAY]]+1,4),NA())</f>
        <v>1.355</v>
      </c>
      <c r="O576" cm="1" vm="2269">
        <f t="array" aca="1" ref="O576" ca="1">IFERROR(INDEX(_xlfn.ANCHORARRAY($C$3),T_CALC[[#This Row],[DAY]]+1,5),NA())</f>
        <v>1.3519000000000001</v>
      </c>
      <c r="P576" cm="1" vm="2017">
        <f t="array" aca="1" ref="P576" ca="1">IFERROR(INDEX(_xlfn.ANCHORARRAY($C$3),T_CALC[[#This Row],[DAY]]+1,6),NA())</f>
        <v>1.3549</v>
      </c>
      <c r="Q576" cm="1">
        <f t="array" aca="1" ref="Q576" ca="1">IFERROR(INDEX(_xlfn.ANCHORARRAY($C$3),T_CALC[[#This Row],[DAY]]+1,2),NA())</f>
        <v>0</v>
      </c>
    </row>
    <row r="577" spans="3:17">
      <c r="C577" vm="2992">
        <f ca="1"/>
        <v>43560</v>
      </c>
      <c r="D577">
        <f ca="1"/>
        <v>0</v>
      </c>
      <c r="E577" vm="2965">
        <f ca="1"/>
        <v>1.3544</v>
      </c>
      <c r="F577" vm="2916">
        <f ca="1"/>
        <v>1.3560000000000001</v>
      </c>
      <c r="G577" vm="2226">
        <f ca="1"/>
        <v>1.3529</v>
      </c>
      <c r="H577" vm="2920">
        <f ca="1"/>
        <v>1.3546</v>
      </c>
      <c r="K577">
        <f ca="1">IF(ROW(T_CALC[[#This Row],[DAY]])-ROW(T_CALC[[#Headers],[DAY]])&gt;C_N_TRADING_DAYS,"",ROW(T_CALC[[#This Row],[DAY]])-ROW(T_CALC[[#Headers],[DAY]]))</f>
        <v>574</v>
      </c>
      <c r="L577" cm="1" vm="2992">
        <f t="array" aca="1" ref="L577" ca="1">IFERROR(INDEX(_xlfn.ANCHORARRAY($C$3),T_CALC[[#This Row],[DAY]]+1,1),NA())</f>
        <v>43560</v>
      </c>
      <c r="M577" cm="1" vm="2965">
        <f t="array" aca="1" ref="M577" ca="1">IFERROR(INDEX(_xlfn.ANCHORARRAY($C$3),T_CALC[[#This Row],[DAY]]+1,3),NA())</f>
        <v>1.3544</v>
      </c>
      <c r="N577" cm="1" vm="2916">
        <f t="array" aca="1" ref="N577" ca="1">IFERROR(INDEX(_xlfn.ANCHORARRAY($C$3),T_CALC[[#This Row],[DAY]]+1,4),NA())</f>
        <v>1.3560000000000001</v>
      </c>
      <c r="O577" cm="1" vm="2226">
        <f t="array" aca="1" ref="O577" ca="1">IFERROR(INDEX(_xlfn.ANCHORARRAY($C$3),T_CALC[[#This Row],[DAY]]+1,5),NA())</f>
        <v>1.3529</v>
      </c>
      <c r="P577" cm="1" vm="2920">
        <f t="array" aca="1" ref="P577" ca="1">IFERROR(INDEX(_xlfn.ANCHORARRAY($C$3),T_CALC[[#This Row],[DAY]]+1,6),NA())</f>
        <v>1.3546</v>
      </c>
      <c r="Q577" cm="1">
        <f t="array" aca="1" ref="Q577" ca="1">IFERROR(INDEX(_xlfn.ANCHORARRAY($C$3),T_CALC[[#This Row],[DAY]]+1,2),NA())</f>
        <v>0</v>
      </c>
    </row>
    <row r="578" spans="3:17">
      <c r="C578" vm="2993">
        <f ca="1"/>
        <v>43563</v>
      </c>
      <c r="D578">
        <f ca="1"/>
        <v>0</v>
      </c>
      <c r="E578" vm="2077">
        <f ca="1"/>
        <v>1.355</v>
      </c>
      <c r="F578" vm="2012">
        <f ca="1"/>
        <v>1.3565</v>
      </c>
      <c r="G578" vm="1993">
        <f ca="1"/>
        <v>1.3535999999999999</v>
      </c>
      <c r="H578" vm="2005">
        <f ca="1"/>
        <v>1.3542000000000001</v>
      </c>
      <c r="K578">
        <f ca="1">IF(ROW(T_CALC[[#This Row],[DAY]])-ROW(T_CALC[[#Headers],[DAY]])&gt;C_N_TRADING_DAYS,"",ROW(T_CALC[[#This Row],[DAY]])-ROW(T_CALC[[#Headers],[DAY]]))</f>
        <v>575</v>
      </c>
      <c r="L578" cm="1" vm="2993">
        <f t="array" aca="1" ref="L578" ca="1">IFERROR(INDEX(_xlfn.ANCHORARRAY($C$3),T_CALC[[#This Row],[DAY]]+1,1),NA())</f>
        <v>43563</v>
      </c>
      <c r="M578" cm="1" vm="2077">
        <f t="array" aca="1" ref="M578" ca="1">IFERROR(INDEX(_xlfn.ANCHORARRAY($C$3),T_CALC[[#This Row],[DAY]]+1,3),NA())</f>
        <v>1.355</v>
      </c>
      <c r="N578" cm="1" vm="2012">
        <f t="array" aca="1" ref="N578" ca="1">IFERROR(INDEX(_xlfn.ANCHORARRAY($C$3),T_CALC[[#This Row],[DAY]]+1,4),NA())</f>
        <v>1.3565</v>
      </c>
      <c r="O578" cm="1" vm="1993">
        <f t="array" aca="1" ref="O578" ca="1">IFERROR(INDEX(_xlfn.ANCHORARRAY($C$3),T_CALC[[#This Row],[DAY]]+1,5),NA())</f>
        <v>1.3535999999999999</v>
      </c>
      <c r="P578" cm="1" vm="2005">
        <f t="array" aca="1" ref="P578" ca="1">IFERROR(INDEX(_xlfn.ANCHORARRAY($C$3),T_CALC[[#This Row],[DAY]]+1,6),NA())</f>
        <v>1.3542000000000001</v>
      </c>
      <c r="Q578" cm="1">
        <f t="array" aca="1" ref="Q578" ca="1">IFERROR(INDEX(_xlfn.ANCHORARRAY($C$3),T_CALC[[#This Row],[DAY]]+1,2),NA())</f>
        <v>0</v>
      </c>
    </row>
    <row r="579" spans="3:17">
      <c r="C579" vm="2994">
        <f ca="1"/>
        <v>43564</v>
      </c>
      <c r="D579">
        <f ca="1"/>
        <v>0</v>
      </c>
      <c r="E579" vm="2005">
        <f ca="1"/>
        <v>1.3542000000000001</v>
      </c>
      <c r="F579" vm="2017">
        <f ca="1"/>
        <v>1.3549</v>
      </c>
      <c r="G579" vm="2132">
        <f ca="1"/>
        <v>1.3516999999999999</v>
      </c>
      <c r="H579" vm="2067">
        <f ca="1"/>
        <v>1.3533999999999999</v>
      </c>
      <c r="K579">
        <f ca="1">IF(ROW(T_CALC[[#This Row],[DAY]])-ROW(T_CALC[[#Headers],[DAY]])&gt;C_N_TRADING_DAYS,"",ROW(T_CALC[[#This Row],[DAY]])-ROW(T_CALC[[#Headers],[DAY]]))</f>
        <v>576</v>
      </c>
      <c r="L579" cm="1" vm="2994">
        <f t="array" aca="1" ref="L579" ca="1">IFERROR(INDEX(_xlfn.ANCHORARRAY($C$3),T_CALC[[#This Row],[DAY]]+1,1),NA())</f>
        <v>43564</v>
      </c>
      <c r="M579" cm="1" vm="2005">
        <f t="array" aca="1" ref="M579" ca="1">IFERROR(INDEX(_xlfn.ANCHORARRAY($C$3),T_CALC[[#This Row],[DAY]]+1,3),NA())</f>
        <v>1.3542000000000001</v>
      </c>
      <c r="N579" cm="1" vm="2017">
        <f t="array" aca="1" ref="N579" ca="1">IFERROR(INDEX(_xlfn.ANCHORARRAY($C$3),T_CALC[[#This Row],[DAY]]+1,4),NA())</f>
        <v>1.3549</v>
      </c>
      <c r="O579" cm="1" vm="2132">
        <f t="array" aca="1" ref="O579" ca="1">IFERROR(INDEX(_xlfn.ANCHORARRAY($C$3),T_CALC[[#This Row],[DAY]]+1,5),NA())</f>
        <v>1.3516999999999999</v>
      </c>
      <c r="P579" cm="1" vm="2067">
        <f t="array" aca="1" ref="P579" ca="1">IFERROR(INDEX(_xlfn.ANCHORARRAY($C$3),T_CALC[[#This Row],[DAY]]+1,6),NA())</f>
        <v>1.3533999999999999</v>
      </c>
      <c r="Q579" cm="1">
        <f t="array" aca="1" ref="Q579" ca="1">IFERROR(INDEX(_xlfn.ANCHORARRAY($C$3),T_CALC[[#This Row],[DAY]]+1,2),NA())</f>
        <v>0</v>
      </c>
    </row>
    <row r="580" spans="3:17">
      <c r="C580" vm="2995">
        <f ca="1"/>
        <v>43565</v>
      </c>
      <c r="D580">
        <f ca="1"/>
        <v>0</v>
      </c>
      <c r="E580" vm="2067">
        <f ca="1"/>
        <v>1.3533999999999999</v>
      </c>
      <c r="F580" vm="2148">
        <f ca="1"/>
        <v>1.3543000000000001</v>
      </c>
      <c r="G580" vm="2086">
        <f ca="1"/>
        <v>1.351</v>
      </c>
      <c r="H580" vm="2956">
        <f ca="1"/>
        <v>1.3515999999999999</v>
      </c>
      <c r="K580">
        <f ca="1">IF(ROW(T_CALC[[#This Row],[DAY]])-ROW(T_CALC[[#Headers],[DAY]])&gt;C_N_TRADING_DAYS,"",ROW(T_CALC[[#This Row],[DAY]])-ROW(T_CALC[[#Headers],[DAY]]))</f>
        <v>577</v>
      </c>
      <c r="L580" cm="1" vm="2995">
        <f t="array" aca="1" ref="L580" ca="1">IFERROR(INDEX(_xlfn.ANCHORARRAY($C$3),T_CALC[[#This Row],[DAY]]+1,1),NA())</f>
        <v>43565</v>
      </c>
      <c r="M580" cm="1" vm="2067">
        <f t="array" aca="1" ref="M580" ca="1">IFERROR(INDEX(_xlfn.ANCHORARRAY($C$3),T_CALC[[#This Row],[DAY]]+1,3),NA())</f>
        <v>1.3533999999999999</v>
      </c>
      <c r="N580" cm="1" vm="2148">
        <f t="array" aca="1" ref="N580" ca="1">IFERROR(INDEX(_xlfn.ANCHORARRAY($C$3),T_CALC[[#This Row],[DAY]]+1,4),NA())</f>
        <v>1.3543000000000001</v>
      </c>
      <c r="O580" cm="1" vm="2086">
        <f t="array" aca="1" ref="O580" ca="1">IFERROR(INDEX(_xlfn.ANCHORARRAY($C$3),T_CALC[[#This Row],[DAY]]+1,5),NA())</f>
        <v>1.351</v>
      </c>
      <c r="P580" cm="1" vm="2956">
        <f t="array" aca="1" ref="P580" ca="1">IFERROR(INDEX(_xlfn.ANCHORARRAY($C$3),T_CALC[[#This Row],[DAY]]+1,6),NA())</f>
        <v>1.3515999999999999</v>
      </c>
      <c r="Q580" cm="1">
        <f t="array" aca="1" ref="Q580" ca="1">IFERROR(INDEX(_xlfn.ANCHORARRAY($C$3),T_CALC[[#This Row],[DAY]]+1,2),NA())</f>
        <v>0</v>
      </c>
    </row>
    <row r="581" spans="3:17">
      <c r="C581" vm="2996">
        <f ca="1"/>
        <v>43566</v>
      </c>
      <c r="D581">
        <f ca="1"/>
        <v>0</v>
      </c>
      <c r="E581" vm="2663">
        <f ca="1"/>
        <v>1.3517999999999999</v>
      </c>
      <c r="F581" vm="2223">
        <f ca="1"/>
        <v>1.3562000000000001</v>
      </c>
      <c r="G581" vm="2086">
        <f ca="1"/>
        <v>1.351</v>
      </c>
      <c r="H581" vm="2170">
        <f ca="1"/>
        <v>1.3559000000000001</v>
      </c>
      <c r="K581">
        <f ca="1">IF(ROW(T_CALC[[#This Row],[DAY]])-ROW(T_CALC[[#Headers],[DAY]])&gt;C_N_TRADING_DAYS,"",ROW(T_CALC[[#This Row],[DAY]])-ROW(T_CALC[[#Headers],[DAY]]))</f>
        <v>578</v>
      </c>
      <c r="L581" cm="1" vm="2996">
        <f t="array" aca="1" ref="L581" ca="1">IFERROR(INDEX(_xlfn.ANCHORARRAY($C$3),T_CALC[[#This Row],[DAY]]+1,1),NA())</f>
        <v>43566</v>
      </c>
      <c r="M581" cm="1" vm="2663">
        <f t="array" aca="1" ref="M581" ca="1">IFERROR(INDEX(_xlfn.ANCHORARRAY($C$3),T_CALC[[#This Row],[DAY]]+1,3),NA())</f>
        <v>1.3517999999999999</v>
      </c>
      <c r="N581" cm="1" vm="2223">
        <f t="array" aca="1" ref="N581" ca="1">IFERROR(INDEX(_xlfn.ANCHORARRAY($C$3),T_CALC[[#This Row],[DAY]]+1,4),NA())</f>
        <v>1.3562000000000001</v>
      </c>
      <c r="O581" cm="1" vm="2086">
        <f t="array" aca="1" ref="O581" ca="1">IFERROR(INDEX(_xlfn.ANCHORARRAY($C$3),T_CALC[[#This Row],[DAY]]+1,5),NA())</f>
        <v>1.351</v>
      </c>
      <c r="P581" cm="1" vm="2170">
        <f t="array" aca="1" ref="P581" ca="1">IFERROR(INDEX(_xlfn.ANCHORARRAY($C$3),T_CALC[[#This Row],[DAY]]+1,6),NA())</f>
        <v>1.3559000000000001</v>
      </c>
      <c r="Q581" cm="1">
        <f t="array" aca="1" ref="Q581" ca="1">IFERROR(INDEX(_xlfn.ANCHORARRAY($C$3),T_CALC[[#This Row],[DAY]]+1,2),NA())</f>
        <v>0</v>
      </c>
    </row>
    <row r="582" spans="3:17">
      <c r="C582" vm="2997">
        <f ca="1"/>
        <v>43567</v>
      </c>
      <c r="D582">
        <f ca="1"/>
        <v>0</v>
      </c>
      <c r="E582" vm="2916">
        <f ca="1"/>
        <v>1.3560000000000001</v>
      </c>
      <c r="F582" vm="2231">
        <f ca="1"/>
        <v>1.3579000000000001</v>
      </c>
      <c r="G582" vm="2269">
        <f ca="1"/>
        <v>1.3519000000000001</v>
      </c>
      <c r="H582" vm="2088">
        <f ca="1"/>
        <v>1.3526</v>
      </c>
      <c r="K582">
        <f ca="1">IF(ROW(T_CALC[[#This Row],[DAY]])-ROW(T_CALC[[#Headers],[DAY]])&gt;C_N_TRADING_DAYS,"",ROW(T_CALC[[#This Row],[DAY]])-ROW(T_CALC[[#Headers],[DAY]]))</f>
        <v>579</v>
      </c>
      <c r="L582" cm="1" vm="2997">
        <f t="array" aca="1" ref="L582" ca="1">IFERROR(INDEX(_xlfn.ANCHORARRAY($C$3),T_CALC[[#This Row],[DAY]]+1,1),NA())</f>
        <v>43567</v>
      </c>
      <c r="M582" cm="1" vm="2916">
        <f t="array" aca="1" ref="M582" ca="1">IFERROR(INDEX(_xlfn.ANCHORARRAY($C$3),T_CALC[[#This Row],[DAY]]+1,3),NA())</f>
        <v>1.3560000000000001</v>
      </c>
      <c r="N582" cm="1" vm="2231">
        <f t="array" aca="1" ref="N582" ca="1">IFERROR(INDEX(_xlfn.ANCHORARRAY($C$3),T_CALC[[#This Row],[DAY]]+1,4),NA())</f>
        <v>1.3579000000000001</v>
      </c>
      <c r="O582" cm="1" vm="2269">
        <f t="array" aca="1" ref="O582" ca="1">IFERROR(INDEX(_xlfn.ANCHORARRAY($C$3),T_CALC[[#This Row],[DAY]]+1,5),NA())</f>
        <v>1.3519000000000001</v>
      </c>
      <c r="P582" cm="1" vm="2088">
        <f t="array" aca="1" ref="P582" ca="1">IFERROR(INDEX(_xlfn.ANCHORARRAY($C$3),T_CALC[[#This Row],[DAY]]+1,6),NA())</f>
        <v>1.3526</v>
      </c>
      <c r="Q582" cm="1">
        <f t="array" aca="1" ref="Q582" ca="1">IFERROR(INDEX(_xlfn.ANCHORARRAY($C$3),T_CALC[[#This Row],[DAY]]+1,2),NA())</f>
        <v>0</v>
      </c>
    </row>
    <row r="583" spans="3:17">
      <c r="C583" vm="2998">
        <f ca="1"/>
        <v>43570</v>
      </c>
      <c r="D583">
        <f ca="1"/>
        <v>0</v>
      </c>
      <c r="E583" vm="2923">
        <f ca="1"/>
        <v>1.3527</v>
      </c>
      <c r="F583" vm="2067">
        <f ca="1"/>
        <v>1.3533999999999999</v>
      </c>
      <c r="G583" vm="2114">
        <f ca="1"/>
        <v>1.3512999999999999</v>
      </c>
      <c r="H583" vm="2923">
        <f ca="1"/>
        <v>1.3527</v>
      </c>
      <c r="K583">
        <f ca="1">IF(ROW(T_CALC[[#This Row],[DAY]])-ROW(T_CALC[[#Headers],[DAY]])&gt;C_N_TRADING_DAYS,"",ROW(T_CALC[[#This Row],[DAY]])-ROW(T_CALC[[#Headers],[DAY]]))</f>
        <v>580</v>
      </c>
      <c r="L583" cm="1" vm="2998">
        <f t="array" aca="1" ref="L583" ca="1">IFERROR(INDEX(_xlfn.ANCHORARRAY($C$3),T_CALC[[#This Row],[DAY]]+1,1),NA())</f>
        <v>43570</v>
      </c>
      <c r="M583" cm="1" vm="2923">
        <f t="array" aca="1" ref="M583" ca="1">IFERROR(INDEX(_xlfn.ANCHORARRAY($C$3),T_CALC[[#This Row],[DAY]]+1,3),NA())</f>
        <v>1.3527</v>
      </c>
      <c r="N583" cm="1" vm="2067">
        <f t="array" aca="1" ref="N583" ca="1">IFERROR(INDEX(_xlfn.ANCHORARRAY($C$3),T_CALC[[#This Row],[DAY]]+1,4),NA())</f>
        <v>1.3533999999999999</v>
      </c>
      <c r="O583" cm="1" vm="2114">
        <f t="array" aca="1" ref="O583" ca="1">IFERROR(INDEX(_xlfn.ANCHORARRAY($C$3),T_CALC[[#This Row],[DAY]]+1,5),NA())</f>
        <v>1.3512999999999999</v>
      </c>
      <c r="P583" cm="1" vm="2923">
        <f t="array" aca="1" ref="P583" ca="1">IFERROR(INDEX(_xlfn.ANCHORARRAY($C$3),T_CALC[[#This Row],[DAY]]+1,6),NA())</f>
        <v>1.3527</v>
      </c>
      <c r="Q583" cm="1">
        <f t="array" aca="1" ref="Q583" ca="1">IFERROR(INDEX(_xlfn.ANCHORARRAY($C$3),T_CALC[[#This Row],[DAY]]+1,2),NA())</f>
        <v>0</v>
      </c>
    </row>
    <row r="584" spans="3:17">
      <c r="C584" vm="2999">
        <f ca="1"/>
        <v>43571</v>
      </c>
      <c r="D584">
        <f ca="1"/>
        <v>0</v>
      </c>
      <c r="E584" vm="2923">
        <f ca="1"/>
        <v>1.3527</v>
      </c>
      <c r="F584" vm="2017">
        <f ca="1"/>
        <v>1.3549</v>
      </c>
      <c r="G584" vm="2663">
        <f ca="1"/>
        <v>1.3517999999999999</v>
      </c>
      <c r="H584" vm="2005">
        <f ca="1"/>
        <v>1.3542000000000001</v>
      </c>
      <c r="K584">
        <f ca="1">IF(ROW(T_CALC[[#This Row],[DAY]])-ROW(T_CALC[[#Headers],[DAY]])&gt;C_N_TRADING_DAYS,"",ROW(T_CALC[[#This Row],[DAY]])-ROW(T_CALC[[#Headers],[DAY]]))</f>
        <v>581</v>
      </c>
      <c r="L584" cm="1" vm="2999">
        <f t="array" aca="1" ref="L584" ca="1">IFERROR(INDEX(_xlfn.ANCHORARRAY($C$3),T_CALC[[#This Row],[DAY]]+1,1),NA())</f>
        <v>43571</v>
      </c>
      <c r="M584" cm="1" vm="2923">
        <f t="array" aca="1" ref="M584" ca="1">IFERROR(INDEX(_xlfn.ANCHORARRAY($C$3),T_CALC[[#This Row],[DAY]]+1,3),NA())</f>
        <v>1.3527</v>
      </c>
      <c r="N584" cm="1" vm="2017">
        <f t="array" aca="1" ref="N584" ca="1">IFERROR(INDEX(_xlfn.ANCHORARRAY($C$3),T_CALC[[#This Row],[DAY]]+1,4),NA())</f>
        <v>1.3549</v>
      </c>
      <c r="O584" cm="1" vm="2663">
        <f t="array" aca="1" ref="O584" ca="1">IFERROR(INDEX(_xlfn.ANCHORARRAY($C$3),T_CALC[[#This Row],[DAY]]+1,5),NA())</f>
        <v>1.3517999999999999</v>
      </c>
      <c r="P584" cm="1" vm="2005">
        <f t="array" aca="1" ref="P584" ca="1">IFERROR(INDEX(_xlfn.ANCHORARRAY($C$3),T_CALC[[#This Row],[DAY]]+1,6),NA())</f>
        <v>1.3542000000000001</v>
      </c>
      <c r="Q584" cm="1">
        <f t="array" aca="1" ref="Q584" ca="1">IFERROR(INDEX(_xlfn.ANCHORARRAY($C$3),T_CALC[[#This Row],[DAY]]+1,2),NA())</f>
        <v>0</v>
      </c>
    </row>
    <row r="585" spans="3:17">
      <c r="C585" vm="3000">
        <f ca="1"/>
        <v>43572</v>
      </c>
      <c r="D585">
        <f ca="1"/>
        <v>0</v>
      </c>
      <c r="E585" vm="2005">
        <f ca="1"/>
        <v>1.3542000000000001</v>
      </c>
      <c r="F585" vm="2185">
        <f ca="1"/>
        <v>1.3552999999999999</v>
      </c>
      <c r="G585" vm="2261">
        <f ca="1"/>
        <v>1.3514999999999999</v>
      </c>
      <c r="H585" vm="2692">
        <f ca="1"/>
        <v>1.3525</v>
      </c>
      <c r="K585">
        <f ca="1">IF(ROW(T_CALC[[#This Row],[DAY]])-ROW(T_CALC[[#Headers],[DAY]])&gt;C_N_TRADING_DAYS,"",ROW(T_CALC[[#This Row],[DAY]])-ROW(T_CALC[[#Headers],[DAY]]))</f>
        <v>582</v>
      </c>
      <c r="L585" cm="1" vm="3000">
        <f t="array" aca="1" ref="L585" ca="1">IFERROR(INDEX(_xlfn.ANCHORARRAY($C$3),T_CALC[[#This Row],[DAY]]+1,1),NA())</f>
        <v>43572</v>
      </c>
      <c r="M585" cm="1" vm="2005">
        <f t="array" aca="1" ref="M585" ca="1">IFERROR(INDEX(_xlfn.ANCHORARRAY($C$3),T_CALC[[#This Row],[DAY]]+1,3),NA())</f>
        <v>1.3542000000000001</v>
      </c>
      <c r="N585" cm="1" vm="2185">
        <f t="array" aca="1" ref="N585" ca="1">IFERROR(INDEX(_xlfn.ANCHORARRAY($C$3),T_CALC[[#This Row],[DAY]]+1,4),NA())</f>
        <v>1.3552999999999999</v>
      </c>
      <c r="O585" cm="1" vm="2261">
        <f t="array" aca="1" ref="O585" ca="1">IFERROR(INDEX(_xlfn.ANCHORARRAY($C$3),T_CALC[[#This Row],[DAY]]+1,5),NA())</f>
        <v>1.3514999999999999</v>
      </c>
      <c r="P585" cm="1" vm="2692">
        <f t="array" aca="1" ref="P585" ca="1">IFERROR(INDEX(_xlfn.ANCHORARRAY($C$3),T_CALC[[#This Row],[DAY]]+1,6),NA())</f>
        <v>1.3525</v>
      </c>
      <c r="Q585" cm="1">
        <f t="array" aca="1" ref="Q585" ca="1">IFERROR(INDEX(_xlfn.ANCHORARRAY($C$3),T_CALC[[#This Row],[DAY]]+1,2),NA())</f>
        <v>0</v>
      </c>
    </row>
    <row r="586" spans="3:17">
      <c r="C586" vm="3001">
        <f ca="1"/>
        <v>43573</v>
      </c>
      <c r="D586">
        <f ca="1"/>
        <v>0</v>
      </c>
      <c r="E586" vm="2088">
        <f ca="1"/>
        <v>1.3526</v>
      </c>
      <c r="F586" vm="1998">
        <f ca="1"/>
        <v>1.3564000000000001</v>
      </c>
      <c r="G586" vm="2663">
        <f ca="1"/>
        <v>1.3517999999999999</v>
      </c>
      <c r="H586" vm="2225">
        <f ca="1"/>
        <v>1.3561000000000001</v>
      </c>
      <c r="K586">
        <f ca="1">IF(ROW(T_CALC[[#This Row],[DAY]])-ROW(T_CALC[[#Headers],[DAY]])&gt;C_N_TRADING_DAYS,"",ROW(T_CALC[[#This Row],[DAY]])-ROW(T_CALC[[#Headers],[DAY]]))</f>
        <v>583</v>
      </c>
      <c r="L586" cm="1" vm="3001">
        <f t="array" aca="1" ref="L586" ca="1">IFERROR(INDEX(_xlfn.ANCHORARRAY($C$3),T_CALC[[#This Row],[DAY]]+1,1),NA())</f>
        <v>43573</v>
      </c>
      <c r="M586" cm="1" vm="2088">
        <f t="array" aca="1" ref="M586" ca="1">IFERROR(INDEX(_xlfn.ANCHORARRAY($C$3),T_CALC[[#This Row],[DAY]]+1,3),NA())</f>
        <v>1.3526</v>
      </c>
      <c r="N586" cm="1" vm="1998">
        <f t="array" aca="1" ref="N586" ca="1">IFERROR(INDEX(_xlfn.ANCHORARRAY($C$3),T_CALC[[#This Row],[DAY]]+1,4),NA())</f>
        <v>1.3564000000000001</v>
      </c>
      <c r="O586" cm="1" vm="2663">
        <f t="array" aca="1" ref="O586" ca="1">IFERROR(INDEX(_xlfn.ANCHORARRAY($C$3),T_CALC[[#This Row],[DAY]]+1,5),NA())</f>
        <v>1.3517999999999999</v>
      </c>
      <c r="P586" cm="1" vm="2225">
        <f t="array" aca="1" ref="P586" ca="1">IFERROR(INDEX(_xlfn.ANCHORARRAY($C$3),T_CALC[[#This Row],[DAY]]+1,6),NA())</f>
        <v>1.3561000000000001</v>
      </c>
      <c r="Q586" cm="1">
        <f t="array" aca="1" ref="Q586" ca="1">IFERROR(INDEX(_xlfn.ANCHORARRAY($C$3),T_CALC[[#This Row],[DAY]]+1,2),NA())</f>
        <v>0</v>
      </c>
    </row>
    <row r="587" spans="3:17">
      <c r="C587" vm="3002">
        <f ca="1"/>
        <v>43574</v>
      </c>
      <c r="D587">
        <f ca="1"/>
        <v>0</v>
      </c>
      <c r="E587" vm="2930">
        <f ca="1"/>
        <v>1.3556999999999999</v>
      </c>
      <c r="F587" vm="2170">
        <f ca="1"/>
        <v>1.3559000000000001</v>
      </c>
      <c r="G587" vm="2148">
        <f ca="1"/>
        <v>1.3543000000000001</v>
      </c>
      <c r="H587" vm="2017">
        <f ca="1"/>
        <v>1.3549</v>
      </c>
      <c r="K587">
        <f ca="1">IF(ROW(T_CALC[[#This Row],[DAY]])-ROW(T_CALC[[#Headers],[DAY]])&gt;C_N_TRADING_DAYS,"",ROW(T_CALC[[#This Row],[DAY]])-ROW(T_CALC[[#Headers],[DAY]]))</f>
        <v>584</v>
      </c>
      <c r="L587" cm="1" vm="3002">
        <f t="array" aca="1" ref="L587" ca="1">IFERROR(INDEX(_xlfn.ANCHORARRAY($C$3),T_CALC[[#This Row],[DAY]]+1,1),NA())</f>
        <v>43574</v>
      </c>
      <c r="M587" cm="1" vm="2930">
        <f t="array" aca="1" ref="M587" ca="1">IFERROR(INDEX(_xlfn.ANCHORARRAY($C$3),T_CALC[[#This Row],[DAY]]+1,3),NA())</f>
        <v>1.3556999999999999</v>
      </c>
      <c r="N587" cm="1" vm="2170">
        <f t="array" aca="1" ref="N587" ca="1">IFERROR(INDEX(_xlfn.ANCHORARRAY($C$3),T_CALC[[#This Row],[DAY]]+1,4),NA())</f>
        <v>1.3559000000000001</v>
      </c>
      <c r="O587" cm="1" vm="2148">
        <f t="array" aca="1" ref="O587" ca="1">IFERROR(INDEX(_xlfn.ANCHORARRAY($C$3),T_CALC[[#This Row],[DAY]]+1,5),NA())</f>
        <v>1.3543000000000001</v>
      </c>
      <c r="P587" cm="1" vm="2017">
        <f t="array" aca="1" ref="P587" ca="1">IFERROR(INDEX(_xlfn.ANCHORARRAY($C$3),T_CALC[[#This Row],[DAY]]+1,6),NA())</f>
        <v>1.3549</v>
      </c>
      <c r="Q587" cm="1">
        <f t="array" aca="1" ref="Q587" ca="1">IFERROR(INDEX(_xlfn.ANCHORARRAY($C$3),T_CALC[[#This Row],[DAY]]+1,2),NA())</f>
        <v>0</v>
      </c>
    </row>
    <row r="588" spans="3:17">
      <c r="C588" vm="3003">
        <f ca="1"/>
        <v>43577</v>
      </c>
      <c r="D588">
        <f ca="1"/>
        <v>0</v>
      </c>
      <c r="E588" vm="2017">
        <f ca="1"/>
        <v>1.3549</v>
      </c>
      <c r="F588" vm="2000">
        <f ca="1"/>
        <v>1.3569</v>
      </c>
      <c r="G588" vm="2003">
        <f ca="1"/>
        <v>1.3545</v>
      </c>
      <c r="H588" vm="2170">
        <f ca="1"/>
        <v>1.3559000000000001</v>
      </c>
      <c r="K588">
        <f ca="1">IF(ROW(T_CALC[[#This Row],[DAY]])-ROW(T_CALC[[#Headers],[DAY]])&gt;C_N_TRADING_DAYS,"",ROW(T_CALC[[#This Row],[DAY]])-ROW(T_CALC[[#Headers],[DAY]]))</f>
        <v>585</v>
      </c>
      <c r="L588" cm="1" vm="3003">
        <f t="array" aca="1" ref="L588" ca="1">IFERROR(INDEX(_xlfn.ANCHORARRAY($C$3),T_CALC[[#This Row],[DAY]]+1,1),NA())</f>
        <v>43577</v>
      </c>
      <c r="M588" cm="1" vm="2017">
        <f t="array" aca="1" ref="M588" ca="1">IFERROR(INDEX(_xlfn.ANCHORARRAY($C$3),T_CALC[[#This Row],[DAY]]+1,3),NA())</f>
        <v>1.3549</v>
      </c>
      <c r="N588" cm="1" vm="2000">
        <f t="array" aca="1" ref="N588" ca="1">IFERROR(INDEX(_xlfn.ANCHORARRAY($C$3),T_CALC[[#This Row],[DAY]]+1,4),NA())</f>
        <v>1.3569</v>
      </c>
      <c r="O588" cm="1" vm="2003">
        <f t="array" aca="1" ref="O588" ca="1">IFERROR(INDEX(_xlfn.ANCHORARRAY($C$3),T_CALC[[#This Row],[DAY]]+1,5),NA())</f>
        <v>1.3545</v>
      </c>
      <c r="P588" cm="1" vm="2170">
        <f t="array" aca="1" ref="P588" ca="1">IFERROR(INDEX(_xlfn.ANCHORARRAY($C$3),T_CALC[[#This Row],[DAY]]+1,6),NA())</f>
        <v>1.3559000000000001</v>
      </c>
      <c r="Q588" cm="1">
        <f t="array" aca="1" ref="Q588" ca="1">IFERROR(INDEX(_xlfn.ANCHORARRAY($C$3),T_CALC[[#This Row],[DAY]]+1,2),NA())</f>
        <v>0</v>
      </c>
    </row>
    <row r="589" spans="3:17">
      <c r="C589" vm="3004">
        <f ca="1"/>
        <v>43578</v>
      </c>
      <c r="D589">
        <f ca="1"/>
        <v>0</v>
      </c>
      <c r="E589" vm="3005">
        <f ca="1"/>
        <v>1.3557999999999999</v>
      </c>
      <c r="F589" vm="2083">
        <f ca="1"/>
        <v>1.3584000000000001</v>
      </c>
      <c r="G589" vm="2017">
        <f ca="1"/>
        <v>1.3549</v>
      </c>
      <c r="H589" vm="2084">
        <f ca="1"/>
        <v>1.3566</v>
      </c>
      <c r="K589">
        <f ca="1">IF(ROW(T_CALC[[#This Row],[DAY]])-ROW(T_CALC[[#Headers],[DAY]])&gt;C_N_TRADING_DAYS,"",ROW(T_CALC[[#This Row],[DAY]])-ROW(T_CALC[[#Headers],[DAY]]))</f>
        <v>586</v>
      </c>
      <c r="L589" cm="1" vm="3004">
        <f t="array" aca="1" ref="L589" ca="1">IFERROR(INDEX(_xlfn.ANCHORARRAY($C$3),T_CALC[[#This Row],[DAY]]+1,1),NA())</f>
        <v>43578</v>
      </c>
      <c r="M589" cm="1" vm="3005">
        <f t="array" aca="1" ref="M589" ca="1">IFERROR(INDEX(_xlfn.ANCHORARRAY($C$3),T_CALC[[#This Row],[DAY]]+1,3),NA())</f>
        <v>1.3557999999999999</v>
      </c>
      <c r="N589" cm="1" vm="2083">
        <f t="array" aca="1" ref="N589" ca="1">IFERROR(INDEX(_xlfn.ANCHORARRAY($C$3),T_CALC[[#This Row],[DAY]]+1,4),NA())</f>
        <v>1.3584000000000001</v>
      </c>
      <c r="O589" cm="1" vm="2017">
        <f t="array" aca="1" ref="O589" ca="1">IFERROR(INDEX(_xlfn.ANCHORARRAY($C$3),T_CALC[[#This Row],[DAY]]+1,5),NA())</f>
        <v>1.3549</v>
      </c>
      <c r="P589" cm="1" vm="2084">
        <f t="array" aca="1" ref="P589" ca="1">IFERROR(INDEX(_xlfn.ANCHORARRAY($C$3),T_CALC[[#This Row],[DAY]]+1,6),NA())</f>
        <v>1.3566</v>
      </c>
      <c r="Q589" cm="1">
        <f t="array" aca="1" ref="Q589" ca="1">IFERROR(INDEX(_xlfn.ANCHORARRAY($C$3),T_CALC[[#This Row],[DAY]]+1,2),NA())</f>
        <v>0</v>
      </c>
    </row>
    <row r="590" spans="3:17">
      <c r="C590" vm="3006">
        <f ca="1"/>
        <v>43579</v>
      </c>
      <c r="D590">
        <f ca="1"/>
        <v>0</v>
      </c>
      <c r="E590" vm="2000">
        <f ca="1"/>
        <v>1.3569</v>
      </c>
      <c r="F590" vm="2027">
        <f ca="1"/>
        <v>1.3629</v>
      </c>
      <c r="G590" vm="2223">
        <f ca="1"/>
        <v>1.3562000000000001</v>
      </c>
      <c r="H590" vm="2213">
        <f ca="1"/>
        <v>1.3615999999999999</v>
      </c>
      <c r="K590">
        <f ca="1">IF(ROW(T_CALC[[#This Row],[DAY]])-ROW(T_CALC[[#Headers],[DAY]])&gt;C_N_TRADING_DAYS,"",ROW(T_CALC[[#This Row],[DAY]])-ROW(T_CALC[[#Headers],[DAY]]))</f>
        <v>587</v>
      </c>
      <c r="L590" cm="1" vm="3006">
        <f t="array" aca="1" ref="L590" ca="1">IFERROR(INDEX(_xlfn.ANCHORARRAY($C$3),T_CALC[[#This Row],[DAY]]+1,1),NA())</f>
        <v>43579</v>
      </c>
      <c r="M590" cm="1" vm="2000">
        <f t="array" aca="1" ref="M590" ca="1">IFERROR(INDEX(_xlfn.ANCHORARRAY($C$3),T_CALC[[#This Row],[DAY]]+1,3),NA())</f>
        <v>1.3569</v>
      </c>
      <c r="N590" cm="1" vm="2027">
        <f t="array" aca="1" ref="N590" ca="1">IFERROR(INDEX(_xlfn.ANCHORARRAY($C$3),T_CALC[[#This Row],[DAY]]+1,4),NA())</f>
        <v>1.3629</v>
      </c>
      <c r="O590" cm="1" vm="2223">
        <f t="array" aca="1" ref="O590" ca="1">IFERROR(INDEX(_xlfn.ANCHORARRAY($C$3),T_CALC[[#This Row],[DAY]]+1,5),NA())</f>
        <v>1.3562000000000001</v>
      </c>
      <c r="P590" cm="1" vm="2213">
        <f t="array" aca="1" ref="P590" ca="1">IFERROR(INDEX(_xlfn.ANCHORARRAY($C$3),T_CALC[[#This Row],[DAY]]+1,6),NA())</f>
        <v>1.3615999999999999</v>
      </c>
      <c r="Q590" cm="1">
        <f t="array" aca="1" ref="Q590" ca="1">IFERROR(INDEX(_xlfn.ANCHORARRAY($C$3),T_CALC[[#This Row],[DAY]]+1,2),NA())</f>
        <v>0</v>
      </c>
    </row>
    <row r="591" spans="3:17">
      <c r="C591" vm="3007">
        <f ca="1"/>
        <v>43580</v>
      </c>
      <c r="D591">
        <f ca="1"/>
        <v>0</v>
      </c>
      <c r="E591" vm="2060">
        <f ca="1"/>
        <v>1.3616999999999999</v>
      </c>
      <c r="F591" vm="2687">
        <f ca="1"/>
        <v>1.3656999999999999</v>
      </c>
      <c r="G591" vm="2076">
        <f ca="1"/>
        <v>1.361</v>
      </c>
      <c r="H591" vm="2675">
        <f ca="1"/>
        <v>1.3627</v>
      </c>
      <c r="K591">
        <f ca="1">IF(ROW(T_CALC[[#This Row],[DAY]])-ROW(T_CALC[[#Headers],[DAY]])&gt;C_N_TRADING_DAYS,"",ROW(T_CALC[[#This Row],[DAY]])-ROW(T_CALC[[#Headers],[DAY]]))</f>
        <v>588</v>
      </c>
      <c r="L591" cm="1" vm="3007">
        <f t="array" aca="1" ref="L591" ca="1">IFERROR(INDEX(_xlfn.ANCHORARRAY($C$3),T_CALC[[#This Row],[DAY]]+1,1),NA())</f>
        <v>43580</v>
      </c>
      <c r="M591" cm="1" vm="2060">
        <f t="array" aca="1" ref="M591" ca="1">IFERROR(INDEX(_xlfn.ANCHORARRAY($C$3),T_CALC[[#This Row],[DAY]]+1,3),NA())</f>
        <v>1.3616999999999999</v>
      </c>
      <c r="N591" cm="1" vm="2687">
        <f t="array" aca="1" ref="N591" ca="1">IFERROR(INDEX(_xlfn.ANCHORARRAY($C$3),T_CALC[[#This Row],[DAY]]+1,4),NA())</f>
        <v>1.3656999999999999</v>
      </c>
      <c r="O591" cm="1" vm="2076">
        <f t="array" aca="1" ref="O591" ca="1">IFERROR(INDEX(_xlfn.ANCHORARRAY($C$3),T_CALC[[#This Row],[DAY]]+1,5),NA())</f>
        <v>1.361</v>
      </c>
      <c r="P591" cm="1" vm="2675">
        <f t="array" aca="1" ref="P591" ca="1">IFERROR(INDEX(_xlfn.ANCHORARRAY($C$3),T_CALC[[#This Row],[DAY]]+1,6),NA())</f>
        <v>1.3627</v>
      </c>
      <c r="Q591" cm="1">
        <f t="array" aca="1" ref="Q591" ca="1">IFERROR(INDEX(_xlfn.ANCHORARRAY($C$3),T_CALC[[#This Row],[DAY]]+1,2),NA())</f>
        <v>0</v>
      </c>
    </row>
    <row r="592" spans="3:17">
      <c r="C592" vm="3008">
        <f ca="1"/>
        <v>43581</v>
      </c>
      <c r="D592">
        <f ca="1"/>
        <v>0</v>
      </c>
      <c r="E592" vm="2675">
        <f ca="1"/>
        <v>1.3627</v>
      </c>
      <c r="F592" vm="2026">
        <f ca="1"/>
        <v>1.3641000000000001</v>
      </c>
      <c r="G592" vm="2058">
        <f ca="1"/>
        <v>1.3593999999999999</v>
      </c>
      <c r="H592" vm="2060">
        <f ca="1"/>
        <v>1.3616999999999999</v>
      </c>
      <c r="K592">
        <f ca="1">IF(ROW(T_CALC[[#This Row],[DAY]])-ROW(T_CALC[[#Headers],[DAY]])&gt;C_N_TRADING_DAYS,"",ROW(T_CALC[[#This Row],[DAY]])-ROW(T_CALC[[#Headers],[DAY]]))</f>
        <v>589</v>
      </c>
      <c r="L592" cm="1" vm="3008">
        <f t="array" aca="1" ref="L592" ca="1">IFERROR(INDEX(_xlfn.ANCHORARRAY($C$3),T_CALC[[#This Row],[DAY]]+1,1),NA())</f>
        <v>43581</v>
      </c>
      <c r="M592" cm="1" vm="2675">
        <f t="array" aca="1" ref="M592" ca="1">IFERROR(INDEX(_xlfn.ANCHORARRAY($C$3),T_CALC[[#This Row],[DAY]]+1,3),NA())</f>
        <v>1.3627</v>
      </c>
      <c r="N592" cm="1" vm="2026">
        <f t="array" aca="1" ref="N592" ca="1">IFERROR(INDEX(_xlfn.ANCHORARRAY($C$3),T_CALC[[#This Row],[DAY]]+1,4),NA())</f>
        <v>1.3641000000000001</v>
      </c>
      <c r="O592" cm="1" vm="2058">
        <f t="array" aca="1" ref="O592" ca="1">IFERROR(INDEX(_xlfn.ANCHORARRAY($C$3),T_CALC[[#This Row],[DAY]]+1,5),NA())</f>
        <v>1.3593999999999999</v>
      </c>
      <c r="P592" cm="1" vm="2060">
        <f t="array" aca="1" ref="P592" ca="1">IFERROR(INDEX(_xlfn.ANCHORARRAY($C$3),T_CALC[[#This Row],[DAY]]+1,6),NA())</f>
        <v>1.3616999999999999</v>
      </c>
      <c r="Q592" cm="1">
        <f t="array" aca="1" ref="Q592" ca="1">IFERROR(INDEX(_xlfn.ANCHORARRAY($C$3),T_CALC[[#This Row],[DAY]]+1,2),NA())</f>
        <v>0</v>
      </c>
    </row>
    <row r="593" spans="3:17">
      <c r="C593" vm="3009">
        <f ca="1"/>
        <v>43584</v>
      </c>
      <c r="D593">
        <f ca="1"/>
        <v>0</v>
      </c>
      <c r="E593" vm="1980">
        <f ca="1"/>
        <v>1.3617999999999999</v>
      </c>
      <c r="F593" vm="2048">
        <f ca="1"/>
        <v>1.3628</v>
      </c>
      <c r="G593" vm="2202">
        <f ca="1"/>
        <v>1.3597999999999999</v>
      </c>
      <c r="H593" vm="2156">
        <f ca="1"/>
        <v>1.3613</v>
      </c>
      <c r="K593">
        <f ca="1">IF(ROW(T_CALC[[#This Row],[DAY]])-ROW(T_CALC[[#Headers],[DAY]])&gt;C_N_TRADING_DAYS,"",ROW(T_CALC[[#This Row],[DAY]])-ROW(T_CALC[[#Headers],[DAY]]))</f>
        <v>590</v>
      </c>
      <c r="L593" cm="1" vm="3009">
        <f t="array" aca="1" ref="L593" ca="1">IFERROR(INDEX(_xlfn.ANCHORARRAY($C$3),T_CALC[[#This Row],[DAY]]+1,1),NA())</f>
        <v>43584</v>
      </c>
      <c r="M593" cm="1" vm="1980">
        <f t="array" aca="1" ref="M593" ca="1">IFERROR(INDEX(_xlfn.ANCHORARRAY($C$3),T_CALC[[#This Row],[DAY]]+1,3),NA())</f>
        <v>1.3617999999999999</v>
      </c>
      <c r="N593" cm="1" vm="2048">
        <f t="array" aca="1" ref="N593" ca="1">IFERROR(INDEX(_xlfn.ANCHORARRAY($C$3),T_CALC[[#This Row],[DAY]]+1,4),NA())</f>
        <v>1.3628</v>
      </c>
      <c r="O593" cm="1" vm="2202">
        <f t="array" aca="1" ref="O593" ca="1">IFERROR(INDEX(_xlfn.ANCHORARRAY($C$3),T_CALC[[#This Row],[DAY]]+1,5),NA())</f>
        <v>1.3597999999999999</v>
      </c>
      <c r="P593" cm="1" vm="2156">
        <f t="array" aca="1" ref="P593" ca="1">IFERROR(INDEX(_xlfn.ANCHORARRAY($C$3),T_CALC[[#This Row],[DAY]]+1,6),NA())</f>
        <v>1.3613</v>
      </c>
      <c r="Q593" cm="1">
        <f t="array" aca="1" ref="Q593" ca="1">IFERROR(INDEX(_xlfn.ANCHORARRAY($C$3),T_CALC[[#This Row],[DAY]]+1,2),NA())</f>
        <v>0</v>
      </c>
    </row>
    <row r="594" spans="3:17">
      <c r="C594" vm="3010">
        <f ca="1"/>
        <v>43585</v>
      </c>
      <c r="D594">
        <f ca="1"/>
        <v>0</v>
      </c>
      <c r="E594" vm="2156">
        <f ca="1"/>
        <v>1.3613</v>
      </c>
      <c r="F594" vm="1982">
        <f ca="1"/>
        <v>1.3633</v>
      </c>
      <c r="G594" vm="1994">
        <f ca="1"/>
        <v>1.359</v>
      </c>
      <c r="H594" vm="2202">
        <f ca="1"/>
        <v>1.3597999999999999</v>
      </c>
      <c r="K594">
        <f ca="1">IF(ROW(T_CALC[[#This Row],[DAY]])-ROW(T_CALC[[#Headers],[DAY]])&gt;C_N_TRADING_DAYS,"",ROW(T_CALC[[#This Row],[DAY]])-ROW(T_CALC[[#Headers],[DAY]]))</f>
        <v>591</v>
      </c>
      <c r="L594" cm="1" vm="3010">
        <f t="array" aca="1" ref="L594" ca="1">IFERROR(INDEX(_xlfn.ANCHORARRAY($C$3),T_CALC[[#This Row],[DAY]]+1,1),NA())</f>
        <v>43585</v>
      </c>
      <c r="M594" cm="1" vm="2156">
        <f t="array" aca="1" ref="M594" ca="1">IFERROR(INDEX(_xlfn.ANCHORARRAY($C$3),T_CALC[[#This Row],[DAY]]+1,3),NA())</f>
        <v>1.3613</v>
      </c>
      <c r="N594" cm="1" vm="1982">
        <f t="array" aca="1" ref="N594" ca="1">IFERROR(INDEX(_xlfn.ANCHORARRAY($C$3),T_CALC[[#This Row],[DAY]]+1,4),NA())</f>
        <v>1.3633</v>
      </c>
      <c r="O594" cm="1" vm="1994">
        <f t="array" aca="1" ref="O594" ca="1">IFERROR(INDEX(_xlfn.ANCHORARRAY($C$3),T_CALC[[#This Row],[DAY]]+1,5),NA())</f>
        <v>1.359</v>
      </c>
      <c r="P594" cm="1" vm="2202">
        <f t="array" aca="1" ref="P594" ca="1">IFERROR(INDEX(_xlfn.ANCHORARRAY($C$3),T_CALC[[#This Row],[DAY]]+1,6),NA())</f>
        <v>1.3597999999999999</v>
      </c>
      <c r="Q594" cm="1">
        <f t="array" aca="1" ref="Q594" ca="1">IFERROR(INDEX(_xlfn.ANCHORARRAY($C$3),T_CALC[[#This Row],[DAY]]+1,2),NA())</f>
        <v>0</v>
      </c>
    </row>
    <row r="595" spans="3:17">
      <c r="C595" vm="3011">
        <f ca="1"/>
        <v>43586</v>
      </c>
      <c r="D595">
        <f ca="1"/>
        <v>0</v>
      </c>
      <c r="E595" vm="2218">
        <f ca="1"/>
        <v>1.3596999999999999</v>
      </c>
      <c r="F595" vm="1975">
        <f ca="1"/>
        <v>1.3621000000000001</v>
      </c>
      <c r="G595" vm="2000">
        <f ca="1"/>
        <v>1.3569</v>
      </c>
      <c r="H595" vm="2040">
        <f ca="1"/>
        <v>1.3614999999999999</v>
      </c>
      <c r="K595">
        <f ca="1">IF(ROW(T_CALC[[#This Row],[DAY]])-ROW(T_CALC[[#Headers],[DAY]])&gt;C_N_TRADING_DAYS,"",ROW(T_CALC[[#This Row],[DAY]])-ROW(T_CALC[[#Headers],[DAY]]))</f>
        <v>592</v>
      </c>
      <c r="L595" cm="1" vm="3011">
        <f t="array" aca="1" ref="L595" ca="1">IFERROR(INDEX(_xlfn.ANCHORARRAY($C$3),T_CALC[[#This Row],[DAY]]+1,1),NA())</f>
        <v>43586</v>
      </c>
      <c r="M595" cm="1" vm="2218">
        <f t="array" aca="1" ref="M595" ca="1">IFERROR(INDEX(_xlfn.ANCHORARRAY($C$3),T_CALC[[#This Row],[DAY]]+1,3),NA())</f>
        <v>1.3596999999999999</v>
      </c>
      <c r="N595" cm="1" vm="1975">
        <f t="array" aca="1" ref="N595" ca="1">IFERROR(INDEX(_xlfn.ANCHORARRAY($C$3),T_CALC[[#This Row],[DAY]]+1,4),NA())</f>
        <v>1.3621000000000001</v>
      </c>
      <c r="O595" cm="1" vm="2000">
        <f t="array" aca="1" ref="O595" ca="1">IFERROR(INDEX(_xlfn.ANCHORARRAY($C$3),T_CALC[[#This Row],[DAY]]+1,5),NA())</f>
        <v>1.3569</v>
      </c>
      <c r="P595" cm="1" vm="2040">
        <f t="array" aca="1" ref="P595" ca="1">IFERROR(INDEX(_xlfn.ANCHORARRAY($C$3),T_CALC[[#This Row],[DAY]]+1,6),NA())</f>
        <v>1.3614999999999999</v>
      </c>
      <c r="Q595" cm="1">
        <f t="array" aca="1" ref="Q595" ca="1">IFERROR(INDEX(_xlfn.ANCHORARRAY($C$3),T_CALC[[#This Row],[DAY]]+1,2),NA())</f>
        <v>0</v>
      </c>
    </row>
    <row r="596" spans="3:17">
      <c r="C596" vm="3012">
        <f ca="1"/>
        <v>43587</v>
      </c>
      <c r="D596">
        <f ca="1"/>
        <v>0</v>
      </c>
      <c r="E596" vm="2053">
        <f ca="1"/>
        <v>1.3609</v>
      </c>
      <c r="F596" vm="2033">
        <f ca="1"/>
        <v>1.3632</v>
      </c>
      <c r="G596" vm="2051">
        <f ca="1"/>
        <v>1.3594999999999999</v>
      </c>
      <c r="H596" vm="2675">
        <f ca="1"/>
        <v>1.3627</v>
      </c>
      <c r="K596">
        <f ca="1">IF(ROW(T_CALC[[#This Row],[DAY]])-ROW(T_CALC[[#Headers],[DAY]])&gt;C_N_TRADING_DAYS,"",ROW(T_CALC[[#This Row],[DAY]])-ROW(T_CALC[[#Headers],[DAY]]))</f>
        <v>593</v>
      </c>
      <c r="L596" cm="1" vm="3012">
        <f t="array" aca="1" ref="L596" ca="1">IFERROR(INDEX(_xlfn.ANCHORARRAY($C$3),T_CALC[[#This Row],[DAY]]+1,1),NA())</f>
        <v>43587</v>
      </c>
      <c r="M596" cm="1" vm="2053">
        <f t="array" aca="1" ref="M596" ca="1">IFERROR(INDEX(_xlfn.ANCHORARRAY($C$3),T_CALC[[#This Row],[DAY]]+1,3),NA())</f>
        <v>1.3609</v>
      </c>
      <c r="N596" cm="1" vm="2033">
        <f t="array" aca="1" ref="N596" ca="1">IFERROR(INDEX(_xlfn.ANCHORARRAY($C$3),T_CALC[[#This Row],[DAY]]+1,4),NA())</f>
        <v>1.3632</v>
      </c>
      <c r="O596" cm="1" vm="2051">
        <f t="array" aca="1" ref="O596" ca="1">IFERROR(INDEX(_xlfn.ANCHORARRAY($C$3),T_CALC[[#This Row],[DAY]]+1,5),NA())</f>
        <v>1.3594999999999999</v>
      </c>
      <c r="P596" cm="1" vm="2675">
        <f t="array" aca="1" ref="P596" ca="1">IFERROR(INDEX(_xlfn.ANCHORARRAY($C$3),T_CALC[[#This Row],[DAY]]+1,6),NA())</f>
        <v>1.3627</v>
      </c>
      <c r="Q596" cm="1">
        <f t="array" aca="1" ref="Q596" ca="1">IFERROR(INDEX(_xlfn.ANCHORARRAY($C$3),T_CALC[[#This Row],[DAY]]+1,2),NA())</f>
        <v>0</v>
      </c>
    </row>
    <row r="597" spans="3:17">
      <c r="C597" vm="3013">
        <f ca="1"/>
        <v>43588</v>
      </c>
      <c r="D597">
        <f ca="1"/>
        <v>0</v>
      </c>
      <c r="E597" vm="2054">
        <f ca="1"/>
        <v>1.3622000000000001</v>
      </c>
      <c r="F597" vm="2685">
        <f ca="1"/>
        <v>1.3645</v>
      </c>
      <c r="G597" vm="2051">
        <f ca="1"/>
        <v>1.3594999999999999</v>
      </c>
      <c r="H597" vm="2020">
        <f ca="1"/>
        <v>1.3603000000000001</v>
      </c>
      <c r="K597">
        <f ca="1">IF(ROW(T_CALC[[#This Row],[DAY]])-ROW(T_CALC[[#Headers],[DAY]])&gt;C_N_TRADING_DAYS,"",ROW(T_CALC[[#This Row],[DAY]])-ROW(T_CALC[[#Headers],[DAY]]))</f>
        <v>594</v>
      </c>
      <c r="L597" cm="1" vm="3013">
        <f t="array" aca="1" ref="L597" ca="1">IFERROR(INDEX(_xlfn.ANCHORARRAY($C$3),T_CALC[[#This Row],[DAY]]+1,1),NA())</f>
        <v>43588</v>
      </c>
      <c r="M597" cm="1" vm="2054">
        <f t="array" aca="1" ref="M597" ca="1">IFERROR(INDEX(_xlfn.ANCHORARRAY($C$3),T_CALC[[#This Row],[DAY]]+1,3),NA())</f>
        <v>1.3622000000000001</v>
      </c>
      <c r="N597" cm="1" vm="2685">
        <f t="array" aca="1" ref="N597" ca="1">IFERROR(INDEX(_xlfn.ANCHORARRAY($C$3),T_CALC[[#This Row],[DAY]]+1,4),NA())</f>
        <v>1.3645</v>
      </c>
      <c r="O597" cm="1" vm="2051">
        <f t="array" aca="1" ref="O597" ca="1">IFERROR(INDEX(_xlfn.ANCHORARRAY($C$3),T_CALC[[#This Row],[DAY]]+1,5),NA())</f>
        <v>1.3594999999999999</v>
      </c>
      <c r="P597" cm="1" vm="2020">
        <f t="array" aca="1" ref="P597" ca="1">IFERROR(INDEX(_xlfn.ANCHORARRAY($C$3),T_CALC[[#This Row],[DAY]]+1,6),NA())</f>
        <v>1.3603000000000001</v>
      </c>
      <c r="Q597" cm="1">
        <f t="array" aca="1" ref="Q597" ca="1">IFERROR(INDEX(_xlfn.ANCHORARRAY($C$3),T_CALC[[#This Row],[DAY]]+1,2),NA())</f>
        <v>0</v>
      </c>
    </row>
    <row r="598" spans="3:17">
      <c r="C598" vm="3014">
        <f ca="1"/>
        <v>43591</v>
      </c>
      <c r="D598">
        <f ca="1"/>
        <v>0</v>
      </c>
      <c r="E598" vm="2158">
        <f ca="1"/>
        <v>1.3605</v>
      </c>
      <c r="F598" vm="2210">
        <f ca="1"/>
        <v>1.3658999999999999</v>
      </c>
      <c r="G598" vm="2020">
        <f ca="1"/>
        <v>1.3603000000000001</v>
      </c>
      <c r="H598" vm="2050">
        <f ca="1"/>
        <v>1.363</v>
      </c>
      <c r="K598">
        <f ca="1">IF(ROW(T_CALC[[#This Row],[DAY]])-ROW(T_CALC[[#Headers],[DAY]])&gt;C_N_TRADING_DAYS,"",ROW(T_CALC[[#This Row],[DAY]])-ROW(T_CALC[[#Headers],[DAY]]))</f>
        <v>595</v>
      </c>
      <c r="L598" cm="1" vm="3014">
        <f t="array" aca="1" ref="L598" ca="1">IFERROR(INDEX(_xlfn.ANCHORARRAY($C$3),T_CALC[[#This Row],[DAY]]+1,1),NA())</f>
        <v>43591</v>
      </c>
      <c r="M598" cm="1" vm="2158">
        <f t="array" aca="1" ref="M598" ca="1">IFERROR(INDEX(_xlfn.ANCHORARRAY($C$3),T_CALC[[#This Row],[DAY]]+1,3),NA())</f>
        <v>1.3605</v>
      </c>
      <c r="N598" cm="1" vm="2210">
        <f t="array" aca="1" ref="N598" ca="1">IFERROR(INDEX(_xlfn.ANCHORARRAY($C$3),T_CALC[[#This Row],[DAY]]+1,4),NA())</f>
        <v>1.3658999999999999</v>
      </c>
      <c r="O598" cm="1" vm="2020">
        <f t="array" aca="1" ref="O598" ca="1">IFERROR(INDEX(_xlfn.ANCHORARRAY($C$3),T_CALC[[#This Row],[DAY]]+1,5),NA())</f>
        <v>1.3603000000000001</v>
      </c>
      <c r="P598" cm="1" vm="2050">
        <f t="array" aca="1" ref="P598" ca="1">IFERROR(INDEX(_xlfn.ANCHORARRAY($C$3),T_CALC[[#This Row],[DAY]]+1,6),NA())</f>
        <v>1.363</v>
      </c>
      <c r="Q598" cm="1">
        <f t="array" aca="1" ref="Q598" ca="1">IFERROR(INDEX(_xlfn.ANCHORARRAY($C$3),T_CALC[[#This Row],[DAY]]+1,2),NA())</f>
        <v>0</v>
      </c>
    </row>
    <row r="599" spans="3:17">
      <c r="C599" vm="3015">
        <f ca="1"/>
        <v>43592</v>
      </c>
      <c r="D599">
        <f ca="1"/>
        <v>0</v>
      </c>
      <c r="E599" vm="2023">
        <f ca="1"/>
        <v>1.3626</v>
      </c>
      <c r="F599" vm="1970">
        <f ca="1"/>
        <v>1.3643000000000001</v>
      </c>
      <c r="G599" vm="2020">
        <f ca="1"/>
        <v>1.3603000000000001</v>
      </c>
      <c r="H599" vm="2023">
        <f ca="1"/>
        <v>1.3626</v>
      </c>
      <c r="K599">
        <f ca="1">IF(ROW(T_CALC[[#This Row],[DAY]])-ROW(T_CALC[[#Headers],[DAY]])&gt;C_N_TRADING_DAYS,"",ROW(T_CALC[[#This Row],[DAY]])-ROW(T_CALC[[#Headers],[DAY]]))</f>
        <v>596</v>
      </c>
      <c r="L599" cm="1" vm="3015">
        <f t="array" aca="1" ref="L599" ca="1">IFERROR(INDEX(_xlfn.ANCHORARRAY($C$3),T_CALC[[#This Row],[DAY]]+1,1),NA())</f>
        <v>43592</v>
      </c>
      <c r="M599" cm="1" vm="2023">
        <f t="array" aca="1" ref="M599" ca="1">IFERROR(INDEX(_xlfn.ANCHORARRAY($C$3),T_CALC[[#This Row],[DAY]]+1,3),NA())</f>
        <v>1.3626</v>
      </c>
      <c r="N599" cm="1" vm="1970">
        <f t="array" aca="1" ref="N599" ca="1">IFERROR(INDEX(_xlfn.ANCHORARRAY($C$3),T_CALC[[#This Row],[DAY]]+1,4),NA())</f>
        <v>1.3643000000000001</v>
      </c>
      <c r="O599" cm="1" vm="2020">
        <f t="array" aca="1" ref="O599" ca="1">IFERROR(INDEX(_xlfn.ANCHORARRAY($C$3),T_CALC[[#This Row],[DAY]]+1,5),NA())</f>
        <v>1.3603000000000001</v>
      </c>
      <c r="P599" cm="1" vm="2023">
        <f t="array" aca="1" ref="P599" ca="1">IFERROR(INDEX(_xlfn.ANCHORARRAY($C$3),T_CALC[[#This Row],[DAY]]+1,6),NA())</f>
        <v>1.3626</v>
      </c>
      <c r="Q599" cm="1">
        <f t="array" aca="1" ref="Q599" ca="1">IFERROR(INDEX(_xlfn.ANCHORARRAY($C$3),T_CALC[[#This Row],[DAY]]+1,2),NA())</f>
        <v>0</v>
      </c>
    </row>
    <row r="600" spans="3:17">
      <c r="C600" vm="3016">
        <f ca="1"/>
        <v>43593</v>
      </c>
      <c r="D600">
        <f ca="1"/>
        <v>0</v>
      </c>
      <c r="E600" vm="2023">
        <f ca="1"/>
        <v>1.3626</v>
      </c>
      <c r="F600" vm="2033">
        <f ca="1"/>
        <v>1.3632</v>
      </c>
      <c r="G600" vm="2202">
        <f ca="1"/>
        <v>1.3597999999999999</v>
      </c>
      <c r="H600" vm="2054">
        <f ca="1"/>
        <v>1.3622000000000001</v>
      </c>
      <c r="K600">
        <f ca="1">IF(ROW(T_CALC[[#This Row],[DAY]])-ROW(T_CALC[[#Headers],[DAY]])&gt;C_N_TRADING_DAYS,"",ROW(T_CALC[[#This Row],[DAY]])-ROW(T_CALC[[#Headers],[DAY]]))</f>
        <v>597</v>
      </c>
      <c r="L600" cm="1" vm="3016">
        <f t="array" aca="1" ref="L600" ca="1">IFERROR(INDEX(_xlfn.ANCHORARRAY($C$3),T_CALC[[#This Row],[DAY]]+1,1),NA())</f>
        <v>43593</v>
      </c>
      <c r="M600" cm="1" vm="2023">
        <f t="array" aca="1" ref="M600" ca="1">IFERROR(INDEX(_xlfn.ANCHORARRAY($C$3),T_CALC[[#This Row],[DAY]]+1,3),NA())</f>
        <v>1.3626</v>
      </c>
      <c r="N600" cm="1" vm="2033">
        <f t="array" aca="1" ref="N600" ca="1">IFERROR(INDEX(_xlfn.ANCHORARRAY($C$3),T_CALC[[#This Row],[DAY]]+1,4),NA())</f>
        <v>1.3632</v>
      </c>
      <c r="O600" cm="1" vm="2202">
        <f t="array" aca="1" ref="O600" ca="1">IFERROR(INDEX(_xlfn.ANCHORARRAY($C$3),T_CALC[[#This Row],[DAY]]+1,5),NA())</f>
        <v>1.3597999999999999</v>
      </c>
      <c r="P600" cm="1" vm="2054">
        <f t="array" aca="1" ref="P600" ca="1">IFERROR(INDEX(_xlfn.ANCHORARRAY($C$3),T_CALC[[#This Row],[DAY]]+1,6),NA())</f>
        <v>1.3622000000000001</v>
      </c>
      <c r="Q600" cm="1">
        <f t="array" aca="1" ref="Q600" ca="1">IFERROR(INDEX(_xlfn.ANCHORARRAY($C$3),T_CALC[[#This Row],[DAY]]+1,2),NA())</f>
        <v>0</v>
      </c>
    </row>
    <row r="601" spans="3:17">
      <c r="C601" vm="3017">
        <f ca="1"/>
        <v>43594</v>
      </c>
      <c r="D601">
        <f ca="1"/>
        <v>0</v>
      </c>
      <c r="E601" vm="2054">
        <f ca="1"/>
        <v>1.3622000000000001</v>
      </c>
      <c r="F601" vm="1972">
        <f ca="1"/>
        <v>1.3655999999999999</v>
      </c>
      <c r="G601" vm="1996">
        <f ca="1"/>
        <v>1.3613999999999999</v>
      </c>
      <c r="H601" vm="1970">
        <f ca="1"/>
        <v>1.3643000000000001</v>
      </c>
      <c r="K601">
        <f ca="1">IF(ROW(T_CALC[[#This Row],[DAY]])-ROW(T_CALC[[#Headers],[DAY]])&gt;C_N_TRADING_DAYS,"",ROW(T_CALC[[#This Row],[DAY]])-ROW(T_CALC[[#Headers],[DAY]]))</f>
        <v>598</v>
      </c>
      <c r="L601" cm="1" vm="3017">
        <f t="array" aca="1" ref="L601" ca="1">IFERROR(INDEX(_xlfn.ANCHORARRAY($C$3),T_CALC[[#This Row],[DAY]]+1,1),NA())</f>
        <v>43594</v>
      </c>
      <c r="M601" cm="1" vm="2054">
        <f t="array" aca="1" ref="M601" ca="1">IFERROR(INDEX(_xlfn.ANCHORARRAY($C$3),T_CALC[[#This Row],[DAY]]+1,3),NA())</f>
        <v>1.3622000000000001</v>
      </c>
      <c r="N601" cm="1" vm="1972">
        <f t="array" aca="1" ref="N601" ca="1">IFERROR(INDEX(_xlfn.ANCHORARRAY($C$3),T_CALC[[#This Row],[DAY]]+1,4),NA())</f>
        <v>1.3655999999999999</v>
      </c>
      <c r="O601" cm="1" vm="1996">
        <f t="array" aca="1" ref="O601" ca="1">IFERROR(INDEX(_xlfn.ANCHORARRAY($C$3),T_CALC[[#This Row],[DAY]]+1,5),NA())</f>
        <v>1.3613999999999999</v>
      </c>
      <c r="P601" cm="1" vm="1970">
        <f t="array" aca="1" ref="P601" ca="1">IFERROR(INDEX(_xlfn.ANCHORARRAY($C$3),T_CALC[[#This Row],[DAY]]+1,6),NA())</f>
        <v>1.3643000000000001</v>
      </c>
      <c r="Q601" cm="1">
        <f t="array" aca="1" ref="Q601" ca="1">IFERROR(INDEX(_xlfn.ANCHORARRAY($C$3),T_CALC[[#This Row],[DAY]]+1,2),NA())</f>
        <v>0</v>
      </c>
    </row>
    <row r="602" spans="3:17">
      <c r="C602" vm="3018">
        <f ca="1"/>
        <v>43595</v>
      </c>
      <c r="D602">
        <f ca="1"/>
        <v>0</v>
      </c>
      <c r="E602" vm="2162">
        <f ca="1"/>
        <v>1.3640000000000001</v>
      </c>
      <c r="F602" vm="1961">
        <f ca="1"/>
        <v>1.3648</v>
      </c>
      <c r="G602" vm="1996">
        <f ca="1"/>
        <v>1.3613999999999999</v>
      </c>
      <c r="H602" vm="2023">
        <f ca="1"/>
        <v>1.3626</v>
      </c>
      <c r="K602">
        <f ca="1">IF(ROW(T_CALC[[#This Row],[DAY]])-ROW(T_CALC[[#Headers],[DAY]])&gt;C_N_TRADING_DAYS,"",ROW(T_CALC[[#This Row],[DAY]])-ROW(T_CALC[[#Headers],[DAY]]))</f>
        <v>599</v>
      </c>
      <c r="L602" cm="1" vm="3018">
        <f t="array" aca="1" ref="L602" ca="1">IFERROR(INDEX(_xlfn.ANCHORARRAY($C$3),T_CALC[[#This Row],[DAY]]+1,1),NA())</f>
        <v>43595</v>
      </c>
      <c r="M602" cm="1" vm="2162">
        <f t="array" aca="1" ref="M602" ca="1">IFERROR(INDEX(_xlfn.ANCHORARRAY($C$3),T_CALC[[#This Row],[DAY]]+1,3),NA())</f>
        <v>1.3640000000000001</v>
      </c>
      <c r="N602" cm="1" vm="1961">
        <f t="array" aca="1" ref="N602" ca="1">IFERROR(INDEX(_xlfn.ANCHORARRAY($C$3),T_CALC[[#This Row],[DAY]]+1,4),NA())</f>
        <v>1.3648</v>
      </c>
      <c r="O602" cm="1" vm="1996">
        <f t="array" aca="1" ref="O602" ca="1">IFERROR(INDEX(_xlfn.ANCHORARRAY($C$3),T_CALC[[#This Row],[DAY]]+1,5),NA())</f>
        <v>1.3613999999999999</v>
      </c>
      <c r="P602" cm="1" vm="2023">
        <f t="array" aca="1" ref="P602" ca="1">IFERROR(INDEX(_xlfn.ANCHORARRAY($C$3),T_CALC[[#This Row],[DAY]]+1,6),NA())</f>
        <v>1.3626</v>
      </c>
      <c r="Q602" cm="1">
        <f t="array" aca="1" ref="Q602" ca="1">IFERROR(INDEX(_xlfn.ANCHORARRAY($C$3),T_CALC[[#This Row],[DAY]]+1,2),NA())</f>
        <v>0</v>
      </c>
    </row>
    <row r="603" spans="3:17">
      <c r="C603" vm="3019">
        <f ca="1"/>
        <v>43598</v>
      </c>
      <c r="D603">
        <f ca="1"/>
        <v>0</v>
      </c>
      <c r="E603" vm="2054">
        <f ca="1"/>
        <v>1.3622000000000001</v>
      </c>
      <c r="F603" vm="2791">
        <f ca="1"/>
        <v>1.3707</v>
      </c>
      <c r="G603" vm="1975">
        <f ca="1"/>
        <v>1.3621000000000001</v>
      </c>
      <c r="H603" vm="1965">
        <f ca="1"/>
        <v>1.3698999999999999</v>
      </c>
      <c r="K603">
        <f ca="1">IF(ROW(T_CALC[[#This Row],[DAY]])-ROW(T_CALC[[#Headers],[DAY]])&gt;C_N_TRADING_DAYS,"",ROW(T_CALC[[#This Row],[DAY]])-ROW(T_CALC[[#Headers],[DAY]]))</f>
        <v>600</v>
      </c>
      <c r="L603" cm="1" vm="3019">
        <f t="array" aca="1" ref="L603" ca="1">IFERROR(INDEX(_xlfn.ANCHORARRAY($C$3),T_CALC[[#This Row],[DAY]]+1,1),NA())</f>
        <v>43598</v>
      </c>
      <c r="M603" cm="1" vm="2054">
        <f t="array" aca="1" ref="M603" ca="1">IFERROR(INDEX(_xlfn.ANCHORARRAY($C$3),T_CALC[[#This Row],[DAY]]+1,3),NA())</f>
        <v>1.3622000000000001</v>
      </c>
      <c r="N603" cm="1" vm="2791">
        <f t="array" aca="1" ref="N603" ca="1">IFERROR(INDEX(_xlfn.ANCHORARRAY($C$3),T_CALC[[#This Row],[DAY]]+1,4),NA())</f>
        <v>1.3707</v>
      </c>
      <c r="O603" cm="1" vm="1975">
        <f t="array" aca="1" ref="O603" ca="1">IFERROR(INDEX(_xlfn.ANCHORARRAY($C$3),T_CALC[[#This Row],[DAY]]+1,5),NA())</f>
        <v>1.3621000000000001</v>
      </c>
      <c r="P603" cm="1" vm="1965">
        <f t="array" aca="1" ref="P603" ca="1">IFERROR(INDEX(_xlfn.ANCHORARRAY($C$3),T_CALC[[#This Row],[DAY]]+1,6),NA())</f>
        <v>1.3698999999999999</v>
      </c>
      <c r="Q603" cm="1">
        <f t="array" aca="1" ref="Q603" ca="1">IFERROR(INDEX(_xlfn.ANCHORARRAY($C$3),T_CALC[[#This Row],[DAY]]+1,2),NA())</f>
        <v>0</v>
      </c>
    </row>
    <row r="604" spans="3:17">
      <c r="C604" vm="3020">
        <f ca="1"/>
        <v>43599</v>
      </c>
      <c r="D604">
        <f ca="1"/>
        <v>0</v>
      </c>
      <c r="E604" vm="2746">
        <f ca="1"/>
        <v>1.3703000000000001</v>
      </c>
      <c r="F604" vm="2791">
        <f ca="1"/>
        <v>1.3707</v>
      </c>
      <c r="G604" vm="2047">
        <f ca="1"/>
        <v>1.3673</v>
      </c>
      <c r="H604" vm="2676">
        <f ca="1"/>
        <v>1.3685</v>
      </c>
      <c r="K604">
        <f ca="1">IF(ROW(T_CALC[[#This Row],[DAY]])-ROW(T_CALC[[#Headers],[DAY]])&gt;C_N_TRADING_DAYS,"",ROW(T_CALC[[#This Row],[DAY]])-ROW(T_CALC[[#Headers],[DAY]]))</f>
        <v>601</v>
      </c>
      <c r="L604" cm="1" vm="3020">
        <f t="array" aca="1" ref="L604" ca="1">IFERROR(INDEX(_xlfn.ANCHORARRAY($C$3),T_CALC[[#This Row],[DAY]]+1,1),NA())</f>
        <v>43599</v>
      </c>
      <c r="M604" cm="1" vm="2746">
        <f t="array" aca="1" ref="M604" ca="1">IFERROR(INDEX(_xlfn.ANCHORARRAY($C$3),T_CALC[[#This Row],[DAY]]+1,3),NA())</f>
        <v>1.3703000000000001</v>
      </c>
      <c r="N604" cm="1" vm="2791">
        <f t="array" aca="1" ref="N604" ca="1">IFERROR(INDEX(_xlfn.ANCHORARRAY($C$3),T_CALC[[#This Row],[DAY]]+1,4),NA())</f>
        <v>1.3707</v>
      </c>
      <c r="O604" cm="1" vm="2047">
        <f t="array" aca="1" ref="O604" ca="1">IFERROR(INDEX(_xlfn.ANCHORARRAY($C$3),T_CALC[[#This Row],[DAY]]+1,5),NA())</f>
        <v>1.3673</v>
      </c>
      <c r="P604" cm="1" vm="2676">
        <f t="array" aca="1" ref="P604" ca="1">IFERROR(INDEX(_xlfn.ANCHORARRAY($C$3),T_CALC[[#This Row],[DAY]]+1,6),NA())</f>
        <v>1.3685</v>
      </c>
      <c r="Q604" cm="1">
        <f t="array" aca="1" ref="Q604" ca="1">IFERROR(INDEX(_xlfn.ANCHORARRAY($C$3),T_CALC[[#This Row],[DAY]]+1,2),NA())</f>
        <v>0</v>
      </c>
    </row>
    <row r="605" spans="3:17">
      <c r="C605" vm="3021">
        <f ca="1"/>
        <v>43601</v>
      </c>
      <c r="D605">
        <f ca="1"/>
        <v>0</v>
      </c>
      <c r="E605" vm="2801">
        <f ca="1"/>
        <v>1.3680000000000001</v>
      </c>
      <c r="F605" vm="2731">
        <f ca="1"/>
        <v>1.3728</v>
      </c>
      <c r="G605" vm="2047">
        <f ca="1"/>
        <v>1.3673</v>
      </c>
      <c r="H605" vm="2829">
        <f ca="1"/>
        <v>1.3723000000000001</v>
      </c>
      <c r="K605">
        <f ca="1">IF(ROW(T_CALC[[#This Row],[DAY]])-ROW(T_CALC[[#Headers],[DAY]])&gt;C_N_TRADING_DAYS,"",ROW(T_CALC[[#This Row],[DAY]])-ROW(T_CALC[[#Headers],[DAY]]))</f>
        <v>602</v>
      </c>
      <c r="L605" cm="1" vm="3021">
        <f t="array" aca="1" ref="L605" ca="1">IFERROR(INDEX(_xlfn.ANCHORARRAY($C$3),T_CALC[[#This Row],[DAY]]+1,1),NA())</f>
        <v>43601</v>
      </c>
      <c r="M605" cm="1" vm="2801">
        <f t="array" aca="1" ref="M605" ca="1">IFERROR(INDEX(_xlfn.ANCHORARRAY($C$3),T_CALC[[#This Row],[DAY]]+1,3),NA())</f>
        <v>1.3680000000000001</v>
      </c>
      <c r="N605" cm="1" vm="2731">
        <f t="array" aca="1" ref="N605" ca="1">IFERROR(INDEX(_xlfn.ANCHORARRAY($C$3),T_CALC[[#This Row],[DAY]]+1,4),NA())</f>
        <v>1.3728</v>
      </c>
      <c r="O605" cm="1" vm="2047">
        <f t="array" aca="1" ref="O605" ca="1">IFERROR(INDEX(_xlfn.ANCHORARRAY($C$3),T_CALC[[#This Row],[DAY]]+1,5),NA())</f>
        <v>1.3673</v>
      </c>
      <c r="P605" cm="1" vm="2829">
        <f t="array" aca="1" ref="P605" ca="1">IFERROR(INDEX(_xlfn.ANCHORARRAY($C$3),T_CALC[[#This Row],[DAY]]+1,6),NA())</f>
        <v>1.3723000000000001</v>
      </c>
      <c r="Q605" cm="1">
        <f t="array" aca="1" ref="Q605" ca="1">IFERROR(INDEX(_xlfn.ANCHORARRAY($C$3),T_CALC[[#This Row],[DAY]]+1,2),NA())</f>
        <v>0</v>
      </c>
    </row>
    <row r="606" spans="3:17">
      <c r="C606" vm="3022">
        <f ca="1"/>
        <v>43602</v>
      </c>
      <c r="D606">
        <f ca="1"/>
        <v>0</v>
      </c>
      <c r="E606" vm="2829">
        <f ca="1"/>
        <v>1.3723000000000001</v>
      </c>
      <c r="F606" vm="1857">
        <f ca="1"/>
        <v>1.3781000000000001</v>
      </c>
      <c r="G606" vm="2782">
        <f ca="1"/>
        <v>1.3717999999999999</v>
      </c>
      <c r="H606" vm="2898">
        <f ca="1"/>
        <v>1.3772</v>
      </c>
      <c r="K606">
        <f ca="1">IF(ROW(T_CALC[[#This Row],[DAY]])-ROW(T_CALC[[#Headers],[DAY]])&gt;C_N_TRADING_DAYS,"",ROW(T_CALC[[#This Row],[DAY]])-ROW(T_CALC[[#Headers],[DAY]]))</f>
        <v>603</v>
      </c>
      <c r="L606" cm="1" vm="3022">
        <f t="array" aca="1" ref="L606" ca="1">IFERROR(INDEX(_xlfn.ANCHORARRAY($C$3),T_CALC[[#This Row],[DAY]]+1,1),NA())</f>
        <v>43602</v>
      </c>
      <c r="M606" cm="1" vm="2829">
        <f t="array" aca="1" ref="M606" ca="1">IFERROR(INDEX(_xlfn.ANCHORARRAY($C$3),T_CALC[[#This Row],[DAY]]+1,3),NA())</f>
        <v>1.3723000000000001</v>
      </c>
      <c r="N606" cm="1" vm="1857">
        <f t="array" aca="1" ref="N606" ca="1">IFERROR(INDEX(_xlfn.ANCHORARRAY($C$3),T_CALC[[#This Row],[DAY]]+1,4),NA())</f>
        <v>1.3781000000000001</v>
      </c>
      <c r="O606" cm="1" vm="2782">
        <f t="array" aca="1" ref="O606" ca="1">IFERROR(INDEX(_xlfn.ANCHORARRAY($C$3),T_CALC[[#This Row],[DAY]]+1,5),NA())</f>
        <v>1.3717999999999999</v>
      </c>
      <c r="P606" cm="1" vm="2898">
        <f t="array" aca="1" ref="P606" ca="1">IFERROR(INDEX(_xlfn.ANCHORARRAY($C$3),T_CALC[[#This Row],[DAY]]+1,6),NA())</f>
        <v>1.3772</v>
      </c>
      <c r="Q606" cm="1">
        <f t="array" aca="1" ref="Q606" ca="1">IFERROR(INDEX(_xlfn.ANCHORARRAY($C$3),T_CALC[[#This Row],[DAY]]+1,2),NA())</f>
        <v>0</v>
      </c>
    </row>
    <row r="607" spans="3:17">
      <c r="C607" vm="3023">
        <f ca="1"/>
        <v>43605</v>
      </c>
      <c r="D607">
        <f ca="1"/>
        <v>0</v>
      </c>
      <c r="E607" vm="1944">
        <f ca="1"/>
        <v>1.3773</v>
      </c>
      <c r="F607" vm="1861">
        <f ca="1"/>
        <v>1.3777999999999999</v>
      </c>
      <c r="G607" vm="2753">
        <f ca="1"/>
        <v>1.3738999999999999</v>
      </c>
      <c r="H607" vm="2745">
        <f ca="1"/>
        <v>1.3763000000000001</v>
      </c>
      <c r="K607">
        <f ca="1">IF(ROW(T_CALC[[#This Row],[DAY]])-ROW(T_CALC[[#Headers],[DAY]])&gt;C_N_TRADING_DAYS,"",ROW(T_CALC[[#This Row],[DAY]])-ROW(T_CALC[[#Headers],[DAY]]))</f>
        <v>604</v>
      </c>
      <c r="L607" cm="1" vm="3023">
        <f t="array" aca="1" ref="L607" ca="1">IFERROR(INDEX(_xlfn.ANCHORARRAY($C$3),T_CALC[[#This Row],[DAY]]+1,1),NA())</f>
        <v>43605</v>
      </c>
      <c r="M607" cm="1" vm="1944">
        <f t="array" aca="1" ref="M607" ca="1">IFERROR(INDEX(_xlfn.ANCHORARRAY($C$3),T_CALC[[#This Row],[DAY]]+1,3),NA())</f>
        <v>1.3773</v>
      </c>
      <c r="N607" cm="1" vm="1861">
        <f t="array" aca="1" ref="N607" ca="1">IFERROR(INDEX(_xlfn.ANCHORARRAY($C$3),T_CALC[[#This Row],[DAY]]+1,4),NA())</f>
        <v>1.3777999999999999</v>
      </c>
      <c r="O607" cm="1" vm="2753">
        <f t="array" aca="1" ref="O607" ca="1">IFERROR(INDEX(_xlfn.ANCHORARRAY($C$3),T_CALC[[#This Row],[DAY]]+1,5),NA())</f>
        <v>1.3738999999999999</v>
      </c>
      <c r="P607" cm="1" vm="2745">
        <f t="array" aca="1" ref="P607" ca="1">IFERROR(INDEX(_xlfn.ANCHORARRAY($C$3),T_CALC[[#This Row],[DAY]]+1,6),NA())</f>
        <v>1.3763000000000001</v>
      </c>
      <c r="Q607" cm="1">
        <f t="array" aca="1" ref="Q607" ca="1">IFERROR(INDEX(_xlfn.ANCHORARRAY($C$3),T_CALC[[#This Row],[DAY]]+1,2),NA())</f>
        <v>0</v>
      </c>
    </row>
    <row r="608" spans="3:17">
      <c r="C608" vm="3024">
        <f ca="1"/>
        <v>43606</v>
      </c>
      <c r="D608">
        <f ca="1"/>
        <v>0</v>
      </c>
      <c r="E608" vm="2745">
        <f ca="1"/>
        <v>1.3763000000000001</v>
      </c>
      <c r="F608" vm="1864">
        <f ca="1"/>
        <v>1.3794</v>
      </c>
      <c r="G608" vm="2684">
        <f ca="1"/>
        <v>1.3745000000000001</v>
      </c>
      <c r="H608" vm="2868">
        <f ca="1"/>
        <v>1.3769</v>
      </c>
      <c r="K608">
        <f ca="1">IF(ROW(T_CALC[[#This Row],[DAY]])-ROW(T_CALC[[#Headers],[DAY]])&gt;C_N_TRADING_DAYS,"",ROW(T_CALC[[#This Row],[DAY]])-ROW(T_CALC[[#Headers],[DAY]]))</f>
        <v>605</v>
      </c>
      <c r="L608" cm="1" vm="3024">
        <f t="array" aca="1" ref="L608" ca="1">IFERROR(INDEX(_xlfn.ANCHORARRAY($C$3),T_CALC[[#This Row],[DAY]]+1,1),NA())</f>
        <v>43606</v>
      </c>
      <c r="M608" cm="1" vm="2745">
        <f t="array" aca="1" ref="M608" ca="1">IFERROR(INDEX(_xlfn.ANCHORARRAY($C$3),T_CALC[[#This Row],[DAY]]+1,3),NA())</f>
        <v>1.3763000000000001</v>
      </c>
      <c r="N608" cm="1" vm="1864">
        <f t="array" aca="1" ref="N608" ca="1">IFERROR(INDEX(_xlfn.ANCHORARRAY($C$3),T_CALC[[#This Row],[DAY]]+1,4),NA())</f>
        <v>1.3794</v>
      </c>
      <c r="O608" cm="1" vm="2684">
        <f t="array" aca="1" ref="O608" ca="1">IFERROR(INDEX(_xlfn.ANCHORARRAY($C$3),T_CALC[[#This Row],[DAY]]+1,5),NA())</f>
        <v>1.3745000000000001</v>
      </c>
      <c r="P608" cm="1" vm="2868">
        <f t="array" aca="1" ref="P608" ca="1">IFERROR(INDEX(_xlfn.ANCHORARRAY($C$3),T_CALC[[#This Row],[DAY]]+1,6),NA())</f>
        <v>1.3769</v>
      </c>
      <c r="Q608" cm="1">
        <f t="array" aca="1" ref="Q608" ca="1">IFERROR(INDEX(_xlfn.ANCHORARRAY($C$3),T_CALC[[#This Row],[DAY]]+1,2),NA())</f>
        <v>0</v>
      </c>
    </row>
    <row r="609" spans="3:17">
      <c r="C609" vm="3025">
        <f ca="1"/>
        <v>43607</v>
      </c>
      <c r="D609">
        <f ca="1"/>
        <v>0</v>
      </c>
      <c r="E609" vm="2868">
        <f ca="1"/>
        <v>1.3769</v>
      </c>
      <c r="F609" vm="3026">
        <f ca="1"/>
        <v>1.3812</v>
      </c>
      <c r="G609" vm="2769">
        <f ca="1"/>
        <v>1.3758999999999999</v>
      </c>
      <c r="H609" vm="2816">
        <f ca="1"/>
        <v>1.379</v>
      </c>
      <c r="K609">
        <f ca="1">IF(ROW(T_CALC[[#This Row],[DAY]])-ROW(T_CALC[[#Headers],[DAY]])&gt;C_N_TRADING_DAYS,"",ROW(T_CALC[[#This Row],[DAY]])-ROW(T_CALC[[#Headers],[DAY]]))</f>
        <v>606</v>
      </c>
      <c r="L609" cm="1" vm="3025">
        <f t="array" aca="1" ref="L609" ca="1">IFERROR(INDEX(_xlfn.ANCHORARRAY($C$3),T_CALC[[#This Row],[DAY]]+1,1),NA())</f>
        <v>43607</v>
      </c>
      <c r="M609" cm="1" vm="2868">
        <f t="array" aca="1" ref="M609" ca="1">IFERROR(INDEX(_xlfn.ANCHORARRAY($C$3),T_CALC[[#This Row],[DAY]]+1,3),NA())</f>
        <v>1.3769</v>
      </c>
      <c r="N609" cm="1" vm="3026">
        <f t="array" aca="1" ref="N609" ca="1">IFERROR(INDEX(_xlfn.ANCHORARRAY($C$3),T_CALC[[#This Row],[DAY]]+1,4),NA())</f>
        <v>1.3812</v>
      </c>
      <c r="O609" cm="1" vm="2769">
        <f t="array" aca="1" ref="O609" ca="1">IFERROR(INDEX(_xlfn.ANCHORARRAY($C$3),T_CALC[[#This Row],[DAY]]+1,5),NA())</f>
        <v>1.3758999999999999</v>
      </c>
      <c r="P609" cm="1" vm="2816">
        <f t="array" aca="1" ref="P609" ca="1">IFERROR(INDEX(_xlfn.ANCHORARRAY($C$3),T_CALC[[#This Row],[DAY]]+1,6),NA())</f>
        <v>1.379</v>
      </c>
      <c r="Q609" cm="1">
        <f t="array" aca="1" ref="Q609" ca="1">IFERROR(INDEX(_xlfn.ANCHORARRAY($C$3),T_CALC[[#This Row],[DAY]]+1,2),NA())</f>
        <v>0</v>
      </c>
    </row>
    <row r="610" spans="3:17">
      <c r="C610" vm="3027">
        <f ca="1"/>
        <v>43608</v>
      </c>
      <c r="D610">
        <f ca="1"/>
        <v>0</v>
      </c>
      <c r="E610" vm="1930">
        <f ca="1"/>
        <v>1.3792</v>
      </c>
      <c r="F610" vm="1848">
        <f ca="1"/>
        <v>1.3829</v>
      </c>
      <c r="G610" vm="2779">
        <f ca="1"/>
        <v>1.3783000000000001</v>
      </c>
      <c r="H610" vm="1930">
        <f ca="1"/>
        <v>1.3792</v>
      </c>
      <c r="K610">
        <f ca="1">IF(ROW(T_CALC[[#This Row],[DAY]])-ROW(T_CALC[[#Headers],[DAY]])&gt;C_N_TRADING_DAYS,"",ROW(T_CALC[[#This Row],[DAY]])-ROW(T_CALC[[#Headers],[DAY]]))</f>
        <v>607</v>
      </c>
      <c r="L610" cm="1" vm="3027">
        <f t="array" aca="1" ref="L610" ca="1">IFERROR(INDEX(_xlfn.ANCHORARRAY($C$3),T_CALC[[#This Row],[DAY]]+1,1),NA())</f>
        <v>43608</v>
      </c>
      <c r="M610" cm="1" vm="1930">
        <f t="array" aca="1" ref="M610" ca="1">IFERROR(INDEX(_xlfn.ANCHORARRAY($C$3),T_CALC[[#This Row],[DAY]]+1,3),NA())</f>
        <v>1.3792</v>
      </c>
      <c r="N610" cm="1" vm="1848">
        <f t="array" aca="1" ref="N610" ca="1">IFERROR(INDEX(_xlfn.ANCHORARRAY($C$3),T_CALC[[#This Row],[DAY]]+1,4),NA())</f>
        <v>1.3829</v>
      </c>
      <c r="O610" cm="1" vm="2779">
        <f t="array" aca="1" ref="O610" ca="1">IFERROR(INDEX(_xlfn.ANCHORARRAY($C$3),T_CALC[[#This Row],[DAY]]+1,5),NA())</f>
        <v>1.3783000000000001</v>
      </c>
      <c r="P610" cm="1" vm="1930">
        <f t="array" aca="1" ref="P610" ca="1">IFERROR(INDEX(_xlfn.ANCHORARRAY($C$3),T_CALC[[#This Row],[DAY]]+1,6),NA())</f>
        <v>1.3792</v>
      </c>
      <c r="Q610" cm="1">
        <f t="array" aca="1" ref="Q610" ca="1">IFERROR(INDEX(_xlfn.ANCHORARRAY($C$3),T_CALC[[#This Row],[DAY]]+1,2),NA())</f>
        <v>0</v>
      </c>
    </row>
    <row r="611" spans="3:17">
      <c r="C611" vm="3028">
        <f ca="1"/>
        <v>43609</v>
      </c>
      <c r="D611">
        <f ca="1"/>
        <v>0</v>
      </c>
      <c r="E611" vm="1930">
        <f ca="1"/>
        <v>1.3792</v>
      </c>
      <c r="F611" vm="1854">
        <f ca="1"/>
        <v>1.3804000000000001</v>
      </c>
      <c r="G611" vm="2771">
        <f ca="1"/>
        <v>1.3742000000000001</v>
      </c>
      <c r="H611" vm="2866">
        <f ca="1"/>
        <v>1.3749</v>
      </c>
      <c r="K611">
        <f ca="1">IF(ROW(T_CALC[[#This Row],[DAY]])-ROW(T_CALC[[#Headers],[DAY]])&gt;C_N_TRADING_DAYS,"",ROW(T_CALC[[#This Row],[DAY]])-ROW(T_CALC[[#Headers],[DAY]]))</f>
        <v>608</v>
      </c>
      <c r="L611" cm="1" vm="3028">
        <f t="array" aca="1" ref="L611" ca="1">IFERROR(INDEX(_xlfn.ANCHORARRAY($C$3),T_CALC[[#This Row],[DAY]]+1,1),NA())</f>
        <v>43609</v>
      </c>
      <c r="M611" cm="1" vm="1930">
        <f t="array" aca="1" ref="M611" ca="1">IFERROR(INDEX(_xlfn.ANCHORARRAY($C$3),T_CALC[[#This Row],[DAY]]+1,3),NA())</f>
        <v>1.3792</v>
      </c>
      <c r="N611" cm="1" vm="1854">
        <f t="array" aca="1" ref="N611" ca="1">IFERROR(INDEX(_xlfn.ANCHORARRAY($C$3),T_CALC[[#This Row],[DAY]]+1,4),NA())</f>
        <v>1.3804000000000001</v>
      </c>
      <c r="O611" cm="1" vm="2771">
        <f t="array" aca="1" ref="O611" ca="1">IFERROR(INDEX(_xlfn.ANCHORARRAY($C$3),T_CALC[[#This Row],[DAY]]+1,5),NA())</f>
        <v>1.3742000000000001</v>
      </c>
      <c r="P611" cm="1" vm="2866">
        <f t="array" aca="1" ref="P611" ca="1">IFERROR(INDEX(_xlfn.ANCHORARRAY($C$3),T_CALC[[#This Row],[DAY]]+1,6),NA())</f>
        <v>1.3749</v>
      </c>
      <c r="Q611" cm="1">
        <f t="array" aca="1" ref="Q611" ca="1">IFERROR(INDEX(_xlfn.ANCHORARRAY($C$3),T_CALC[[#This Row],[DAY]]+1,2),NA())</f>
        <v>0</v>
      </c>
    </row>
    <row r="612" spans="3:17">
      <c r="C612" vm="3029">
        <f ca="1"/>
        <v>43612</v>
      </c>
      <c r="D612">
        <f ca="1"/>
        <v>0</v>
      </c>
      <c r="E612" vm="1884">
        <f ca="1"/>
        <v>1.3751</v>
      </c>
      <c r="F612" vm="2835">
        <f ca="1"/>
        <v>1.3754999999999999</v>
      </c>
      <c r="G612" vm="2856">
        <f ca="1"/>
        <v>1.3725000000000001</v>
      </c>
      <c r="H612" vm="1922">
        <f ca="1"/>
        <v>1.375</v>
      </c>
      <c r="K612">
        <f ca="1">IF(ROW(T_CALC[[#This Row],[DAY]])-ROW(T_CALC[[#Headers],[DAY]])&gt;C_N_TRADING_DAYS,"",ROW(T_CALC[[#This Row],[DAY]])-ROW(T_CALC[[#Headers],[DAY]]))</f>
        <v>609</v>
      </c>
      <c r="L612" cm="1" vm="3029">
        <f t="array" aca="1" ref="L612" ca="1">IFERROR(INDEX(_xlfn.ANCHORARRAY($C$3),T_CALC[[#This Row],[DAY]]+1,1),NA())</f>
        <v>43612</v>
      </c>
      <c r="M612" cm="1" vm="1884">
        <f t="array" aca="1" ref="M612" ca="1">IFERROR(INDEX(_xlfn.ANCHORARRAY($C$3),T_CALC[[#This Row],[DAY]]+1,3),NA())</f>
        <v>1.3751</v>
      </c>
      <c r="N612" cm="1" vm="2835">
        <f t="array" aca="1" ref="N612" ca="1">IFERROR(INDEX(_xlfn.ANCHORARRAY($C$3),T_CALC[[#This Row],[DAY]]+1,4),NA())</f>
        <v>1.3754999999999999</v>
      </c>
      <c r="O612" cm="1" vm="2856">
        <f t="array" aca="1" ref="O612" ca="1">IFERROR(INDEX(_xlfn.ANCHORARRAY($C$3),T_CALC[[#This Row],[DAY]]+1,5),NA())</f>
        <v>1.3725000000000001</v>
      </c>
      <c r="P612" cm="1" vm="1922">
        <f t="array" aca="1" ref="P612" ca="1">IFERROR(INDEX(_xlfn.ANCHORARRAY($C$3),T_CALC[[#This Row],[DAY]]+1,6),NA())</f>
        <v>1.375</v>
      </c>
      <c r="Q612" cm="1">
        <f t="array" aca="1" ref="Q612" ca="1">IFERROR(INDEX(_xlfn.ANCHORARRAY($C$3),T_CALC[[#This Row],[DAY]]+1,2),NA())</f>
        <v>0</v>
      </c>
    </row>
    <row r="613" spans="3:17">
      <c r="C613" vm="3030">
        <f ca="1"/>
        <v>43613</v>
      </c>
      <c r="D613">
        <f ca="1"/>
        <v>0</v>
      </c>
      <c r="E613" vm="1884">
        <f ca="1"/>
        <v>1.3751</v>
      </c>
      <c r="F613" vm="1877">
        <f ca="1"/>
        <v>1.3796999999999999</v>
      </c>
      <c r="G613" vm="2875">
        <f ca="1"/>
        <v>1.3741000000000001</v>
      </c>
      <c r="H613" vm="1864">
        <f ca="1"/>
        <v>1.3794</v>
      </c>
      <c r="K613">
        <f ca="1">IF(ROW(T_CALC[[#This Row],[DAY]])-ROW(T_CALC[[#Headers],[DAY]])&gt;C_N_TRADING_DAYS,"",ROW(T_CALC[[#This Row],[DAY]])-ROW(T_CALC[[#Headers],[DAY]]))</f>
        <v>610</v>
      </c>
      <c r="L613" cm="1" vm="3030">
        <f t="array" aca="1" ref="L613" ca="1">IFERROR(INDEX(_xlfn.ANCHORARRAY($C$3),T_CALC[[#This Row],[DAY]]+1,1),NA())</f>
        <v>43613</v>
      </c>
      <c r="M613" cm="1" vm="1884">
        <f t="array" aca="1" ref="M613" ca="1">IFERROR(INDEX(_xlfn.ANCHORARRAY($C$3),T_CALC[[#This Row],[DAY]]+1,3),NA())</f>
        <v>1.3751</v>
      </c>
      <c r="N613" cm="1" vm="1877">
        <f t="array" aca="1" ref="N613" ca="1">IFERROR(INDEX(_xlfn.ANCHORARRAY($C$3),T_CALC[[#This Row],[DAY]]+1,4),NA())</f>
        <v>1.3796999999999999</v>
      </c>
      <c r="O613" cm="1" vm="2875">
        <f t="array" aca="1" ref="O613" ca="1">IFERROR(INDEX(_xlfn.ANCHORARRAY($C$3),T_CALC[[#This Row],[DAY]]+1,5),NA())</f>
        <v>1.3741000000000001</v>
      </c>
      <c r="P613" cm="1" vm="1864">
        <f t="array" aca="1" ref="P613" ca="1">IFERROR(INDEX(_xlfn.ANCHORARRAY($C$3),T_CALC[[#This Row],[DAY]]+1,6),NA())</f>
        <v>1.3794</v>
      </c>
      <c r="Q613" cm="1">
        <f t="array" aca="1" ref="Q613" ca="1">IFERROR(INDEX(_xlfn.ANCHORARRAY($C$3),T_CALC[[#This Row],[DAY]]+1,2),NA())</f>
        <v>0</v>
      </c>
    </row>
    <row r="614" spans="3:17">
      <c r="C614" vm="3031">
        <f ca="1"/>
        <v>43614</v>
      </c>
      <c r="D614">
        <f ca="1"/>
        <v>0</v>
      </c>
      <c r="E614" vm="1862">
        <f ca="1"/>
        <v>1.3791</v>
      </c>
      <c r="F614" vm="2845">
        <f ca="1"/>
        <v>1.3835</v>
      </c>
      <c r="G614" vm="2779">
        <f ca="1"/>
        <v>1.3783000000000001</v>
      </c>
      <c r="H614" vm="1878">
        <f ca="1"/>
        <v>1.3807</v>
      </c>
      <c r="K614">
        <f ca="1">IF(ROW(T_CALC[[#This Row],[DAY]])-ROW(T_CALC[[#Headers],[DAY]])&gt;C_N_TRADING_DAYS,"",ROW(T_CALC[[#This Row],[DAY]])-ROW(T_CALC[[#Headers],[DAY]]))</f>
        <v>611</v>
      </c>
      <c r="L614" cm="1" vm="3031">
        <f t="array" aca="1" ref="L614" ca="1">IFERROR(INDEX(_xlfn.ANCHORARRAY($C$3),T_CALC[[#This Row],[DAY]]+1,1),NA())</f>
        <v>43614</v>
      </c>
      <c r="M614" cm="1" vm="1862">
        <f t="array" aca="1" ref="M614" ca="1">IFERROR(INDEX(_xlfn.ANCHORARRAY($C$3),T_CALC[[#This Row],[DAY]]+1,3),NA())</f>
        <v>1.3791</v>
      </c>
      <c r="N614" cm="1" vm="2845">
        <f t="array" aca="1" ref="N614" ca="1">IFERROR(INDEX(_xlfn.ANCHORARRAY($C$3),T_CALC[[#This Row],[DAY]]+1,4),NA())</f>
        <v>1.3835</v>
      </c>
      <c r="O614" cm="1" vm="2779">
        <f t="array" aca="1" ref="O614" ca="1">IFERROR(INDEX(_xlfn.ANCHORARRAY($C$3),T_CALC[[#This Row],[DAY]]+1,5),NA())</f>
        <v>1.3783000000000001</v>
      </c>
      <c r="P614" cm="1" vm="1878">
        <f t="array" aca="1" ref="P614" ca="1">IFERROR(INDEX(_xlfn.ANCHORARRAY($C$3),T_CALC[[#This Row],[DAY]]+1,6),NA())</f>
        <v>1.3807</v>
      </c>
      <c r="Q614" cm="1">
        <f t="array" aca="1" ref="Q614" ca="1">IFERROR(INDEX(_xlfn.ANCHORARRAY($C$3),T_CALC[[#This Row],[DAY]]+1,2),NA())</f>
        <v>0</v>
      </c>
    </row>
    <row r="615" spans="3:17">
      <c r="C615" vm="3032">
        <f ca="1"/>
        <v>43615</v>
      </c>
      <c r="D615">
        <f ca="1"/>
        <v>0</v>
      </c>
      <c r="E615" vm="3033">
        <f ca="1"/>
        <v>1.3811</v>
      </c>
      <c r="F615" vm="1836">
        <f ca="1"/>
        <v>1.3815</v>
      </c>
      <c r="G615" vm="2809">
        <f ca="1"/>
        <v>1.3775999999999999</v>
      </c>
      <c r="H615" vm="2736">
        <f ca="1"/>
        <v>1.3789</v>
      </c>
      <c r="K615">
        <f ca="1">IF(ROW(T_CALC[[#This Row],[DAY]])-ROW(T_CALC[[#Headers],[DAY]])&gt;C_N_TRADING_DAYS,"",ROW(T_CALC[[#This Row],[DAY]])-ROW(T_CALC[[#Headers],[DAY]]))</f>
        <v>612</v>
      </c>
      <c r="L615" cm="1" vm="3032">
        <f t="array" aca="1" ref="L615" ca="1">IFERROR(INDEX(_xlfn.ANCHORARRAY($C$3),T_CALC[[#This Row],[DAY]]+1,1),NA())</f>
        <v>43615</v>
      </c>
      <c r="M615" cm="1" vm="3033">
        <f t="array" aca="1" ref="M615" ca="1">IFERROR(INDEX(_xlfn.ANCHORARRAY($C$3),T_CALC[[#This Row],[DAY]]+1,3),NA())</f>
        <v>1.3811</v>
      </c>
      <c r="N615" cm="1" vm="1836">
        <f t="array" aca="1" ref="N615" ca="1">IFERROR(INDEX(_xlfn.ANCHORARRAY($C$3),T_CALC[[#This Row],[DAY]]+1,4),NA())</f>
        <v>1.3815</v>
      </c>
      <c r="O615" cm="1" vm="2809">
        <f t="array" aca="1" ref="O615" ca="1">IFERROR(INDEX(_xlfn.ANCHORARRAY($C$3),T_CALC[[#This Row],[DAY]]+1,5),NA())</f>
        <v>1.3775999999999999</v>
      </c>
      <c r="P615" cm="1" vm="2736">
        <f t="array" aca="1" ref="P615" ca="1">IFERROR(INDEX(_xlfn.ANCHORARRAY($C$3),T_CALC[[#This Row],[DAY]]+1,6),NA())</f>
        <v>1.3789</v>
      </c>
      <c r="Q615" cm="1">
        <f t="array" aca="1" ref="Q615" ca="1">IFERROR(INDEX(_xlfn.ANCHORARRAY($C$3),T_CALC[[#This Row],[DAY]]+1,2),NA())</f>
        <v>0</v>
      </c>
    </row>
    <row r="616" spans="3:17">
      <c r="C616" vm="3034">
        <f ca="1"/>
        <v>43616</v>
      </c>
      <c r="D616">
        <f ca="1"/>
        <v>0</v>
      </c>
      <c r="E616" vm="2736">
        <f ca="1"/>
        <v>1.3789</v>
      </c>
      <c r="F616" vm="1941">
        <f ca="1"/>
        <v>1.3808</v>
      </c>
      <c r="G616" vm="2858">
        <f ca="1"/>
        <v>1.3731</v>
      </c>
      <c r="H616" vm="2777">
        <f ca="1"/>
        <v>1.3734</v>
      </c>
      <c r="K616">
        <f ca="1">IF(ROW(T_CALC[[#This Row],[DAY]])-ROW(T_CALC[[#Headers],[DAY]])&gt;C_N_TRADING_DAYS,"",ROW(T_CALC[[#This Row],[DAY]])-ROW(T_CALC[[#Headers],[DAY]]))</f>
        <v>613</v>
      </c>
      <c r="L616" cm="1" vm="3034">
        <f t="array" aca="1" ref="L616" ca="1">IFERROR(INDEX(_xlfn.ANCHORARRAY($C$3),T_CALC[[#This Row],[DAY]]+1,1),NA())</f>
        <v>43616</v>
      </c>
      <c r="M616" cm="1" vm="2736">
        <f t="array" aca="1" ref="M616" ca="1">IFERROR(INDEX(_xlfn.ANCHORARRAY($C$3),T_CALC[[#This Row],[DAY]]+1,3),NA())</f>
        <v>1.3789</v>
      </c>
      <c r="N616" cm="1" vm="1941">
        <f t="array" aca="1" ref="N616" ca="1">IFERROR(INDEX(_xlfn.ANCHORARRAY($C$3),T_CALC[[#This Row],[DAY]]+1,4),NA())</f>
        <v>1.3808</v>
      </c>
      <c r="O616" cm="1" vm="2858">
        <f t="array" aca="1" ref="O616" ca="1">IFERROR(INDEX(_xlfn.ANCHORARRAY($C$3),T_CALC[[#This Row],[DAY]]+1,5),NA())</f>
        <v>1.3731</v>
      </c>
      <c r="P616" cm="1" vm="2777">
        <f t="array" aca="1" ref="P616" ca="1">IFERROR(INDEX(_xlfn.ANCHORARRAY($C$3),T_CALC[[#This Row],[DAY]]+1,6),NA())</f>
        <v>1.3734</v>
      </c>
      <c r="Q616" cm="1">
        <f t="array" aca="1" ref="Q616" ca="1">IFERROR(INDEX(_xlfn.ANCHORARRAY($C$3),T_CALC[[#This Row],[DAY]]+1,2),NA())</f>
        <v>0</v>
      </c>
    </row>
    <row r="617" spans="3:17">
      <c r="C617" vm="3035">
        <f ca="1"/>
        <v>43619</v>
      </c>
      <c r="D617">
        <f ca="1"/>
        <v>0</v>
      </c>
      <c r="E617" vm="2733">
        <f ca="1"/>
        <v>1.3755999999999999</v>
      </c>
      <c r="F617" vm="3036">
        <f ca="1"/>
        <v>1.3757999999999999</v>
      </c>
      <c r="G617" vm="2208">
        <f ca="1"/>
        <v>1.3651</v>
      </c>
      <c r="H617" vm="2720">
        <f ca="1"/>
        <v>1.3664000000000001</v>
      </c>
      <c r="K617">
        <f ca="1">IF(ROW(T_CALC[[#This Row],[DAY]])-ROW(T_CALC[[#Headers],[DAY]])&gt;C_N_TRADING_DAYS,"",ROW(T_CALC[[#This Row],[DAY]])-ROW(T_CALC[[#Headers],[DAY]]))</f>
        <v>614</v>
      </c>
      <c r="L617" cm="1" vm="3035">
        <f t="array" aca="1" ref="L617" ca="1">IFERROR(INDEX(_xlfn.ANCHORARRAY($C$3),T_CALC[[#This Row],[DAY]]+1,1),NA())</f>
        <v>43619</v>
      </c>
      <c r="M617" cm="1" vm="2733">
        <f t="array" aca="1" ref="M617" ca="1">IFERROR(INDEX(_xlfn.ANCHORARRAY($C$3),T_CALC[[#This Row],[DAY]]+1,3),NA())</f>
        <v>1.3755999999999999</v>
      </c>
      <c r="N617" cm="1" vm="3036">
        <f t="array" aca="1" ref="N617" ca="1">IFERROR(INDEX(_xlfn.ANCHORARRAY($C$3),T_CALC[[#This Row],[DAY]]+1,4),NA())</f>
        <v>1.3757999999999999</v>
      </c>
      <c r="O617" cm="1" vm="2208">
        <f t="array" aca="1" ref="O617" ca="1">IFERROR(INDEX(_xlfn.ANCHORARRAY($C$3),T_CALC[[#This Row],[DAY]]+1,5),NA())</f>
        <v>1.3651</v>
      </c>
      <c r="P617" cm="1" vm="2720">
        <f t="array" aca="1" ref="P617" ca="1">IFERROR(INDEX(_xlfn.ANCHORARRAY($C$3),T_CALC[[#This Row],[DAY]]+1,6),NA())</f>
        <v>1.3664000000000001</v>
      </c>
      <c r="Q617" cm="1">
        <f t="array" aca="1" ref="Q617" ca="1">IFERROR(INDEX(_xlfn.ANCHORARRAY($C$3),T_CALC[[#This Row],[DAY]]+1,2),NA())</f>
        <v>0</v>
      </c>
    </row>
    <row r="618" spans="3:17">
      <c r="C618" vm="3037">
        <f ca="1"/>
        <v>43620</v>
      </c>
      <c r="D618">
        <f ca="1"/>
        <v>0</v>
      </c>
      <c r="E618" vm="1957">
        <f ca="1"/>
        <v>1.3663000000000001</v>
      </c>
      <c r="F618" vm="1965">
        <f ca="1"/>
        <v>1.3698999999999999</v>
      </c>
      <c r="G618" vm="2165">
        <f ca="1"/>
        <v>1.3653</v>
      </c>
      <c r="H618" vm="2210">
        <f ca="1"/>
        <v>1.3658999999999999</v>
      </c>
      <c r="K618">
        <f ca="1">IF(ROW(T_CALC[[#This Row],[DAY]])-ROW(T_CALC[[#Headers],[DAY]])&gt;C_N_TRADING_DAYS,"",ROW(T_CALC[[#This Row],[DAY]])-ROW(T_CALC[[#Headers],[DAY]]))</f>
        <v>615</v>
      </c>
      <c r="L618" cm="1" vm="3037">
        <f t="array" aca="1" ref="L618" ca="1">IFERROR(INDEX(_xlfn.ANCHORARRAY($C$3),T_CALC[[#This Row],[DAY]]+1,1),NA())</f>
        <v>43620</v>
      </c>
      <c r="M618" cm="1" vm="1957">
        <f t="array" aca="1" ref="M618" ca="1">IFERROR(INDEX(_xlfn.ANCHORARRAY($C$3),T_CALC[[#This Row],[DAY]]+1,3),NA())</f>
        <v>1.3663000000000001</v>
      </c>
      <c r="N618" cm="1" vm="1965">
        <f t="array" aca="1" ref="N618" ca="1">IFERROR(INDEX(_xlfn.ANCHORARRAY($C$3),T_CALC[[#This Row],[DAY]]+1,4),NA())</f>
        <v>1.3698999999999999</v>
      </c>
      <c r="O618" cm="1" vm="2165">
        <f t="array" aca="1" ref="O618" ca="1">IFERROR(INDEX(_xlfn.ANCHORARRAY($C$3),T_CALC[[#This Row],[DAY]]+1,5),NA())</f>
        <v>1.3653</v>
      </c>
      <c r="P618" cm="1" vm="2210">
        <f t="array" aca="1" ref="P618" ca="1">IFERROR(INDEX(_xlfn.ANCHORARRAY($C$3),T_CALC[[#This Row],[DAY]]+1,6),NA())</f>
        <v>1.3658999999999999</v>
      </c>
      <c r="Q618" cm="1">
        <f t="array" aca="1" ref="Q618" ca="1">IFERROR(INDEX(_xlfn.ANCHORARRAY($C$3),T_CALC[[#This Row],[DAY]]+1,2),NA())</f>
        <v>0</v>
      </c>
    </row>
    <row r="619" spans="3:17">
      <c r="C619" vm="3038">
        <f ca="1"/>
        <v>43621</v>
      </c>
      <c r="D619">
        <f ca="1"/>
        <v>0</v>
      </c>
      <c r="E619" vm="2210">
        <f ca="1"/>
        <v>1.3658999999999999</v>
      </c>
      <c r="F619" vm="2198">
        <f ca="1"/>
        <v>1.3672</v>
      </c>
      <c r="G619" vm="1975">
        <f ca="1"/>
        <v>1.3621000000000001</v>
      </c>
      <c r="H619" vm="1957">
        <f ca="1"/>
        <v>1.3663000000000001</v>
      </c>
      <c r="K619">
        <f ca="1">IF(ROW(T_CALC[[#This Row],[DAY]])-ROW(T_CALC[[#Headers],[DAY]])&gt;C_N_TRADING_DAYS,"",ROW(T_CALC[[#This Row],[DAY]])-ROW(T_CALC[[#Headers],[DAY]]))</f>
        <v>616</v>
      </c>
      <c r="L619" cm="1" vm="3038">
        <f t="array" aca="1" ref="L619" ca="1">IFERROR(INDEX(_xlfn.ANCHORARRAY($C$3),T_CALC[[#This Row],[DAY]]+1,1),NA())</f>
        <v>43621</v>
      </c>
      <c r="M619" cm="1" vm="2210">
        <f t="array" aca="1" ref="M619" ca="1">IFERROR(INDEX(_xlfn.ANCHORARRAY($C$3),T_CALC[[#This Row],[DAY]]+1,3),NA())</f>
        <v>1.3658999999999999</v>
      </c>
      <c r="N619" cm="1" vm="2198">
        <f t="array" aca="1" ref="N619" ca="1">IFERROR(INDEX(_xlfn.ANCHORARRAY($C$3),T_CALC[[#This Row],[DAY]]+1,4),NA())</f>
        <v>1.3672</v>
      </c>
      <c r="O619" cm="1" vm="1975">
        <f t="array" aca="1" ref="O619" ca="1">IFERROR(INDEX(_xlfn.ANCHORARRAY($C$3),T_CALC[[#This Row],[DAY]]+1,5),NA())</f>
        <v>1.3621000000000001</v>
      </c>
      <c r="P619" cm="1" vm="1957">
        <f t="array" aca="1" ref="P619" ca="1">IFERROR(INDEX(_xlfn.ANCHORARRAY($C$3),T_CALC[[#This Row],[DAY]]+1,6),NA())</f>
        <v>1.3663000000000001</v>
      </c>
      <c r="Q619" cm="1">
        <f t="array" aca="1" ref="Q619" ca="1">IFERROR(INDEX(_xlfn.ANCHORARRAY($C$3),T_CALC[[#This Row],[DAY]]+1,2),NA())</f>
        <v>0</v>
      </c>
    </row>
    <row r="620" spans="3:17">
      <c r="C620" vm="3039">
        <f ca="1"/>
        <v>43622</v>
      </c>
      <c r="D620">
        <f ca="1"/>
        <v>0</v>
      </c>
      <c r="E620" vm="1962">
        <f ca="1"/>
        <v>1.3662000000000001</v>
      </c>
      <c r="F620" vm="2041">
        <f ca="1"/>
        <v>1.3669</v>
      </c>
      <c r="G620" vm="1975">
        <f ca="1"/>
        <v>1.3621000000000001</v>
      </c>
      <c r="H620" vm="2169">
        <f ca="1"/>
        <v>1.3635999999999999</v>
      </c>
      <c r="K620">
        <f ca="1">IF(ROW(T_CALC[[#This Row],[DAY]])-ROW(T_CALC[[#Headers],[DAY]])&gt;C_N_TRADING_DAYS,"",ROW(T_CALC[[#This Row],[DAY]])-ROW(T_CALC[[#Headers],[DAY]]))</f>
        <v>617</v>
      </c>
      <c r="L620" cm="1" vm="3039">
        <f t="array" aca="1" ref="L620" ca="1">IFERROR(INDEX(_xlfn.ANCHORARRAY($C$3),T_CALC[[#This Row],[DAY]]+1,1),NA())</f>
        <v>43622</v>
      </c>
      <c r="M620" cm="1" vm="1962">
        <f t="array" aca="1" ref="M620" ca="1">IFERROR(INDEX(_xlfn.ANCHORARRAY($C$3),T_CALC[[#This Row],[DAY]]+1,3),NA())</f>
        <v>1.3662000000000001</v>
      </c>
      <c r="N620" cm="1" vm="2041">
        <f t="array" aca="1" ref="N620" ca="1">IFERROR(INDEX(_xlfn.ANCHORARRAY($C$3),T_CALC[[#This Row],[DAY]]+1,4),NA())</f>
        <v>1.3669</v>
      </c>
      <c r="O620" cm="1" vm="1975">
        <f t="array" aca="1" ref="O620" ca="1">IFERROR(INDEX(_xlfn.ANCHORARRAY($C$3),T_CALC[[#This Row],[DAY]]+1,5),NA())</f>
        <v>1.3621000000000001</v>
      </c>
      <c r="P620" cm="1" vm="2169">
        <f t="array" aca="1" ref="P620" ca="1">IFERROR(INDEX(_xlfn.ANCHORARRAY($C$3),T_CALC[[#This Row],[DAY]]+1,6),NA())</f>
        <v>1.3635999999999999</v>
      </c>
      <c r="Q620" cm="1">
        <f t="array" aca="1" ref="Q620" ca="1">IFERROR(INDEX(_xlfn.ANCHORARRAY($C$3),T_CALC[[#This Row],[DAY]]+1,2),NA())</f>
        <v>0</v>
      </c>
    </row>
    <row r="621" spans="3:17">
      <c r="C621" vm="3040">
        <f ca="1"/>
        <v>43623</v>
      </c>
      <c r="D621">
        <f ca="1"/>
        <v>0</v>
      </c>
      <c r="E621" vm="2162">
        <f ca="1"/>
        <v>1.3640000000000001</v>
      </c>
      <c r="F621" vm="3041">
        <f ca="1"/>
        <v>1.3683000000000001</v>
      </c>
      <c r="G621" vm="2158">
        <f ca="1"/>
        <v>1.3605</v>
      </c>
      <c r="H621" vm="2054">
        <f ca="1"/>
        <v>1.3622000000000001</v>
      </c>
      <c r="K621">
        <f ca="1">IF(ROW(T_CALC[[#This Row],[DAY]])-ROW(T_CALC[[#Headers],[DAY]])&gt;C_N_TRADING_DAYS,"",ROW(T_CALC[[#This Row],[DAY]])-ROW(T_CALC[[#Headers],[DAY]]))</f>
        <v>618</v>
      </c>
      <c r="L621" cm="1" vm="3040">
        <f t="array" aca="1" ref="L621" ca="1">IFERROR(INDEX(_xlfn.ANCHORARRAY($C$3),T_CALC[[#This Row],[DAY]]+1,1),NA())</f>
        <v>43623</v>
      </c>
      <c r="M621" cm="1" vm="2162">
        <f t="array" aca="1" ref="M621" ca="1">IFERROR(INDEX(_xlfn.ANCHORARRAY($C$3),T_CALC[[#This Row],[DAY]]+1,3),NA())</f>
        <v>1.3640000000000001</v>
      </c>
      <c r="N621" cm="1" vm="3041">
        <f t="array" aca="1" ref="N621" ca="1">IFERROR(INDEX(_xlfn.ANCHORARRAY($C$3),T_CALC[[#This Row],[DAY]]+1,4),NA())</f>
        <v>1.3683000000000001</v>
      </c>
      <c r="O621" cm="1" vm="2158">
        <f t="array" aca="1" ref="O621" ca="1">IFERROR(INDEX(_xlfn.ANCHORARRAY($C$3),T_CALC[[#This Row],[DAY]]+1,5),NA())</f>
        <v>1.3605</v>
      </c>
      <c r="P621" cm="1" vm="2054">
        <f t="array" aca="1" ref="P621" ca="1">IFERROR(INDEX(_xlfn.ANCHORARRAY($C$3),T_CALC[[#This Row],[DAY]]+1,6),NA())</f>
        <v>1.3622000000000001</v>
      </c>
      <c r="Q621" cm="1">
        <f t="array" aca="1" ref="Q621" ca="1">IFERROR(INDEX(_xlfn.ANCHORARRAY($C$3),T_CALC[[#This Row],[DAY]]+1,2),NA())</f>
        <v>0</v>
      </c>
    </row>
    <row r="622" spans="3:17">
      <c r="C622" vm="3042">
        <f ca="1"/>
        <v>43626</v>
      </c>
      <c r="D622">
        <f ca="1"/>
        <v>0</v>
      </c>
      <c r="E622" vm="1980">
        <f ca="1"/>
        <v>1.3617999999999999</v>
      </c>
      <c r="F622" vm="1966">
        <f ca="1"/>
        <v>1.3676999999999999</v>
      </c>
      <c r="G622" vm="2060">
        <f ca="1"/>
        <v>1.3616999999999999</v>
      </c>
      <c r="H622" vm="1964">
        <f ca="1"/>
        <v>1.3661000000000001</v>
      </c>
      <c r="K622">
        <f ca="1">IF(ROW(T_CALC[[#This Row],[DAY]])-ROW(T_CALC[[#Headers],[DAY]])&gt;C_N_TRADING_DAYS,"",ROW(T_CALC[[#This Row],[DAY]])-ROW(T_CALC[[#Headers],[DAY]]))</f>
        <v>619</v>
      </c>
      <c r="L622" cm="1" vm="3042">
        <f t="array" aca="1" ref="L622" ca="1">IFERROR(INDEX(_xlfn.ANCHORARRAY($C$3),T_CALC[[#This Row],[DAY]]+1,1),NA())</f>
        <v>43626</v>
      </c>
      <c r="M622" cm="1" vm="1980">
        <f t="array" aca="1" ref="M622" ca="1">IFERROR(INDEX(_xlfn.ANCHORARRAY($C$3),T_CALC[[#This Row],[DAY]]+1,3),NA())</f>
        <v>1.3617999999999999</v>
      </c>
      <c r="N622" cm="1" vm="1966">
        <f t="array" aca="1" ref="N622" ca="1">IFERROR(INDEX(_xlfn.ANCHORARRAY($C$3),T_CALC[[#This Row],[DAY]]+1,4),NA())</f>
        <v>1.3676999999999999</v>
      </c>
      <c r="O622" cm="1" vm="2060">
        <f t="array" aca="1" ref="O622" ca="1">IFERROR(INDEX(_xlfn.ANCHORARRAY($C$3),T_CALC[[#This Row],[DAY]]+1,5),NA())</f>
        <v>1.3616999999999999</v>
      </c>
      <c r="P622" cm="1" vm="1964">
        <f t="array" aca="1" ref="P622" ca="1">IFERROR(INDEX(_xlfn.ANCHORARRAY($C$3),T_CALC[[#This Row],[DAY]]+1,6),NA())</f>
        <v>1.3661000000000001</v>
      </c>
      <c r="Q622" cm="1">
        <f t="array" aca="1" ref="Q622" ca="1">IFERROR(INDEX(_xlfn.ANCHORARRAY($C$3),T_CALC[[#This Row],[DAY]]+1,2),NA())</f>
        <v>0</v>
      </c>
    </row>
    <row r="623" spans="3:17">
      <c r="C623" vm="3043">
        <f ca="1"/>
        <v>43627</v>
      </c>
      <c r="D623">
        <f ca="1"/>
        <v>0</v>
      </c>
      <c r="E623" vm="2687">
        <f ca="1"/>
        <v>1.3656999999999999</v>
      </c>
      <c r="F623" vm="2797">
        <f ca="1"/>
        <v>1.3667</v>
      </c>
      <c r="G623" vm="2023">
        <f ca="1"/>
        <v>1.3626</v>
      </c>
      <c r="H623" vm="1978">
        <f ca="1"/>
        <v>1.3634999999999999</v>
      </c>
      <c r="K623">
        <f ca="1">IF(ROW(T_CALC[[#This Row],[DAY]])-ROW(T_CALC[[#Headers],[DAY]])&gt;C_N_TRADING_DAYS,"",ROW(T_CALC[[#This Row],[DAY]])-ROW(T_CALC[[#Headers],[DAY]]))</f>
        <v>620</v>
      </c>
      <c r="L623" cm="1" vm="3043">
        <f t="array" aca="1" ref="L623" ca="1">IFERROR(INDEX(_xlfn.ANCHORARRAY($C$3),T_CALC[[#This Row],[DAY]]+1,1),NA())</f>
        <v>43627</v>
      </c>
      <c r="M623" cm="1" vm="2687">
        <f t="array" aca="1" ref="M623" ca="1">IFERROR(INDEX(_xlfn.ANCHORARRAY($C$3),T_CALC[[#This Row],[DAY]]+1,3),NA())</f>
        <v>1.3656999999999999</v>
      </c>
      <c r="N623" cm="1" vm="2797">
        <f t="array" aca="1" ref="N623" ca="1">IFERROR(INDEX(_xlfn.ANCHORARRAY($C$3),T_CALC[[#This Row],[DAY]]+1,4),NA())</f>
        <v>1.3667</v>
      </c>
      <c r="O623" cm="1" vm="2023">
        <f t="array" aca="1" ref="O623" ca="1">IFERROR(INDEX(_xlfn.ANCHORARRAY($C$3),T_CALC[[#This Row],[DAY]]+1,5),NA())</f>
        <v>1.3626</v>
      </c>
      <c r="P623" cm="1" vm="1978">
        <f t="array" aca="1" ref="P623" ca="1">IFERROR(INDEX(_xlfn.ANCHORARRAY($C$3),T_CALC[[#This Row],[DAY]]+1,6),NA())</f>
        <v>1.3634999999999999</v>
      </c>
      <c r="Q623" cm="1">
        <f t="array" aca="1" ref="Q623" ca="1">IFERROR(INDEX(_xlfn.ANCHORARRAY($C$3),T_CALC[[#This Row],[DAY]]+1,2),NA())</f>
        <v>0</v>
      </c>
    </row>
    <row r="624" spans="3:17">
      <c r="C624" vm="3044">
        <f ca="1"/>
        <v>43628</v>
      </c>
      <c r="D624">
        <f ca="1"/>
        <v>0</v>
      </c>
      <c r="E624" vm="2021">
        <f ca="1"/>
        <v>1.3637999999999999</v>
      </c>
      <c r="F624" vm="2047">
        <f ca="1"/>
        <v>1.3673</v>
      </c>
      <c r="G624" vm="2023">
        <f ca="1"/>
        <v>1.3626</v>
      </c>
      <c r="H624" vm="2043">
        <f ca="1"/>
        <v>1.3666</v>
      </c>
      <c r="K624">
        <f ca="1">IF(ROW(T_CALC[[#This Row],[DAY]])-ROW(T_CALC[[#Headers],[DAY]])&gt;C_N_TRADING_DAYS,"",ROW(T_CALC[[#This Row],[DAY]])-ROW(T_CALC[[#Headers],[DAY]]))</f>
        <v>621</v>
      </c>
      <c r="L624" cm="1" vm="3044">
        <f t="array" aca="1" ref="L624" ca="1">IFERROR(INDEX(_xlfn.ANCHORARRAY($C$3),T_CALC[[#This Row],[DAY]]+1,1),NA())</f>
        <v>43628</v>
      </c>
      <c r="M624" cm="1" vm="2021">
        <f t="array" aca="1" ref="M624" ca="1">IFERROR(INDEX(_xlfn.ANCHORARRAY($C$3),T_CALC[[#This Row],[DAY]]+1,3),NA())</f>
        <v>1.3637999999999999</v>
      </c>
      <c r="N624" cm="1" vm="2047">
        <f t="array" aca="1" ref="N624" ca="1">IFERROR(INDEX(_xlfn.ANCHORARRAY($C$3),T_CALC[[#This Row],[DAY]]+1,4),NA())</f>
        <v>1.3673</v>
      </c>
      <c r="O624" cm="1" vm="2023">
        <f t="array" aca="1" ref="O624" ca="1">IFERROR(INDEX(_xlfn.ANCHORARRAY($C$3),T_CALC[[#This Row],[DAY]]+1,5),NA())</f>
        <v>1.3626</v>
      </c>
      <c r="P624" cm="1" vm="2043">
        <f t="array" aca="1" ref="P624" ca="1">IFERROR(INDEX(_xlfn.ANCHORARRAY($C$3),T_CALC[[#This Row],[DAY]]+1,6),NA())</f>
        <v>1.3666</v>
      </c>
      <c r="Q624" cm="1">
        <f t="array" aca="1" ref="Q624" ca="1">IFERROR(INDEX(_xlfn.ANCHORARRAY($C$3),T_CALC[[#This Row],[DAY]]+1,2),NA())</f>
        <v>0</v>
      </c>
    </row>
    <row r="625" spans="3:17">
      <c r="C625" vm="3045">
        <f ca="1"/>
        <v>43629</v>
      </c>
      <c r="D625">
        <f ca="1"/>
        <v>0</v>
      </c>
      <c r="E625" vm="1957">
        <f ca="1"/>
        <v>1.3663000000000001</v>
      </c>
      <c r="F625" vm="2045">
        <f ca="1"/>
        <v>1.3671</v>
      </c>
      <c r="G625" vm="1961">
        <f ca="1"/>
        <v>1.3648</v>
      </c>
      <c r="H625" vm="2043">
        <f ca="1"/>
        <v>1.3666</v>
      </c>
      <c r="K625">
        <f ca="1">IF(ROW(T_CALC[[#This Row],[DAY]])-ROW(T_CALC[[#Headers],[DAY]])&gt;C_N_TRADING_DAYS,"",ROW(T_CALC[[#This Row],[DAY]])-ROW(T_CALC[[#Headers],[DAY]]))</f>
        <v>622</v>
      </c>
      <c r="L625" cm="1" vm="3045">
        <f t="array" aca="1" ref="L625" ca="1">IFERROR(INDEX(_xlfn.ANCHORARRAY($C$3),T_CALC[[#This Row],[DAY]]+1,1),NA())</f>
        <v>43629</v>
      </c>
      <c r="M625" cm="1" vm="1957">
        <f t="array" aca="1" ref="M625" ca="1">IFERROR(INDEX(_xlfn.ANCHORARRAY($C$3),T_CALC[[#This Row],[DAY]]+1,3),NA())</f>
        <v>1.3663000000000001</v>
      </c>
      <c r="N625" cm="1" vm="2045">
        <f t="array" aca="1" ref="N625" ca="1">IFERROR(INDEX(_xlfn.ANCHORARRAY($C$3),T_CALC[[#This Row],[DAY]]+1,4),NA())</f>
        <v>1.3671</v>
      </c>
      <c r="O625" cm="1" vm="1961">
        <f t="array" aca="1" ref="O625" ca="1">IFERROR(INDEX(_xlfn.ANCHORARRAY($C$3),T_CALC[[#This Row],[DAY]]+1,5),NA())</f>
        <v>1.3648</v>
      </c>
      <c r="P625" cm="1" vm="2043">
        <f t="array" aca="1" ref="P625" ca="1">IFERROR(INDEX(_xlfn.ANCHORARRAY($C$3),T_CALC[[#This Row],[DAY]]+1,6),NA())</f>
        <v>1.3666</v>
      </c>
      <c r="Q625" cm="1">
        <f t="array" aca="1" ref="Q625" ca="1">IFERROR(INDEX(_xlfn.ANCHORARRAY($C$3),T_CALC[[#This Row],[DAY]]+1,2),NA())</f>
        <v>0</v>
      </c>
    </row>
    <row r="626" spans="3:17">
      <c r="C626" vm="3046">
        <f ca="1"/>
        <v>43630</v>
      </c>
      <c r="D626">
        <f ca="1"/>
        <v>0</v>
      </c>
      <c r="E626" vm="3047">
        <f ca="1"/>
        <v>1.3665</v>
      </c>
      <c r="F626" vm="2903">
        <f ca="1"/>
        <v>1.3721000000000001</v>
      </c>
      <c r="G626" vm="2687">
        <f ca="1"/>
        <v>1.3656999999999999</v>
      </c>
      <c r="H626" vm="2718">
        <f ca="1"/>
        <v>1.3712</v>
      </c>
      <c r="K626">
        <f ca="1">IF(ROW(T_CALC[[#This Row],[DAY]])-ROW(T_CALC[[#Headers],[DAY]])&gt;C_N_TRADING_DAYS,"",ROW(T_CALC[[#This Row],[DAY]])-ROW(T_CALC[[#Headers],[DAY]]))</f>
        <v>623</v>
      </c>
      <c r="L626" cm="1" vm="3046">
        <f t="array" aca="1" ref="L626" ca="1">IFERROR(INDEX(_xlfn.ANCHORARRAY($C$3),T_CALC[[#This Row],[DAY]]+1,1),NA())</f>
        <v>43630</v>
      </c>
      <c r="M626" cm="1" vm="3047">
        <f t="array" aca="1" ref="M626" ca="1">IFERROR(INDEX(_xlfn.ANCHORARRAY($C$3),T_CALC[[#This Row],[DAY]]+1,3),NA())</f>
        <v>1.3665</v>
      </c>
      <c r="N626" cm="1" vm="2903">
        <f t="array" aca="1" ref="N626" ca="1">IFERROR(INDEX(_xlfn.ANCHORARRAY($C$3),T_CALC[[#This Row],[DAY]]+1,4),NA())</f>
        <v>1.3721000000000001</v>
      </c>
      <c r="O626" cm="1" vm="2687">
        <f t="array" aca="1" ref="O626" ca="1">IFERROR(INDEX(_xlfn.ANCHORARRAY($C$3),T_CALC[[#This Row],[DAY]]+1,5),NA())</f>
        <v>1.3656999999999999</v>
      </c>
      <c r="P626" cm="1" vm="2718">
        <f t="array" aca="1" ref="P626" ca="1">IFERROR(INDEX(_xlfn.ANCHORARRAY($C$3),T_CALC[[#This Row],[DAY]]+1,6),NA())</f>
        <v>1.3712</v>
      </c>
      <c r="Q626" cm="1">
        <f t="array" aca="1" ref="Q626" ca="1">IFERROR(INDEX(_xlfn.ANCHORARRAY($C$3),T_CALC[[#This Row],[DAY]]+1,2),NA())</f>
        <v>0</v>
      </c>
    </row>
    <row r="627" spans="3:17">
      <c r="C627" vm="3048">
        <f ca="1"/>
        <v>43633</v>
      </c>
      <c r="D627">
        <f ca="1"/>
        <v>0</v>
      </c>
      <c r="E627" vm="2791">
        <f ca="1"/>
        <v>1.3707</v>
      </c>
      <c r="F627" vm="2199">
        <f ca="1"/>
        <v>1.3713</v>
      </c>
      <c r="G627" vm="2889">
        <f ca="1"/>
        <v>1.3692</v>
      </c>
      <c r="H627" vm="1960">
        <f ca="1"/>
        <v>1.3706</v>
      </c>
      <c r="K627">
        <f ca="1">IF(ROW(T_CALC[[#This Row],[DAY]])-ROW(T_CALC[[#Headers],[DAY]])&gt;C_N_TRADING_DAYS,"",ROW(T_CALC[[#This Row],[DAY]])-ROW(T_CALC[[#Headers],[DAY]]))</f>
        <v>624</v>
      </c>
      <c r="L627" cm="1" vm="3048">
        <f t="array" aca="1" ref="L627" ca="1">IFERROR(INDEX(_xlfn.ANCHORARRAY($C$3),T_CALC[[#This Row],[DAY]]+1,1),NA())</f>
        <v>43633</v>
      </c>
      <c r="M627" cm="1" vm="2791">
        <f t="array" aca="1" ref="M627" ca="1">IFERROR(INDEX(_xlfn.ANCHORARRAY($C$3),T_CALC[[#This Row],[DAY]]+1,3),NA())</f>
        <v>1.3707</v>
      </c>
      <c r="N627" cm="1" vm="2199">
        <f t="array" aca="1" ref="N627" ca="1">IFERROR(INDEX(_xlfn.ANCHORARRAY($C$3),T_CALC[[#This Row],[DAY]]+1,4),NA())</f>
        <v>1.3713</v>
      </c>
      <c r="O627" cm="1" vm="2889">
        <f t="array" aca="1" ref="O627" ca="1">IFERROR(INDEX(_xlfn.ANCHORARRAY($C$3),T_CALC[[#This Row],[DAY]]+1,5),NA())</f>
        <v>1.3692</v>
      </c>
      <c r="P627" cm="1" vm="1960">
        <f t="array" aca="1" ref="P627" ca="1">IFERROR(INDEX(_xlfn.ANCHORARRAY($C$3),T_CALC[[#This Row],[DAY]]+1,6),NA())</f>
        <v>1.3706</v>
      </c>
      <c r="Q627" cm="1">
        <f t="array" aca="1" ref="Q627" ca="1">IFERROR(INDEX(_xlfn.ANCHORARRAY($C$3),T_CALC[[#This Row],[DAY]]+1,2),NA())</f>
        <v>0</v>
      </c>
    </row>
    <row r="628" spans="3:17">
      <c r="C628" vm="3049">
        <f ca="1"/>
        <v>43634</v>
      </c>
      <c r="D628">
        <f ca="1"/>
        <v>0</v>
      </c>
      <c r="E628" vm="2791">
        <f ca="1"/>
        <v>1.3707</v>
      </c>
      <c r="F628" vm="2825">
        <f ca="1"/>
        <v>1.3724000000000001</v>
      </c>
      <c r="G628" vm="1964">
        <f ca="1"/>
        <v>1.3661000000000001</v>
      </c>
      <c r="H628" vm="1962">
        <f ca="1"/>
        <v>1.3662000000000001</v>
      </c>
      <c r="K628">
        <f ca="1">IF(ROW(T_CALC[[#This Row],[DAY]])-ROW(T_CALC[[#Headers],[DAY]])&gt;C_N_TRADING_DAYS,"",ROW(T_CALC[[#This Row],[DAY]])-ROW(T_CALC[[#Headers],[DAY]]))</f>
        <v>625</v>
      </c>
      <c r="L628" cm="1" vm="3049">
        <f t="array" aca="1" ref="L628" ca="1">IFERROR(INDEX(_xlfn.ANCHORARRAY($C$3),T_CALC[[#This Row],[DAY]]+1,1),NA())</f>
        <v>43634</v>
      </c>
      <c r="M628" cm="1" vm="2791">
        <f t="array" aca="1" ref="M628" ca="1">IFERROR(INDEX(_xlfn.ANCHORARRAY($C$3),T_CALC[[#This Row],[DAY]]+1,3),NA())</f>
        <v>1.3707</v>
      </c>
      <c r="N628" cm="1" vm="2825">
        <f t="array" aca="1" ref="N628" ca="1">IFERROR(INDEX(_xlfn.ANCHORARRAY($C$3),T_CALC[[#This Row],[DAY]]+1,4),NA())</f>
        <v>1.3724000000000001</v>
      </c>
      <c r="O628" cm="1" vm="1964">
        <f t="array" aca="1" ref="O628" ca="1">IFERROR(INDEX(_xlfn.ANCHORARRAY($C$3),T_CALC[[#This Row],[DAY]]+1,5),NA())</f>
        <v>1.3661000000000001</v>
      </c>
      <c r="P628" cm="1" vm="1962">
        <f t="array" aca="1" ref="P628" ca="1">IFERROR(INDEX(_xlfn.ANCHORARRAY($C$3),T_CALC[[#This Row],[DAY]]+1,6),NA())</f>
        <v>1.3662000000000001</v>
      </c>
      <c r="Q628" cm="1">
        <f t="array" aca="1" ref="Q628" ca="1">IFERROR(INDEX(_xlfn.ANCHORARRAY($C$3),T_CALC[[#This Row],[DAY]]+1,2),NA())</f>
        <v>0</v>
      </c>
    </row>
    <row r="629" spans="3:17">
      <c r="C629" vm="3050">
        <f ca="1"/>
        <v>43635</v>
      </c>
      <c r="D629">
        <f ca="1"/>
        <v>0</v>
      </c>
      <c r="E629" vm="1962">
        <f ca="1"/>
        <v>1.3662000000000001</v>
      </c>
      <c r="F629" vm="3051">
        <f ca="1"/>
        <v>1.3682000000000001</v>
      </c>
      <c r="G629" vm="2053">
        <f ca="1"/>
        <v>1.3609</v>
      </c>
      <c r="H629" vm="2050">
        <f ca="1"/>
        <v>1.363</v>
      </c>
      <c r="K629">
        <f ca="1">IF(ROW(T_CALC[[#This Row],[DAY]])-ROW(T_CALC[[#Headers],[DAY]])&gt;C_N_TRADING_DAYS,"",ROW(T_CALC[[#This Row],[DAY]])-ROW(T_CALC[[#Headers],[DAY]]))</f>
        <v>626</v>
      </c>
      <c r="L629" cm="1" vm="3050">
        <f t="array" aca="1" ref="L629" ca="1">IFERROR(INDEX(_xlfn.ANCHORARRAY($C$3),T_CALC[[#This Row],[DAY]]+1,1),NA())</f>
        <v>43635</v>
      </c>
      <c r="M629" cm="1" vm="1962">
        <f t="array" aca="1" ref="M629" ca="1">IFERROR(INDEX(_xlfn.ANCHORARRAY($C$3),T_CALC[[#This Row],[DAY]]+1,3),NA())</f>
        <v>1.3662000000000001</v>
      </c>
      <c r="N629" cm="1" vm="3051">
        <f t="array" aca="1" ref="N629" ca="1">IFERROR(INDEX(_xlfn.ANCHORARRAY($C$3),T_CALC[[#This Row],[DAY]]+1,4),NA())</f>
        <v>1.3682000000000001</v>
      </c>
      <c r="O629" cm="1" vm="2053">
        <f t="array" aca="1" ref="O629" ca="1">IFERROR(INDEX(_xlfn.ANCHORARRAY($C$3),T_CALC[[#This Row],[DAY]]+1,5),NA())</f>
        <v>1.3609</v>
      </c>
      <c r="P629" cm="1" vm="2050">
        <f t="array" aca="1" ref="P629" ca="1">IFERROR(INDEX(_xlfn.ANCHORARRAY($C$3),T_CALC[[#This Row],[DAY]]+1,6),NA())</f>
        <v>1.363</v>
      </c>
      <c r="Q629" cm="1">
        <f t="array" aca="1" ref="Q629" ca="1">IFERROR(INDEX(_xlfn.ANCHORARRAY($C$3),T_CALC[[#This Row],[DAY]]+1,2),NA())</f>
        <v>0</v>
      </c>
    </row>
    <row r="630" spans="3:17">
      <c r="C630" vm="3052">
        <f ca="1"/>
        <v>43636</v>
      </c>
      <c r="D630">
        <f ca="1"/>
        <v>0</v>
      </c>
      <c r="E630" vm="2675">
        <f ca="1"/>
        <v>1.3627</v>
      </c>
      <c r="F630" vm="1982">
        <f ca="1"/>
        <v>1.3633</v>
      </c>
      <c r="G630" vm="2064">
        <f ca="1"/>
        <v>1.3548</v>
      </c>
      <c r="H630" vm="2170">
        <f ca="1"/>
        <v>1.3559000000000001</v>
      </c>
      <c r="K630">
        <f ca="1">IF(ROW(T_CALC[[#This Row],[DAY]])-ROW(T_CALC[[#Headers],[DAY]])&gt;C_N_TRADING_DAYS,"",ROW(T_CALC[[#This Row],[DAY]])-ROW(T_CALC[[#Headers],[DAY]]))</f>
        <v>627</v>
      </c>
      <c r="L630" cm="1" vm="3052">
        <f t="array" aca="1" ref="L630" ca="1">IFERROR(INDEX(_xlfn.ANCHORARRAY($C$3),T_CALC[[#This Row],[DAY]]+1,1),NA())</f>
        <v>43636</v>
      </c>
      <c r="M630" cm="1" vm="2675">
        <f t="array" aca="1" ref="M630" ca="1">IFERROR(INDEX(_xlfn.ANCHORARRAY($C$3),T_CALC[[#This Row],[DAY]]+1,3),NA())</f>
        <v>1.3627</v>
      </c>
      <c r="N630" cm="1" vm="1982">
        <f t="array" aca="1" ref="N630" ca="1">IFERROR(INDEX(_xlfn.ANCHORARRAY($C$3),T_CALC[[#This Row],[DAY]]+1,4),NA())</f>
        <v>1.3633</v>
      </c>
      <c r="O630" cm="1" vm="2064">
        <f t="array" aca="1" ref="O630" ca="1">IFERROR(INDEX(_xlfn.ANCHORARRAY($C$3),T_CALC[[#This Row],[DAY]]+1,5),NA())</f>
        <v>1.3548</v>
      </c>
      <c r="P630" cm="1" vm="2170">
        <f t="array" aca="1" ref="P630" ca="1">IFERROR(INDEX(_xlfn.ANCHORARRAY($C$3),T_CALC[[#This Row],[DAY]]+1,6),NA())</f>
        <v>1.3559000000000001</v>
      </c>
      <c r="Q630" cm="1">
        <f t="array" aca="1" ref="Q630" ca="1">IFERROR(INDEX(_xlfn.ANCHORARRAY($C$3),T_CALC[[#This Row],[DAY]]+1,2),NA())</f>
        <v>0</v>
      </c>
    </row>
    <row r="631" spans="3:17">
      <c r="C631" vm="3053">
        <f ca="1"/>
        <v>43637</v>
      </c>
      <c r="D631">
        <f ca="1"/>
        <v>0</v>
      </c>
      <c r="E631" vm="2170">
        <f ca="1"/>
        <v>1.3559000000000001</v>
      </c>
      <c r="F631" vm="2160">
        <f ca="1"/>
        <v>1.3580000000000001</v>
      </c>
      <c r="G631" vm="2005">
        <f ca="1"/>
        <v>1.3542000000000001</v>
      </c>
      <c r="H631" vm="2017">
        <f ca="1"/>
        <v>1.3549</v>
      </c>
      <c r="K631">
        <f ca="1">IF(ROW(T_CALC[[#This Row],[DAY]])-ROW(T_CALC[[#Headers],[DAY]])&gt;C_N_TRADING_DAYS,"",ROW(T_CALC[[#This Row],[DAY]])-ROW(T_CALC[[#Headers],[DAY]]))</f>
        <v>628</v>
      </c>
      <c r="L631" cm="1" vm="3053">
        <f t="array" aca="1" ref="L631" ca="1">IFERROR(INDEX(_xlfn.ANCHORARRAY($C$3),T_CALC[[#This Row],[DAY]]+1,1),NA())</f>
        <v>43637</v>
      </c>
      <c r="M631" cm="1" vm="2170">
        <f t="array" aca="1" ref="M631" ca="1">IFERROR(INDEX(_xlfn.ANCHORARRAY($C$3),T_CALC[[#This Row],[DAY]]+1,3),NA())</f>
        <v>1.3559000000000001</v>
      </c>
      <c r="N631" cm="1" vm="2160">
        <f t="array" aca="1" ref="N631" ca="1">IFERROR(INDEX(_xlfn.ANCHORARRAY($C$3),T_CALC[[#This Row],[DAY]]+1,4),NA())</f>
        <v>1.3580000000000001</v>
      </c>
      <c r="O631" cm="1" vm="2005">
        <f t="array" aca="1" ref="O631" ca="1">IFERROR(INDEX(_xlfn.ANCHORARRAY($C$3),T_CALC[[#This Row],[DAY]]+1,5),NA())</f>
        <v>1.3542000000000001</v>
      </c>
      <c r="P631" cm="1" vm="2017">
        <f t="array" aca="1" ref="P631" ca="1">IFERROR(INDEX(_xlfn.ANCHORARRAY($C$3),T_CALC[[#This Row],[DAY]]+1,6),NA())</f>
        <v>1.3549</v>
      </c>
      <c r="Q631" cm="1">
        <f t="array" aca="1" ref="Q631" ca="1">IFERROR(INDEX(_xlfn.ANCHORARRAY($C$3),T_CALC[[#This Row],[DAY]]+1,2),NA())</f>
        <v>0</v>
      </c>
    </row>
    <row r="632" spans="3:17">
      <c r="C632" vm="3054">
        <f ca="1"/>
        <v>43640</v>
      </c>
      <c r="D632">
        <f ca="1"/>
        <v>0</v>
      </c>
      <c r="E632" vm="2920">
        <f ca="1"/>
        <v>1.3546</v>
      </c>
      <c r="F632" vm="1997">
        <f ca="1"/>
        <v>1.3554999999999999</v>
      </c>
      <c r="G632" vm="2923">
        <f ca="1"/>
        <v>1.3527</v>
      </c>
      <c r="H632" vm="2073">
        <f ca="1"/>
        <v>1.3532</v>
      </c>
      <c r="K632">
        <f ca="1">IF(ROW(T_CALC[[#This Row],[DAY]])-ROW(T_CALC[[#Headers],[DAY]])&gt;C_N_TRADING_DAYS,"",ROW(T_CALC[[#This Row],[DAY]])-ROW(T_CALC[[#Headers],[DAY]]))</f>
        <v>629</v>
      </c>
      <c r="L632" cm="1" vm="3054">
        <f t="array" aca="1" ref="L632" ca="1">IFERROR(INDEX(_xlfn.ANCHORARRAY($C$3),T_CALC[[#This Row],[DAY]]+1,1),NA())</f>
        <v>43640</v>
      </c>
      <c r="M632" cm="1" vm="2920">
        <f t="array" aca="1" ref="M632" ca="1">IFERROR(INDEX(_xlfn.ANCHORARRAY($C$3),T_CALC[[#This Row],[DAY]]+1,3),NA())</f>
        <v>1.3546</v>
      </c>
      <c r="N632" cm="1" vm="1997">
        <f t="array" aca="1" ref="N632" ca="1">IFERROR(INDEX(_xlfn.ANCHORARRAY($C$3),T_CALC[[#This Row],[DAY]]+1,4),NA())</f>
        <v>1.3554999999999999</v>
      </c>
      <c r="O632" cm="1" vm="2923">
        <f t="array" aca="1" ref="O632" ca="1">IFERROR(INDEX(_xlfn.ANCHORARRAY($C$3),T_CALC[[#This Row],[DAY]]+1,5),NA())</f>
        <v>1.3527</v>
      </c>
      <c r="P632" cm="1" vm="2073">
        <f t="array" aca="1" ref="P632" ca="1">IFERROR(INDEX(_xlfn.ANCHORARRAY($C$3),T_CALC[[#This Row],[DAY]]+1,6),NA())</f>
        <v>1.3532</v>
      </c>
      <c r="Q632" cm="1">
        <f t="array" aca="1" ref="Q632" ca="1">IFERROR(INDEX(_xlfn.ANCHORARRAY($C$3),T_CALC[[#This Row],[DAY]]+1,2),NA())</f>
        <v>0</v>
      </c>
    </row>
    <row r="633" spans="3:17">
      <c r="C633" vm="3055">
        <f ca="1"/>
        <v>43641</v>
      </c>
      <c r="D633">
        <f ca="1"/>
        <v>0</v>
      </c>
      <c r="E633" vm="2073">
        <f ca="1"/>
        <v>1.3532</v>
      </c>
      <c r="F633" vm="2078">
        <f ca="1"/>
        <v>1.3555999999999999</v>
      </c>
      <c r="G633" vm="2261">
        <f ca="1"/>
        <v>1.3514999999999999</v>
      </c>
      <c r="H633" vm="2148">
        <f ca="1"/>
        <v>1.3543000000000001</v>
      </c>
      <c r="K633">
        <f ca="1">IF(ROW(T_CALC[[#This Row],[DAY]])-ROW(T_CALC[[#Headers],[DAY]])&gt;C_N_TRADING_DAYS,"",ROW(T_CALC[[#This Row],[DAY]])-ROW(T_CALC[[#Headers],[DAY]]))</f>
        <v>630</v>
      </c>
      <c r="L633" cm="1" vm="3055">
        <f t="array" aca="1" ref="L633" ca="1">IFERROR(INDEX(_xlfn.ANCHORARRAY($C$3),T_CALC[[#This Row],[DAY]]+1,1),NA())</f>
        <v>43641</v>
      </c>
      <c r="M633" cm="1" vm="2073">
        <f t="array" aca="1" ref="M633" ca="1">IFERROR(INDEX(_xlfn.ANCHORARRAY($C$3),T_CALC[[#This Row],[DAY]]+1,3),NA())</f>
        <v>1.3532</v>
      </c>
      <c r="N633" cm="1" vm="2078">
        <f t="array" aca="1" ref="N633" ca="1">IFERROR(INDEX(_xlfn.ANCHORARRAY($C$3),T_CALC[[#This Row],[DAY]]+1,4),NA())</f>
        <v>1.3555999999999999</v>
      </c>
      <c r="O633" cm="1" vm="2261">
        <f t="array" aca="1" ref="O633" ca="1">IFERROR(INDEX(_xlfn.ANCHORARRAY($C$3),T_CALC[[#This Row],[DAY]]+1,5),NA())</f>
        <v>1.3514999999999999</v>
      </c>
      <c r="P633" cm="1" vm="2148">
        <f t="array" aca="1" ref="P633" ca="1">IFERROR(INDEX(_xlfn.ANCHORARRAY($C$3),T_CALC[[#This Row],[DAY]]+1,6),NA())</f>
        <v>1.3543000000000001</v>
      </c>
      <c r="Q633" cm="1">
        <f t="array" aca="1" ref="Q633" ca="1">IFERROR(INDEX(_xlfn.ANCHORARRAY($C$3),T_CALC[[#This Row],[DAY]]+1,2),NA())</f>
        <v>0</v>
      </c>
    </row>
    <row r="634" spans="3:17">
      <c r="C634" vm="3056">
        <f ca="1"/>
        <v>43642</v>
      </c>
      <c r="D634">
        <f ca="1"/>
        <v>0</v>
      </c>
      <c r="E634" vm="2064">
        <f ca="1"/>
        <v>1.3548</v>
      </c>
      <c r="F634" vm="2916">
        <f ca="1"/>
        <v>1.3560000000000001</v>
      </c>
      <c r="G634" vm="2964">
        <f ca="1"/>
        <v>1.3522000000000001</v>
      </c>
      <c r="H634" vm="2965">
        <f ca="1"/>
        <v>1.3544</v>
      </c>
      <c r="K634">
        <f ca="1">IF(ROW(T_CALC[[#This Row],[DAY]])-ROW(T_CALC[[#Headers],[DAY]])&gt;C_N_TRADING_DAYS,"",ROW(T_CALC[[#This Row],[DAY]])-ROW(T_CALC[[#Headers],[DAY]]))</f>
        <v>631</v>
      </c>
      <c r="L634" cm="1" vm="3056">
        <f t="array" aca="1" ref="L634" ca="1">IFERROR(INDEX(_xlfn.ANCHORARRAY($C$3),T_CALC[[#This Row],[DAY]]+1,1),NA())</f>
        <v>43642</v>
      </c>
      <c r="M634" cm="1" vm="2064">
        <f t="array" aca="1" ref="M634" ca="1">IFERROR(INDEX(_xlfn.ANCHORARRAY($C$3),T_CALC[[#This Row],[DAY]]+1,3),NA())</f>
        <v>1.3548</v>
      </c>
      <c r="N634" cm="1" vm="2916">
        <f t="array" aca="1" ref="N634" ca="1">IFERROR(INDEX(_xlfn.ANCHORARRAY($C$3),T_CALC[[#This Row],[DAY]]+1,4),NA())</f>
        <v>1.3560000000000001</v>
      </c>
      <c r="O634" cm="1" vm="2964">
        <f t="array" aca="1" ref="O634" ca="1">IFERROR(INDEX(_xlfn.ANCHORARRAY($C$3),T_CALC[[#This Row],[DAY]]+1,5),NA())</f>
        <v>1.3522000000000001</v>
      </c>
      <c r="P634" cm="1" vm="2965">
        <f t="array" aca="1" ref="P634" ca="1">IFERROR(INDEX(_xlfn.ANCHORARRAY($C$3),T_CALC[[#This Row],[DAY]]+1,6),NA())</f>
        <v>1.3544</v>
      </c>
      <c r="Q634" cm="1">
        <f t="array" aca="1" ref="Q634" ca="1">IFERROR(INDEX(_xlfn.ANCHORARRAY($C$3),T_CALC[[#This Row],[DAY]]+1,2),NA())</f>
        <v>0</v>
      </c>
    </row>
    <row r="635" spans="3:17">
      <c r="C635" vm="3057">
        <f ca="1"/>
        <v>43643</v>
      </c>
      <c r="D635">
        <f ca="1"/>
        <v>0</v>
      </c>
      <c r="E635" vm="2061">
        <f ca="1"/>
        <v>1.3547</v>
      </c>
      <c r="F635" vm="2078">
        <f ca="1"/>
        <v>1.3555999999999999</v>
      </c>
      <c r="G635" vm="2176">
        <f ca="1"/>
        <v>1.3521000000000001</v>
      </c>
      <c r="H635" vm="2226">
        <f ca="1"/>
        <v>1.3529</v>
      </c>
      <c r="K635">
        <f ca="1">IF(ROW(T_CALC[[#This Row],[DAY]])-ROW(T_CALC[[#Headers],[DAY]])&gt;C_N_TRADING_DAYS,"",ROW(T_CALC[[#This Row],[DAY]])-ROW(T_CALC[[#Headers],[DAY]]))</f>
        <v>632</v>
      </c>
      <c r="L635" cm="1" vm="3057">
        <f t="array" aca="1" ref="L635" ca="1">IFERROR(INDEX(_xlfn.ANCHORARRAY($C$3),T_CALC[[#This Row],[DAY]]+1,1),NA())</f>
        <v>43643</v>
      </c>
      <c r="M635" cm="1" vm="2061">
        <f t="array" aca="1" ref="M635" ca="1">IFERROR(INDEX(_xlfn.ANCHORARRAY($C$3),T_CALC[[#This Row],[DAY]]+1,3),NA())</f>
        <v>1.3547</v>
      </c>
      <c r="N635" cm="1" vm="2078">
        <f t="array" aca="1" ref="N635" ca="1">IFERROR(INDEX(_xlfn.ANCHORARRAY($C$3),T_CALC[[#This Row],[DAY]]+1,4),NA())</f>
        <v>1.3555999999999999</v>
      </c>
      <c r="O635" cm="1" vm="2176">
        <f t="array" aca="1" ref="O635" ca="1">IFERROR(INDEX(_xlfn.ANCHORARRAY($C$3),T_CALC[[#This Row],[DAY]]+1,5),NA())</f>
        <v>1.3521000000000001</v>
      </c>
      <c r="P635" cm="1" vm="2226">
        <f t="array" aca="1" ref="P635" ca="1">IFERROR(INDEX(_xlfn.ANCHORARRAY($C$3),T_CALC[[#This Row],[DAY]]+1,6),NA())</f>
        <v>1.3529</v>
      </c>
      <c r="Q635" cm="1">
        <f t="array" aca="1" ref="Q635" ca="1">IFERROR(INDEX(_xlfn.ANCHORARRAY($C$3),T_CALC[[#This Row],[DAY]]+1,2),NA())</f>
        <v>0</v>
      </c>
    </row>
    <row r="636" spans="3:17">
      <c r="C636" vm="3058">
        <f ca="1"/>
        <v>43644</v>
      </c>
      <c r="D636">
        <f ca="1"/>
        <v>0</v>
      </c>
      <c r="E636" vm="2073">
        <f ca="1"/>
        <v>1.3532</v>
      </c>
      <c r="F636" vm="2228">
        <f ca="1"/>
        <v>1.3539000000000001</v>
      </c>
      <c r="G636" vm="2663">
        <f ca="1"/>
        <v>1.3517999999999999</v>
      </c>
      <c r="H636" vm="2964">
        <f ca="1"/>
        <v>1.3522000000000001</v>
      </c>
      <c r="K636">
        <f ca="1">IF(ROW(T_CALC[[#This Row],[DAY]])-ROW(T_CALC[[#Headers],[DAY]])&gt;C_N_TRADING_DAYS,"",ROW(T_CALC[[#This Row],[DAY]])-ROW(T_CALC[[#Headers],[DAY]]))</f>
        <v>633</v>
      </c>
      <c r="L636" cm="1" vm="3058">
        <f t="array" aca="1" ref="L636" ca="1">IFERROR(INDEX(_xlfn.ANCHORARRAY($C$3),T_CALC[[#This Row],[DAY]]+1,1),NA())</f>
        <v>43644</v>
      </c>
      <c r="M636" cm="1" vm="2073">
        <f t="array" aca="1" ref="M636" ca="1">IFERROR(INDEX(_xlfn.ANCHORARRAY($C$3),T_CALC[[#This Row],[DAY]]+1,3),NA())</f>
        <v>1.3532</v>
      </c>
      <c r="N636" cm="1" vm="2228">
        <f t="array" aca="1" ref="N636" ca="1">IFERROR(INDEX(_xlfn.ANCHORARRAY($C$3),T_CALC[[#This Row],[DAY]]+1,4),NA())</f>
        <v>1.3539000000000001</v>
      </c>
      <c r="O636" cm="1" vm="2663">
        <f t="array" aca="1" ref="O636" ca="1">IFERROR(INDEX(_xlfn.ANCHORARRAY($C$3),T_CALC[[#This Row],[DAY]]+1,5),NA())</f>
        <v>1.3517999999999999</v>
      </c>
      <c r="P636" cm="1" vm="2964">
        <f t="array" aca="1" ref="P636" ca="1">IFERROR(INDEX(_xlfn.ANCHORARRAY($C$3),T_CALC[[#This Row],[DAY]]+1,6),NA())</f>
        <v>1.3522000000000001</v>
      </c>
      <c r="Q636" cm="1">
        <f t="array" aca="1" ref="Q636" ca="1">IFERROR(INDEX(_xlfn.ANCHORARRAY($C$3),T_CALC[[#This Row],[DAY]]+1,2),NA())</f>
        <v>0</v>
      </c>
    </row>
    <row r="637" spans="3:17">
      <c r="C637" vm="3059">
        <f ca="1"/>
        <v>43647</v>
      </c>
      <c r="D637">
        <f ca="1"/>
        <v>0</v>
      </c>
      <c r="E637" vm="2178">
        <f ca="1"/>
        <v>1.3523000000000001</v>
      </c>
      <c r="F637" vm="2000">
        <f ca="1"/>
        <v>1.3569</v>
      </c>
      <c r="G637" vm="2139">
        <f ca="1"/>
        <v>1.3506</v>
      </c>
      <c r="H637" vm="2185">
        <f ca="1"/>
        <v>1.3552999999999999</v>
      </c>
      <c r="K637">
        <f ca="1">IF(ROW(T_CALC[[#This Row],[DAY]])-ROW(T_CALC[[#Headers],[DAY]])&gt;C_N_TRADING_DAYS,"",ROW(T_CALC[[#This Row],[DAY]])-ROW(T_CALC[[#Headers],[DAY]]))</f>
        <v>634</v>
      </c>
      <c r="L637" cm="1" vm="3059">
        <f t="array" aca="1" ref="L637" ca="1">IFERROR(INDEX(_xlfn.ANCHORARRAY($C$3),T_CALC[[#This Row],[DAY]]+1,1),NA())</f>
        <v>43647</v>
      </c>
      <c r="M637" cm="1" vm="2178">
        <f t="array" aca="1" ref="M637" ca="1">IFERROR(INDEX(_xlfn.ANCHORARRAY($C$3),T_CALC[[#This Row],[DAY]]+1,3),NA())</f>
        <v>1.3523000000000001</v>
      </c>
      <c r="N637" cm="1" vm="2000">
        <f t="array" aca="1" ref="N637" ca="1">IFERROR(INDEX(_xlfn.ANCHORARRAY($C$3),T_CALC[[#This Row],[DAY]]+1,4),NA())</f>
        <v>1.3569</v>
      </c>
      <c r="O637" cm="1" vm="2139">
        <f t="array" aca="1" ref="O637" ca="1">IFERROR(INDEX(_xlfn.ANCHORARRAY($C$3),T_CALC[[#This Row],[DAY]]+1,5),NA())</f>
        <v>1.3506</v>
      </c>
      <c r="P637" cm="1" vm="2185">
        <f t="array" aca="1" ref="P637" ca="1">IFERROR(INDEX(_xlfn.ANCHORARRAY($C$3),T_CALC[[#This Row],[DAY]]+1,6),NA())</f>
        <v>1.3552999999999999</v>
      </c>
      <c r="Q637" cm="1">
        <f t="array" aca="1" ref="Q637" ca="1">IFERROR(INDEX(_xlfn.ANCHORARRAY($C$3),T_CALC[[#This Row],[DAY]]+1,2),NA())</f>
        <v>0</v>
      </c>
    </row>
    <row r="638" spans="3:17">
      <c r="C638" vm="3060">
        <f ca="1"/>
        <v>43648</v>
      </c>
      <c r="D638">
        <f ca="1"/>
        <v>0</v>
      </c>
      <c r="E638" vm="2017">
        <f ca="1"/>
        <v>1.3549</v>
      </c>
      <c r="F638" vm="2081">
        <f ca="1"/>
        <v>1.3573</v>
      </c>
      <c r="G638" vm="2061">
        <f ca="1"/>
        <v>1.3547</v>
      </c>
      <c r="H638" vm="2170">
        <f ca="1"/>
        <v>1.3559000000000001</v>
      </c>
      <c r="K638">
        <f ca="1">IF(ROW(T_CALC[[#This Row],[DAY]])-ROW(T_CALC[[#Headers],[DAY]])&gt;C_N_TRADING_DAYS,"",ROW(T_CALC[[#This Row],[DAY]])-ROW(T_CALC[[#Headers],[DAY]]))</f>
        <v>635</v>
      </c>
      <c r="L638" cm="1" vm="3060">
        <f t="array" aca="1" ref="L638" ca="1">IFERROR(INDEX(_xlfn.ANCHORARRAY($C$3),T_CALC[[#This Row],[DAY]]+1,1),NA())</f>
        <v>43648</v>
      </c>
      <c r="M638" cm="1" vm="2017">
        <f t="array" aca="1" ref="M638" ca="1">IFERROR(INDEX(_xlfn.ANCHORARRAY($C$3),T_CALC[[#This Row],[DAY]]+1,3),NA())</f>
        <v>1.3549</v>
      </c>
      <c r="N638" cm="1" vm="2081">
        <f t="array" aca="1" ref="N638" ca="1">IFERROR(INDEX(_xlfn.ANCHORARRAY($C$3),T_CALC[[#This Row],[DAY]]+1,4),NA())</f>
        <v>1.3573</v>
      </c>
      <c r="O638" cm="1" vm="2061">
        <f t="array" aca="1" ref="O638" ca="1">IFERROR(INDEX(_xlfn.ANCHORARRAY($C$3),T_CALC[[#This Row],[DAY]]+1,5),NA())</f>
        <v>1.3547</v>
      </c>
      <c r="P638" cm="1" vm="2170">
        <f t="array" aca="1" ref="P638" ca="1">IFERROR(INDEX(_xlfn.ANCHORARRAY($C$3),T_CALC[[#This Row],[DAY]]+1,6),NA())</f>
        <v>1.3559000000000001</v>
      </c>
      <c r="Q638" cm="1">
        <f t="array" aca="1" ref="Q638" ca="1">IFERROR(INDEX(_xlfn.ANCHORARRAY($C$3),T_CALC[[#This Row],[DAY]]+1,2),NA())</f>
        <v>0</v>
      </c>
    </row>
    <row r="639" spans="3:17">
      <c r="C639" vm="3061">
        <f ca="1"/>
        <v>43649</v>
      </c>
      <c r="D639">
        <f ca="1"/>
        <v>0</v>
      </c>
      <c r="E639" vm="2170">
        <f ca="1"/>
        <v>1.3559000000000001</v>
      </c>
      <c r="F639" vm="2015">
        <f ca="1"/>
        <v>1.3573999999999999</v>
      </c>
      <c r="G639" vm="2005">
        <f ca="1"/>
        <v>1.3542000000000001</v>
      </c>
      <c r="H639" vm="3005">
        <f ca="1"/>
        <v>1.3557999999999999</v>
      </c>
      <c r="K639">
        <f ca="1">IF(ROW(T_CALC[[#This Row],[DAY]])-ROW(T_CALC[[#Headers],[DAY]])&gt;C_N_TRADING_DAYS,"",ROW(T_CALC[[#This Row],[DAY]])-ROW(T_CALC[[#Headers],[DAY]]))</f>
        <v>636</v>
      </c>
      <c r="L639" cm="1" vm="3061">
        <f t="array" aca="1" ref="L639" ca="1">IFERROR(INDEX(_xlfn.ANCHORARRAY($C$3),T_CALC[[#This Row],[DAY]]+1,1),NA())</f>
        <v>43649</v>
      </c>
      <c r="M639" cm="1" vm="2170">
        <f t="array" aca="1" ref="M639" ca="1">IFERROR(INDEX(_xlfn.ANCHORARRAY($C$3),T_CALC[[#This Row],[DAY]]+1,3),NA())</f>
        <v>1.3559000000000001</v>
      </c>
      <c r="N639" cm="1" vm="2015">
        <f t="array" aca="1" ref="N639" ca="1">IFERROR(INDEX(_xlfn.ANCHORARRAY($C$3),T_CALC[[#This Row],[DAY]]+1,4),NA())</f>
        <v>1.3573999999999999</v>
      </c>
      <c r="O639" cm="1" vm="2005">
        <f t="array" aca="1" ref="O639" ca="1">IFERROR(INDEX(_xlfn.ANCHORARRAY($C$3),T_CALC[[#This Row],[DAY]]+1,5),NA())</f>
        <v>1.3542000000000001</v>
      </c>
      <c r="P639" cm="1" vm="3005">
        <f t="array" aca="1" ref="P639" ca="1">IFERROR(INDEX(_xlfn.ANCHORARRAY($C$3),T_CALC[[#This Row],[DAY]]+1,6),NA())</f>
        <v>1.3557999999999999</v>
      </c>
      <c r="Q639" cm="1">
        <f t="array" aca="1" ref="Q639" ca="1">IFERROR(INDEX(_xlfn.ANCHORARRAY($C$3),T_CALC[[#This Row],[DAY]]+1,2),NA())</f>
        <v>0</v>
      </c>
    </row>
    <row r="640" spans="3:17">
      <c r="C640" vm="3062">
        <f ca="1"/>
        <v>43650</v>
      </c>
      <c r="D640">
        <f ca="1"/>
        <v>0</v>
      </c>
      <c r="E640" vm="2170">
        <f ca="1"/>
        <v>1.3559000000000001</v>
      </c>
      <c r="F640" vm="2084">
        <f ca="1"/>
        <v>1.3566</v>
      </c>
      <c r="G640" vm="2002">
        <f ca="1"/>
        <v>1.3540000000000001</v>
      </c>
      <c r="H640" vm="3005">
        <f ca="1"/>
        <v>1.3557999999999999</v>
      </c>
      <c r="K640">
        <f ca="1">IF(ROW(T_CALC[[#This Row],[DAY]])-ROW(T_CALC[[#Headers],[DAY]])&gt;C_N_TRADING_DAYS,"",ROW(T_CALC[[#This Row],[DAY]])-ROW(T_CALC[[#Headers],[DAY]]))</f>
        <v>637</v>
      </c>
      <c r="L640" cm="1" vm="3062">
        <f t="array" aca="1" ref="L640" ca="1">IFERROR(INDEX(_xlfn.ANCHORARRAY($C$3),T_CALC[[#This Row],[DAY]]+1,1),NA())</f>
        <v>43650</v>
      </c>
      <c r="M640" cm="1" vm="2170">
        <f t="array" aca="1" ref="M640" ca="1">IFERROR(INDEX(_xlfn.ANCHORARRAY($C$3),T_CALC[[#This Row],[DAY]]+1,3),NA())</f>
        <v>1.3559000000000001</v>
      </c>
      <c r="N640" cm="1" vm="2084">
        <f t="array" aca="1" ref="N640" ca="1">IFERROR(INDEX(_xlfn.ANCHORARRAY($C$3),T_CALC[[#This Row],[DAY]]+1,4),NA())</f>
        <v>1.3566</v>
      </c>
      <c r="O640" cm="1" vm="2002">
        <f t="array" aca="1" ref="O640" ca="1">IFERROR(INDEX(_xlfn.ANCHORARRAY($C$3),T_CALC[[#This Row],[DAY]]+1,5),NA())</f>
        <v>1.3540000000000001</v>
      </c>
      <c r="P640" cm="1" vm="3005">
        <f t="array" aca="1" ref="P640" ca="1">IFERROR(INDEX(_xlfn.ANCHORARRAY($C$3),T_CALC[[#This Row],[DAY]]+1,6),NA())</f>
        <v>1.3557999999999999</v>
      </c>
      <c r="Q640" cm="1">
        <f t="array" aca="1" ref="Q640" ca="1">IFERROR(INDEX(_xlfn.ANCHORARRAY($C$3),T_CALC[[#This Row],[DAY]]+1,2),NA())</f>
        <v>0</v>
      </c>
    </row>
    <row r="641" spans="3:17">
      <c r="C641" vm="3063">
        <f ca="1"/>
        <v>43651</v>
      </c>
      <c r="D641">
        <f ca="1"/>
        <v>0</v>
      </c>
      <c r="E641" vm="3005">
        <f ca="1"/>
        <v>1.3557999999999999</v>
      </c>
      <c r="F641" vm="2025">
        <f ca="1"/>
        <v>1.3624000000000001</v>
      </c>
      <c r="G641" vm="2017">
        <f ca="1"/>
        <v>1.3549</v>
      </c>
      <c r="H641" vm="2058">
        <f ca="1"/>
        <v>1.3593999999999999</v>
      </c>
      <c r="K641">
        <f ca="1">IF(ROW(T_CALC[[#This Row],[DAY]])-ROW(T_CALC[[#Headers],[DAY]])&gt;C_N_TRADING_DAYS,"",ROW(T_CALC[[#This Row],[DAY]])-ROW(T_CALC[[#Headers],[DAY]]))</f>
        <v>638</v>
      </c>
      <c r="L641" cm="1" vm="3063">
        <f t="array" aca="1" ref="L641" ca="1">IFERROR(INDEX(_xlfn.ANCHORARRAY($C$3),T_CALC[[#This Row],[DAY]]+1,1),NA())</f>
        <v>43651</v>
      </c>
      <c r="M641" cm="1" vm="3005">
        <f t="array" aca="1" ref="M641" ca="1">IFERROR(INDEX(_xlfn.ANCHORARRAY($C$3),T_CALC[[#This Row],[DAY]]+1,3),NA())</f>
        <v>1.3557999999999999</v>
      </c>
      <c r="N641" cm="1" vm="2025">
        <f t="array" aca="1" ref="N641" ca="1">IFERROR(INDEX(_xlfn.ANCHORARRAY($C$3),T_CALC[[#This Row],[DAY]]+1,4),NA())</f>
        <v>1.3624000000000001</v>
      </c>
      <c r="O641" cm="1" vm="2017">
        <f t="array" aca="1" ref="O641" ca="1">IFERROR(INDEX(_xlfn.ANCHORARRAY($C$3),T_CALC[[#This Row],[DAY]]+1,5),NA())</f>
        <v>1.3549</v>
      </c>
      <c r="P641" cm="1" vm="2058">
        <f t="array" aca="1" ref="P641" ca="1">IFERROR(INDEX(_xlfn.ANCHORARRAY($C$3),T_CALC[[#This Row],[DAY]]+1,6),NA())</f>
        <v>1.3593999999999999</v>
      </c>
      <c r="Q641" cm="1">
        <f t="array" aca="1" ref="Q641" ca="1">IFERROR(INDEX(_xlfn.ANCHORARRAY($C$3),T_CALC[[#This Row],[DAY]]+1,2),NA())</f>
        <v>0</v>
      </c>
    </row>
    <row r="642" spans="3:17">
      <c r="C642" vm="3064">
        <f ca="1"/>
        <v>43654</v>
      </c>
      <c r="D642">
        <f ca="1"/>
        <v>0</v>
      </c>
      <c r="E642" vm="2013">
        <f ca="1"/>
        <v>1.3588</v>
      </c>
      <c r="F642" vm="2213">
        <f ca="1"/>
        <v>1.3615999999999999</v>
      </c>
      <c r="G642" vm="2151">
        <f ca="1"/>
        <v>1.3575999999999999</v>
      </c>
      <c r="H642" vm="2714">
        <f ca="1"/>
        <v>1.3595999999999999</v>
      </c>
      <c r="K642">
        <f ca="1">IF(ROW(T_CALC[[#This Row],[DAY]])-ROW(T_CALC[[#Headers],[DAY]])&gt;C_N_TRADING_DAYS,"",ROW(T_CALC[[#This Row],[DAY]])-ROW(T_CALC[[#Headers],[DAY]]))</f>
        <v>639</v>
      </c>
      <c r="L642" cm="1" vm="3064">
        <f t="array" aca="1" ref="L642" ca="1">IFERROR(INDEX(_xlfn.ANCHORARRAY($C$3),T_CALC[[#This Row],[DAY]]+1,1),NA())</f>
        <v>43654</v>
      </c>
      <c r="M642" cm="1" vm="2013">
        <f t="array" aca="1" ref="M642" ca="1">IFERROR(INDEX(_xlfn.ANCHORARRAY($C$3),T_CALC[[#This Row],[DAY]]+1,3),NA())</f>
        <v>1.3588</v>
      </c>
      <c r="N642" cm="1" vm="2213">
        <f t="array" aca="1" ref="N642" ca="1">IFERROR(INDEX(_xlfn.ANCHORARRAY($C$3),T_CALC[[#This Row],[DAY]]+1,4),NA())</f>
        <v>1.3615999999999999</v>
      </c>
      <c r="O642" cm="1" vm="2151">
        <f t="array" aca="1" ref="O642" ca="1">IFERROR(INDEX(_xlfn.ANCHORARRAY($C$3),T_CALC[[#This Row],[DAY]]+1,5),NA())</f>
        <v>1.3575999999999999</v>
      </c>
      <c r="P642" cm="1" vm="2714">
        <f t="array" aca="1" ref="P642" ca="1">IFERROR(INDEX(_xlfn.ANCHORARRAY($C$3),T_CALC[[#This Row],[DAY]]+1,6),NA())</f>
        <v>1.3595999999999999</v>
      </c>
      <c r="Q642" cm="1">
        <f t="array" aca="1" ref="Q642" ca="1">IFERROR(INDEX(_xlfn.ANCHORARRAY($C$3),T_CALC[[#This Row],[DAY]]+1,2),NA())</f>
        <v>0</v>
      </c>
    </row>
    <row r="643" spans="3:17">
      <c r="C643" vm="3065">
        <f ca="1"/>
        <v>43655</v>
      </c>
      <c r="D643">
        <f ca="1"/>
        <v>0</v>
      </c>
      <c r="E643" vm="2714">
        <f ca="1"/>
        <v>1.3595999999999999</v>
      </c>
      <c r="F643" vm="2192">
        <f ca="1"/>
        <v>1.3623000000000001</v>
      </c>
      <c r="G643" vm="1994">
        <f ca="1"/>
        <v>1.359</v>
      </c>
      <c r="H643" vm="1980">
        <f ca="1"/>
        <v>1.3617999999999999</v>
      </c>
      <c r="K643">
        <f ca="1">IF(ROW(T_CALC[[#This Row],[DAY]])-ROW(T_CALC[[#Headers],[DAY]])&gt;C_N_TRADING_DAYS,"",ROW(T_CALC[[#This Row],[DAY]])-ROW(T_CALC[[#Headers],[DAY]]))</f>
        <v>640</v>
      </c>
      <c r="L643" cm="1" vm="3065">
        <f t="array" aca="1" ref="L643" ca="1">IFERROR(INDEX(_xlfn.ANCHORARRAY($C$3),T_CALC[[#This Row],[DAY]]+1,1),NA())</f>
        <v>43655</v>
      </c>
      <c r="M643" cm="1" vm="2714">
        <f t="array" aca="1" ref="M643" ca="1">IFERROR(INDEX(_xlfn.ANCHORARRAY($C$3),T_CALC[[#This Row],[DAY]]+1,3),NA())</f>
        <v>1.3595999999999999</v>
      </c>
      <c r="N643" cm="1" vm="2192">
        <f t="array" aca="1" ref="N643" ca="1">IFERROR(INDEX(_xlfn.ANCHORARRAY($C$3),T_CALC[[#This Row],[DAY]]+1,4),NA())</f>
        <v>1.3623000000000001</v>
      </c>
      <c r="O643" cm="1" vm="1994">
        <f t="array" aca="1" ref="O643" ca="1">IFERROR(INDEX(_xlfn.ANCHORARRAY($C$3),T_CALC[[#This Row],[DAY]]+1,5),NA())</f>
        <v>1.359</v>
      </c>
      <c r="P643" cm="1" vm="1980">
        <f t="array" aca="1" ref="P643" ca="1">IFERROR(INDEX(_xlfn.ANCHORARRAY($C$3),T_CALC[[#This Row],[DAY]]+1,6),NA())</f>
        <v>1.3617999999999999</v>
      </c>
      <c r="Q643" cm="1">
        <f t="array" aca="1" ref="Q643" ca="1">IFERROR(INDEX(_xlfn.ANCHORARRAY($C$3),T_CALC[[#This Row],[DAY]]+1,2),NA())</f>
        <v>0</v>
      </c>
    </row>
    <row r="644" spans="3:17">
      <c r="C644" vm="3066">
        <f ca="1"/>
        <v>43656</v>
      </c>
      <c r="D644">
        <f ca="1"/>
        <v>0</v>
      </c>
      <c r="E644" vm="2032">
        <f ca="1"/>
        <v>1.3612</v>
      </c>
      <c r="F644" vm="2025">
        <f ca="1"/>
        <v>1.3624000000000001</v>
      </c>
      <c r="G644" vm="2070">
        <f ca="1"/>
        <v>1.3563000000000001</v>
      </c>
      <c r="H644" vm="2160">
        <f ca="1"/>
        <v>1.3580000000000001</v>
      </c>
      <c r="K644">
        <f ca="1">IF(ROW(T_CALC[[#This Row],[DAY]])-ROW(T_CALC[[#Headers],[DAY]])&gt;C_N_TRADING_DAYS,"",ROW(T_CALC[[#This Row],[DAY]])-ROW(T_CALC[[#Headers],[DAY]]))</f>
        <v>641</v>
      </c>
      <c r="L644" cm="1" vm="3066">
        <f t="array" aca="1" ref="L644" ca="1">IFERROR(INDEX(_xlfn.ANCHORARRAY($C$3),T_CALC[[#This Row],[DAY]]+1,1),NA())</f>
        <v>43656</v>
      </c>
      <c r="M644" cm="1" vm="2032">
        <f t="array" aca="1" ref="M644" ca="1">IFERROR(INDEX(_xlfn.ANCHORARRAY($C$3),T_CALC[[#This Row],[DAY]]+1,3),NA())</f>
        <v>1.3612</v>
      </c>
      <c r="N644" cm="1" vm="2025">
        <f t="array" aca="1" ref="N644" ca="1">IFERROR(INDEX(_xlfn.ANCHORARRAY($C$3),T_CALC[[#This Row],[DAY]]+1,4),NA())</f>
        <v>1.3624000000000001</v>
      </c>
      <c r="O644" cm="1" vm="2070">
        <f t="array" aca="1" ref="O644" ca="1">IFERROR(INDEX(_xlfn.ANCHORARRAY($C$3),T_CALC[[#This Row],[DAY]]+1,5),NA())</f>
        <v>1.3563000000000001</v>
      </c>
      <c r="P644" cm="1" vm="2160">
        <f t="array" aca="1" ref="P644" ca="1">IFERROR(INDEX(_xlfn.ANCHORARRAY($C$3),T_CALC[[#This Row],[DAY]]+1,6),NA())</f>
        <v>1.3580000000000001</v>
      </c>
      <c r="Q644" cm="1">
        <f t="array" aca="1" ref="Q644" ca="1">IFERROR(INDEX(_xlfn.ANCHORARRAY($C$3),T_CALC[[#This Row],[DAY]]+1,2),NA())</f>
        <v>0</v>
      </c>
    </row>
    <row r="645" spans="3:17">
      <c r="C645" vm="3067">
        <f ca="1"/>
        <v>43657</v>
      </c>
      <c r="D645">
        <f ca="1"/>
        <v>0</v>
      </c>
      <c r="E645" vm="2183">
        <f ca="1"/>
        <v>1.3577999999999999</v>
      </c>
      <c r="F645" vm="2006">
        <f ca="1"/>
        <v>1.3585</v>
      </c>
      <c r="G645" vm="2173">
        <f ca="1"/>
        <v>1.3541000000000001</v>
      </c>
      <c r="H645" vm="2065">
        <f ca="1"/>
        <v>1.3568</v>
      </c>
      <c r="K645">
        <f ca="1">IF(ROW(T_CALC[[#This Row],[DAY]])-ROW(T_CALC[[#Headers],[DAY]])&gt;C_N_TRADING_DAYS,"",ROW(T_CALC[[#This Row],[DAY]])-ROW(T_CALC[[#Headers],[DAY]]))</f>
        <v>642</v>
      </c>
      <c r="L645" cm="1" vm="3067">
        <f t="array" aca="1" ref="L645" ca="1">IFERROR(INDEX(_xlfn.ANCHORARRAY($C$3),T_CALC[[#This Row],[DAY]]+1,1),NA())</f>
        <v>43657</v>
      </c>
      <c r="M645" cm="1" vm="2183">
        <f t="array" aca="1" ref="M645" ca="1">IFERROR(INDEX(_xlfn.ANCHORARRAY($C$3),T_CALC[[#This Row],[DAY]]+1,3),NA())</f>
        <v>1.3577999999999999</v>
      </c>
      <c r="N645" cm="1" vm="2006">
        <f t="array" aca="1" ref="N645" ca="1">IFERROR(INDEX(_xlfn.ANCHORARRAY($C$3),T_CALC[[#This Row],[DAY]]+1,4),NA())</f>
        <v>1.3585</v>
      </c>
      <c r="O645" cm="1" vm="2173">
        <f t="array" aca="1" ref="O645" ca="1">IFERROR(INDEX(_xlfn.ANCHORARRAY($C$3),T_CALC[[#This Row],[DAY]]+1,5),NA())</f>
        <v>1.3541000000000001</v>
      </c>
      <c r="P645" cm="1" vm="2065">
        <f t="array" aca="1" ref="P645" ca="1">IFERROR(INDEX(_xlfn.ANCHORARRAY($C$3),T_CALC[[#This Row],[DAY]]+1,6),NA())</f>
        <v>1.3568</v>
      </c>
      <c r="Q645" cm="1">
        <f t="array" aca="1" ref="Q645" ca="1">IFERROR(INDEX(_xlfn.ANCHORARRAY($C$3),T_CALC[[#This Row],[DAY]]+1,2),NA())</f>
        <v>0</v>
      </c>
    </row>
    <row r="646" spans="3:17">
      <c r="C646" vm="3068">
        <f ca="1"/>
        <v>43658</v>
      </c>
      <c r="D646">
        <f ca="1"/>
        <v>0</v>
      </c>
      <c r="E646" vm="2012">
        <f ca="1"/>
        <v>1.3565</v>
      </c>
      <c r="F646" vm="2053">
        <f ca="1"/>
        <v>1.3609</v>
      </c>
      <c r="G646" vm="2070">
        <f ca="1"/>
        <v>1.3563000000000001</v>
      </c>
      <c r="H646" vm="2010">
        <f ca="1"/>
        <v>1.3576999999999999</v>
      </c>
      <c r="K646">
        <f ca="1">IF(ROW(T_CALC[[#This Row],[DAY]])-ROW(T_CALC[[#Headers],[DAY]])&gt;C_N_TRADING_DAYS,"",ROW(T_CALC[[#This Row],[DAY]])-ROW(T_CALC[[#Headers],[DAY]]))</f>
        <v>643</v>
      </c>
      <c r="L646" cm="1" vm="3068">
        <f t="array" aca="1" ref="L646" ca="1">IFERROR(INDEX(_xlfn.ANCHORARRAY($C$3),T_CALC[[#This Row],[DAY]]+1,1),NA())</f>
        <v>43658</v>
      </c>
      <c r="M646" cm="1" vm="2012">
        <f t="array" aca="1" ref="M646" ca="1">IFERROR(INDEX(_xlfn.ANCHORARRAY($C$3),T_CALC[[#This Row],[DAY]]+1,3),NA())</f>
        <v>1.3565</v>
      </c>
      <c r="N646" cm="1" vm="2053">
        <f t="array" aca="1" ref="N646" ca="1">IFERROR(INDEX(_xlfn.ANCHORARRAY($C$3),T_CALC[[#This Row],[DAY]]+1,4),NA())</f>
        <v>1.3609</v>
      </c>
      <c r="O646" cm="1" vm="2070">
        <f t="array" aca="1" ref="O646" ca="1">IFERROR(INDEX(_xlfn.ANCHORARRAY($C$3),T_CALC[[#This Row],[DAY]]+1,5),NA())</f>
        <v>1.3563000000000001</v>
      </c>
      <c r="P646" cm="1" vm="2010">
        <f t="array" aca="1" ref="P646" ca="1">IFERROR(INDEX(_xlfn.ANCHORARRAY($C$3),T_CALC[[#This Row],[DAY]]+1,6),NA())</f>
        <v>1.3576999999999999</v>
      </c>
      <c r="Q646" cm="1">
        <f t="array" aca="1" ref="Q646" ca="1">IFERROR(INDEX(_xlfn.ANCHORARRAY($C$3),T_CALC[[#This Row],[DAY]]+1,2),NA())</f>
        <v>0</v>
      </c>
    </row>
    <row r="647" spans="3:17">
      <c r="C647" vm="3069">
        <f ca="1"/>
        <v>43661</v>
      </c>
      <c r="D647">
        <f ca="1"/>
        <v>0</v>
      </c>
      <c r="E647" vm="2154">
        <f ca="1"/>
        <v>1.3572</v>
      </c>
      <c r="F647" vm="2022">
        <f ca="1"/>
        <v>1.3587</v>
      </c>
      <c r="G647" vm="2064">
        <f ca="1"/>
        <v>1.3548</v>
      </c>
      <c r="H647" vm="2170">
        <f ca="1"/>
        <v>1.3559000000000001</v>
      </c>
      <c r="K647">
        <f ca="1">IF(ROW(T_CALC[[#This Row],[DAY]])-ROW(T_CALC[[#Headers],[DAY]])&gt;C_N_TRADING_DAYS,"",ROW(T_CALC[[#This Row],[DAY]])-ROW(T_CALC[[#Headers],[DAY]]))</f>
        <v>644</v>
      </c>
      <c r="L647" cm="1" vm="3069">
        <f t="array" aca="1" ref="L647" ca="1">IFERROR(INDEX(_xlfn.ANCHORARRAY($C$3),T_CALC[[#This Row],[DAY]]+1,1),NA())</f>
        <v>43661</v>
      </c>
      <c r="M647" cm="1" vm="2154">
        <f t="array" aca="1" ref="M647" ca="1">IFERROR(INDEX(_xlfn.ANCHORARRAY($C$3),T_CALC[[#This Row],[DAY]]+1,3),NA())</f>
        <v>1.3572</v>
      </c>
      <c r="N647" cm="1" vm="2022">
        <f t="array" aca="1" ref="N647" ca="1">IFERROR(INDEX(_xlfn.ANCHORARRAY($C$3),T_CALC[[#This Row],[DAY]]+1,4),NA())</f>
        <v>1.3587</v>
      </c>
      <c r="O647" cm="1" vm="2064">
        <f t="array" aca="1" ref="O647" ca="1">IFERROR(INDEX(_xlfn.ANCHORARRAY($C$3),T_CALC[[#This Row],[DAY]]+1,5),NA())</f>
        <v>1.3548</v>
      </c>
      <c r="P647" cm="1" vm="2170">
        <f t="array" aca="1" ref="P647" ca="1">IFERROR(INDEX(_xlfn.ANCHORARRAY($C$3),T_CALC[[#This Row],[DAY]]+1,6),NA())</f>
        <v>1.3559000000000001</v>
      </c>
      <c r="Q647" cm="1">
        <f t="array" aca="1" ref="Q647" ca="1">IFERROR(INDEX(_xlfn.ANCHORARRAY($C$3),T_CALC[[#This Row],[DAY]]+1,2),NA())</f>
        <v>0</v>
      </c>
    </row>
    <row r="648" spans="3:17">
      <c r="C648" vm="3070">
        <f ca="1"/>
        <v>43662</v>
      </c>
      <c r="D648">
        <f ca="1"/>
        <v>0</v>
      </c>
      <c r="E648" vm="2225">
        <f ca="1"/>
        <v>1.3561000000000001</v>
      </c>
      <c r="F648" vm="1983">
        <f ca="1"/>
        <v>1.3586</v>
      </c>
      <c r="G648" vm="2153">
        <f ca="1"/>
        <v>1.3551</v>
      </c>
      <c r="H648" vm="2038">
        <f ca="1"/>
        <v>1.3582000000000001</v>
      </c>
      <c r="K648">
        <f ca="1">IF(ROW(T_CALC[[#This Row],[DAY]])-ROW(T_CALC[[#Headers],[DAY]])&gt;C_N_TRADING_DAYS,"",ROW(T_CALC[[#This Row],[DAY]])-ROW(T_CALC[[#Headers],[DAY]]))</f>
        <v>645</v>
      </c>
      <c r="L648" cm="1" vm="3070">
        <f t="array" aca="1" ref="L648" ca="1">IFERROR(INDEX(_xlfn.ANCHORARRAY($C$3),T_CALC[[#This Row],[DAY]]+1,1),NA())</f>
        <v>43662</v>
      </c>
      <c r="M648" cm="1" vm="2225">
        <f t="array" aca="1" ref="M648" ca="1">IFERROR(INDEX(_xlfn.ANCHORARRAY($C$3),T_CALC[[#This Row],[DAY]]+1,3),NA())</f>
        <v>1.3561000000000001</v>
      </c>
      <c r="N648" cm="1" vm="1983">
        <f t="array" aca="1" ref="N648" ca="1">IFERROR(INDEX(_xlfn.ANCHORARRAY($C$3),T_CALC[[#This Row],[DAY]]+1,4),NA())</f>
        <v>1.3586</v>
      </c>
      <c r="O648" cm="1" vm="2153">
        <f t="array" aca="1" ref="O648" ca="1">IFERROR(INDEX(_xlfn.ANCHORARRAY($C$3),T_CALC[[#This Row],[DAY]]+1,5),NA())</f>
        <v>1.3551</v>
      </c>
      <c r="P648" cm="1" vm="2038">
        <f t="array" aca="1" ref="P648" ca="1">IFERROR(INDEX(_xlfn.ANCHORARRAY($C$3),T_CALC[[#This Row],[DAY]]+1,6),NA())</f>
        <v>1.3582000000000001</v>
      </c>
      <c r="Q648" cm="1">
        <f t="array" aca="1" ref="Q648" ca="1">IFERROR(INDEX(_xlfn.ANCHORARRAY($C$3),T_CALC[[#This Row],[DAY]]+1,2),NA())</f>
        <v>0</v>
      </c>
    </row>
    <row r="649" spans="3:17">
      <c r="C649" vm="3071">
        <f ca="1"/>
        <v>43663</v>
      </c>
      <c r="D649">
        <f ca="1"/>
        <v>0</v>
      </c>
      <c r="E649" vm="2075">
        <f ca="1"/>
        <v>1.3581000000000001</v>
      </c>
      <c r="F649" vm="2023">
        <f ca="1"/>
        <v>1.3626</v>
      </c>
      <c r="G649" vm="2008">
        <f ca="1"/>
        <v>1.3574999999999999</v>
      </c>
      <c r="H649" vm="1974">
        <f ca="1"/>
        <v>1.3608</v>
      </c>
      <c r="K649">
        <f ca="1">IF(ROW(T_CALC[[#This Row],[DAY]])-ROW(T_CALC[[#Headers],[DAY]])&gt;C_N_TRADING_DAYS,"",ROW(T_CALC[[#This Row],[DAY]])-ROW(T_CALC[[#Headers],[DAY]]))</f>
        <v>646</v>
      </c>
      <c r="L649" cm="1" vm="3071">
        <f t="array" aca="1" ref="L649" ca="1">IFERROR(INDEX(_xlfn.ANCHORARRAY($C$3),T_CALC[[#This Row],[DAY]]+1,1),NA())</f>
        <v>43663</v>
      </c>
      <c r="M649" cm="1" vm="2075">
        <f t="array" aca="1" ref="M649" ca="1">IFERROR(INDEX(_xlfn.ANCHORARRAY($C$3),T_CALC[[#This Row],[DAY]]+1,3),NA())</f>
        <v>1.3581000000000001</v>
      </c>
      <c r="N649" cm="1" vm="2023">
        <f t="array" aca="1" ref="N649" ca="1">IFERROR(INDEX(_xlfn.ANCHORARRAY($C$3),T_CALC[[#This Row],[DAY]]+1,4),NA())</f>
        <v>1.3626</v>
      </c>
      <c r="O649" cm="1" vm="2008">
        <f t="array" aca="1" ref="O649" ca="1">IFERROR(INDEX(_xlfn.ANCHORARRAY($C$3),T_CALC[[#This Row],[DAY]]+1,5),NA())</f>
        <v>1.3574999999999999</v>
      </c>
      <c r="P649" cm="1" vm="1974">
        <f t="array" aca="1" ref="P649" ca="1">IFERROR(INDEX(_xlfn.ANCHORARRAY($C$3),T_CALC[[#This Row],[DAY]]+1,6),NA())</f>
        <v>1.3608</v>
      </c>
      <c r="Q649" cm="1">
        <f t="array" aca="1" ref="Q649" ca="1">IFERROR(INDEX(_xlfn.ANCHORARRAY($C$3),T_CALC[[#This Row],[DAY]]+1,2),NA())</f>
        <v>0</v>
      </c>
    </row>
    <row r="650" spans="3:17">
      <c r="C650" vm="3072">
        <f ca="1"/>
        <v>43664</v>
      </c>
      <c r="D650">
        <f ca="1"/>
        <v>0</v>
      </c>
      <c r="E650" vm="1974">
        <f ca="1"/>
        <v>1.3608</v>
      </c>
      <c r="F650" vm="2060">
        <f ca="1"/>
        <v>1.3616999999999999</v>
      </c>
      <c r="G650" vm="2225">
        <f ca="1"/>
        <v>1.3561000000000001</v>
      </c>
      <c r="H650" vm="2012">
        <f ca="1"/>
        <v>1.3565</v>
      </c>
      <c r="K650">
        <f ca="1">IF(ROW(T_CALC[[#This Row],[DAY]])-ROW(T_CALC[[#Headers],[DAY]])&gt;C_N_TRADING_DAYS,"",ROW(T_CALC[[#This Row],[DAY]])-ROW(T_CALC[[#Headers],[DAY]]))</f>
        <v>647</v>
      </c>
      <c r="L650" cm="1" vm="3072">
        <f t="array" aca="1" ref="L650" ca="1">IFERROR(INDEX(_xlfn.ANCHORARRAY($C$3),T_CALC[[#This Row],[DAY]]+1,1),NA())</f>
        <v>43664</v>
      </c>
      <c r="M650" cm="1" vm="1974">
        <f t="array" aca="1" ref="M650" ca="1">IFERROR(INDEX(_xlfn.ANCHORARRAY($C$3),T_CALC[[#This Row],[DAY]]+1,3),NA())</f>
        <v>1.3608</v>
      </c>
      <c r="N650" cm="1" vm="2060">
        <f t="array" aca="1" ref="N650" ca="1">IFERROR(INDEX(_xlfn.ANCHORARRAY($C$3),T_CALC[[#This Row],[DAY]]+1,4),NA())</f>
        <v>1.3616999999999999</v>
      </c>
      <c r="O650" cm="1" vm="2225">
        <f t="array" aca="1" ref="O650" ca="1">IFERROR(INDEX(_xlfn.ANCHORARRAY($C$3),T_CALC[[#This Row],[DAY]]+1,5),NA())</f>
        <v>1.3561000000000001</v>
      </c>
      <c r="P650" cm="1" vm="2012">
        <f t="array" aca="1" ref="P650" ca="1">IFERROR(INDEX(_xlfn.ANCHORARRAY($C$3),T_CALC[[#This Row],[DAY]]+1,6),NA())</f>
        <v>1.3565</v>
      </c>
      <c r="Q650" cm="1">
        <f t="array" aca="1" ref="Q650" ca="1">IFERROR(INDEX(_xlfn.ANCHORARRAY($C$3),T_CALC[[#This Row],[DAY]]+1,2),NA())</f>
        <v>0</v>
      </c>
    </row>
    <row r="651" spans="3:17">
      <c r="C651" vm="3073">
        <f ca="1"/>
        <v>43665</v>
      </c>
      <c r="D651">
        <f ca="1"/>
        <v>0</v>
      </c>
      <c r="E651" vm="2012">
        <f ca="1"/>
        <v>1.3565</v>
      </c>
      <c r="F651" vm="2032">
        <f ca="1"/>
        <v>1.3612</v>
      </c>
      <c r="G651" vm="2062">
        <f ca="1"/>
        <v>1.3553999999999999</v>
      </c>
      <c r="H651" vm="2216">
        <f ca="1"/>
        <v>1.36</v>
      </c>
      <c r="K651">
        <f ca="1">IF(ROW(T_CALC[[#This Row],[DAY]])-ROW(T_CALC[[#Headers],[DAY]])&gt;C_N_TRADING_DAYS,"",ROW(T_CALC[[#This Row],[DAY]])-ROW(T_CALC[[#Headers],[DAY]]))</f>
        <v>648</v>
      </c>
      <c r="L651" cm="1" vm="3073">
        <f t="array" aca="1" ref="L651" ca="1">IFERROR(INDEX(_xlfn.ANCHORARRAY($C$3),T_CALC[[#This Row],[DAY]]+1,1),NA())</f>
        <v>43665</v>
      </c>
      <c r="M651" cm="1" vm="2012">
        <f t="array" aca="1" ref="M651" ca="1">IFERROR(INDEX(_xlfn.ANCHORARRAY($C$3),T_CALC[[#This Row],[DAY]]+1,3),NA())</f>
        <v>1.3565</v>
      </c>
      <c r="N651" cm="1" vm="2032">
        <f t="array" aca="1" ref="N651" ca="1">IFERROR(INDEX(_xlfn.ANCHORARRAY($C$3),T_CALC[[#This Row],[DAY]]+1,4),NA())</f>
        <v>1.3612</v>
      </c>
      <c r="O651" cm="1" vm="2062">
        <f t="array" aca="1" ref="O651" ca="1">IFERROR(INDEX(_xlfn.ANCHORARRAY($C$3),T_CALC[[#This Row],[DAY]]+1,5),NA())</f>
        <v>1.3553999999999999</v>
      </c>
      <c r="P651" cm="1" vm="2216">
        <f t="array" aca="1" ref="P651" ca="1">IFERROR(INDEX(_xlfn.ANCHORARRAY($C$3),T_CALC[[#This Row],[DAY]]+1,6),NA())</f>
        <v>1.36</v>
      </c>
      <c r="Q651" cm="1">
        <f t="array" aca="1" ref="Q651" ca="1">IFERROR(INDEX(_xlfn.ANCHORARRAY($C$3),T_CALC[[#This Row],[DAY]]+1,2),NA())</f>
        <v>0</v>
      </c>
    </row>
    <row r="652" spans="3:17">
      <c r="C652" vm="3074">
        <f ca="1"/>
        <v>43668</v>
      </c>
      <c r="D652">
        <f ca="1"/>
        <v>0</v>
      </c>
      <c r="E652" vm="2714">
        <f ca="1"/>
        <v>1.3595999999999999</v>
      </c>
      <c r="F652" vm="2060">
        <f ca="1"/>
        <v>1.3616999999999999</v>
      </c>
      <c r="G652" vm="3075">
        <f ca="1"/>
        <v>1.3591</v>
      </c>
      <c r="H652" vm="1992">
        <f ca="1"/>
        <v>1.3607</v>
      </c>
      <c r="K652">
        <f ca="1">IF(ROW(T_CALC[[#This Row],[DAY]])-ROW(T_CALC[[#Headers],[DAY]])&gt;C_N_TRADING_DAYS,"",ROW(T_CALC[[#This Row],[DAY]])-ROW(T_CALC[[#Headers],[DAY]]))</f>
        <v>649</v>
      </c>
      <c r="L652" cm="1" vm="3074">
        <f t="array" aca="1" ref="L652" ca="1">IFERROR(INDEX(_xlfn.ANCHORARRAY($C$3),T_CALC[[#This Row],[DAY]]+1,1),NA())</f>
        <v>43668</v>
      </c>
      <c r="M652" cm="1" vm="2714">
        <f t="array" aca="1" ref="M652" ca="1">IFERROR(INDEX(_xlfn.ANCHORARRAY($C$3),T_CALC[[#This Row],[DAY]]+1,3),NA())</f>
        <v>1.3595999999999999</v>
      </c>
      <c r="N652" cm="1" vm="2060">
        <f t="array" aca="1" ref="N652" ca="1">IFERROR(INDEX(_xlfn.ANCHORARRAY($C$3),T_CALC[[#This Row],[DAY]]+1,4),NA())</f>
        <v>1.3616999999999999</v>
      </c>
      <c r="O652" cm="1" vm="3075">
        <f t="array" aca="1" ref="O652" ca="1">IFERROR(INDEX(_xlfn.ANCHORARRAY($C$3),T_CALC[[#This Row],[DAY]]+1,5),NA())</f>
        <v>1.3591</v>
      </c>
      <c r="P652" cm="1" vm="1992">
        <f t="array" aca="1" ref="P652" ca="1">IFERROR(INDEX(_xlfn.ANCHORARRAY($C$3),T_CALC[[#This Row],[DAY]]+1,6),NA())</f>
        <v>1.3607</v>
      </c>
      <c r="Q652" cm="1">
        <f t="array" aca="1" ref="Q652" ca="1">IFERROR(INDEX(_xlfn.ANCHORARRAY($C$3),T_CALC[[#This Row],[DAY]]+1,2),NA())</f>
        <v>0</v>
      </c>
    </row>
    <row r="653" spans="3:17">
      <c r="C653" vm="3076">
        <f ca="1"/>
        <v>43669</v>
      </c>
      <c r="D653">
        <f ca="1"/>
        <v>0</v>
      </c>
      <c r="E653" vm="2158">
        <f ca="1"/>
        <v>1.3605</v>
      </c>
      <c r="F653" vm="2725">
        <f ca="1"/>
        <v>1.3657999999999999</v>
      </c>
      <c r="G653" vm="2216">
        <f ca="1"/>
        <v>1.36</v>
      </c>
      <c r="H653" vm="2702">
        <f ca="1"/>
        <v>1.365</v>
      </c>
      <c r="K653">
        <f ca="1">IF(ROW(T_CALC[[#This Row],[DAY]])-ROW(T_CALC[[#Headers],[DAY]])&gt;C_N_TRADING_DAYS,"",ROW(T_CALC[[#This Row],[DAY]])-ROW(T_CALC[[#Headers],[DAY]]))</f>
        <v>650</v>
      </c>
      <c r="L653" cm="1" vm="3076">
        <f t="array" aca="1" ref="L653" ca="1">IFERROR(INDEX(_xlfn.ANCHORARRAY($C$3),T_CALC[[#This Row],[DAY]]+1,1),NA())</f>
        <v>43669</v>
      </c>
      <c r="M653" cm="1" vm="2158">
        <f t="array" aca="1" ref="M653" ca="1">IFERROR(INDEX(_xlfn.ANCHORARRAY($C$3),T_CALC[[#This Row],[DAY]]+1,3),NA())</f>
        <v>1.3605</v>
      </c>
      <c r="N653" cm="1" vm="2725">
        <f t="array" aca="1" ref="N653" ca="1">IFERROR(INDEX(_xlfn.ANCHORARRAY($C$3),T_CALC[[#This Row],[DAY]]+1,4),NA())</f>
        <v>1.3657999999999999</v>
      </c>
      <c r="O653" cm="1" vm="2216">
        <f t="array" aca="1" ref="O653" ca="1">IFERROR(INDEX(_xlfn.ANCHORARRAY($C$3),T_CALC[[#This Row],[DAY]]+1,5),NA())</f>
        <v>1.36</v>
      </c>
      <c r="P653" cm="1" vm="2702">
        <f t="array" aca="1" ref="P653" ca="1">IFERROR(INDEX(_xlfn.ANCHORARRAY($C$3),T_CALC[[#This Row],[DAY]]+1,6),NA())</f>
        <v>1.365</v>
      </c>
      <c r="Q653" cm="1">
        <f t="array" aca="1" ref="Q653" ca="1">IFERROR(INDEX(_xlfn.ANCHORARRAY($C$3),T_CALC[[#This Row],[DAY]]+1,2),NA())</f>
        <v>0</v>
      </c>
    </row>
    <row r="654" spans="3:17">
      <c r="C654" vm="3077">
        <f ca="1"/>
        <v>43670</v>
      </c>
      <c r="D654">
        <f ca="1"/>
        <v>0</v>
      </c>
      <c r="E654" vm="2031">
        <f ca="1"/>
        <v>1.3653999999999999</v>
      </c>
      <c r="F654" vm="2720">
        <f ca="1"/>
        <v>1.3664000000000001</v>
      </c>
      <c r="G654" vm="2192">
        <f ca="1"/>
        <v>1.3623000000000001</v>
      </c>
      <c r="H654" vm="1970">
        <f ca="1"/>
        <v>1.3643000000000001</v>
      </c>
      <c r="K654">
        <f ca="1">IF(ROW(T_CALC[[#This Row],[DAY]])-ROW(T_CALC[[#Headers],[DAY]])&gt;C_N_TRADING_DAYS,"",ROW(T_CALC[[#This Row],[DAY]])-ROW(T_CALC[[#Headers],[DAY]]))</f>
        <v>651</v>
      </c>
      <c r="L654" cm="1" vm="3077">
        <f t="array" aca="1" ref="L654" ca="1">IFERROR(INDEX(_xlfn.ANCHORARRAY($C$3),T_CALC[[#This Row],[DAY]]+1,1),NA())</f>
        <v>43670</v>
      </c>
      <c r="M654" cm="1" vm="2031">
        <f t="array" aca="1" ref="M654" ca="1">IFERROR(INDEX(_xlfn.ANCHORARRAY($C$3),T_CALC[[#This Row],[DAY]]+1,3),NA())</f>
        <v>1.3653999999999999</v>
      </c>
      <c r="N654" cm="1" vm="2720">
        <f t="array" aca="1" ref="N654" ca="1">IFERROR(INDEX(_xlfn.ANCHORARRAY($C$3),T_CALC[[#This Row],[DAY]]+1,4),NA())</f>
        <v>1.3664000000000001</v>
      </c>
      <c r="O654" cm="1" vm="2192">
        <f t="array" aca="1" ref="O654" ca="1">IFERROR(INDEX(_xlfn.ANCHORARRAY($C$3),T_CALC[[#This Row],[DAY]]+1,5),NA())</f>
        <v>1.3623000000000001</v>
      </c>
      <c r="P654" cm="1" vm="1970">
        <f t="array" aca="1" ref="P654" ca="1">IFERROR(INDEX(_xlfn.ANCHORARRAY($C$3),T_CALC[[#This Row],[DAY]]+1,6),NA())</f>
        <v>1.3643000000000001</v>
      </c>
      <c r="Q654" cm="1">
        <f t="array" aca="1" ref="Q654" ca="1">IFERROR(INDEX(_xlfn.ANCHORARRAY($C$3),T_CALC[[#This Row],[DAY]]+1,2),NA())</f>
        <v>0</v>
      </c>
    </row>
    <row r="655" spans="3:17">
      <c r="C655" vm="3078">
        <f ca="1"/>
        <v>43671</v>
      </c>
      <c r="D655">
        <f ca="1"/>
        <v>0</v>
      </c>
      <c r="E655" vm="2685">
        <f ca="1"/>
        <v>1.3645</v>
      </c>
      <c r="F655" vm="2676">
        <f ca="1"/>
        <v>1.3685</v>
      </c>
      <c r="G655" vm="1978">
        <f ca="1"/>
        <v>1.3634999999999999</v>
      </c>
      <c r="H655" vm="2045">
        <f ca="1"/>
        <v>1.3671</v>
      </c>
      <c r="K655">
        <f ca="1">IF(ROW(T_CALC[[#This Row],[DAY]])-ROW(T_CALC[[#Headers],[DAY]])&gt;C_N_TRADING_DAYS,"",ROW(T_CALC[[#This Row],[DAY]])-ROW(T_CALC[[#Headers],[DAY]]))</f>
        <v>652</v>
      </c>
      <c r="L655" cm="1" vm="3078">
        <f t="array" aca="1" ref="L655" ca="1">IFERROR(INDEX(_xlfn.ANCHORARRAY($C$3),T_CALC[[#This Row],[DAY]]+1,1),NA())</f>
        <v>43671</v>
      </c>
      <c r="M655" cm="1" vm="2685">
        <f t="array" aca="1" ref="M655" ca="1">IFERROR(INDEX(_xlfn.ANCHORARRAY($C$3),T_CALC[[#This Row],[DAY]]+1,3),NA())</f>
        <v>1.3645</v>
      </c>
      <c r="N655" cm="1" vm="2676">
        <f t="array" aca="1" ref="N655" ca="1">IFERROR(INDEX(_xlfn.ANCHORARRAY($C$3),T_CALC[[#This Row],[DAY]]+1,4),NA())</f>
        <v>1.3685</v>
      </c>
      <c r="O655" cm="1" vm="1978">
        <f t="array" aca="1" ref="O655" ca="1">IFERROR(INDEX(_xlfn.ANCHORARRAY($C$3),T_CALC[[#This Row],[DAY]]+1,5),NA())</f>
        <v>1.3634999999999999</v>
      </c>
      <c r="P655" cm="1" vm="2045">
        <f t="array" aca="1" ref="P655" ca="1">IFERROR(INDEX(_xlfn.ANCHORARRAY($C$3),T_CALC[[#This Row],[DAY]]+1,6),NA())</f>
        <v>1.3671</v>
      </c>
      <c r="Q655" cm="1">
        <f t="array" aca="1" ref="Q655" ca="1">IFERROR(INDEX(_xlfn.ANCHORARRAY($C$3),T_CALC[[#This Row],[DAY]]+1,2),NA())</f>
        <v>0</v>
      </c>
    </row>
    <row r="656" spans="3:17">
      <c r="C656" vm="3079">
        <f ca="1"/>
        <v>43672</v>
      </c>
      <c r="D656">
        <f ca="1"/>
        <v>0</v>
      </c>
      <c r="E656" vm="2045">
        <f ca="1"/>
        <v>1.3671</v>
      </c>
      <c r="F656" vm="1881">
        <f ca="1"/>
        <v>1.3704000000000001</v>
      </c>
      <c r="G656" vm="3047">
        <f ca="1"/>
        <v>1.3665</v>
      </c>
      <c r="H656" vm="2853">
        <f ca="1"/>
        <v>1.3695999999999999</v>
      </c>
      <c r="K656">
        <f ca="1">IF(ROW(T_CALC[[#This Row],[DAY]])-ROW(T_CALC[[#Headers],[DAY]])&gt;C_N_TRADING_DAYS,"",ROW(T_CALC[[#This Row],[DAY]])-ROW(T_CALC[[#Headers],[DAY]]))</f>
        <v>653</v>
      </c>
      <c r="L656" cm="1" vm="3079">
        <f t="array" aca="1" ref="L656" ca="1">IFERROR(INDEX(_xlfn.ANCHORARRAY($C$3),T_CALC[[#This Row],[DAY]]+1,1),NA())</f>
        <v>43672</v>
      </c>
      <c r="M656" cm="1" vm="2045">
        <f t="array" aca="1" ref="M656" ca="1">IFERROR(INDEX(_xlfn.ANCHORARRAY($C$3),T_CALC[[#This Row],[DAY]]+1,3),NA())</f>
        <v>1.3671</v>
      </c>
      <c r="N656" cm="1" vm="1881">
        <f t="array" aca="1" ref="N656" ca="1">IFERROR(INDEX(_xlfn.ANCHORARRAY($C$3),T_CALC[[#This Row],[DAY]]+1,4),NA())</f>
        <v>1.3704000000000001</v>
      </c>
      <c r="O656" cm="1" vm="3047">
        <f t="array" aca="1" ref="O656" ca="1">IFERROR(INDEX(_xlfn.ANCHORARRAY($C$3),T_CALC[[#This Row],[DAY]]+1,5),NA())</f>
        <v>1.3665</v>
      </c>
      <c r="P656" cm="1" vm="2853">
        <f t="array" aca="1" ref="P656" ca="1">IFERROR(INDEX(_xlfn.ANCHORARRAY($C$3),T_CALC[[#This Row],[DAY]]+1,6),NA())</f>
        <v>1.3695999999999999</v>
      </c>
      <c r="Q656" cm="1">
        <f t="array" aca="1" ref="Q656" ca="1">IFERROR(INDEX(_xlfn.ANCHORARRAY($C$3),T_CALC[[#This Row],[DAY]]+1,2),NA())</f>
        <v>0</v>
      </c>
    </row>
    <row r="657" spans="3:17">
      <c r="C657" vm="3080">
        <f ca="1"/>
        <v>43675</v>
      </c>
      <c r="D657">
        <f ca="1"/>
        <v>0</v>
      </c>
      <c r="E657" vm="3051">
        <f ca="1"/>
        <v>1.3682000000000001</v>
      </c>
      <c r="F657" vm="2765">
        <f ca="1"/>
        <v>1.3718999999999999</v>
      </c>
      <c r="G657" vm="2760">
        <f ca="1"/>
        <v>1.3678999999999999</v>
      </c>
      <c r="H657" vm="2786">
        <f ca="1"/>
        <v>1.3701000000000001</v>
      </c>
      <c r="K657">
        <f ca="1">IF(ROW(T_CALC[[#This Row],[DAY]])-ROW(T_CALC[[#Headers],[DAY]])&gt;C_N_TRADING_DAYS,"",ROW(T_CALC[[#This Row],[DAY]])-ROW(T_CALC[[#Headers],[DAY]]))</f>
        <v>654</v>
      </c>
      <c r="L657" cm="1" vm="3080">
        <f t="array" aca="1" ref="L657" ca="1">IFERROR(INDEX(_xlfn.ANCHORARRAY($C$3),T_CALC[[#This Row],[DAY]]+1,1),NA())</f>
        <v>43675</v>
      </c>
      <c r="M657" cm="1" vm="3051">
        <f t="array" aca="1" ref="M657" ca="1">IFERROR(INDEX(_xlfn.ANCHORARRAY($C$3),T_CALC[[#This Row],[DAY]]+1,3),NA())</f>
        <v>1.3682000000000001</v>
      </c>
      <c r="N657" cm="1" vm="2765">
        <f t="array" aca="1" ref="N657" ca="1">IFERROR(INDEX(_xlfn.ANCHORARRAY($C$3),T_CALC[[#This Row],[DAY]]+1,4),NA())</f>
        <v>1.3718999999999999</v>
      </c>
      <c r="O657" cm="1" vm="2760">
        <f t="array" aca="1" ref="O657" ca="1">IFERROR(INDEX(_xlfn.ANCHORARRAY($C$3),T_CALC[[#This Row],[DAY]]+1,5),NA())</f>
        <v>1.3678999999999999</v>
      </c>
      <c r="P657" cm="1" vm="2786">
        <f t="array" aca="1" ref="P657" ca="1">IFERROR(INDEX(_xlfn.ANCHORARRAY($C$3),T_CALC[[#This Row],[DAY]]+1,6),NA())</f>
        <v>1.3701000000000001</v>
      </c>
      <c r="Q657" cm="1">
        <f t="array" aca="1" ref="Q657" ca="1">IFERROR(INDEX(_xlfn.ANCHORARRAY($C$3),T_CALC[[#This Row],[DAY]]+1,2),NA())</f>
        <v>0</v>
      </c>
    </row>
    <row r="658" spans="3:17">
      <c r="C658" vm="3081">
        <f ca="1"/>
        <v>43676</v>
      </c>
      <c r="D658">
        <f ca="1"/>
        <v>0</v>
      </c>
      <c r="E658" vm="1965">
        <f ca="1"/>
        <v>1.3698999999999999</v>
      </c>
      <c r="F658" vm="2199">
        <f ca="1"/>
        <v>1.3713</v>
      </c>
      <c r="G658" vm="3082">
        <f ca="1"/>
        <v>1.3684000000000001</v>
      </c>
      <c r="H658" vm="2784">
        <f ca="1"/>
        <v>1.37</v>
      </c>
      <c r="K658">
        <f ca="1">IF(ROW(T_CALC[[#This Row],[DAY]])-ROW(T_CALC[[#Headers],[DAY]])&gt;C_N_TRADING_DAYS,"",ROW(T_CALC[[#This Row],[DAY]])-ROW(T_CALC[[#Headers],[DAY]]))</f>
        <v>655</v>
      </c>
      <c r="L658" cm="1" vm="3081">
        <f t="array" aca="1" ref="L658" ca="1">IFERROR(INDEX(_xlfn.ANCHORARRAY($C$3),T_CALC[[#This Row],[DAY]]+1,1),NA())</f>
        <v>43676</v>
      </c>
      <c r="M658" cm="1" vm="1965">
        <f t="array" aca="1" ref="M658" ca="1">IFERROR(INDEX(_xlfn.ANCHORARRAY($C$3),T_CALC[[#This Row],[DAY]]+1,3),NA())</f>
        <v>1.3698999999999999</v>
      </c>
      <c r="N658" cm="1" vm="2199">
        <f t="array" aca="1" ref="N658" ca="1">IFERROR(INDEX(_xlfn.ANCHORARRAY($C$3),T_CALC[[#This Row],[DAY]]+1,4),NA())</f>
        <v>1.3713</v>
      </c>
      <c r="O658" cm="1" vm="3082">
        <f t="array" aca="1" ref="O658" ca="1">IFERROR(INDEX(_xlfn.ANCHORARRAY($C$3),T_CALC[[#This Row],[DAY]]+1,5),NA())</f>
        <v>1.3684000000000001</v>
      </c>
      <c r="P658" cm="1" vm="2784">
        <f t="array" aca="1" ref="P658" ca="1">IFERROR(INDEX(_xlfn.ANCHORARRAY($C$3),T_CALC[[#This Row],[DAY]]+1,6),NA())</f>
        <v>1.37</v>
      </c>
      <c r="Q658" cm="1">
        <f t="array" aca="1" ref="Q658" ca="1">IFERROR(INDEX(_xlfn.ANCHORARRAY($C$3),T_CALC[[#This Row],[DAY]]+1,2),NA())</f>
        <v>0</v>
      </c>
    </row>
    <row r="659" spans="3:17">
      <c r="C659" vm="3083">
        <f ca="1"/>
        <v>43677</v>
      </c>
      <c r="D659">
        <f ca="1"/>
        <v>0</v>
      </c>
      <c r="E659" vm="2884">
        <f ca="1"/>
        <v>1.3702000000000001</v>
      </c>
      <c r="F659" vm="2823">
        <f ca="1"/>
        <v>1.3746</v>
      </c>
      <c r="G659" vm="2727">
        <f ca="1"/>
        <v>1.3675999999999999</v>
      </c>
      <c r="H659" vm="1886">
        <f ca="1"/>
        <v>1.3734999999999999</v>
      </c>
      <c r="K659">
        <f ca="1">IF(ROW(T_CALC[[#This Row],[DAY]])-ROW(T_CALC[[#Headers],[DAY]])&gt;C_N_TRADING_DAYS,"",ROW(T_CALC[[#This Row],[DAY]])-ROW(T_CALC[[#Headers],[DAY]]))</f>
        <v>656</v>
      </c>
      <c r="L659" cm="1" vm="3083">
        <f t="array" aca="1" ref="L659" ca="1">IFERROR(INDEX(_xlfn.ANCHORARRAY($C$3),T_CALC[[#This Row],[DAY]]+1,1),NA())</f>
        <v>43677</v>
      </c>
      <c r="M659" cm="1" vm="2884">
        <f t="array" aca="1" ref="M659" ca="1">IFERROR(INDEX(_xlfn.ANCHORARRAY($C$3),T_CALC[[#This Row],[DAY]]+1,3),NA())</f>
        <v>1.3702000000000001</v>
      </c>
      <c r="N659" cm="1" vm="2823">
        <f t="array" aca="1" ref="N659" ca="1">IFERROR(INDEX(_xlfn.ANCHORARRAY($C$3),T_CALC[[#This Row],[DAY]]+1,4),NA())</f>
        <v>1.3746</v>
      </c>
      <c r="O659" cm="1" vm="2727">
        <f t="array" aca="1" ref="O659" ca="1">IFERROR(INDEX(_xlfn.ANCHORARRAY($C$3),T_CALC[[#This Row],[DAY]]+1,5),NA())</f>
        <v>1.3675999999999999</v>
      </c>
      <c r="P659" cm="1" vm="1886">
        <f t="array" aca="1" ref="P659" ca="1">IFERROR(INDEX(_xlfn.ANCHORARRAY($C$3),T_CALC[[#This Row],[DAY]]+1,6),NA())</f>
        <v>1.3734999999999999</v>
      </c>
      <c r="Q659" cm="1">
        <f t="array" aca="1" ref="Q659" ca="1">IFERROR(INDEX(_xlfn.ANCHORARRAY($C$3),T_CALC[[#This Row],[DAY]]+1,2),NA())</f>
        <v>0</v>
      </c>
    </row>
    <row r="660" spans="3:17">
      <c r="C660" vm="3084">
        <f ca="1"/>
        <v>43678</v>
      </c>
      <c r="D660">
        <f ca="1"/>
        <v>0</v>
      </c>
      <c r="E660" vm="2753">
        <f ca="1"/>
        <v>1.3738999999999999</v>
      </c>
      <c r="F660" vm="2838">
        <f ca="1"/>
        <v>1.3778999999999999</v>
      </c>
      <c r="G660" vm="2884">
        <f ca="1"/>
        <v>1.3702000000000001</v>
      </c>
      <c r="H660" vm="2804">
        <f ca="1"/>
        <v>1.3767</v>
      </c>
      <c r="K660">
        <f ca="1">IF(ROW(T_CALC[[#This Row],[DAY]])-ROW(T_CALC[[#Headers],[DAY]])&gt;C_N_TRADING_DAYS,"",ROW(T_CALC[[#This Row],[DAY]])-ROW(T_CALC[[#Headers],[DAY]]))</f>
        <v>657</v>
      </c>
      <c r="L660" cm="1" vm="3084">
        <f t="array" aca="1" ref="L660" ca="1">IFERROR(INDEX(_xlfn.ANCHORARRAY($C$3),T_CALC[[#This Row],[DAY]]+1,1),NA())</f>
        <v>43678</v>
      </c>
      <c r="M660" cm="1" vm="2753">
        <f t="array" aca="1" ref="M660" ca="1">IFERROR(INDEX(_xlfn.ANCHORARRAY($C$3),T_CALC[[#This Row],[DAY]]+1,3),NA())</f>
        <v>1.3738999999999999</v>
      </c>
      <c r="N660" cm="1" vm="2838">
        <f t="array" aca="1" ref="N660" ca="1">IFERROR(INDEX(_xlfn.ANCHORARRAY($C$3),T_CALC[[#This Row],[DAY]]+1,4),NA())</f>
        <v>1.3778999999999999</v>
      </c>
      <c r="O660" cm="1" vm="2884">
        <f t="array" aca="1" ref="O660" ca="1">IFERROR(INDEX(_xlfn.ANCHORARRAY($C$3),T_CALC[[#This Row],[DAY]]+1,5),NA())</f>
        <v>1.3702000000000001</v>
      </c>
      <c r="P660" cm="1" vm="2804">
        <f t="array" aca="1" ref="P660" ca="1">IFERROR(INDEX(_xlfn.ANCHORARRAY($C$3),T_CALC[[#This Row],[DAY]]+1,6),NA())</f>
        <v>1.3767</v>
      </c>
      <c r="Q660" cm="1">
        <f t="array" aca="1" ref="Q660" ca="1">IFERROR(INDEX(_xlfn.ANCHORARRAY($C$3),T_CALC[[#This Row],[DAY]]+1,2),NA())</f>
        <v>0</v>
      </c>
    </row>
    <row r="661" spans="3:17">
      <c r="C661" vm="3085">
        <f ca="1"/>
        <v>43679</v>
      </c>
      <c r="D661">
        <f ca="1"/>
        <v>0</v>
      </c>
      <c r="E661" vm="2868">
        <f ca="1"/>
        <v>1.3769</v>
      </c>
      <c r="F661" vm="2779">
        <f ca="1"/>
        <v>1.3783000000000001</v>
      </c>
      <c r="G661" vm="2753">
        <f ca="1"/>
        <v>1.3738999999999999</v>
      </c>
      <c r="H661" vm="1925">
        <f ca="1"/>
        <v>1.3765000000000001</v>
      </c>
      <c r="K661">
        <f ca="1">IF(ROW(T_CALC[[#This Row],[DAY]])-ROW(T_CALC[[#Headers],[DAY]])&gt;C_N_TRADING_DAYS,"",ROW(T_CALC[[#This Row],[DAY]])-ROW(T_CALC[[#Headers],[DAY]]))</f>
        <v>658</v>
      </c>
      <c r="L661" cm="1" vm="3085">
        <f t="array" aca="1" ref="L661" ca="1">IFERROR(INDEX(_xlfn.ANCHORARRAY($C$3),T_CALC[[#This Row],[DAY]]+1,1),NA())</f>
        <v>43679</v>
      </c>
      <c r="M661" cm="1" vm="2868">
        <f t="array" aca="1" ref="M661" ca="1">IFERROR(INDEX(_xlfn.ANCHORARRAY($C$3),T_CALC[[#This Row],[DAY]]+1,3),NA())</f>
        <v>1.3769</v>
      </c>
      <c r="N661" cm="1" vm="2779">
        <f t="array" aca="1" ref="N661" ca="1">IFERROR(INDEX(_xlfn.ANCHORARRAY($C$3),T_CALC[[#This Row],[DAY]]+1,4),NA())</f>
        <v>1.3783000000000001</v>
      </c>
      <c r="O661" cm="1" vm="2753">
        <f t="array" aca="1" ref="O661" ca="1">IFERROR(INDEX(_xlfn.ANCHORARRAY($C$3),T_CALC[[#This Row],[DAY]]+1,5),NA())</f>
        <v>1.3738999999999999</v>
      </c>
      <c r="P661" cm="1" vm="1925">
        <f t="array" aca="1" ref="P661" ca="1">IFERROR(INDEX(_xlfn.ANCHORARRAY($C$3),T_CALC[[#This Row],[DAY]]+1,6),NA())</f>
        <v>1.3765000000000001</v>
      </c>
      <c r="Q661" cm="1">
        <f t="array" aca="1" ref="Q661" ca="1">IFERROR(INDEX(_xlfn.ANCHORARRAY($C$3),T_CALC[[#This Row],[DAY]]+1,2),NA())</f>
        <v>0</v>
      </c>
    </row>
    <row r="662" spans="3:17">
      <c r="C662" vm="3086">
        <f ca="1"/>
        <v>43682</v>
      </c>
      <c r="D662">
        <f ca="1"/>
        <v>0</v>
      </c>
      <c r="E662" vm="2840">
        <f ca="1"/>
        <v>1.3766</v>
      </c>
      <c r="F662" vm="1815">
        <f ca="1"/>
        <v>1.3847</v>
      </c>
      <c r="G662" vm="1882">
        <f ca="1"/>
        <v>1.3753</v>
      </c>
      <c r="H662" vm="1885">
        <f ca="1"/>
        <v>1.3843000000000001</v>
      </c>
      <c r="K662">
        <f ca="1">IF(ROW(T_CALC[[#This Row],[DAY]])-ROW(T_CALC[[#Headers],[DAY]])&gt;C_N_TRADING_DAYS,"",ROW(T_CALC[[#This Row],[DAY]])-ROW(T_CALC[[#Headers],[DAY]]))</f>
        <v>659</v>
      </c>
      <c r="L662" cm="1" vm="3086">
        <f t="array" aca="1" ref="L662" ca="1">IFERROR(INDEX(_xlfn.ANCHORARRAY($C$3),T_CALC[[#This Row],[DAY]]+1,1),NA())</f>
        <v>43682</v>
      </c>
      <c r="M662" cm="1" vm="2840">
        <f t="array" aca="1" ref="M662" ca="1">IFERROR(INDEX(_xlfn.ANCHORARRAY($C$3),T_CALC[[#This Row],[DAY]]+1,3),NA())</f>
        <v>1.3766</v>
      </c>
      <c r="N662" cm="1" vm="1815">
        <f t="array" aca="1" ref="N662" ca="1">IFERROR(INDEX(_xlfn.ANCHORARRAY($C$3),T_CALC[[#This Row],[DAY]]+1,4),NA())</f>
        <v>1.3847</v>
      </c>
      <c r="O662" cm="1" vm="1882">
        <f t="array" aca="1" ref="O662" ca="1">IFERROR(INDEX(_xlfn.ANCHORARRAY($C$3),T_CALC[[#This Row],[DAY]]+1,5),NA())</f>
        <v>1.3753</v>
      </c>
      <c r="P662" cm="1" vm="1885">
        <f t="array" aca="1" ref="P662" ca="1">IFERROR(INDEX(_xlfn.ANCHORARRAY($C$3),T_CALC[[#This Row],[DAY]]+1,6),NA())</f>
        <v>1.3843000000000001</v>
      </c>
      <c r="Q662" cm="1">
        <f t="array" aca="1" ref="Q662" ca="1">IFERROR(INDEX(_xlfn.ANCHORARRAY($C$3),T_CALC[[#This Row],[DAY]]+1,2),NA())</f>
        <v>0</v>
      </c>
    </row>
    <row r="663" spans="3:17">
      <c r="C663" vm="3087">
        <f ca="1"/>
        <v>43683</v>
      </c>
      <c r="D663">
        <f ca="1"/>
        <v>0</v>
      </c>
      <c r="E663" vm="1819">
        <f ca="1"/>
        <v>1.3845000000000001</v>
      </c>
      <c r="F663" vm="1915">
        <f ca="1"/>
        <v>1.3867</v>
      </c>
      <c r="G663" vm="2736">
        <f ca="1"/>
        <v>1.3789</v>
      </c>
      <c r="H663" vm="1858">
        <f ca="1"/>
        <v>1.3814</v>
      </c>
      <c r="K663">
        <f ca="1">IF(ROW(T_CALC[[#This Row],[DAY]])-ROW(T_CALC[[#Headers],[DAY]])&gt;C_N_TRADING_DAYS,"",ROW(T_CALC[[#This Row],[DAY]])-ROW(T_CALC[[#Headers],[DAY]]))</f>
        <v>660</v>
      </c>
      <c r="L663" cm="1" vm="3087">
        <f t="array" aca="1" ref="L663" ca="1">IFERROR(INDEX(_xlfn.ANCHORARRAY($C$3),T_CALC[[#This Row],[DAY]]+1,1),NA())</f>
        <v>43683</v>
      </c>
      <c r="M663" cm="1" vm="1819">
        <f t="array" aca="1" ref="M663" ca="1">IFERROR(INDEX(_xlfn.ANCHORARRAY($C$3),T_CALC[[#This Row],[DAY]]+1,3),NA())</f>
        <v>1.3845000000000001</v>
      </c>
      <c r="N663" cm="1" vm="1915">
        <f t="array" aca="1" ref="N663" ca="1">IFERROR(INDEX(_xlfn.ANCHORARRAY($C$3),T_CALC[[#This Row],[DAY]]+1,4),NA())</f>
        <v>1.3867</v>
      </c>
      <c r="O663" cm="1" vm="2736">
        <f t="array" aca="1" ref="O663" ca="1">IFERROR(INDEX(_xlfn.ANCHORARRAY($C$3),T_CALC[[#This Row],[DAY]]+1,5),NA())</f>
        <v>1.3789</v>
      </c>
      <c r="P663" cm="1" vm="1858">
        <f t="array" aca="1" ref="P663" ca="1">IFERROR(INDEX(_xlfn.ANCHORARRAY($C$3),T_CALC[[#This Row],[DAY]]+1,6),NA())</f>
        <v>1.3814</v>
      </c>
      <c r="Q663" cm="1">
        <f t="array" aca="1" ref="Q663" ca="1">IFERROR(INDEX(_xlfn.ANCHORARRAY($C$3),T_CALC[[#This Row],[DAY]]+1,2),NA())</f>
        <v>0</v>
      </c>
    </row>
    <row r="664" spans="3:17">
      <c r="C664" vm="3088">
        <f ca="1"/>
        <v>43684</v>
      </c>
      <c r="D664">
        <f ca="1"/>
        <v>0</v>
      </c>
      <c r="E664" vm="1838">
        <f ca="1"/>
        <v>1.3813</v>
      </c>
      <c r="F664" vm="2848">
        <f ca="1"/>
        <v>1.3846000000000001</v>
      </c>
      <c r="G664" vm="1864">
        <f ca="1"/>
        <v>1.3794</v>
      </c>
      <c r="H664" vm="1928">
        <f ca="1"/>
        <v>1.3823000000000001</v>
      </c>
      <c r="K664">
        <f ca="1">IF(ROW(T_CALC[[#This Row],[DAY]])-ROW(T_CALC[[#Headers],[DAY]])&gt;C_N_TRADING_DAYS,"",ROW(T_CALC[[#This Row],[DAY]])-ROW(T_CALC[[#Headers],[DAY]]))</f>
        <v>661</v>
      </c>
      <c r="L664" cm="1" vm="3088">
        <f t="array" aca="1" ref="L664" ca="1">IFERROR(INDEX(_xlfn.ANCHORARRAY($C$3),T_CALC[[#This Row],[DAY]]+1,1),NA())</f>
        <v>43684</v>
      </c>
      <c r="M664" cm="1" vm="1838">
        <f t="array" aca="1" ref="M664" ca="1">IFERROR(INDEX(_xlfn.ANCHORARRAY($C$3),T_CALC[[#This Row],[DAY]]+1,3),NA())</f>
        <v>1.3813</v>
      </c>
      <c r="N664" cm="1" vm="2848">
        <f t="array" aca="1" ref="N664" ca="1">IFERROR(INDEX(_xlfn.ANCHORARRAY($C$3),T_CALC[[#This Row],[DAY]]+1,4),NA())</f>
        <v>1.3846000000000001</v>
      </c>
      <c r="O664" cm="1" vm="1864">
        <f t="array" aca="1" ref="O664" ca="1">IFERROR(INDEX(_xlfn.ANCHORARRAY($C$3),T_CALC[[#This Row],[DAY]]+1,5),NA())</f>
        <v>1.3794</v>
      </c>
      <c r="P664" cm="1" vm="1928">
        <f t="array" aca="1" ref="P664" ca="1">IFERROR(INDEX(_xlfn.ANCHORARRAY($C$3),T_CALC[[#This Row],[DAY]]+1,6),NA())</f>
        <v>1.3823000000000001</v>
      </c>
      <c r="Q664" cm="1">
        <f t="array" aca="1" ref="Q664" ca="1">IFERROR(INDEX(_xlfn.ANCHORARRAY($C$3),T_CALC[[#This Row],[DAY]]+1,2),NA())</f>
        <v>0</v>
      </c>
    </row>
    <row r="665" spans="3:17">
      <c r="C665" vm="3089">
        <f ca="1"/>
        <v>43685</v>
      </c>
      <c r="D665">
        <f ca="1"/>
        <v>0</v>
      </c>
      <c r="E665" vm="1849">
        <f ca="1"/>
        <v>1.3822000000000001</v>
      </c>
      <c r="F665" vm="1828">
        <f ca="1"/>
        <v>1.3844000000000001</v>
      </c>
      <c r="G665" vm="1856">
        <f ca="1"/>
        <v>1.3801000000000001</v>
      </c>
      <c r="H665" vm="1832">
        <f ca="1"/>
        <v>1.3816999999999999</v>
      </c>
      <c r="K665">
        <f ca="1">IF(ROW(T_CALC[[#This Row],[DAY]])-ROW(T_CALC[[#Headers],[DAY]])&gt;C_N_TRADING_DAYS,"",ROW(T_CALC[[#This Row],[DAY]])-ROW(T_CALC[[#Headers],[DAY]]))</f>
        <v>662</v>
      </c>
      <c r="L665" cm="1" vm="3089">
        <f t="array" aca="1" ref="L665" ca="1">IFERROR(INDEX(_xlfn.ANCHORARRAY($C$3),T_CALC[[#This Row],[DAY]]+1,1),NA())</f>
        <v>43685</v>
      </c>
      <c r="M665" cm="1" vm="1849">
        <f t="array" aca="1" ref="M665" ca="1">IFERROR(INDEX(_xlfn.ANCHORARRAY($C$3),T_CALC[[#This Row],[DAY]]+1,3),NA())</f>
        <v>1.3822000000000001</v>
      </c>
      <c r="N665" cm="1" vm="1828">
        <f t="array" aca="1" ref="N665" ca="1">IFERROR(INDEX(_xlfn.ANCHORARRAY($C$3),T_CALC[[#This Row],[DAY]]+1,4),NA())</f>
        <v>1.3844000000000001</v>
      </c>
      <c r="O665" cm="1" vm="1856">
        <f t="array" aca="1" ref="O665" ca="1">IFERROR(INDEX(_xlfn.ANCHORARRAY($C$3),T_CALC[[#This Row],[DAY]]+1,5),NA())</f>
        <v>1.3801000000000001</v>
      </c>
      <c r="P665" cm="1" vm="1832">
        <f t="array" aca="1" ref="P665" ca="1">IFERROR(INDEX(_xlfn.ANCHORARRAY($C$3),T_CALC[[#This Row],[DAY]]+1,6),NA())</f>
        <v>1.3816999999999999</v>
      </c>
      <c r="Q665" cm="1">
        <f t="array" aca="1" ref="Q665" ca="1">IFERROR(INDEX(_xlfn.ANCHORARRAY($C$3),T_CALC[[#This Row],[DAY]]+1,2),NA())</f>
        <v>0</v>
      </c>
    </row>
    <row r="666" spans="3:17">
      <c r="C666" vm="3090">
        <f ca="1"/>
        <v>43686</v>
      </c>
      <c r="D666">
        <f ca="1"/>
        <v>0</v>
      </c>
      <c r="E666" vm="1832">
        <f ca="1"/>
        <v>1.3816999999999999</v>
      </c>
      <c r="F666" vm="3091">
        <f ca="1"/>
        <v>1.3859999999999999</v>
      </c>
      <c r="G666" vm="1933">
        <f ca="1"/>
        <v>1.3806</v>
      </c>
      <c r="H666" vm="2850">
        <f ca="1"/>
        <v>1.3854</v>
      </c>
      <c r="K666">
        <f ca="1">IF(ROW(T_CALC[[#This Row],[DAY]])-ROW(T_CALC[[#Headers],[DAY]])&gt;C_N_TRADING_DAYS,"",ROW(T_CALC[[#This Row],[DAY]])-ROW(T_CALC[[#Headers],[DAY]]))</f>
        <v>663</v>
      </c>
      <c r="L666" cm="1" vm="3090">
        <f t="array" aca="1" ref="L666" ca="1">IFERROR(INDEX(_xlfn.ANCHORARRAY($C$3),T_CALC[[#This Row],[DAY]]+1,1),NA())</f>
        <v>43686</v>
      </c>
      <c r="M666" cm="1" vm="1832">
        <f t="array" aca="1" ref="M666" ca="1">IFERROR(INDEX(_xlfn.ANCHORARRAY($C$3),T_CALC[[#This Row],[DAY]]+1,3),NA())</f>
        <v>1.3816999999999999</v>
      </c>
      <c r="N666" cm="1" vm="3091">
        <f t="array" aca="1" ref="N666" ca="1">IFERROR(INDEX(_xlfn.ANCHORARRAY($C$3),T_CALC[[#This Row],[DAY]]+1,4),NA())</f>
        <v>1.3859999999999999</v>
      </c>
      <c r="O666" cm="1" vm="1933">
        <f t="array" aca="1" ref="O666" ca="1">IFERROR(INDEX(_xlfn.ANCHORARRAY($C$3),T_CALC[[#This Row],[DAY]]+1,5),NA())</f>
        <v>1.3806</v>
      </c>
      <c r="P666" cm="1" vm="2850">
        <f t="array" aca="1" ref="P666" ca="1">IFERROR(INDEX(_xlfn.ANCHORARRAY($C$3),T_CALC[[#This Row],[DAY]]+1,6),NA())</f>
        <v>1.3854</v>
      </c>
      <c r="Q666" cm="1">
        <f t="array" aca="1" ref="Q666" ca="1">IFERROR(INDEX(_xlfn.ANCHORARRAY($C$3),T_CALC[[#This Row],[DAY]]+1,2),NA())</f>
        <v>0</v>
      </c>
    </row>
    <row r="667" spans="3:17">
      <c r="C667" vm="3092">
        <f ca="1"/>
        <v>43689</v>
      </c>
      <c r="D667">
        <f ca="1"/>
        <v>0</v>
      </c>
      <c r="E667" vm="3093">
        <f ca="1"/>
        <v>1.3851</v>
      </c>
      <c r="F667" vm="1818">
        <f ca="1"/>
        <v>1.3886000000000001</v>
      </c>
      <c r="G667" vm="1814">
        <f ca="1"/>
        <v>1.3833</v>
      </c>
      <c r="H667" vm="1915">
        <f ca="1"/>
        <v>1.3867</v>
      </c>
      <c r="K667">
        <f ca="1">IF(ROW(T_CALC[[#This Row],[DAY]])-ROW(T_CALC[[#Headers],[DAY]])&gt;C_N_TRADING_DAYS,"",ROW(T_CALC[[#This Row],[DAY]])-ROW(T_CALC[[#Headers],[DAY]]))</f>
        <v>664</v>
      </c>
      <c r="L667" cm="1" vm="3092">
        <f t="array" aca="1" ref="L667" ca="1">IFERROR(INDEX(_xlfn.ANCHORARRAY($C$3),T_CALC[[#This Row],[DAY]]+1,1),NA())</f>
        <v>43689</v>
      </c>
      <c r="M667" cm="1" vm="3093">
        <f t="array" aca="1" ref="M667" ca="1">IFERROR(INDEX(_xlfn.ANCHORARRAY($C$3),T_CALC[[#This Row],[DAY]]+1,3),NA())</f>
        <v>1.3851</v>
      </c>
      <c r="N667" cm="1" vm="1818">
        <f t="array" aca="1" ref="N667" ca="1">IFERROR(INDEX(_xlfn.ANCHORARRAY($C$3),T_CALC[[#This Row],[DAY]]+1,4),NA())</f>
        <v>1.3886000000000001</v>
      </c>
      <c r="O667" cm="1" vm="1814">
        <f t="array" aca="1" ref="O667" ca="1">IFERROR(INDEX(_xlfn.ANCHORARRAY($C$3),T_CALC[[#This Row],[DAY]]+1,5),NA())</f>
        <v>1.3833</v>
      </c>
      <c r="P667" cm="1" vm="1915">
        <f t="array" aca="1" ref="P667" ca="1">IFERROR(INDEX(_xlfn.ANCHORARRAY($C$3),T_CALC[[#This Row],[DAY]]+1,6),NA())</f>
        <v>1.3867</v>
      </c>
      <c r="Q667" cm="1">
        <f t="array" aca="1" ref="Q667" ca="1">IFERROR(INDEX(_xlfn.ANCHORARRAY($C$3),T_CALC[[#This Row],[DAY]]+1,2),NA())</f>
        <v>0</v>
      </c>
    </row>
    <row r="668" spans="3:17">
      <c r="C668" vm="3094">
        <f ca="1"/>
        <v>43690</v>
      </c>
      <c r="D668">
        <f ca="1"/>
        <v>0</v>
      </c>
      <c r="E668" vm="1894">
        <f ca="1"/>
        <v>1.3866000000000001</v>
      </c>
      <c r="F668" vm="3095">
        <f ca="1"/>
        <v>1.3895</v>
      </c>
      <c r="G668" vm="1893">
        <f ca="1"/>
        <v>1.3803000000000001</v>
      </c>
      <c r="H668" vm="1846">
        <f ca="1"/>
        <v>1.3831</v>
      </c>
      <c r="K668">
        <f ca="1">IF(ROW(T_CALC[[#This Row],[DAY]])-ROW(T_CALC[[#Headers],[DAY]])&gt;C_N_TRADING_DAYS,"",ROW(T_CALC[[#This Row],[DAY]])-ROW(T_CALC[[#Headers],[DAY]]))</f>
        <v>665</v>
      </c>
      <c r="L668" cm="1" vm="3094">
        <f t="array" aca="1" ref="L668" ca="1">IFERROR(INDEX(_xlfn.ANCHORARRAY($C$3),T_CALC[[#This Row],[DAY]]+1,1),NA())</f>
        <v>43690</v>
      </c>
      <c r="M668" cm="1" vm="1894">
        <f t="array" aca="1" ref="M668" ca="1">IFERROR(INDEX(_xlfn.ANCHORARRAY($C$3),T_CALC[[#This Row],[DAY]]+1,3),NA())</f>
        <v>1.3866000000000001</v>
      </c>
      <c r="N668" cm="1" vm="3095">
        <f t="array" aca="1" ref="N668" ca="1">IFERROR(INDEX(_xlfn.ANCHORARRAY($C$3),T_CALC[[#This Row],[DAY]]+1,4),NA())</f>
        <v>1.3895</v>
      </c>
      <c r="O668" cm="1" vm="1893">
        <f t="array" aca="1" ref="O668" ca="1">IFERROR(INDEX(_xlfn.ANCHORARRAY($C$3),T_CALC[[#This Row],[DAY]]+1,5),NA())</f>
        <v>1.3803000000000001</v>
      </c>
      <c r="P668" cm="1" vm="1846">
        <f t="array" aca="1" ref="P668" ca="1">IFERROR(INDEX(_xlfn.ANCHORARRAY($C$3),T_CALC[[#This Row],[DAY]]+1,6),NA())</f>
        <v>1.3831</v>
      </c>
      <c r="Q668" cm="1">
        <f t="array" aca="1" ref="Q668" ca="1">IFERROR(INDEX(_xlfn.ANCHORARRAY($C$3),T_CALC[[#This Row],[DAY]]+1,2),NA())</f>
        <v>0</v>
      </c>
    </row>
    <row r="669" spans="3:17">
      <c r="C669" vm="3096">
        <f ca="1"/>
        <v>43691</v>
      </c>
      <c r="D669">
        <f ca="1"/>
        <v>0</v>
      </c>
      <c r="E669" vm="1889">
        <f ca="1"/>
        <v>1.383</v>
      </c>
      <c r="F669" vm="3097">
        <f ca="1"/>
        <v>1.3905000000000001</v>
      </c>
      <c r="G669" vm="2812">
        <f ca="1"/>
        <v>1.3826000000000001</v>
      </c>
      <c r="H669" vm="1808">
        <f ca="1"/>
        <v>1.3897999999999999</v>
      </c>
      <c r="K669">
        <f ca="1">IF(ROW(T_CALC[[#This Row],[DAY]])-ROW(T_CALC[[#Headers],[DAY]])&gt;C_N_TRADING_DAYS,"",ROW(T_CALC[[#This Row],[DAY]])-ROW(T_CALC[[#Headers],[DAY]]))</f>
        <v>666</v>
      </c>
      <c r="L669" cm="1" vm="3096">
        <f t="array" aca="1" ref="L669" ca="1">IFERROR(INDEX(_xlfn.ANCHORARRAY($C$3),T_CALC[[#This Row],[DAY]]+1,1),NA())</f>
        <v>43691</v>
      </c>
      <c r="M669" cm="1" vm="1889">
        <f t="array" aca="1" ref="M669" ca="1">IFERROR(INDEX(_xlfn.ANCHORARRAY($C$3),T_CALC[[#This Row],[DAY]]+1,3),NA())</f>
        <v>1.383</v>
      </c>
      <c r="N669" cm="1" vm="3097">
        <f t="array" aca="1" ref="N669" ca="1">IFERROR(INDEX(_xlfn.ANCHORARRAY($C$3),T_CALC[[#This Row],[DAY]]+1,4),NA())</f>
        <v>1.3905000000000001</v>
      </c>
      <c r="O669" cm="1" vm="2812">
        <f t="array" aca="1" ref="O669" ca="1">IFERROR(INDEX(_xlfn.ANCHORARRAY($C$3),T_CALC[[#This Row],[DAY]]+1,5),NA())</f>
        <v>1.3826000000000001</v>
      </c>
      <c r="P669" cm="1" vm="1808">
        <f t="array" aca="1" ref="P669" ca="1">IFERROR(INDEX(_xlfn.ANCHORARRAY($C$3),T_CALC[[#This Row],[DAY]]+1,6),NA())</f>
        <v>1.3897999999999999</v>
      </c>
      <c r="Q669" cm="1">
        <f t="array" aca="1" ref="Q669" ca="1">IFERROR(INDEX(_xlfn.ANCHORARRAY($C$3),T_CALC[[#This Row],[DAY]]+1,2),NA())</f>
        <v>0</v>
      </c>
    </row>
    <row r="670" spans="3:17">
      <c r="C670" vm="3098">
        <f ca="1"/>
        <v>43692</v>
      </c>
      <c r="D670">
        <f ca="1"/>
        <v>0</v>
      </c>
      <c r="E670" vm="1904">
        <f ca="1"/>
        <v>1.3898999999999999</v>
      </c>
      <c r="F670" vm="3099">
        <f ca="1"/>
        <v>1.3906000000000001</v>
      </c>
      <c r="G670" vm="3100">
        <f ca="1"/>
        <v>1.3864000000000001</v>
      </c>
      <c r="H670" vm="1909">
        <f ca="1"/>
        <v>1.3888</v>
      </c>
      <c r="K670">
        <f ca="1">IF(ROW(T_CALC[[#This Row],[DAY]])-ROW(T_CALC[[#Headers],[DAY]])&gt;C_N_TRADING_DAYS,"",ROW(T_CALC[[#This Row],[DAY]])-ROW(T_CALC[[#Headers],[DAY]]))</f>
        <v>667</v>
      </c>
      <c r="L670" cm="1" vm="3098">
        <f t="array" aca="1" ref="L670" ca="1">IFERROR(INDEX(_xlfn.ANCHORARRAY($C$3),T_CALC[[#This Row],[DAY]]+1,1),NA())</f>
        <v>43692</v>
      </c>
      <c r="M670" cm="1" vm="1904">
        <f t="array" aca="1" ref="M670" ca="1">IFERROR(INDEX(_xlfn.ANCHORARRAY($C$3),T_CALC[[#This Row],[DAY]]+1,3),NA())</f>
        <v>1.3898999999999999</v>
      </c>
      <c r="N670" cm="1" vm="3099">
        <f t="array" aca="1" ref="N670" ca="1">IFERROR(INDEX(_xlfn.ANCHORARRAY($C$3),T_CALC[[#This Row],[DAY]]+1,4),NA())</f>
        <v>1.3906000000000001</v>
      </c>
      <c r="O670" cm="1" vm="3100">
        <f t="array" aca="1" ref="O670" ca="1">IFERROR(INDEX(_xlfn.ANCHORARRAY($C$3),T_CALC[[#This Row],[DAY]]+1,5),NA())</f>
        <v>1.3864000000000001</v>
      </c>
      <c r="P670" cm="1" vm="1909">
        <f t="array" aca="1" ref="P670" ca="1">IFERROR(INDEX(_xlfn.ANCHORARRAY($C$3),T_CALC[[#This Row],[DAY]]+1,6),NA())</f>
        <v>1.3888</v>
      </c>
      <c r="Q670" cm="1">
        <f t="array" aca="1" ref="Q670" ca="1">IFERROR(INDEX(_xlfn.ANCHORARRAY($C$3),T_CALC[[#This Row],[DAY]]+1,2),NA())</f>
        <v>0</v>
      </c>
    </row>
    <row r="671" spans="3:17">
      <c r="C671" vm="3101">
        <f ca="1"/>
        <v>43693</v>
      </c>
      <c r="D671">
        <f ca="1"/>
        <v>0</v>
      </c>
      <c r="E671" vm="1902">
        <f ca="1"/>
        <v>1.3887</v>
      </c>
      <c r="F671" vm="3102">
        <f ca="1"/>
        <v>1.3894</v>
      </c>
      <c r="G671" vm="2845">
        <f ca="1"/>
        <v>1.3835</v>
      </c>
      <c r="H671" vm="1872">
        <f ca="1"/>
        <v>1.3842000000000001</v>
      </c>
      <c r="K671">
        <f ca="1">IF(ROW(T_CALC[[#This Row],[DAY]])-ROW(T_CALC[[#Headers],[DAY]])&gt;C_N_TRADING_DAYS,"",ROW(T_CALC[[#This Row],[DAY]])-ROW(T_CALC[[#Headers],[DAY]]))</f>
        <v>668</v>
      </c>
      <c r="L671" cm="1" vm="3101">
        <f t="array" aca="1" ref="L671" ca="1">IFERROR(INDEX(_xlfn.ANCHORARRAY($C$3),T_CALC[[#This Row],[DAY]]+1,1),NA())</f>
        <v>43693</v>
      </c>
      <c r="M671" cm="1" vm="1902">
        <f t="array" aca="1" ref="M671" ca="1">IFERROR(INDEX(_xlfn.ANCHORARRAY($C$3),T_CALC[[#This Row],[DAY]]+1,3),NA())</f>
        <v>1.3887</v>
      </c>
      <c r="N671" cm="1" vm="3102">
        <f t="array" aca="1" ref="N671" ca="1">IFERROR(INDEX(_xlfn.ANCHORARRAY($C$3),T_CALC[[#This Row],[DAY]]+1,4),NA())</f>
        <v>1.3894</v>
      </c>
      <c r="O671" cm="1" vm="2845">
        <f t="array" aca="1" ref="O671" ca="1">IFERROR(INDEX(_xlfn.ANCHORARRAY($C$3),T_CALC[[#This Row],[DAY]]+1,5),NA())</f>
        <v>1.3835</v>
      </c>
      <c r="P671" cm="1" vm="1872">
        <f t="array" aca="1" ref="P671" ca="1">IFERROR(INDEX(_xlfn.ANCHORARRAY($C$3),T_CALC[[#This Row],[DAY]]+1,6),NA())</f>
        <v>1.3842000000000001</v>
      </c>
      <c r="Q671" cm="1">
        <f t="array" aca="1" ref="Q671" ca="1">IFERROR(INDEX(_xlfn.ANCHORARRAY($C$3),T_CALC[[#This Row],[DAY]]+1,2),NA())</f>
        <v>0</v>
      </c>
    </row>
    <row r="672" spans="3:17">
      <c r="C672" vm="3103">
        <f ca="1"/>
        <v>43696</v>
      </c>
      <c r="D672">
        <f ca="1"/>
        <v>0</v>
      </c>
      <c r="E672" vm="1828">
        <f ca="1"/>
        <v>1.3844000000000001</v>
      </c>
      <c r="F672" vm="2849">
        <f ca="1"/>
        <v>1.3871</v>
      </c>
      <c r="G672" vm="1887">
        <f ca="1"/>
        <v>1.3834</v>
      </c>
      <c r="H672" vm="3100">
        <f ca="1"/>
        <v>1.3864000000000001</v>
      </c>
      <c r="K672">
        <f ca="1">IF(ROW(T_CALC[[#This Row],[DAY]])-ROW(T_CALC[[#Headers],[DAY]])&gt;C_N_TRADING_DAYS,"",ROW(T_CALC[[#This Row],[DAY]])-ROW(T_CALC[[#Headers],[DAY]]))</f>
        <v>669</v>
      </c>
      <c r="L672" cm="1" vm="3103">
        <f t="array" aca="1" ref="L672" ca="1">IFERROR(INDEX(_xlfn.ANCHORARRAY($C$3),T_CALC[[#This Row],[DAY]]+1,1),NA())</f>
        <v>43696</v>
      </c>
      <c r="M672" cm="1" vm="1828">
        <f t="array" aca="1" ref="M672" ca="1">IFERROR(INDEX(_xlfn.ANCHORARRAY($C$3),T_CALC[[#This Row],[DAY]]+1,3),NA())</f>
        <v>1.3844000000000001</v>
      </c>
      <c r="N672" cm="1" vm="2849">
        <f t="array" aca="1" ref="N672" ca="1">IFERROR(INDEX(_xlfn.ANCHORARRAY($C$3),T_CALC[[#This Row],[DAY]]+1,4),NA())</f>
        <v>1.3871</v>
      </c>
      <c r="O672" cm="1" vm="1887">
        <f t="array" aca="1" ref="O672" ca="1">IFERROR(INDEX(_xlfn.ANCHORARRAY($C$3),T_CALC[[#This Row],[DAY]]+1,5),NA())</f>
        <v>1.3834</v>
      </c>
      <c r="P672" cm="1" vm="3100">
        <f t="array" aca="1" ref="P672" ca="1">IFERROR(INDEX(_xlfn.ANCHORARRAY($C$3),T_CALC[[#This Row],[DAY]]+1,6),NA())</f>
        <v>1.3864000000000001</v>
      </c>
      <c r="Q672" cm="1">
        <f t="array" aca="1" ref="Q672" ca="1">IFERROR(INDEX(_xlfn.ANCHORARRAY($C$3),T_CALC[[#This Row],[DAY]]+1,2),NA())</f>
        <v>0</v>
      </c>
    </row>
    <row r="673" spans="3:17">
      <c r="C673" vm="3104">
        <f ca="1"/>
        <v>43697</v>
      </c>
      <c r="D673">
        <f ca="1"/>
        <v>0</v>
      </c>
      <c r="E673" vm="3100">
        <f ca="1"/>
        <v>1.3864000000000001</v>
      </c>
      <c r="F673" vm="1899">
        <f ca="1"/>
        <v>1.3875999999999999</v>
      </c>
      <c r="G673" vm="1939">
        <f ca="1"/>
        <v>1.3841000000000001</v>
      </c>
      <c r="H673" vm="1815">
        <f ca="1"/>
        <v>1.3847</v>
      </c>
      <c r="K673">
        <f ca="1">IF(ROW(T_CALC[[#This Row],[DAY]])-ROW(T_CALC[[#Headers],[DAY]])&gt;C_N_TRADING_DAYS,"",ROW(T_CALC[[#This Row],[DAY]])-ROW(T_CALC[[#Headers],[DAY]]))</f>
        <v>670</v>
      </c>
      <c r="L673" cm="1" vm="3104">
        <f t="array" aca="1" ref="L673" ca="1">IFERROR(INDEX(_xlfn.ANCHORARRAY($C$3),T_CALC[[#This Row],[DAY]]+1,1),NA())</f>
        <v>43697</v>
      </c>
      <c r="M673" cm="1" vm="3100">
        <f t="array" aca="1" ref="M673" ca="1">IFERROR(INDEX(_xlfn.ANCHORARRAY($C$3),T_CALC[[#This Row],[DAY]]+1,3),NA())</f>
        <v>1.3864000000000001</v>
      </c>
      <c r="N673" cm="1" vm="1899">
        <f t="array" aca="1" ref="N673" ca="1">IFERROR(INDEX(_xlfn.ANCHORARRAY($C$3),T_CALC[[#This Row],[DAY]]+1,4),NA())</f>
        <v>1.3875999999999999</v>
      </c>
      <c r="O673" cm="1" vm="1939">
        <f t="array" aca="1" ref="O673" ca="1">IFERROR(INDEX(_xlfn.ANCHORARRAY($C$3),T_CALC[[#This Row],[DAY]]+1,5),NA())</f>
        <v>1.3841000000000001</v>
      </c>
      <c r="P673" cm="1" vm="1815">
        <f t="array" aca="1" ref="P673" ca="1">IFERROR(INDEX(_xlfn.ANCHORARRAY($C$3),T_CALC[[#This Row],[DAY]]+1,6),NA())</f>
        <v>1.3847</v>
      </c>
      <c r="Q673" cm="1">
        <f t="array" aca="1" ref="Q673" ca="1">IFERROR(INDEX(_xlfn.ANCHORARRAY($C$3),T_CALC[[#This Row],[DAY]]+1,2),NA())</f>
        <v>0</v>
      </c>
    </row>
    <row r="674" spans="3:17">
      <c r="C674" vm="3105">
        <f ca="1"/>
        <v>43698</v>
      </c>
      <c r="D674">
        <f ca="1"/>
        <v>0</v>
      </c>
      <c r="E674" vm="1819">
        <f ca="1"/>
        <v>1.3845000000000001</v>
      </c>
      <c r="F674" vm="3106">
        <f ca="1"/>
        <v>1.3856999999999999</v>
      </c>
      <c r="G674" vm="1860">
        <f ca="1"/>
        <v>1.3819999999999999</v>
      </c>
      <c r="H674" vm="1830">
        <f ca="1"/>
        <v>1.3839999999999999</v>
      </c>
      <c r="K674">
        <f ca="1">IF(ROW(T_CALC[[#This Row],[DAY]])-ROW(T_CALC[[#Headers],[DAY]])&gt;C_N_TRADING_DAYS,"",ROW(T_CALC[[#This Row],[DAY]])-ROW(T_CALC[[#Headers],[DAY]]))</f>
        <v>671</v>
      </c>
      <c r="L674" cm="1" vm="3105">
        <f t="array" aca="1" ref="L674" ca="1">IFERROR(INDEX(_xlfn.ANCHORARRAY($C$3),T_CALC[[#This Row],[DAY]]+1,1),NA())</f>
        <v>43698</v>
      </c>
      <c r="M674" cm="1" vm="1819">
        <f t="array" aca="1" ref="M674" ca="1">IFERROR(INDEX(_xlfn.ANCHORARRAY($C$3),T_CALC[[#This Row],[DAY]]+1,3),NA())</f>
        <v>1.3845000000000001</v>
      </c>
      <c r="N674" cm="1" vm="3106">
        <f t="array" aca="1" ref="N674" ca="1">IFERROR(INDEX(_xlfn.ANCHORARRAY($C$3),T_CALC[[#This Row],[DAY]]+1,4),NA())</f>
        <v>1.3856999999999999</v>
      </c>
      <c r="O674" cm="1" vm="1860">
        <f t="array" aca="1" ref="O674" ca="1">IFERROR(INDEX(_xlfn.ANCHORARRAY($C$3),T_CALC[[#This Row],[DAY]]+1,5),NA())</f>
        <v>1.3819999999999999</v>
      </c>
      <c r="P674" cm="1" vm="1830">
        <f t="array" aca="1" ref="P674" ca="1">IFERROR(INDEX(_xlfn.ANCHORARRAY($C$3),T_CALC[[#This Row],[DAY]]+1,6),NA())</f>
        <v>1.3839999999999999</v>
      </c>
      <c r="Q674" cm="1">
        <f t="array" aca="1" ref="Q674" ca="1">IFERROR(INDEX(_xlfn.ANCHORARRAY($C$3),T_CALC[[#This Row],[DAY]]+1,2),NA())</f>
        <v>0</v>
      </c>
    </row>
    <row r="675" spans="3:17">
      <c r="C675" vm="3107">
        <f ca="1"/>
        <v>43699</v>
      </c>
      <c r="D675">
        <f ca="1"/>
        <v>0</v>
      </c>
      <c r="E675" vm="1843">
        <f ca="1"/>
        <v>1.3837999999999999</v>
      </c>
      <c r="F675" vm="1903">
        <f ca="1"/>
        <v>1.3873</v>
      </c>
      <c r="G675" vm="1848">
        <f ca="1"/>
        <v>1.3829</v>
      </c>
      <c r="H675" vm="2863">
        <f ca="1"/>
        <v>1.3853</v>
      </c>
      <c r="K675">
        <f ca="1">IF(ROW(T_CALC[[#This Row],[DAY]])-ROW(T_CALC[[#Headers],[DAY]])&gt;C_N_TRADING_DAYS,"",ROW(T_CALC[[#This Row],[DAY]])-ROW(T_CALC[[#Headers],[DAY]]))</f>
        <v>672</v>
      </c>
      <c r="L675" cm="1" vm="3107">
        <f t="array" aca="1" ref="L675" ca="1">IFERROR(INDEX(_xlfn.ANCHORARRAY($C$3),T_CALC[[#This Row],[DAY]]+1,1),NA())</f>
        <v>43699</v>
      </c>
      <c r="M675" cm="1" vm="1843">
        <f t="array" aca="1" ref="M675" ca="1">IFERROR(INDEX(_xlfn.ANCHORARRAY($C$3),T_CALC[[#This Row],[DAY]]+1,3),NA())</f>
        <v>1.3837999999999999</v>
      </c>
      <c r="N675" cm="1" vm="1903">
        <f t="array" aca="1" ref="N675" ca="1">IFERROR(INDEX(_xlfn.ANCHORARRAY($C$3),T_CALC[[#This Row],[DAY]]+1,4),NA())</f>
        <v>1.3873</v>
      </c>
      <c r="O675" cm="1" vm="1848">
        <f t="array" aca="1" ref="O675" ca="1">IFERROR(INDEX(_xlfn.ANCHORARRAY($C$3),T_CALC[[#This Row],[DAY]]+1,5),NA())</f>
        <v>1.3829</v>
      </c>
      <c r="P675" cm="1" vm="2863">
        <f t="array" aca="1" ref="P675" ca="1">IFERROR(INDEX(_xlfn.ANCHORARRAY($C$3),T_CALC[[#This Row],[DAY]]+1,6),NA())</f>
        <v>1.3853</v>
      </c>
      <c r="Q675" cm="1">
        <f t="array" aca="1" ref="Q675" ca="1">IFERROR(INDEX(_xlfn.ANCHORARRAY($C$3),T_CALC[[#This Row],[DAY]]+1,2),NA())</f>
        <v>0</v>
      </c>
    </row>
    <row r="676" spans="3:17">
      <c r="C676" vm="3108">
        <f ca="1"/>
        <v>43700</v>
      </c>
      <c r="D676">
        <f ca="1"/>
        <v>0</v>
      </c>
      <c r="E676" vm="2863">
        <f ca="1"/>
        <v>1.3853</v>
      </c>
      <c r="F676" vm="1818">
        <f ca="1"/>
        <v>1.3886000000000001</v>
      </c>
      <c r="G676" vm="1827">
        <f ca="1"/>
        <v>1.3836999999999999</v>
      </c>
      <c r="H676" vm="1852">
        <f ca="1"/>
        <v>1.3868</v>
      </c>
      <c r="K676">
        <f ca="1">IF(ROW(T_CALC[[#This Row],[DAY]])-ROW(T_CALC[[#Headers],[DAY]])&gt;C_N_TRADING_DAYS,"",ROW(T_CALC[[#This Row],[DAY]])-ROW(T_CALC[[#Headers],[DAY]]))</f>
        <v>673</v>
      </c>
      <c r="L676" cm="1" vm="3108">
        <f t="array" aca="1" ref="L676" ca="1">IFERROR(INDEX(_xlfn.ANCHORARRAY($C$3),T_CALC[[#This Row],[DAY]]+1,1),NA())</f>
        <v>43700</v>
      </c>
      <c r="M676" cm="1" vm="2863">
        <f t="array" aca="1" ref="M676" ca="1">IFERROR(INDEX(_xlfn.ANCHORARRAY($C$3),T_CALC[[#This Row],[DAY]]+1,3),NA())</f>
        <v>1.3853</v>
      </c>
      <c r="N676" cm="1" vm="1818">
        <f t="array" aca="1" ref="N676" ca="1">IFERROR(INDEX(_xlfn.ANCHORARRAY($C$3),T_CALC[[#This Row],[DAY]]+1,4),NA())</f>
        <v>1.3886000000000001</v>
      </c>
      <c r="O676" cm="1" vm="1827">
        <f t="array" aca="1" ref="O676" ca="1">IFERROR(INDEX(_xlfn.ANCHORARRAY($C$3),T_CALC[[#This Row],[DAY]]+1,5),NA())</f>
        <v>1.3836999999999999</v>
      </c>
      <c r="P676" cm="1" vm="1852">
        <f t="array" aca="1" ref="P676" ca="1">IFERROR(INDEX(_xlfn.ANCHORARRAY($C$3),T_CALC[[#This Row],[DAY]]+1,6),NA())</f>
        <v>1.3868</v>
      </c>
      <c r="Q676" cm="1">
        <f t="array" aca="1" ref="Q676" ca="1">IFERROR(INDEX(_xlfn.ANCHORARRAY($C$3),T_CALC[[#This Row],[DAY]]+1,2),NA())</f>
        <v>0</v>
      </c>
    </row>
    <row r="677" spans="3:17">
      <c r="C677" vm="3109">
        <f ca="1"/>
        <v>43703</v>
      </c>
      <c r="D677">
        <f ca="1"/>
        <v>0</v>
      </c>
      <c r="E677" vm="1852">
        <f ca="1"/>
        <v>1.3868</v>
      </c>
      <c r="F677" vm="3110">
        <f ca="1"/>
        <v>1.3923000000000001</v>
      </c>
      <c r="G677" vm="1817">
        <f ca="1"/>
        <v>1.3862000000000001</v>
      </c>
      <c r="H677" vm="1841">
        <f ca="1"/>
        <v>1.3884000000000001</v>
      </c>
      <c r="K677">
        <f ca="1">IF(ROW(T_CALC[[#This Row],[DAY]])-ROW(T_CALC[[#Headers],[DAY]])&gt;C_N_TRADING_DAYS,"",ROW(T_CALC[[#This Row],[DAY]])-ROW(T_CALC[[#Headers],[DAY]]))</f>
        <v>674</v>
      </c>
      <c r="L677" cm="1" vm="3109">
        <f t="array" aca="1" ref="L677" ca="1">IFERROR(INDEX(_xlfn.ANCHORARRAY($C$3),T_CALC[[#This Row],[DAY]]+1,1),NA())</f>
        <v>43703</v>
      </c>
      <c r="M677" cm="1" vm="1852">
        <f t="array" aca="1" ref="M677" ca="1">IFERROR(INDEX(_xlfn.ANCHORARRAY($C$3),T_CALC[[#This Row],[DAY]]+1,3),NA())</f>
        <v>1.3868</v>
      </c>
      <c r="N677" cm="1" vm="3110">
        <f t="array" aca="1" ref="N677" ca="1">IFERROR(INDEX(_xlfn.ANCHORARRAY($C$3),T_CALC[[#This Row],[DAY]]+1,4),NA())</f>
        <v>1.3923000000000001</v>
      </c>
      <c r="O677" cm="1" vm="1817">
        <f t="array" aca="1" ref="O677" ca="1">IFERROR(INDEX(_xlfn.ANCHORARRAY($C$3),T_CALC[[#This Row],[DAY]]+1,5),NA())</f>
        <v>1.3862000000000001</v>
      </c>
      <c r="P677" cm="1" vm="1841">
        <f t="array" aca="1" ref="P677" ca="1">IFERROR(INDEX(_xlfn.ANCHORARRAY($C$3),T_CALC[[#This Row],[DAY]]+1,6),NA())</f>
        <v>1.3884000000000001</v>
      </c>
      <c r="Q677" cm="1">
        <f t="array" aca="1" ref="Q677" ca="1">IFERROR(INDEX(_xlfn.ANCHORARRAY($C$3),T_CALC[[#This Row],[DAY]]+1,2),NA())</f>
        <v>0</v>
      </c>
    </row>
    <row r="678" spans="3:17">
      <c r="C678" vm="3111">
        <f ca="1"/>
        <v>43704</v>
      </c>
      <c r="D678">
        <f ca="1"/>
        <v>0</v>
      </c>
      <c r="E678" vm="3112">
        <f ca="1"/>
        <v>1.3882000000000001</v>
      </c>
      <c r="F678" vm="3113">
        <f ca="1"/>
        <v>1.3900999999999999</v>
      </c>
      <c r="G678" vm="1834">
        <f ca="1"/>
        <v>1.3869</v>
      </c>
      <c r="H678" vm="1897">
        <f ca="1"/>
        <v>1.3891</v>
      </c>
      <c r="K678">
        <f ca="1">IF(ROW(T_CALC[[#This Row],[DAY]])-ROW(T_CALC[[#Headers],[DAY]])&gt;C_N_TRADING_DAYS,"",ROW(T_CALC[[#This Row],[DAY]])-ROW(T_CALC[[#Headers],[DAY]]))</f>
        <v>675</v>
      </c>
      <c r="L678" cm="1" vm="3111">
        <f t="array" aca="1" ref="L678" ca="1">IFERROR(INDEX(_xlfn.ANCHORARRAY($C$3),T_CALC[[#This Row],[DAY]]+1,1),NA())</f>
        <v>43704</v>
      </c>
      <c r="M678" cm="1" vm="3112">
        <f t="array" aca="1" ref="M678" ca="1">IFERROR(INDEX(_xlfn.ANCHORARRAY($C$3),T_CALC[[#This Row],[DAY]]+1,3),NA())</f>
        <v>1.3882000000000001</v>
      </c>
      <c r="N678" cm="1" vm="3113">
        <f t="array" aca="1" ref="N678" ca="1">IFERROR(INDEX(_xlfn.ANCHORARRAY($C$3),T_CALC[[#This Row],[DAY]]+1,4),NA())</f>
        <v>1.3900999999999999</v>
      </c>
      <c r="O678" cm="1" vm="1834">
        <f t="array" aca="1" ref="O678" ca="1">IFERROR(INDEX(_xlfn.ANCHORARRAY($C$3),T_CALC[[#This Row],[DAY]]+1,5),NA())</f>
        <v>1.3869</v>
      </c>
      <c r="P678" cm="1" vm="1897">
        <f t="array" aca="1" ref="P678" ca="1">IFERROR(INDEX(_xlfn.ANCHORARRAY($C$3),T_CALC[[#This Row],[DAY]]+1,6),NA())</f>
        <v>1.3891</v>
      </c>
      <c r="Q678" cm="1">
        <f t="array" aca="1" ref="Q678" ca="1">IFERROR(INDEX(_xlfn.ANCHORARRAY($C$3),T_CALC[[#This Row],[DAY]]+1,2),NA())</f>
        <v>0</v>
      </c>
    </row>
    <row r="679" spans="3:17">
      <c r="C679" vm="3114">
        <f ca="1"/>
        <v>43705</v>
      </c>
      <c r="D679">
        <f ca="1"/>
        <v>0</v>
      </c>
      <c r="E679" vm="3115">
        <f ca="1"/>
        <v>1.3893</v>
      </c>
      <c r="F679" vm="3102">
        <f ca="1"/>
        <v>1.3894</v>
      </c>
      <c r="G679" vm="3116">
        <f ca="1"/>
        <v>1.3874</v>
      </c>
      <c r="H679" vm="1811">
        <f ca="1"/>
        <v>1.3885000000000001</v>
      </c>
      <c r="K679">
        <f ca="1">IF(ROW(T_CALC[[#This Row],[DAY]])-ROW(T_CALC[[#Headers],[DAY]])&gt;C_N_TRADING_DAYS,"",ROW(T_CALC[[#This Row],[DAY]])-ROW(T_CALC[[#Headers],[DAY]]))</f>
        <v>676</v>
      </c>
      <c r="L679" cm="1" vm="3114">
        <f t="array" aca="1" ref="L679" ca="1">IFERROR(INDEX(_xlfn.ANCHORARRAY($C$3),T_CALC[[#This Row],[DAY]]+1,1),NA())</f>
        <v>43705</v>
      </c>
      <c r="M679" cm="1" vm="3115">
        <f t="array" aca="1" ref="M679" ca="1">IFERROR(INDEX(_xlfn.ANCHORARRAY($C$3),T_CALC[[#This Row],[DAY]]+1,3),NA())</f>
        <v>1.3893</v>
      </c>
      <c r="N679" cm="1" vm="3102">
        <f t="array" aca="1" ref="N679" ca="1">IFERROR(INDEX(_xlfn.ANCHORARRAY($C$3),T_CALC[[#This Row],[DAY]]+1,4),NA())</f>
        <v>1.3894</v>
      </c>
      <c r="O679" cm="1" vm="3116">
        <f t="array" aca="1" ref="O679" ca="1">IFERROR(INDEX(_xlfn.ANCHORARRAY($C$3),T_CALC[[#This Row],[DAY]]+1,5),NA())</f>
        <v>1.3874</v>
      </c>
      <c r="P679" cm="1" vm="1811">
        <f t="array" aca="1" ref="P679" ca="1">IFERROR(INDEX(_xlfn.ANCHORARRAY($C$3),T_CALC[[#This Row],[DAY]]+1,6),NA())</f>
        <v>1.3885000000000001</v>
      </c>
      <c r="Q679" cm="1">
        <f t="array" aca="1" ref="Q679" ca="1">IFERROR(INDEX(_xlfn.ANCHORARRAY($C$3),T_CALC[[#This Row],[DAY]]+1,2),NA())</f>
        <v>0</v>
      </c>
    </row>
    <row r="680" spans="3:17">
      <c r="C680" vm="3117">
        <f ca="1"/>
        <v>43706</v>
      </c>
      <c r="D680">
        <f ca="1"/>
        <v>0</v>
      </c>
      <c r="E680" vm="1841">
        <f ca="1"/>
        <v>1.3884000000000001</v>
      </c>
      <c r="F680" vm="3102">
        <f ca="1"/>
        <v>1.3894</v>
      </c>
      <c r="G680" vm="1910">
        <f ca="1"/>
        <v>1.3855999999999999</v>
      </c>
      <c r="H680" vm="3116">
        <f ca="1"/>
        <v>1.3874</v>
      </c>
      <c r="K680">
        <f ca="1">IF(ROW(T_CALC[[#This Row],[DAY]])-ROW(T_CALC[[#Headers],[DAY]])&gt;C_N_TRADING_DAYS,"",ROW(T_CALC[[#This Row],[DAY]])-ROW(T_CALC[[#Headers],[DAY]]))</f>
        <v>677</v>
      </c>
      <c r="L680" cm="1" vm="3117">
        <f t="array" aca="1" ref="L680" ca="1">IFERROR(INDEX(_xlfn.ANCHORARRAY($C$3),T_CALC[[#This Row],[DAY]]+1,1),NA())</f>
        <v>43706</v>
      </c>
      <c r="M680" cm="1" vm="1841">
        <f t="array" aca="1" ref="M680" ca="1">IFERROR(INDEX(_xlfn.ANCHORARRAY($C$3),T_CALC[[#This Row],[DAY]]+1,3),NA())</f>
        <v>1.3884000000000001</v>
      </c>
      <c r="N680" cm="1" vm="3102">
        <f t="array" aca="1" ref="N680" ca="1">IFERROR(INDEX(_xlfn.ANCHORARRAY($C$3),T_CALC[[#This Row],[DAY]]+1,4),NA())</f>
        <v>1.3894</v>
      </c>
      <c r="O680" cm="1" vm="1910">
        <f t="array" aca="1" ref="O680" ca="1">IFERROR(INDEX(_xlfn.ANCHORARRAY($C$3),T_CALC[[#This Row],[DAY]]+1,5),NA())</f>
        <v>1.3855999999999999</v>
      </c>
      <c r="P680" cm="1" vm="3116">
        <f t="array" aca="1" ref="P680" ca="1">IFERROR(INDEX(_xlfn.ANCHORARRAY($C$3),T_CALC[[#This Row],[DAY]]+1,6),NA())</f>
        <v>1.3874</v>
      </c>
      <c r="Q680" cm="1">
        <f t="array" aca="1" ref="Q680" ca="1">IFERROR(INDEX(_xlfn.ANCHORARRAY($C$3),T_CALC[[#This Row],[DAY]]+1,2),NA())</f>
        <v>0</v>
      </c>
    </row>
    <row r="681" spans="3:17">
      <c r="C681" vm="3118">
        <f ca="1"/>
        <v>43707</v>
      </c>
      <c r="D681">
        <f ca="1"/>
        <v>0</v>
      </c>
      <c r="E681" vm="3119">
        <f ca="1"/>
        <v>1.3875</v>
      </c>
      <c r="F681" vm="1810">
        <f ca="1"/>
        <v>1.3896999999999999</v>
      </c>
      <c r="G681" vm="1839">
        <f ca="1"/>
        <v>1.3861000000000001</v>
      </c>
      <c r="H681" vm="1831">
        <f ca="1"/>
        <v>1.387</v>
      </c>
      <c r="K681">
        <f ca="1">IF(ROW(T_CALC[[#This Row],[DAY]])-ROW(T_CALC[[#Headers],[DAY]])&gt;C_N_TRADING_DAYS,"",ROW(T_CALC[[#This Row],[DAY]])-ROW(T_CALC[[#Headers],[DAY]]))</f>
        <v>678</v>
      </c>
      <c r="L681" cm="1" vm="3118">
        <f t="array" aca="1" ref="L681" ca="1">IFERROR(INDEX(_xlfn.ANCHORARRAY($C$3),T_CALC[[#This Row],[DAY]]+1,1),NA())</f>
        <v>43707</v>
      </c>
      <c r="M681" cm="1" vm="3119">
        <f t="array" aca="1" ref="M681" ca="1">IFERROR(INDEX(_xlfn.ANCHORARRAY($C$3),T_CALC[[#This Row],[DAY]]+1,3),NA())</f>
        <v>1.3875</v>
      </c>
      <c r="N681" cm="1" vm="1810">
        <f t="array" aca="1" ref="N681" ca="1">IFERROR(INDEX(_xlfn.ANCHORARRAY($C$3),T_CALC[[#This Row],[DAY]]+1,4),NA())</f>
        <v>1.3896999999999999</v>
      </c>
      <c r="O681" cm="1" vm="1839">
        <f t="array" aca="1" ref="O681" ca="1">IFERROR(INDEX(_xlfn.ANCHORARRAY($C$3),T_CALC[[#This Row],[DAY]]+1,5),NA())</f>
        <v>1.3861000000000001</v>
      </c>
      <c r="P681" cm="1" vm="1831">
        <f t="array" aca="1" ref="P681" ca="1">IFERROR(INDEX(_xlfn.ANCHORARRAY($C$3),T_CALC[[#This Row],[DAY]]+1,6),NA())</f>
        <v>1.387</v>
      </c>
      <c r="Q681" cm="1">
        <f t="array" aca="1" ref="Q681" ca="1">IFERROR(INDEX(_xlfn.ANCHORARRAY($C$3),T_CALC[[#This Row],[DAY]]+1,2),NA())</f>
        <v>0</v>
      </c>
    </row>
    <row r="682" spans="3:17">
      <c r="C682" vm="3120">
        <f ca="1"/>
        <v>43710</v>
      </c>
      <c r="D682">
        <f ca="1"/>
        <v>0</v>
      </c>
      <c r="E682" vm="3121">
        <f ca="1"/>
        <v>1.3889</v>
      </c>
      <c r="F682" vm="1769">
        <f ca="1"/>
        <v>1.3913</v>
      </c>
      <c r="G682" vm="3112">
        <f ca="1"/>
        <v>1.3882000000000001</v>
      </c>
      <c r="H682" vm="1711">
        <f ca="1"/>
        <v>1.3911</v>
      </c>
      <c r="K682">
        <f ca="1">IF(ROW(T_CALC[[#This Row],[DAY]])-ROW(T_CALC[[#Headers],[DAY]])&gt;C_N_TRADING_DAYS,"",ROW(T_CALC[[#This Row],[DAY]])-ROW(T_CALC[[#Headers],[DAY]]))</f>
        <v>679</v>
      </c>
      <c r="L682" cm="1" vm="3120">
        <f t="array" aca="1" ref="L682" ca="1">IFERROR(INDEX(_xlfn.ANCHORARRAY($C$3),T_CALC[[#This Row],[DAY]]+1,1),NA())</f>
        <v>43710</v>
      </c>
      <c r="M682" cm="1" vm="3121">
        <f t="array" aca="1" ref="M682" ca="1">IFERROR(INDEX(_xlfn.ANCHORARRAY($C$3),T_CALC[[#This Row],[DAY]]+1,3),NA())</f>
        <v>1.3889</v>
      </c>
      <c r="N682" cm="1" vm="1769">
        <f t="array" aca="1" ref="N682" ca="1">IFERROR(INDEX(_xlfn.ANCHORARRAY($C$3),T_CALC[[#This Row],[DAY]]+1,4),NA())</f>
        <v>1.3913</v>
      </c>
      <c r="O682" cm="1" vm="3112">
        <f t="array" aca="1" ref="O682" ca="1">IFERROR(INDEX(_xlfn.ANCHORARRAY($C$3),T_CALC[[#This Row],[DAY]]+1,5),NA())</f>
        <v>1.3882000000000001</v>
      </c>
      <c r="P682" cm="1" vm="1711">
        <f t="array" aca="1" ref="P682" ca="1">IFERROR(INDEX(_xlfn.ANCHORARRAY($C$3),T_CALC[[#This Row],[DAY]]+1,6),NA())</f>
        <v>1.3911</v>
      </c>
      <c r="Q682" cm="1">
        <f t="array" aca="1" ref="Q682" ca="1">IFERROR(INDEX(_xlfn.ANCHORARRAY($C$3),T_CALC[[#This Row],[DAY]]+1,2),NA())</f>
        <v>0</v>
      </c>
    </row>
    <row r="683" spans="3:17">
      <c r="C683" vm="3122">
        <f ca="1"/>
        <v>43711</v>
      </c>
      <c r="D683">
        <f ca="1"/>
        <v>0</v>
      </c>
      <c r="E683" vm="1711">
        <f ca="1"/>
        <v>1.3911</v>
      </c>
      <c r="F683" vm="1780">
        <f ca="1"/>
        <v>1.3940999999999999</v>
      </c>
      <c r="G683" vm="1808">
        <f ca="1"/>
        <v>1.3897999999999999</v>
      </c>
      <c r="H683" vm="1707">
        <f ca="1"/>
        <v>1.3902000000000001</v>
      </c>
      <c r="K683">
        <f ca="1">IF(ROW(T_CALC[[#This Row],[DAY]])-ROW(T_CALC[[#Headers],[DAY]])&gt;C_N_TRADING_DAYS,"",ROW(T_CALC[[#This Row],[DAY]])-ROW(T_CALC[[#Headers],[DAY]]))</f>
        <v>680</v>
      </c>
      <c r="L683" cm="1" vm="3122">
        <f t="array" aca="1" ref="L683" ca="1">IFERROR(INDEX(_xlfn.ANCHORARRAY($C$3),T_CALC[[#This Row],[DAY]]+1,1),NA())</f>
        <v>43711</v>
      </c>
      <c r="M683" cm="1" vm="1711">
        <f t="array" aca="1" ref="M683" ca="1">IFERROR(INDEX(_xlfn.ANCHORARRAY($C$3),T_CALC[[#This Row],[DAY]]+1,3),NA())</f>
        <v>1.3911</v>
      </c>
      <c r="N683" cm="1" vm="1780">
        <f t="array" aca="1" ref="N683" ca="1">IFERROR(INDEX(_xlfn.ANCHORARRAY($C$3),T_CALC[[#This Row],[DAY]]+1,4),NA())</f>
        <v>1.3940999999999999</v>
      </c>
      <c r="O683" cm="1" vm="1808">
        <f t="array" aca="1" ref="O683" ca="1">IFERROR(INDEX(_xlfn.ANCHORARRAY($C$3),T_CALC[[#This Row],[DAY]]+1,5),NA())</f>
        <v>1.3897999999999999</v>
      </c>
      <c r="P683" cm="1" vm="1707">
        <f t="array" aca="1" ref="P683" ca="1">IFERROR(INDEX(_xlfn.ANCHORARRAY($C$3),T_CALC[[#This Row],[DAY]]+1,6),NA())</f>
        <v>1.3902000000000001</v>
      </c>
      <c r="Q683" cm="1">
        <f t="array" aca="1" ref="Q683" ca="1">IFERROR(INDEX(_xlfn.ANCHORARRAY($C$3),T_CALC[[#This Row],[DAY]]+1,2),NA())</f>
        <v>0</v>
      </c>
    </row>
    <row r="684" spans="3:17">
      <c r="C684" vm="3123">
        <f ca="1"/>
        <v>43712</v>
      </c>
      <c r="D684">
        <f ca="1"/>
        <v>0</v>
      </c>
      <c r="E684" vm="3113">
        <f ca="1"/>
        <v>1.3900999999999999</v>
      </c>
      <c r="F684" vm="3124">
        <f ca="1"/>
        <v>1.3904000000000001</v>
      </c>
      <c r="G684" vm="1876">
        <f ca="1"/>
        <v>1.3835999999999999</v>
      </c>
      <c r="H684" vm="1872">
        <f ca="1"/>
        <v>1.3842000000000001</v>
      </c>
      <c r="K684">
        <f ca="1">IF(ROW(T_CALC[[#This Row],[DAY]])-ROW(T_CALC[[#Headers],[DAY]])&gt;C_N_TRADING_DAYS,"",ROW(T_CALC[[#This Row],[DAY]])-ROW(T_CALC[[#Headers],[DAY]]))</f>
        <v>681</v>
      </c>
      <c r="L684" cm="1" vm="3123">
        <f t="array" aca="1" ref="L684" ca="1">IFERROR(INDEX(_xlfn.ANCHORARRAY($C$3),T_CALC[[#This Row],[DAY]]+1,1),NA())</f>
        <v>43712</v>
      </c>
      <c r="M684" cm="1" vm="3113">
        <f t="array" aca="1" ref="M684" ca="1">IFERROR(INDEX(_xlfn.ANCHORARRAY($C$3),T_CALC[[#This Row],[DAY]]+1,3),NA())</f>
        <v>1.3900999999999999</v>
      </c>
      <c r="N684" cm="1" vm="3124">
        <f t="array" aca="1" ref="N684" ca="1">IFERROR(INDEX(_xlfn.ANCHORARRAY($C$3),T_CALC[[#This Row],[DAY]]+1,4),NA())</f>
        <v>1.3904000000000001</v>
      </c>
      <c r="O684" cm="1" vm="1876">
        <f t="array" aca="1" ref="O684" ca="1">IFERROR(INDEX(_xlfn.ANCHORARRAY($C$3),T_CALC[[#This Row],[DAY]]+1,5),NA())</f>
        <v>1.3835999999999999</v>
      </c>
      <c r="P684" cm="1" vm="1872">
        <f t="array" aca="1" ref="P684" ca="1">IFERROR(INDEX(_xlfn.ANCHORARRAY($C$3),T_CALC[[#This Row],[DAY]]+1,6),NA())</f>
        <v>1.3842000000000001</v>
      </c>
      <c r="Q684" cm="1">
        <f t="array" aca="1" ref="Q684" ca="1">IFERROR(INDEX(_xlfn.ANCHORARRAY($C$3),T_CALC[[#This Row],[DAY]]+1,2),NA())</f>
        <v>0</v>
      </c>
    </row>
    <row r="685" spans="3:17">
      <c r="C685" vm="3125">
        <f ca="1"/>
        <v>43713</v>
      </c>
      <c r="D685">
        <f ca="1"/>
        <v>0</v>
      </c>
      <c r="E685" vm="1885">
        <f ca="1"/>
        <v>1.3843000000000001</v>
      </c>
      <c r="F685" vm="3106">
        <f ca="1"/>
        <v>1.3856999999999999</v>
      </c>
      <c r="G685" vm="1832">
        <f ca="1"/>
        <v>1.3816999999999999</v>
      </c>
      <c r="H685" vm="1876">
        <f ca="1"/>
        <v>1.3835999999999999</v>
      </c>
      <c r="K685">
        <f ca="1">IF(ROW(T_CALC[[#This Row],[DAY]])-ROW(T_CALC[[#Headers],[DAY]])&gt;C_N_TRADING_DAYS,"",ROW(T_CALC[[#This Row],[DAY]])-ROW(T_CALC[[#Headers],[DAY]]))</f>
        <v>682</v>
      </c>
      <c r="L685" cm="1" vm="3125">
        <f t="array" aca="1" ref="L685" ca="1">IFERROR(INDEX(_xlfn.ANCHORARRAY($C$3),T_CALC[[#This Row],[DAY]]+1,1),NA())</f>
        <v>43713</v>
      </c>
      <c r="M685" cm="1" vm="1885">
        <f t="array" aca="1" ref="M685" ca="1">IFERROR(INDEX(_xlfn.ANCHORARRAY($C$3),T_CALC[[#This Row],[DAY]]+1,3),NA())</f>
        <v>1.3843000000000001</v>
      </c>
      <c r="N685" cm="1" vm="3106">
        <f t="array" aca="1" ref="N685" ca="1">IFERROR(INDEX(_xlfn.ANCHORARRAY($C$3),T_CALC[[#This Row],[DAY]]+1,4),NA())</f>
        <v>1.3856999999999999</v>
      </c>
      <c r="O685" cm="1" vm="1832">
        <f t="array" aca="1" ref="O685" ca="1">IFERROR(INDEX(_xlfn.ANCHORARRAY($C$3),T_CALC[[#This Row],[DAY]]+1,5),NA())</f>
        <v>1.3816999999999999</v>
      </c>
      <c r="P685" cm="1" vm="1876">
        <f t="array" aca="1" ref="P685" ca="1">IFERROR(INDEX(_xlfn.ANCHORARRAY($C$3),T_CALC[[#This Row],[DAY]]+1,6),NA())</f>
        <v>1.3835999999999999</v>
      </c>
      <c r="Q685" cm="1">
        <f t="array" aca="1" ref="Q685" ca="1">IFERROR(INDEX(_xlfn.ANCHORARRAY($C$3),T_CALC[[#This Row],[DAY]]+1,2),NA())</f>
        <v>0</v>
      </c>
    </row>
    <row r="686" spans="3:17">
      <c r="C686" vm="3126">
        <f ca="1"/>
        <v>43714</v>
      </c>
      <c r="D686">
        <f ca="1"/>
        <v>0</v>
      </c>
      <c r="E686" vm="2845">
        <f ca="1"/>
        <v>1.3835</v>
      </c>
      <c r="F686" vm="1824">
        <f ca="1"/>
        <v>1.385</v>
      </c>
      <c r="G686" vm="2736">
        <f ca="1"/>
        <v>1.3789</v>
      </c>
      <c r="H686" vm="2811">
        <f ca="1"/>
        <v>1.381</v>
      </c>
      <c r="K686">
        <f ca="1">IF(ROW(T_CALC[[#This Row],[DAY]])-ROW(T_CALC[[#Headers],[DAY]])&gt;C_N_TRADING_DAYS,"",ROW(T_CALC[[#This Row],[DAY]])-ROW(T_CALC[[#Headers],[DAY]]))</f>
        <v>683</v>
      </c>
      <c r="L686" cm="1" vm="3126">
        <f t="array" aca="1" ref="L686" ca="1">IFERROR(INDEX(_xlfn.ANCHORARRAY($C$3),T_CALC[[#This Row],[DAY]]+1,1),NA())</f>
        <v>43714</v>
      </c>
      <c r="M686" cm="1" vm="2845">
        <f t="array" aca="1" ref="M686" ca="1">IFERROR(INDEX(_xlfn.ANCHORARRAY($C$3),T_CALC[[#This Row],[DAY]]+1,3),NA())</f>
        <v>1.3835</v>
      </c>
      <c r="N686" cm="1" vm="1824">
        <f t="array" aca="1" ref="N686" ca="1">IFERROR(INDEX(_xlfn.ANCHORARRAY($C$3),T_CALC[[#This Row],[DAY]]+1,4),NA())</f>
        <v>1.385</v>
      </c>
      <c r="O686" cm="1" vm="2736">
        <f t="array" aca="1" ref="O686" ca="1">IFERROR(INDEX(_xlfn.ANCHORARRAY($C$3),T_CALC[[#This Row],[DAY]]+1,5),NA())</f>
        <v>1.3789</v>
      </c>
      <c r="P686" cm="1" vm="2811">
        <f t="array" aca="1" ref="P686" ca="1">IFERROR(INDEX(_xlfn.ANCHORARRAY($C$3),T_CALC[[#This Row],[DAY]]+1,6),NA())</f>
        <v>1.381</v>
      </c>
      <c r="Q686" cm="1">
        <f t="array" aca="1" ref="Q686" ca="1">IFERROR(INDEX(_xlfn.ANCHORARRAY($C$3),T_CALC[[#This Row],[DAY]]+1,2),NA())</f>
        <v>0</v>
      </c>
    </row>
    <row r="687" spans="3:17">
      <c r="C687" vm="3127">
        <f ca="1"/>
        <v>43717</v>
      </c>
      <c r="D687">
        <f ca="1"/>
        <v>0</v>
      </c>
      <c r="E687" vm="1858">
        <f ca="1"/>
        <v>1.3814</v>
      </c>
      <c r="F687" vm="1874">
        <f ca="1"/>
        <v>1.3821000000000001</v>
      </c>
      <c r="G687" vm="2830">
        <f ca="1"/>
        <v>1.3779999999999999</v>
      </c>
      <c r="H687" vm="1921">
        <f ca="1"/>
        <v>1.3793</v>
      </c>
      <c r="K687">
        <f ca="1">IF(ROW(T_CALC[[#This Row],[DAY]])-ROW(T_CALC[[#Headers],[DAY]])&gt;C_N_TRADING_DAYS,"",ROW(T_CALC[[#This Row],[DAY]])-ROW(T_CALC[[#Headers],[DAY]]))</f>
        <v>684</v>
      </c>
      <c r="L687" cm="1" vm="3127">
        <f t="array" aca="1" ref="L687" ca="1">IFERROR(INDEX(_xlfn.ANCHORARRAY($C$3),T_CALC[[#This Row],[DAY]]+1,1),NA())</f>
        <v>43717</v>
      </c>
      <c r="M687" cm="1" vm="1858">
        <f t="array" aca="1" ref="M687" ca="1">IFERROR(INDEX(_xlfn.ANCHORARRAY($C$3),T_CALC[[#This Row],[DAY]]+1,3),NA())</f>
        <v>1.3814</v>
      </c>
      <c r="N687" cm="1" vm="1874">
        <f t="array" aca="1" ref="N687" ca="1">IFERROR(INDEX(_xlfn.ANCHORARRAY($C$3),T_CALC[[#This Row],[DAY]]+1,4),NA())</f>
        <v>1.3821000000000001</v>
      </c>
      <c r="O687" cm="1" vm="2830">
        <f t="array" aca="1" ref="O687" ca="1">IFERROR(INDEX(_xlfn.ANCHORARRAY($C$3),T_CALC[[#This Row],[DAY]]+1,5),NA())</f>
        <v>1.3779999999999999</v>
      </c>
      <c r="P687" cm="1" vm="1921">
        <f t="array" aca="1" ref="P687" ca="1">IFERROR(INDEX(_xlfn.ANCHORARRAY($C$3),T_CALC[[#This Row],[DAY]]+1,6),NA())</f>
        <v>1.3793</v>
      </c>
      <c r="Q687" cm="1">
        <f t="array" aca="1" ref="Q687" ca="1">IFERROR(INDEX(_xlfn.ANCHORARRAY($C$3),T_CALC[[#This Row],[DAY]]+1,2),NA())</f>
        <v>0</v>
      </c>
    </row>
    <row r="688" spans="3:17">
      <c r="C688" vm="3128">
        <f ca="1"/>
        <v>43718</v>
      </c>
      <c r="D688">
        <f ca="1"/>
        <v>0</v>
      </c>
      <c r="E688" vm="1930">
        <f ca="1"/>
        <v>1.3792</v>
      </c>
      <c r="F688" vm="3026">
        <f ca="1"/>
        <v>1.3812</v>
      </c>
      <c r="G688" vm="2779">
        <f ca="1"/>
        <v>1.3783000000000001</v>
      </c>
      <c r="H688" vm="1877">
        <f ca="1"/>
        <v>1.3796999999999999</v>
      </c>
      <c r="K688">
        <f ca="1">IF(ROW(T_CALC[[#This Row],[DAY]])-ROW(T_CALC[[#Headers],[DAY]])&gt;C_N_TRADING_DAYS,"",ROW(T_CALC[[#This Row],[DAY]])-ROW(T_CALC[[#Headers],[DAY]]))</f>
        <v>685</v>
      </c>
      <c r="L688" cm="1" vm="3128">
        <f t="array" aca="1" ref="L688" ca="1">IFERROR(INDEX(_xlfn.ANCHORARRAY($C$3),T_CALC[[#This Row],[DAY]]+1,1),NA())</f>
        <v>43718</v>
      </c>
      <c r="M688" cm="1" vm="1930">
        <f t="array" aca="1" ref="M688" ca="1">IFERROR(INDEX(_xlfn.ANCHORARRAY($C$3),T_CALC[[#This Row],[DAY]]+1,3),NA())</f>
        <v>1.3792</v>
      </c>
      <c r="N688" cm="1" vm="3026">
        <f t="array" aca="1" ref="N688" ca="1">IFERROR(INDEX(_xlfn.ANCHORARRAY($C$3),T_CALC[[#This Row],[DAY]]+1,4),NA())</f>
        <v>1.3812</v>
      </c>
      <c r="O688" cm="1" vm="2779">
        <f t="array" aca="1" ref="O688" ca="1">IFERROR(INDEX(_xlfn.ANCHORARRAY($C$3),T_CALC[[#This Row],[DAY]]+1,5),NA())</f>
        <v>1.3783000000000001</v>
      </c>
      <c r="P688" cm="1" vm="1877">
        <f t="array" aca="1" ref="P688" ca="1">IFERROR(INDEX(_xlfn.ANCHORARRAY($C$3),T_CALC[[#This Row],[DAY]]+1,6),NA())</f>
        <v>1.3796999999999999</v>
      </c>
      <c r="Q688" cm="1">
        <f t="array" aca="1" ref="Q688" ca="1">IFERROR(INDEX(_xlfn.ANCHORARRAY($C$3),T_CALC[[#This Row],[DAY]]+1,2),NA())</f>
        <v>0</v>
      </c>
    </row>
    <row r="689" spans="3:17">
      <c r="C689" vm="3129">
        <f ca="1"/>
        <v>43719</v>
      </c>
      <c r="D689">
        <f ca="1"/>
        <v>0</v>
      </c>
      <c r="E689" vm="2741">
        <f ca="1"/>
        <v>1.38</v>
      </c>
      <c r="F689" vm="1854">
        <f ca="1"/>
        <v>1.3804000000000001</v>
      </c>
      <c r="G689" vm="2879">
        <f ca="1"/>
        <v>1.3774999999999999</v>
      </c>
      <c r="H689" vm="1862">
        <f ca="1"/>
        <v>1.3791</v>
      </c>
      <c r="K689">
        <f ca="1">IF(ROW(T_CALC[[#This Row],[DAY]])-ROW(T_CALC[[#Headers],[DAY]])&gt;C_N_TRADING_DAYS,"",ROW(T_CALC[[#This Row],[DAY]])-ROW(T_CALC[[#Headers],[DAY]]))</f>
        <v>686</v>
      </c>
      <c r="L689" cm="1" vm="3129">
        <f t="array" aca="1" ref="L689" ca="1">IFERROR(INDEX(_xlfn.ANCHORARRAY($C$3),T_CALC[[#This Row],[DAY]]+1,1),NA())</f>
        <v>43719</v>
      </c>
      <c r="M689" cm="1" vm="2741">
        <f t="array" aca="1" ref="M689" ca="1">IFERROR(INDEX(_xlfn.ANCHORARRAY($C$3),T_CALC[[#This Row],[DAY]]+1,3),NA())</f>
        <v>1.38</v>
      </c>
      <c r="N689" cm="1" vm="1854">
        <f t="array" aca="1" ref="N689" ca="1">IFERROR(INDEX(_xlfn.ANCHORARRAY($C$3),T_CALC[[#This Row],[DAY]]+1,4),NA())</f>
        <v>1.3804000000000001</v>
      </c>
      <c r="O689" cm="1" vm="2879">
        <f t="array" aca="1" ref="O689" ca="1">IFERROR(INDEX(_xlfn.ANCHORARRAY($C$3),T_CALC[[#This Row],[DAY]]+1,5),NA())</f>
        <v>1.3774999999999999</v>
      </c>
      <c r="P689" cm="1" vm="1862">
        <f t="array" aca="1" ref="P689" ca="1">IFERROR(INDEX(_xlfn.ANCHORARRAY($C$3),T_CALC[[#This Row],[DAY]]+1,6),NA())</f>
        <v>1.3791</v>
      </c>
      <c r="Q689" cm="1">
        <f t="array" aca="1" ref="Q689" ca="1">IFERROR(INDEX(_xlfn.ANCHORARRAY($C$3),T_CALC[[#This Row],[DAY]]+1,2),NA())</f>
        <v>0</v>
      </c>
    </row>
    <row r="690" spans="3:17">
      <c r="C690" vm="3130">
        <f ca="1"/>
        <v>43720</v>
      </c>
      <c r="D690">
        <f ca="1"/>
        <v>0</v>
      </c>
      <c r="E690" vm="1930">
        <f ca="1"/>
        <v>1.3792</v>
      </c>
      <c r="F690" vm="1921">
        <f ca="1"/>
        <v>1.3793</v>
      </c>
      <c r="G690" vm="2903">
        <f ca="1"/>
        <v>1.3721000000000001</v>
      </c>
      <c r="H690" vm="2866">
        <f ca="1"/>
        <v>1.3749</v>
      </c>
      <c r="K690">
        <f ca="1">IF(ROW(T_CALC[[#This Row],[DAY]])-ROW(T_CALC[[#Headers],[DAY]])&gt;C_N_TRADING_DAYS,"",ROW(T_CALC[[#This Row],[DAY]])-ROW(T_CALC[[#Headers],[DAY]]))</f>
        <v>687</v>
      </c>
      <c r="L690" cm="1" vm="3130">
        <f t="array" aca="1" ref="L690" ca="1">IFERROR(INDEX(_xlfn.ANCHORARRAY($C$3),T_CALC[[#This Row],[DAY]]+1,1),NA())</f>
        <v>43720</v>
      </c>
      <c r="M690" cm="1" vm="1930">
        <f t="array" aca="1" ref="M690" ca="1">IFERROR(INDEX(_xlfn.ANCHORARRAY($C$3),T_CALC[[#This Row],[DAY]]+1,3),NA())</f>
        <v>1.3792</v>
      </c>
      <c r="N690" cm="1" vm="1921">
        <f t="array" aca="1" ref="N690" ca="1">IFERROR(INDEX(_xlfn.ANCHORARRAY($C$3),T_CALC[[#This Row],[DAY]]+1,4),NA())</f>
        <v>1.3793</v>
      </c>
      <c r="O690" cm="1" vm="2903">
        <f t="array" aca="1" ref="O690" ca="1">IFERROR(INDEX(_xlfn.ANCHORARRAY($C$3),T_CALC[[#This Row],[DAY]]+1,5),NA())</f>
        <v>1.3721000000000001</v>
      </c>
      <c r="P690" cm="1" vm="2866">
        <f t="array" aca="1" ref="P690" ca="1">IFERROR(INDEX(_xlfn.ANCHORARRAY($C$3),T_CALC[[#This Row],[DAY]]+1,6),NA())</f>
        <v>1.3749</v>
      </c>
      <c r="Q690" cm="1">
        <f t="array" aca="1" ref="Q690" ca="1">IFERROR(INDEX(_xlfn.ANCHORARRAY($C$3),T_CALC[[#This Row],[DAY]]+1,2),NA())</f>
        <v>0</v>
      </c>
    </row>
    <row r="691" spans="3:17">
      <c r="C691" vm="3131">
        <f ca="1"/>
        <v>43721</v>
      </c>
      <c r="D691">
        <f ca="1"/>
        <v>0</v>
      </c>
      <c r="E691" vm="1922">
        <f ca="1"/>
        <v>1.375</v>
      </c>
      <c r="F691" vm="2743">
        <f ca="1"/>
        <v>1.3756999999999999</v>
      </c>
      <c r="G691" vm="2682">
        <f ca="1"/>
        <v>1.3714999999999999</v>
      </c>
      <c r="H691" vm="2858">
        <f ca="1"/>
        <v>1.3731</v>
      </c>
      <c r="K691">
        <f ca="1">IF(ROW(T_CALC[[#This Row],[DAY]])-ROW(T_CALC[[#Headers],[DAY]])&gt;C_N_TRADING_DAYS,"",ROW(T_CALC[[#This Row],[DAY]])-ROW(T_CALC[[#Headers],[DAY]]))</f>
        <v>688</v>
      </c>
      <c r="L691" cm="1" vm="3131">
        <f t="array" aca="1" ref="L691" ca="1">IFERROR(INDEX(_xlfn.ANCHORARRAY($C$3),T_CALC[[#This Row],[DAY]]+1,1),NA())</f>
        <v>43721</v>
      </c>
      <c r="M691" cm="1" vm="1922">
        <f t="array" aca="1" ref="M691" ca="1">IFERROR(INDEX(_xlfn.ANCHORARRAY($C$3),T_CALC[[#This Row],[DAY]]+1,3),NA())</f>
        <v>1.375</v>
      </c>
      <c r="N691" cm="1" vm="2743">
        <f t="array" aca="1" ref="N691" ca="1">IFERROR(INDEX(_xlfn.ANCHORARRAY($C$3),T_CALC[[#This Row],[DAY]]+1,4),NA())</f>
        <v>1.3756999999999999</v>
      </c>
      <c r="O691" cm="1" vm="2682">
        <f t="array" aca="1" ref="O691" ca="1">IFERROR(INDEX(_xlfn.ANCHORARRAY($C$3),T_CALC[[#This Row],[DAY]]+1,5),NA())</f>
        <v>1.3714999999999999</v>
      </c>
      <c r="P691" cm="1" vm="2858">
        <f t="array" aca="1" ref="P691" ca="1">IFERROR(INDEX(_xlfn.ANCHORARRAY($C$3),T_CALC[[#This Row],[DAY]]+1,6),NA())</f>
        <v>1.3731</v>
      </c>
      <c r="Q691" cm="1">
        <f t="array" aca="1" ref="Q691" ca="1">IFERROR(INDEX(_xlfn.ANCHORARRAY($C$3),T_CALC[[#This Row],[DAY]]+1,2),NA())</f>
        <v>0</v>
      </c>
    </row>
    <row r="692" spans="3:17">
      <c r="C692" vm="3132">
        <f ca="1"/>
        <v>43724</v>
      </c>
      <c r="D692">
        <f ca="1"/>
        <v>0</v>
      </c>
      <c r="E692" vm="2858">
        <f ca="1"/>
        <v>1.3731</v>
      </c>
      <c r="F692" vm="2745">
        <f ca="1"/>
        <v>1.3763000000000001</v>
      </c>
      <c r="G692" vm="2829">
        <f ca="1"/>
        <v>1.3723000000000001</v>
      </c>
      <c r="H692" vm="2826">
        <f ca="1"/>
        <v>1.3748</v>
      </c>
      <c r="K692">
        <f ca="1">IF(ROW(T_CALC[[#This Row],[DAY]])-ROW(T_CALC[[#Headers],[DAY]])&gt;C_N_TRADING_DAYS,"",ROW(T_CALC[[#This Row],[DAY]])-ROW(T_CALC[[#Headers],[DAY]]))</f>
        <v>689</v>
      </c>
      <c r="L692" cm="1" vm="3132">
        <f t="array" aca="1" ref="L692" ca="1">IFERROR(INDEX(_xlfn.ANCHORARRAY($C$3),T_CALC[[#This Row],[DAY]]+1,1),NA())</f>
        <v>43724</v>
      </c>
      <c r="M692" cm="1" vm="2858">
        <f t="array" aca="1" ref="M692" ca="1">IFERROR(INDEX(_xlfn.ANCHORARRAY($C$3),T_CALC[[#This Row],[DAY]]+1,3),NA())</f>
        <v>1.3731</v>
      </c>
      <c r="N692" cm="1" vm="2745">
        <f t="array" aca="1" ref="N692" ca="1">IFERROR(INDEX(_xlfn.ANCHORARRAY($C$3),T_CALC[[#This Row],[DAY]]+1,4),NA())</f>
        <v>1.3763000000000001</v>
      </c>
      <c r="O692" cm="1" vm="2829">
        <f t="array" aca="1" ref="O692" ca="1">IFERROR(INDEX(_xlfn.ANCHORARRAY($C$3),T_CALC[[#This Row],[DAY]]+1,5),NA())</f>
        <v>1.3723000000000001</v>
      </c>
      <c r="P692" cm="1" vm="2826">
        <f t="array" aca="1" ref="P692" ca="1">IFERROR(INDEX(_xlfn.ANCHORARRAY($C$3),T_CALC[[#This Row],[DAY]]+1,6),NA())</f>
        <v>1.3748</v>
      </c>
      <c r="Q692" cm="1">
        <f t="array" aca="1" ref="Q692" ca="1">IFERROR(INDEX(_xlfn.ANCHORARRAY($C$3),T_CALC[[#This Row],[DAY]]+1,2),NA())</f>
        <v>0</v>
      </c>
    </row>
    <row r="693" spans="3:17">
      <c r="C693" vm="3133">
        <f ca="1"/>
        <v>43725</v>
      </c>
      <c r="D693">
        <f ca="1"/>
        <v>0</v>
      </c>
      <c r="E693" vm="2828">
        <f ca="1"/>
        <v>1.3747</v>
      </c>
      <c r="F693" vm="1861">
        <f ca="1"/>
        <v>1.3777999999999999</v>
      </c>
      <c r="G693" vm="2777">
        <f ca="1"/>
        <v>1.3734</v>
      </c>
      <c r="H693" vm="2753">
        <f ca="1"/>
        <v>1.3738999999999999</v>
      </c>
      <c r="K693">
        <f ca="1">IF(ROW(T_CALC[[#This Row],[DAY]])-ROW(T_CALC[[#Headers],[DAY]])&gt;C_N_TRADING_DAYS,"",ROW(T_CALC[[#This Row],[DAY]])-ROW(T_CALC[[#Headers],[DAY]]))</f>
        <v>690</v>
      </c>
      <c r="L693" cm="1" vm="3133">
        <f t="array" aca="1" ref="L693" ca="1">IFERROR(INDEX(_xlfn.ANCHORARRAY($C$3),T_CALC[[#This Row],[DAY]]+1,1),NA())</f>
        <v>43725</v>
      </c>
      <c r="M693" cm="1" vm="2828">
        <f t="array" aca="1" ref="M693" ca="1">IFERROR(INDEX(_xlfn.ANCHORARRAY($C$3),T_CALC[[#This Row],[DAY]]+1,3),NA())</f>
        <v>1.3747</v>
      </c>
      <c r="N693" cm="1" vm="1861">
        <f t="array" aca="1" ref="N693" ca="1">IFERROR(INDEX(_xlfn.ANCHORARRAY($C$3),T_CALC[[#This Row],[DAY]]+1,4),NA())</f>
        <v>1.3777999999999999</v>
      </c>
      <c r="O693" cm="1" vm="2777">
        <f t="array" aca="1" ref="O693" ca="1">IFERROR(INDEX(_xlfn.ANCHORARRAY($C$3),T_CALC[[#This Row],[DAY]]+1,5),NA())</f>
        <v>1.3734</v>
      </c>
      <c r="P693" cm="1" vm="2753">
        <f t="array" aca="1" ref="P693" ca="1">IFERROR(INDEX(_xlfn.ANCHORARRAY($C$3),T_CALC[[#This Row],[DAY]]+1,6),NA())</f>
        <v>1.3738999999999999</v>
      </c>
      <c r="Q693" cm="1">
        <f t="array" aca="1" ref="Q693" ca="1">IFERROR(INDEX(_xlfn.ANCHORARRAY($C$3),T_CALC[[#This Row],[DAY]]+1,2),NA())</f>
        <v>0</v>
      </c>
    </row>
    <row r="694" spans="3:17">
      <c r="C694" vm="3134">
        <f ca="1"/>
        <v>43726</v>
      </c>
      <c r="D694">
        <f ca="1"/>
        <v>0</v>
      </c>
      <c r="E694" vm="2753">
        <f ca="1"/>
        <v>1.3738999999999999</v>
      </c>
      <c r="F694" vm="2840">
        <f ca="1"/>
        <v>1.3766</v>
      </c>
      <c r="G694" vm="2765">
        <f ca="1"/>
        <v>1.3718999999999999</v>
      </c>
      <c r="H694" vm="1923">
        <f ca="1"/>
        <v>1.3759999999999999</v>
      </c>
      <c r="K694">
        <f ca="1">IF(ROW(T_CALC[[#This Row],[DAY]])-ROW(T_CALC[[#Headers],[DAY]])&gt;C_N_TRADING_DAYS,"",ROW(T_CALC[[#This Row],[DAY]])-ROW(T_CALC[[#Headers],[DAY]]))</f>
        <v>691</v>
      </c>
      <c r="L694" cm="1" vm="3134">
        <f t="array" aca="1" ref="L694" ca="1">IFERROR(INDEX(_xlfn.ANCHORARRAY($C$3),T_CALC[[#This Row],[DAY]]+1,1),NA())</f>
        <v>43726</v>
      </c>
      <c r="M694" cm="1" vm="2753">
        <f t="array" aca="1" ref="M694" ca="1">IFERROR(INDEX(_xlfn.ANCHORARRAY($C$3),T_CALC[[#This Row],[DAY]]+1,3),NA())</f>
        <v>1.3738999999999999</v>
      </c>
      <c r="N694" cm="1" vm="2840">
        <f t="array" aca="1" ref="N694" ca="1">IFERROR(INDEX(_xlfn.ANCHORARRAY($C$3),T_CALC[[#This Row],[DAY]]+1,4),NA())</f>
        <v>1.3766</v>
      </c>
      <c r="O694" cm="1" vm="2765">
        <f t="array" aca="1" ref="O694" ca="1">IFERROR(INDEX(_xlfn.ANCHORARRAY($C$3),T_CALC[[#This Row],[DAY]]+1,5),NA())</f>
        <v>1.3718999999999999</v>
      </c>
      <c r="P694" cm="1" vm="1923">
        <f t="array" aca="1" ref="P694" ca="1">IFERROR(INDEX(_xlfn.ANCHORARRAY($C$3),T_CALC[[#This Row],[DAY]]+1,6),NA())</f>
        <v>1.3759999999999999</v>
      </c>
      <c r="Q694" cm="1">
        <f t="array" aca="1" ref="Q694" ca="1">IFERROR(INDEX(_xlfn.ANCHORARRAY($C$3),T_CALC[[#This Row],[DAY]]+1,2),NA())</f>
        <v>0</v>
      </c>
    </row>
    <row r="695" spans="3:17">
      <c r="C695" vm="3135">
        <f ca="1"/>
        <v>43727</v>
      </c>
      <c r="D695">
        <f ca="1"/>
        <v>0</v>
      </c>
      <c r="E695" vm="1923">
        <f ca="1"/>
        <v>1.3759999999999999</v>
      </c>
      <c r="F695" vm="1864">
        <f ca="1"/>
        <v>1.3794</v>
      </c>
      <c r="G695" vm="1922">
        <f ca="1"/>
        <v>1.375</v>
      </c>
      <c r="H695" vm="2779">
        <f ca="1"/>
        <v>1.3783000000000001</v>
      </c>
      <c r="K695">
        <f ca="1">IF(ROW(T_CALC[[#This Row],[DAY]])-ROW(T_CALC[[#Headers],[DAY]])&gt;C_N_TRADING_DAYS,"",ROW(T_CALC[[#This Row],[DAY]])-ROW(T_CALC[[#Headers],[DAY]]))</f>
        <v>692</v>
      </c>
      <c r="L695" cm="1" vm="3135">
        <f t="array" aca="1" ref="L695" ca="1">IFERROR(INDEX(_xlfn.ANCHORARRAY($C$3),T_CALC[[#This Row],[DAY]]+1,1),NA())</f>
        <v>43727</v>
      </c>
      <c r="M695" cm="1" vm="1923">
        <f t="array" aca="1" ref="M695" ca="1">IFERROR(INDEX(_xlfn.ANCHORARRAY($C$3),T_CALC[[#This Row],[DAY]]+1,3),NA())</f>
        <v>1.3759999999999999</v>
      </c>
      <c r="N695" cm="1" vm="1864">
        <f t="array" aca="1" ref="N695" ca="1">IFERROR(INDEX(_xlfn.ANCHORARRAY($C$3),T_CALC[[#This Row],[DAY]]+1,4),NA())</f>
        <v>1.3794</v>
      </c>
      <c r="O695" cm="1" vm="1922">
        <f t="array" aca="1" ref="O695" ca="1">IFERROR(INDEX(_xlfn.ANCHORARRAY($C$3),T_CALC[[#This Row],[DAY]]+1,5),NA())</f>
        <v>1.375</v>
      </c>
      <c r="P695" cm="1" vm="2779">
        <f t="array" aca="1" ref="P695" ca="1">IFERROR(INDEX(_xlfn.ANCHORARRAY($C$3),T_CALC[[#This Row],[DAY]]+1,6),NA())</f>
        <v>1.3783000000000001</v>
      </c>
      <c r="Q695" cm="1">
        <f t="array" aca="1" ref="Q695" ca="1">IFERROR(INDEX(_xlfn.ANCHORARRAY($C$3),T_CALC[[#This Row],[DAY]]+1,2),NA())</f>
        <v>0</v>
      </c>
    </row>
    <row r="696" spans="3:17">
      <c r="C696" vm="3136">
        <f ca="1"/>
        <v>43728</v>
      </c>
      <c r="D696">
        <f ca="1"/>
        <v>0</v>
      </c>
      <c r="E696" vm="2773">
        <f ca="1"/>
        <v>1.3784000000000001</v>
      </c>
      <c r="F696" vm="1862">
        <f ca="1"/>
        <v>1.3791</v>
      </c>
      <c r="G696" vm="1886">
        <f ca="1"/>
        <v>1.3734999999999999</v>
      </c>
      <c r="H696" vm="2868">
        <f ca="1"/>
        <v>1.3769</v>
      </c>
      <c r="K696">
        <f ca="1">IF(ROW(T_CALC[[#This Row],[DAY]])-ROW(T_CALC[[#Headers],[DAY]])&gt;C_N_TRADING_DAYS,"",ROW(T_CALC[[#This Row],[DAY]])-ROW(T_CALC[[#Headers],[DAY]]))</f>
        <v>693</v>
      </c>
      <c r="L696" cm="1" vm="3136">
        <f t="array" aca="1" ref="L696" ca="1">IFERROR(INDEX(_xlfn.ANCHORARRAY($C$3),T_CALC[[#This Row],[DAY]]+1,1),NA())</f>
        <v>43728</v>
      </c>
      <c r="M696" cm="1" vm="2773">
        <f t="array" aca="1" ref="M696" ca="1">IFERROR(INDEX(_xlfn.ANCHORARRAY($C$3),T_CALC[[#This Row],[DAY]]+1,3),NA())</f>
        <v>1.3784000000000001</v>
      </c>
      <c r="N696" cm="1" vm="1862">
        <f t="array" aca="1" ref="N696" ca="1">IFERROR(INDEX(_xlfn.ANCHORARRAY($C$3),T_CALC[[#This Row],[DAY]]+1,4),NA())</f>
        <v>1.3791</v>
      </c>
      <c r="O696" cm="1" vm="1886">
        <f t="array" aca="1" ref="O696" ca="1">IFERROR(INDEX(_xlfn.ANCHORARRAY($C$3),T_CALC[[#This Row],[DAY]]+1,5),NA())</f>
        <v>1.3734999999999999</v>
      </c>
      <c r="P696" cm="1" vm="2868">
        <f t="array" aca="1" ref="P696" ca="1">IFERROR(INDEX(_xlfn.ANCHORARRAY($C$3),T_CALC[[#This Row],[DAY]]+1,6),NA())</f>
        <v>1.3769</v>
      </c>
      <c r="Q696" cm="1">
        <f t="array" aca="1" ref="Q696" ca="1">IFERROR(INDEX(_xlfn.ANCHORARRAY($C$3),T_CALC[[#This Row],[DAY]]+1,2),NA())</f>
        <v>0</v>
      </c>
    </row>
    <row r="697" spans="3:17">
      <c r="C697" vm="3137">
        <f ca="1"/>
        <v>43731</v>
      </c>
      <c r="D697">
        <f ca="1"/>
        <v>0</v>
      </c>
      <c r="E697" vm="2804">
        <f ca="1"/>
        <v>1.3767</v>
      </c>
      <c r="F697" vm="2816">
        <f ca="1"/>
        <v>1.379</v>
      </c>
      <c r="G697" vm="1884">
        <f ca="1"/>
        <v>1.3751</v>
      </c>
      <c r="H697" vm="2879">
        <f ca="1"/>
        <v>1.3774999999999999</v>
      </c>
      <c r="K697">
        <f ca="1">IF(ROW(T_CALC[[#This Row],[DAY]])-ROW(T_CALC[[#Headers],[DAY]])&gt;C_N_TRADING_DAYS,"",ROW(T_CALC[[#This Row],[DAY]])-ROW(T_CALC[[#Headers],[DAY]]))</f>
        <v>694</v>
      </c>
      <c r="L697" cm="1" vm="3137">
        <f t="array" aca="1" ref="L697" ca="1">IFERROR(INDEX(_xlfn.ANCHORARRAY($C$3),T_CALC[[#This Row],[DAY]]+1,1),NA())</f>
        <v>43731</v>
      </c>
      <c r="M697" cm="1" vm="2804">
        <f t="array" aca="1" ref="M697" ca="1">IFERROR(INDEX(_xlfn.ANCHORARRAY($C$3),T_CALC[[#This Row],[DAY]]+1,3),NA())</f>
        <v>1.3767</v>
      </c>
      <c r="N697" cm="1" vm="2816">
        <f t="array" aca="1" ref="N697" ca="1">IFERROR(INDEX(_xlfn.ANCHORARRAY($C$3),T_CALC[[#This Row],[DAY]]+1,4),NA())</f>
        <v>1.379</v>
      </c>
      <c r="O697" cm="1" vm="1884">
        <f t="array" aca="1" ref="O697" ca="1">IFERROR(INDEX(_xlfn.ANCHORARRAY($C$3),T_CALC[[#This Row],[DAY]]+1,5),NA())</f>
        <v>1.3751</v>
      </c>
      <c r="P697" cm="1" vm="2879">
        <f t="array" aca="1" ref="P697" ca="1">IFERROR(INDEX(_xlfn.ANCHORARRAY($C$3),T_CALC[[#This Row],[DAY]]+1,6),NA())</f>
        <v>1.3774999999999999</v>
      </c>
      <c r="Q697" cm="1">
        <f t="array" aca="1" ref="Q697" ca="1">IFERROR(INDEX(_xlfn.ANCHORARRAY($C$3),T_CALC[[#This Row],[DAY]]+1,2),NA())</f>
        <v>0</v>
      </c>
    </row>
    <row r="698" spans="3:17">
      <c r="C698" vm="3138">
        <f ca="1"/>
        <v>43732</v>
      </c>
      <c r="D698">
        <f ca="1"/>
        <v>0</v>
      </c>
      <c r="E698" vm="2879">
        <f ca="1"/>
        <v>1.3774999999999999</v>
      </c>
      <c r="F698" vm="1920">
        <f ca="1"/>
        <v>1.3785000000000001</v>
      </c>
      <c r="G698" vm="2684">
        <f ca="1"/>
        <v>1.3745000000000001</v>
      </c>
      <c r="H698" vm="2735">
        <f ca="1"/>
        <v>1.3754</v>
      </c>
      <c r="K698">
        <f ca="1">IF(ROW(T_CALC[[#This Row],[DAY]])-ROW(T_CALC[[#Headers],[DAY]])&gt;C_N_TRADING_DAYS,"",ROW(T_CALC[[#This Row],[DAY]])-ROW(T_CALC[[#Headers],[DAY]]))</f>
        <v>695</v>
      </c>
      <c r="L698" cm="1" vm="3138">
        <f t="array" aca="1" ref="L698" ca="1">IFERROR(INDEX(_xlfn.ANCHORARRAY($C$3),T_CALC[[#This Row],[DAY]]+1,1),NA())</f>
        <v>43732</v>
      </c>
      <c r="M698" cm="1" vm="2879">
        <f t="array" aca="1" ref="M698" ca="1">IFERROR(INDEX(_xlfn.ANCHORARRAY($C$3),T_CALC[[#This Row],[DAY]]+1,3),NA())</f>
        <v>1.3774999999999999</v>
      </c>
      <c r="N698" cm="1" vm="1920">
        <f t="array" aca="1" ref="N698" ca="1">IFERROR(INDEX(_xlfn.ANCHORARRAY($C$3),T_CALC[[#This Row],[DAY]]+1,4),NA())</f>
        <v>1.3785000000000001</v>
      </c>
      <c r="O698" cm="1" vm="2684">
        <f t="array" aca="1" ref="O698" ca="1">IFERROR(INDEX(_xlfn.ANCHORARRAY($C$3),T_CALC[[#This Row],[DAY]]+1,5),NA())</f>
        <v>1.3745000000000001</v>
      </c>
      <c r="P698" cm="1" vm="2735">
        <f t="array" aca="1" ref="P698" ca="1">IFERROR(INDEX(_xlfn.ANCHORARRAY($C$3),T_CALC[[#This Row],[DAY]]+1,6),NA())</f>
        <v>1.3754</v>
      </c>
      <c r="Q698" cm="1">
        <f t="array" aca="1" ref="Q698" ca="1">IFERROR(INDEX(_xlfn.ANCHORARRAY($C$3),T_CALC[[#This Row],[DAY]]+1,2),NA())</f>
        <v>0</v>
      </c>
    </row>
    <row r="699" spans="3:17">
      <c r="C699" vm="3139">
        <f ca="1"/>
        <v>43733</v>
      </c>
      <c r="D699">
        <f ca="1"/>
        <v>0</v>
      </c>
      <c r="E699" vm="3036">
        <f ca="1"/>
        <v>1.3757999999999999</v>
      </c>
      <c r="F699" vm="2807">
        <f ca="1"/>
        <v>1.3794999999999999</v>
      </c>
      <c r="G699" vm="2828">
        <f ca="1"/>
        <v>1.3747</v>
      </c>
      <c r="H699" vm="1935">
        <f ca="1"/>
        <v>1.3786</v>
      </c>
      <c r="K699">
        <f ca="1">IF(ROW(T_CALC[[#This Row],[DAY]])-ROW(T_CALC[[#Headers],[DAY]])&gt;C_N_TRADING_DAYS,"",ROW(T_CALC[[#This Row],[DAY]])-ROW(T_CALC[[#Headers],[DAY]]))</f>
        <v>696</v>
      </c>
      <c r="L699" cm="1" vm="3139">
        <f t="array" aca="1" ref="L699" ca="1">IFERROR(INDEX(_xlfn.ANCHORARRAY($C$3),T_CALC[[#This Row],[DAY]]+1,1),NA())</f>
        <v>43733</v>
      </c>
      <c r="M699" cm="1" vm="3036">
        <f t="array" aca="1" ref="M699" ca="1">IFERROR(INDEX(_xlfn.ANCHORARRAY($C$3),T_CALC[[#This Row],[DAY]]+1,3),NA())</f>
        <v>1.3757999999999999</v>
      </c>
      <c r="N699" cm="1" vm="2807">
        <f t="array" aca="1" ref="N699" ca="1">IFERROR(INDEX(_xlfn.ANCHORARRAY($C$3),T_CALC[[#This Row],[DAY]]+1,4),NA())</f>
        <v>1.3794999999999999</v>
      </c>
      <c r="O699" cm="1" vm="2828">
        <f t="array" aca="1" ref="O699" ca="1">IFERROR(INDEX(_xlfn.ANCHORARRAY($C$3),T_CALC[[#This Row],[DAY]]+1,5),NA())</f>
        <v>1.3747</v>
      </c>
      <c r="P699" cm="1" vm="1935">
        <f t="array" aca="1" ref="P699" ca="1">IFERROR(INDEX(_xlfn.ANCHORARRAY($C$3),T_CALC[[#This Row],[DAY]]+1,6),NA())</f>
        <v>1.3786</v>
      </c>
      <c r="Q699" cm="1">
        <f t="array" aca="1" ref="Q699" ca="1">IFERROR(INDEX(_xlfn.ANCHORARRAY($C$3),T_CALC[[#This Row],[DAY]]+1,2),NA())</f>
        <v>0</v>
      </c>
    </row>
    <row r="700" spans="3:17">
      <c r="C700" vm="3140">
        <f ca="1"/>
        <v>43734</v>
      </c>
      <c r="D700">
        <f ca="1"/>
        <v>0</v>
      </c>
      <c r="E700" vm="1920">
        <f ca="1"/>
        <v>1.3785000000000001</v>
      </c>
      <c r="F700" vm="1928">
        <f ca="1"/>
        <v>1.3823000000000001</v>
      </c>
      <c r="G700" vm="2879">
        <f ca="1"/>
        <v>1.3774999999999999</v>
      </c>
      <c r="H700" vm="1867">
        <f ca="1"/>
        <v>1.3818999999999999</v>
      </c>
      <c r="K700">
        <f ca="1">IF(ROW(T_CALC[[#This Row],[DAY]])-ROW(T_CALC[[#Headers],[DAY]])&gt;C_N_TRADING_DAYS,"",ROW(T_CALC[[#This Row],[DAY]])-ROW(T_CALC[[#Headers],[DAY]]))</f>
        <v>697</v>
      </c>
      <c r="L700" cm="1" vm="3140">
        <f t="array" aca="1" ref="L700" ca="1">IFERROR(INDEX(_xlfn.ANCHORARRAY($C$3),T_CALC[[#This Row],[DAY]]+1,1),NA())</f>
        <v>43734</v>
      </c>
      <c r="M700" cm="1" vm="1920">
        <f t="array" aca="1" ref="M700" ca="1">IFERROR(INDEX(_xlfn.ANCHORARRAY($C$3),T_CALC[[#This Row],[DAY]]+1,3),NA())</f>
        <v>1.3785000000000001</v>
      </c>
      <c r="N700" cm="1" vm="1928">
        <f t="array" aca="1" ref="N700" ca="1">IFERROR(INDEX(_xlfn.ANCHORARRAY($C$3),T_CALC[[#This Row],[DAY]]+1,4),NA())</f>
        <v>1.3823000000000001</v>
      </c>
      <c r="O700" cm="1" vm="2879">
        <f t="array" aca="1" ref="O700" ca="1">IFERROR(INDEX(_xlfn.ANCHORARRAY($C$3),T_CALC[[#This Row],[DAY]]+1,5),NA())</f>
        <v>1.3774999999999999</v>
      </c>
      <c r="P700" cm="1" vm="1867">
        <f t="array" aca="1" ref="P700" ca="1">IFERROR(INDEX(_xlfn.ANCHORARRAY($C$3),T_CALC[[#This Row],[DAY]]+1,6),NA())</f>
        <v>1.3818999999999999</v>
      </c>
      <c r="Q700" cm="1">
        <f t="array" aca="1" ref="Q700" ca="1">IFERROR(INDEX(_xlfn.ANCHORARRAY($C$3),T_CALC[[#This Row],[DAY]]+1,2),NA())</f>
        <v>0</v>
      </c>
    </row>
    <row r="701" spans="3:17">
      <c r="C701" vm="3141">
        <f ca="1"/>
        <v>43735</v>
      </c>
      <c r="D701">
        <f ca="1"/>
        <v>0</v>
      </c>
      <c r="E701" vm="1874">
        <f ca="1"/>
        <v>1.3821000000000001</v>
      </c>
      <c r="F701" vm="1889">
        <f ca="1"/>
        <v>1.383</v>
      </c>
      <c r="G701" vm="1921">
        <f ca="1"/>
        <v>1.3793</v>
      </c>
      <c r="H701" vm="3033">
        <f ca="1"/>
        <v>1.3811</v>
      </c>
      <c r="K701">
        <f ca="1">IF(ROW(T_CALC[[#This Row],[DAY]])-ROW(T_CALC[[#Headers],[DAY]])&gt;C_N_TRADING_DAYS,"",ROW(T_CALC[[#This Row],[DAY]])-ROW(T_CALC[[#Headers],[DAY]]))</f>
        <v>698</v>
      </c>
      <c r="L701" cm="1" vm="3141">
        <f t="array" aca="1" ref="L701" ca="1">IFERROR(INDEX(_xlfn.ANCHORARRAY($C$3),T_CALC[[#This Row],[DAY]]+1,1),NA())</f>
        <v>43735</v>
      </c>
      <c r="M701" cm="1" vm="1874">
        <f t="array" aca="1" ref="M701" ca="1">IFERROR(INDEX(_xlfn.ANCHORARRAY($C$3),T_CALC[[#This Row],[DAY]]+1,3),NA())</f>
        <v>1.3821000000000001</v>
      </c>
      <c r="N701" cm="1" vm="1889">
        <f t="array" aca="1" ref="N701" ca="1">IFERROR(INDEX(_xlfn.ANCHORARRAY($C$3),T_CALC[[#This Row],[DAY]]+1,4),NA())</f>
        <v>1.383</v>
      </c>
      <c r="O701" cm="1" vm="1921">
        <f t="array" aca="1" ref="O701" ca="1">IFERROR(INDEX(_xlfn.ANCHORARRAY($C$3),T_CALC[[#This Row],[DAY]]+1,5),NA())</f>
        <v>1.3793</v>
      </c>
      <c r="P701" cm="1" vm="3033">
        <f t="array" aca="1" ref="P701" ca="1">IFERROR(INDEX(_xlfn.ANCHORARRAY($C$3),T_CALC[[#This Row],[DAY]]+1,6),NA())</f>
        <v>1.3811</v>
      </c>
      <c r="Q701" cm="1">
        <f t="array" aca="1" ref="Q701" ca="1">IFERROR(INDEX(_xlfn.ANCHORARRAY($C$3),T_CALC[[#This Row],[DAY]]+1,2),NA())</f>
        <v>0</v>
      </c>
    </row>
    <row r="702" spans="3:17">
      <c r="C702" vm="3142">
        <f ca="1"/>
        <v>43738</v>
      </c>
      <c r="D702">
        <f ca="1"/>
        <v>0</v>
      </c>
      <c r="E702" vm="3033">
        <f ca="1"/>
        <v>1.3811</v>
      </c>
      <c r="F702" vm="1887">
        <f ca="1"/>
        <v>1.3834</v>
      </c>
      <c r="G702" vm="1835">
        <f ca="1"/>
        <v>1.3802000000000001</v>
      </c>
      <c r="H702" vm="1917">
        <f ca="1"/>
        <v>1.3817999999999999</v>
      </c>
      <c r="K702">
        <f ca="1">IF(ROW(T_CALC[[#This Row],[DAY]])-ROW(T_CALC[[#Headers],[DAY]])&gt;C_N_TRADING_DAYS,"",ROW(T_CALC[[#This Row],[DAY]])-ROW(T_CALC[[#Headers],[DAY]]))</f>
        <v>699</v>
      </c>
      <c r="L702" cm="1" vm="3142">
        <f t="array" aca="1" ref="L702" ca="1">IFERROR(INDEX(_xlfn.ANCHORARRAY($C$3),T_CALC[[#This Row],[DAY]]+1,1),NA())</f>
        <v>43738</v>
      </c>
      <c r="M702" cm="1" vm="3033">
        <f t="array" aca="1" ref="M702" ca="1">IFERROR(INDEX(_xlfn.ANCHORARRAY($C$3),T_CALC[[#This Row],[DAY]]+1,3),NA())</f>
        <v>1.3811</v>
      </c>
      <c r="N702" cm="1" vm="1887">
        <f t="array" aca="1" ref="N702" ca="1">IFERROR(INDEX(_xlfn.ANCHORARRAY($C$3),T_CALC[[#This Row],[DAY]]+1,4),NA())</f>
        <v>1.3834</v>
      </c>
      <c r="O702" cm="1" vm="1835">
        <f t="array" aca="1" ref="O702" ca="1">IFERROR(INDEX(_xlfn.ANCHORARRAY($C$3),T_CALC[[#This Row],[DAY]]+1,5),NA())</f>
        <v>1.3802000000000001</v>
      </c>
      <c r="P702" cm="1" vm="1917">
        <f t="array" aca="1" ref="P702" ca="1">IFERROR(INDEX(_xlfn.ANCHORARRAY($C$3),T_CALC[[#This Row],[DAY]]+1,6),NA())</f>
        <v>1.3817999999999999</v>
      </c>
      <c r="Q702" cm="1">
        <f t="array" aca="1" ref="Q702" ca="1">IFERROR(INDEX(_xlfn.ANCHORARRAY($C$3),T_CALC[[#This Row],[DAY]]+1,2),NA())</f>
        <v>0</v>
      </c>
    </row>
    <row r="703" spans="3:17">
      <c r="C703" vm="3143">
        <f ca="1"/>
        <v>43739</v>
      </c>
      <c r="D703">
        <f ca="1"/>
        <v>0</v>
      </c>
      <c r="E703" vm="1936">
        <f ca="1"/>
        <v>1.3815999999999999</v>
      </c>
      <c r="F703" vm="1911">
        <f ca="1"/>
        <v>1.3877999999999999</v>
      </c>
      <c r="G703" vm="2811">
        <f ca="1"/>
        <v>1.381</v>
      </c>
      <c r="H703" vm="3144">
        <f ca="1"/>
        <v>1.3849</v>
      </c>
      <c r="K703">
        <f ca="1">IF(ROW(T_CALC[[#This Row],[DAY]])-ROW(T_CALC[[#Headers],[DAY]])&gt;C_N_TRADING_DAYS,"",ROW(T_CALC[[#This Row],[DAY]])-ROW(T_CALC[[#Headers],[DAY]]))</f>
        <v>700</v>
      </c>
      <c r="L703" cm="1" vm="3143">
        <f t="array" aca="1" ref="L703" ca="1">IFERROR(INDEX(_xlfn.ANCHORARRAY($C$3),T_CALC[[#This Row],[DAY]]+1,1),NA())</f>
        <v>43739</v>
      </c>
      <c r="M703" cm="1" vm="1936">
        <f t="array" aca="1" ref="M703" ca="1">IFERROR(INDEX(_xlfn.ANCHORARRAY($C$3),T_CALC[[#This Row],[DAY]]+1,3),NA())</f>
        <v>1.3815999999999999</v>
      </c>
      <c r="N703" cm="1" vm="1911">
        <f t="array" aca="1" ref="N703" ca="1">IFERROR(INDEX(_xlfn.ANCHORARRAY($C$3),T_CALC[[#This Row],[DAY]]+1,4),NA())</f>
        <v>1.3877999999999999</v>
      </c>
      <c r="O703" cm="1" vm="2811">
        <f t="array" aca="1" ref="O703" ca="1">IFERROR(INDEX(_xlfn.ANCHORARRAY($C$3),T_CALC[[#This Row],[DAY]]+1,5),NA())</f>
        <v>1.381</v>
      </c>
      <c r="P703" cm="1" vm="3144">
        <f t="array" aca="1" ref="P703" ca="1">IFERROR(INDEX(_xlfn.ANCHORARRAY($C$3),T_CALC[[#This Row],[DAY]]+1,6),NA())</f>
        <v>1.3849</v>
      </c>
      <c r="Q703" cm="1">
        <f t="array" aca="1" ref="Q703" ca="1">IFERROR(INDEX(_xlfn.ANCHORARRAY($C$3),T_CALC[[#This Row],[DAY]]+1,2),NA())</f>
        <v>0</v>
      </c>
    </row>
    <row r="704" spans="3:17">
      <c r="C704" vm="3145">
        <f ca="1"/>
        <v>43740</v>
      </c>
      <c r="D704">
        <f ca="1"/>
        <v>0</v>
      </c>
      <c r="E704" vm="1907">
        <f ca="1"/>
        <v>1.3848</v>
      </c>
      <c r="F704" vm="1915">
        <f ca="1"/>
        <v>1.3867</v>
      </c>
      <c r="G704" vm="2845">
        <f ca="1"/>
        <v>1.3835</v>
      </c>
      <c r="H704" vm="1845">
        <f ca="1"/>
        <v>1.3838999999999999</v>
      </c>
      <c r="K704">
        <f ca="1">IF(ROW(T_CALC[[#This Row],[DAY]])-ROW(T_CALC[[#Headers],[DAY]])&gt;C_N_TRADING_DAYS,"",ROW(T_CALC[[#This Row],[DAY]])-ROW(T_CALC[[#Headers],[DAY]]))</f>
        <v>701</v>
      </c>
      <c r="L704" cm="1" vm="3145">
        <f t="array" aca="1" ref="L704" ca="1">IFERROR(INDEX(_xlfn.ANCHORARRAY($C$3),T_CALC[[#This Row],[DAY]]+1,1),NA())</f>
        <v>43740</v>
      </c>
      <c r="M704" cm="1" vm="1907">
        <f t="array" aca="1" ref="M704" ca="1">IFERROR(INDEX(_xlfn.ANCHORARRAY($C$3),T_CALC[[#This Row],[DAY]]+1,3),NA())</f>
        <v>1.3848</v>
      </c>
      <c r="N704" cm="1" vm="1915">
        <f t="array" aca="1" ref="N704" ca="1">IFERROR(INDEX(_xlfn.ANCHORARRAY($C$3),T_CALC[[#This Row],[DAY]]+1,4),NA())</f>
        <v>1.3867</v>
      </c>
      <c r="O704" cm="1" vm="2845">
        <f t="array" aca="1" ref="O704" ca="1">IFERROR(INDEX(_xlfn.ANCHORARRAY($C$3),T_CALC[[#This Row],[DAY]]+1,5),NA())</f>
        <v>1.3835</v>
      </c>
      <c r="P704" cm="1" vm="1845">
        <f t="array" aca="1" ref="P704" ca="1">IFERROR(INDEX(_xlfn.ANCHORARRAY($C$3),T_CALC[[#This Row],[DAY]]+1,6),NA())</f>
        <v>1.3838999999999999</v>
      </c>
      <c r="Q704" cm="1">
        <f t="array" aca="1" ref="Q704" ca="1">IFERROR(INDEX(_xlfn.ANCHORARRAY($C$3),T_CALC[[#This Row],[DAY]]+1,2),NA())</f>
        <v>0</v>
      </c>
    </row>
    <row r="705" spans="3:17">
      <c r="C705" vm="3146">
        <f ca="1"/>
        <v>43741</v>
      </c>
      <c r="D705">
        <f ca="1"/>
        <v>0</v>
      </c>
      <c r="E705" vm="1830">
        <f ca="1"/>
        <v>1.3839999999999999</v>
      </c>
      <c r="F705" vm="2848">
        <f ca="1"/>
        <v>1.3846000000000001</v>
      </c>
      <c r="G705" vm="2830">
        <f ca="1"/>
        <v>1.3779999999999999</v>
      </c>
      <c r="H705" vm="1878">
        <f ca="1"/>
        <v>1.3807</v>
      </c>
      <c r="K705">
        <f ca="1">IF(ROW(T_CALC[[#This Row],[DAY]])-ROW(T_CALC[[#Headers],[DAY]])&gt;C_N_TRADING_DAYS,"",ROW(T_CALC[[#This Row],[DAY]])-ROW(T_CALC[[#Headers],[DAY]]))</f>
        <v>702</v>
      </c>
      <c r="L705" cm="1" vm="3146">
        <f t="array" aca="1" ref="L705" ca="1">IFERROR(INDEX(_xlfn.ANCHORARRAY($C$3),T_CALC[[#This Row],[DAY]]+1,1),NA())</f>
        <v>43741</v>
      </c>
      <c r="M705" cm="1" vm="1830">
        <f t="array" aca="1" ref="M705" ca="1">IFERROR(INDEX(_xlfn.ANCHORARRAY($C$3),T_CALC[[#This Row],[DAY]]+1,3),NA())</f>
        <v>1.3839999999999999</v>
      </c>
      <c r="N705" cm="1" vm="2848">
        <f t="array" aca="1" ref="N705" ca="1">IFERROR(INDEX(_xlfn.ANCHORARRAY($C$3),T_CALC[[#This Row],[DAY]]+1,4),NA())</f>
        <v>1.3846000000000001</v>
      </c>
      <c r="O705" cm="1" vm="2830">
        <f t="array" aca="1" ref="O705" ca="1">IFERROR(INDEX(_xlfn.ANCHORARRAY($C$3),T_CALC[[#This Row],[DAY]]+1,5),NA())</f>
        <v>1.3779999999999999</v>
      </c>
      <c r="P705" cm="1" vm="1878">
        <f t="array" aca="1" ref="P705" ca="1">IFERROR(INDEX(_xlfn.ANCHORARRAY($C$3),T_CALC[[#This Row],[DAY]]+1,6),NA())</f>
        <v>1.3807</v>
      </c>
      <c r="Q705" cm="1">
        <f t="array" aca="1" ref="Q705" ca="1">IFERROR(INDEX(_xlfn.ANCHORARRAY($C$3),T_CALC[[#This Row],[DAY]]+1,2),NA())</f>
        <v>0</v>
      </c>
    </row>
    <row r="706" spans="3:17">
      <c r="C706" vm="3147">
        <f ca="1"/>
        <v>43742</v>
      </c>
      <c r="D706">
        <f ca="1"/>
        <v>0</v>
      </c>
      <c r="E706" vm="1941">
        <f ca="1"/>
        <v>1.3808</v>
      </c>
      <c r="F706" vm="2811">
        <f ca="1"/>
        <v>1.381</v>
      </c>
      <c r="G706" vm="2898">
        <f ca="1"/>
        <v>1.3772</v>
      </c>
      <c r="H706" vm="2779">
        <f ca="1"/>
        <v>1.3783000000000001</v>
      </c>
      <c r="K706">
        <f ca="1">IF(ROW(T_CALC[[#This Row],[DAY]])-ROW(T_CALC[[#Headers],[DAY]])&gt;C_N_TRADING_DAYS,"",ROW(T_CALC[[#This Row],[DAY]])-ROW(T_CALC[[#Headers],[DAY]]))</f>
        <v>703</v>
      </c>
      <c r="L706" cm="1" vm="3147">
        <f t="array" aca="1" ref="L706" ca="1">IFERROR(INDEX(_xlfn.ANCHORARRAY($C$3),T_CALC[[#This Row],[DAY]]+1,1),NA())</f>
        <v>43742</v>
      </c>
      <c r="M706" cm="1" vm="1941">
        <f t="array" aca="1" ref="M706" ca="1">IFERROR(INDEX(_xlfn.ANCHORARRAY($C$3),T_CALC[[#This Row],[DAY]]+1,3),NA())</f>
        <v>1.3808</v>
      </c>
      <c r="N706" cm="1" vm="2811">
        <f t="array" aca="1" ref="N706" ca="1">IFERROR(INDEX(_xlfn.ANCHORARRAY($C$3),T_CALC[[#This Row],[DAY]]+1,4),NA())</f>
        <v>1.381</v>
      </c>
      <c r="O706" cm="1" vm="2898">
        <f t="array" aca="1" ref="O706" ca="1">IFERROR(INDEX(_xlfn.ANCHORARRAY($C$3),T_CALC[[#This Row],[DAY]]+1,5),NA())</f>
        <v>1.3772</v>
      </c>
      <c r="P706" cm="1" vm="2779">
        <f t="array" aca="1" ref="P706" ca="1">IFERROR(INDEX(_xlfn.ANCHORARRAY($C$3),T_CALC[[#This Row],[DAY]]+1,6),NA())</f>
        <v>1.3783000000000001</v>
      </c>
      <c r="Q706" cm="1">
        <f t="array" aca="1" ref="Q706" ca="1">IFERROR(INDEX(_xlfn.ANCHORARRAY($C$3),T_CALC[[#This Row],[DAY]]+1,2),NA())</f>
        <v>0</v>
      </c>
    </row>
    <row r="707" spans="3:17">
      <c r="C707" vm="3148">
        <f ca="1"/>
        <v>43745</v>
      </c>
      <c r="D707">
        <f ca="1"/>
        <v>0</v>
      </c>
      <c r="E707" vm="2779">
        <f ca="1"/>
        <v>1.3783000000000001</v>
      </c>
      <c r="F707" vm="1926">
        <f ca="1"/>
        <v>1.3825000000000001</v>
      </c>
      <c r="G707" vm="2779">
        <f ca="1"/>
        <v>1.3783000000000001</v>
      </c>
      <c r="H707" vm="1941">
        <f ca="1"/>
        <v>1.3808</v>
      </c>
      <c r="K707">
        <f ca="1">IF(ROW(T_CALC[[#This Row],[DAY]])-ROW(T_CALC[[#Headers],[DAY]])&gt;C_N_TRADING_DAYS,"",ROW(T_CALC[[#This Row],[DAY]])-ROW(T_CALC[[#Headers],[DAY]]))</f>
        <v>704</v>
      </c>
      <c r="L707" cm="1" vm="3148">
        <f t="array" aca="1" ref="L707" ca="1">IFERROR(INDEX(_xlfn.ANCHORARRAY($C$3),T_CALC[[#This Row],[DAY]]+1,1),NA())</f>
        <v>43745</v>
      </c>
      <c r="M707" cm="1" vm="2779">
        <f t="array" aca="1" ref="M707" ca="1">IFERROR(INDEX(_xlfn.ANCHORARRAY($C$3),T_CALC[[#This Row],[DAY]]+1,3),NA())</f>
        <v>1.3783000000000001</v>
      </c>
      <c r="N707" cm="1" vm="1926">
        <f t="array" aca="1" ref="N707" ca="1">IFERROR(INDEX(_xlfn.ANCHORARRAY($C$3),T_CALC[[#This Row],[DAY]]+1,4),NA())</f>
        <v>1.3825000000000001</v>
      </c>
      <c r="O707" cm="1" vm="2779">
        <f t="array" aca="1" ref="O707" ca="1">IFERROR(INDEX(_xlfn.ANCHORARRAY($C$3),T_CALC[[#This Row],[DAY]]+1,5),NA())</f>
        <v>1.3783000000000001</v>
      </c>
      <c r="P707" cm="1" vm="1941">
        <f t="array" aca="1" ref="P707" ca="1">IFERROR(INDEX(_xlfn.ANCHORARRAY($C$3),T_CALC[[#This Row],[DAY]]+1,6),NA())</f>
        <v>1.3808</v>
      </c>
      <c r="Q707" cm="1">
        <f t="array" aca="1" ref="Q707" ca="1">IFERROR(INDEX(_xlfn.ANCHORARRAY($C$3),T_CALC[[#This Row],[DAY]]+1,2),NA())</f>
        <v>0</v>
      </c>
    </row>
    <row r="708" spans="3:17">
      <c r="C708" vm="3149">
        <f ca="1"/>
        <v>43746</v>
      </c>
      <c r="D708">
        <f ca="1"/>
        <v>0</v>
      </c>
      <c r="E708" vm="1941">
        <f ca="1"/>
        <v>1.3808</v>
      </c>
      <c r="F708" vm="1891">
        <f ca="1"/>
        <v>1.3828</v>
      </c>
      <c r="G708" vm="1857">
        <f ca="1"/>
        <v>1.3781000000000001</v>
      </c>
      <c r="H708" vm="1918">
        <f ca="1"/>
        <v>1.3824000000000001</v>
      </c>
      <c r="K708">
        <f ca="1">IF(ROW(T_CALC[[#This Row],[DAY]])-ROW(T_CALC[[#Headers],[DAY]])&gt;C_N_TRADING_DAYS,"",ROW(T_CALC[[#This Row],[DAY]])-ROW(T_CALC[[#Headers],[DAY]]))</f>
        <v>705</v>
      </c>
      <c r="L708" cm="1" vm="3149">
        <f t="array" aca="1" ref="L708" ca="1">IFERROR(INDEX(_xlfn.ANCHORARRAY($C$3),T_CALC[[#This Row],[DAY]]+1,1),NA())</f>
        <v>43746</v>
      </c>
      <c r="M708" cm="1" vm="1941">
        <f t="array" aca="1" ref="M708" ca="1">IFERROR(INDEX(_xlfn.ANCHORARRAY($C$3),T_CALC[[#This Row],[DAY]]+1,3),NA())</f>
        <v>1.3808</v>
      </c>
      <c r="N708" cm="1" vm="1891">
        <f t="array" aca="1" ref="N708" ca="1">IFERROR(INDEX(_xlfn.ANCHORARRAY($C$3),T_CALC[[#This Row],[DAY]]+1,4),NA())</f>
        <v>1.3828</v>
      </c>
      <c r="O708" cm="1" vm="1857">
        <f t="array" aca="1" ref="O708" ca="1">IFERROR(INDEX(_xlfn.ANCHORARRAY($C$3),T_CALC[[#This Row],[DAY]]+1,5),NA())</f>
        <v>1.3781000000000001</v>
      </c>
      <c r="P708" cm="1" vm="1918">
        <f t="array" aca="1" ref="P708" ca="1">IFERROR(INDEX(_xlfn.ANCHORARRAY($C$3),T_CALC[[#This Row],[DAY]]+1,6),NA())</f>
        <v>1.3824000000000001</v>
      </c>
      <c r="Q708" cm="1">
        <f t="array" aca="1" ref="Q708" ca="1">IFERROR(INDEX(_xlfn.ANCHORARRAY($C$3),T_CALC[[#This Row],[DAY]]+1,2),NA())</f>
        <v>0</v>
      </c>
    </row>
    <row r="709" spans="3:17">
      <c r="C709" vm="3150">
        <f ca="1"/>
        <v>43747</v>
      </c>
      <c r="D709">
        <f ca="1"/>
        <v>0</v>
      </c>
      <c r="E709" vm="1918">
        <f ca="1"/>
        <v>1.3824000000000001</v>
      </c>
      <c r="F709" vm="1865">
        <f ca="1"/>
        <v>1.3827</v>
      </c>
      <c r="G709" vm="1946">
        <f ca="1"/>
        <v>1.3787</v>
      </c>
      <c r="H709" vm="1931">
        <f ca="1"/>
        <v>1.3805000000000001</v>
      </c>
      <c r="K709">
        <f ca="1">IF(ROW(T_CALC[[#This Row],[DAY]])-ROW(T_CALC[[#Headers],[DAY]])&gt;C_N_TRADING_DAYS,"",ROW(T_CALC[[#This Row],[DAY]])-ROW(T_CALC[[#Headers],[DAY]]))</f>
        <v>706</v>
      </c>
      <c r="L709" cm="1" vm="3150">
        <f t="array" aca="1" ref="L709" ca="1">IFERROR(INDEX(_xlfn.ANCHORARRAY($C$3),T_CALC[[#This Row],[DAY]]+1,1),NA())</f>
        <v>43747</v>
      </c>
      <c r="M709" cm="1" vm="1918">
        <f t="array" aca="1" ref="M709" ca="1">IFERROR(INDEX(_xlfn.ANCHORARRAY($C$3),T_CALC[[#This Row],[DAY]]+1,3),NA())</f>
        <v>1.3824000000000001</v>
      </c>
      <c r="N709" cm="1" vm="1865">
        <f t="array" aca="1" ref="N709" ca="1">IFERROR(INDEX(_xlfn.ANCHORARRAY($C$3),T_CALC[[#This Row],[DAY]]+1,4),NA())</f>
        <v>1.3827</v>
      </c>
      <c r="O709" cm="1" vm="1946">
        <f t="array" aca="1" ref="O709" ca="1">IFERROR(INDEX(_xlfn.ANCHORARRAY($C$3),T_CALC[[#This Row],[DAY]]+1,5),NA())</f>
        <v>1.3787</v>
      </c>
      <c r="P709" cm="1" vm="1931">
        <f t="array" aca="1" ref="P709" ca="1">IFERROR(INDEX(_xlfn.ANCHORARRAY($C$3),T_CALC[[#This Row],[DAY]]+1,6),NA())</f>
        <v>1.3805000000000001</v>
      </c>
      <c r="Q709" cm="1">
        <f t="array" aca="1" ref="Q709" ca="1">IFERROR(INDEX(_xlfn.ANCHORARRAY($C$3),T_CALC[[#This Row],[DAY]]+1,2),NA())</f>
        <v>0</v>
      </c>
    </row>
    <row r="710" spans="3:17">
      <c r="C710" vm="3151">
        <f ca="1"/>
        <v>43748</v>
      </c>
      <c r="D710">
        <f ca="1"/>
        <v>0</v>
      </c>
      <c r="E710" vm="1878">
        <f ca="1"/>
        <v>1.3807</v>
      </c>
      <c r="F710" vm="1926">
        <f ca="1"/>
        <v>1.3825000000000001</v>
      </c>
      <c r="G710" vm="2755">
        <f ca="1"/>
        <v>1.3743000000000001</v>
      </c>
      <c r="H710" vm="2823">
        <f ca="1"/>
        <v>1.3746</v>
      </c>
      <c r="K710">
        <f ca="1">IF(ROW(T_CALC[[#This Row],[DAY]])-ROW(T_CALC[[#Headers],[DAY]])&gt;C_N_TRADING_DAYS,"",ROW(T_CALC[[#This Row],[DAY]])-ROW(T_CALC[[#Headers],[DAY]]))</f>
        <v>707</v>
      </c>
      <c r="L710" cm="1" vm="3151">
        <f t="array" aca="1" ref="L710" ca="1">IFERROR(INDEX(_xlfn.ANCHORARRAY($C$3),T_CALC[[#This Row],[DAY]]+1,1),NA())</f>
        <v>43748</v>
      </c>
      <c r="M710" cm="1" vm="1878">
        <f t="array" aca="1" ref="M710" ca="1">IFERROR(INDEX(_xlfn.ANCHORARRAY($C$3),T_CALC[[#This Row],[DAY]]+1,3),NA())</f>
        <v>1.3807</v>
      </c>
      <c r="N710" cm="1" vm="1926">
        <f t="array" aca="1" ref="N710" ca="1">IFERROR(INDEX(_xlfn.ANCHORARRAY($C$3),T_CALC[[#This Row],[DAY]]+1,4),NA())</f>
        <v>1.3825000000000001</v>
      </c>
      <c r="O710" cm="1" vm="2755">
        <f t="array" aca="1" ref="O710" ca="1">IFERROR(INDEX(_xlfn.ANCHORARRAY($C$3),T_CALC[[#This Row],[DAY]]+1,5),NA())</f>
        <v>1.3743000000000001</v>
      </c>
      <c r="P710" cm="1" vm="2823">
        <f t="array" aca="1" ref="P710" ca="1">IFERROR(INDEX(_xlfn.ANCHORARRAY($C$3),T_CALC[[#This Row],[DAY]]+1,6),NA())</f>
        <v>1.3746</v>
      </c>
      <c r="Q710" cm="1">
        <f t="array" aca="1" ref="Q710" ca="1">IFERROR(INDEX(_xlfn.ANCHORARRAY($C$3),T_CALC[[#This Row],[DAY]]+1,2),NA())</f>
        <v>0</v>
      </c>
    </row>
    <row r="711" spans="3:17">
      <c r="C711" vm="3152">
        <f ca="1"/>
        <v>43749</v>
      </c>
      <c r="D711">
        <f ca="1"/>
        <v>0</v>
      </c>
      <c r="E711" vm="1884">
        <f ca="1"/>
        <v>1.3751</v>
      </c>
      <c r="F711" vm="2743">
        <f ca="1"/>
        <v>1.3756999999999999</v>
      </c>
      <c r="G711" vm="2892">
        <f ca="1"/>
        <v>1.3696999999999999</v>
      </c>
      <c r="H711" vm="2856">
        <f ca="1"/>
        <v>1.3725000000000001</v>
      </c>
      <c r="K711">
        <f ca="1">IF(ROW(T_CALC[[#This Row],[DAY]])-ROW(T_CALC[[#Headers],[DAY]])&gt;C_N_TRADING_DAYS,"",ROW(T_CALC[[#This Row],[DAY]])-ROW(T_CALC[[#Headers],[DAY]]))</f>
        <v>708</v>
      </c>
      <c r="L711" cm="1" vm="3152">
        <f t="array" aca="1" ref="L711" ca="1">IFERROR(INDEX(_xlfn.ANCHORARRAY($C$3),T_CALC[[#This Row],[DAY]]+1,1),NA())</f>
        <v>43749</v>
      </c>
      <c r="M711" cm="1" vm="1884">
        <f t="array" aca="1" ref="M711" ca="1">IFERROR(INDEX(_xlfn.ANCHORARRAY($C$3),T_CALC[[#This Row],[DAY]]+1,3),NA())</f>
        <v>1.3751</v>
      </c>
      <c r="N711" cm="1" vm="2743">
        <f t="array" aca="1" ref="N711" ca="1">IFERROR(INDEX(_xlfn.ANCHORARRAY($C$3),T_CALC[[#This Row],[DAY]]+1,4),NA())</f>
        <v>1.3756999999999999</v>
      </c>
      <c r="O711" cm="1" vm="2892">
        <f t="array" aca="1" ref="O711" ca="1">IFERROR(INDEX(_xlfn.ANCHORARRAY($C$3),T_CALC[[#This Row],[DAY]]+1,5),NA())</f>
        <v>1.3696999999999999</v>
      </c>
      <c r="P711" cm="1" vm="2856">
        <f t="array" aca="1" ref="P711" ca="1">IFERROR(INDEX(_xlfn.ANCHORARRAY($C$3),T_CALC[[#This Row],[DAY]]+1,6),NA())</f>
        <v>1.3725000000000001</v>
      </c>
      <c r="Q711" cm="1">
        <f t="array" aca="1" ref="Q711" ca="1">IFERROR(INDEX(_xlfn.ANCHORARRAY($C$3),T_CALC[[#This Row],[DAY]]+1,2),NA())</f>
        <v>0</v>
      </c>
    </row>
    <row r="712" spans="3:17">
      <c r="C712" vm="3153">
        <f ca="1"/>
        <v>43752</v>
      </c>
      <c r="D712">
        <f ca="1"/>
        <v>0</v>
      </c>
      <c r="E712" vm="2856">
        <f ca="1"/>
        <v>1.3725000000000001</v>
      </c>
      <c r="F712" vm="1947">
        <f ca="1"/>
        <v>1.3733</v>
      </c>
      <c r="G712" vm="2763">
        <f ca="1"/>
        <v>1.3673999999999999</v>
      </c>
      <c r="H712" vm="2721">
        <f ca="1"/>
        <v>1.3694</v>
      </c>
      <c r="K712">
        <f ca="1">IF(ROW(T_CALC[[#This Row],[DAY]])-ROW(T_CALC[[#Headers],[DAY]])&gt;C_N_TRADING_DAYS,"",ROW(T_CALC[[#This Row],[DAY]])-ROW(T_CALC[[#Headers],[DAY]]))</f>
        <v>709</v>
      </c>
      <c r="L712" cm="1" vm="3153">
        <f t="array" aca="1" ref="L712" ca="1">IFERROR(INDEX(_xlfn.ANCHORARRAY($C$3),T_CALC[[#This Row],[DAY]]+1,1),NA())</f>
        <v>43752</v>
      </c>
      <c r="M712" cm="1" vm="2856">
        <f t="array" aca="1" ref="M712" ca="1">IFERROR(INDEX(_xlfn.ANCHORARRAY($C$3),T_CALC[[#This Row],[DAY]]+1,3),NA())</f>
        <v>1.3725000000000001</v>
      </c>
      <c r="N712" cm="1" vm="1947">
        <f t="array" aca="1" ref="N712" ca="1">IFERROR(INDEX(_xlfn.ANCHORARRAY($C$3),T_CALC[[#This Row],[DAY]]+1,4),NA())</f>
        <v>1.3733</v>
      </c>
      <c r="O712" cm="1" vm="2763">
        <f t="array" aca="1" ref="O712" ca="1">IFERROR(INDEX(_xlfn.ANCHORARRAY($C$3),T_CALC[[#This Row],[DAY]]+1,5),NA())</f>
        <v>1.3673999999999999</v>
      </c>
      <c r="P712" cm="1" vm="2721">
        <f t="array" aca="1" ref="P712" ca="1">IFERROR(INDEX(_xlfn.ANCHORARRAY($C$3),T_CALC[[#This Row],[DAY]]+1,6),NA())</f>
        <v>1.3694</v>
      </c>
      <c r="Q712" cm="1">
        <f t="array" aca="1" ref="Q712" ca="1">IFERROR(INDEX(_xlfn.ANCHORARRAY($C$3),T_CALC[[#This Row],[DAY]]+1,2),NA())</f>
        <v>0</v>
      </c>
    </row>
    <row r="713" spans="3:17">
      <c r="C713" vm="3154">
        <f ca="1"/>
        <v>43753</v>
      </c>
      <c r="D713">
        <f ca="1"/>
        <v>0</v>
      </c>
      <c r="E713" vm="2853">
        <f ca="1"/>
        <v>1.3695999999999999</v>
      </c>
      <c r="F713" vm="2782">
        <f ca="1"/>
        <v>1.3717999999999999</v>
      </c>
      <c r="G713" vm="3155">
        <f ca="1"/>
        <v>1.3677999999999999</v>
      </c>
      <c r="H713" vm="2678">
        <f ca="1"/>
        <v>1.3705000000000001</v>
      </c>
      <c r="K713">
        <f ca="1">IF(ROW(T_CALC[[#This Row],[DAY]])-ROW(T_CALC[[#Headers],[DAY]])&gt;C_N_TRADING_DAYS,"",ROW(T_CALC[[#This Row],[DAY]])-ROW(T_CALC[[#Headers],[DAY]]))</f>
        <v>710</v>
      </c>
      <c r="L713" cm="1" vm="3154">
        <f t="array" aca="1" ref="L713" ca="1">IFERROR(INDEX(_xlfn.ANCHORARRAY($C$3),T_CALC[[#This Row],[DAY]]+1,1),NA())</f>
        <v>43753</v>
      </c>
      <c r="M713" cm="1" vm="2853">
        <f t="array" aca="1" ref="M713" ca="1">IFERROR(INDEX(_xlfn.ANCHORARRAY($C$3),T_CALC[[#This Row],[DAY]]+1,3),NA())</f>
        <v>1.3695999999999999</v>
      </c>
      <c r="N713" cm="1" vm="2782">
        <f t="array" aca="1" ref="N713" ca="1">IFERROR(INDEX(_xlfn.ANCHORARRAY($C$3),T_CALC[[#This Row],[DAY]]+1,4),NA())</f>
        <v>1.3717999999999999</v>
      </c>
      <c r="O713" cm="1" vm="3155">
        <f t="array" aca="1" ref="O713" ca="1">IFERROR(INDEX(_xlfn.ANCHORARRAY($C$3),T_CALC[[#This Row],[DAY]]+1,5),NA())</f>
        <v>1.3677999999999999</v>
      </c>
      <c r="P713" cm="1" vm="2678">
        <f t="array" aca="1" ref="P713" ca="1">IFERROR(INDEX(_xlfn.ANCHORARRAY($C$3),T_CALC[[#This Row],[DAY]]+1,6),NA())</f>
        <v>1.3705000000000001</v>
      </c>
      <c r="Q713" cm="1">
        <f t="array" aca="1" ref="Q713" ca="1">IFERROR(INDEX(_xlfn.ANCHORARRAY($C$3),T_CALC[[#This Row],[DAY]]+1,2),NA())</f>
        <v>0</v>
      </c>
    </row>
    <row r="714" spans="3:17">
      <c r="C714" vm="3156">
        <f ca="1"/>
        <v>43754</v>
      </c>
      <c r="D714">
        <f ca="1"/>
        <v>0</v>
      </c>
      <c r="E714" vm="1965">
        <f ca="1"/>
        <v>1.3698999999999999</v>
      </c>
      <c r="F714" vm="2767">
        <f ca="1"/>
        <v>1.3732</v>
      </c>
      <c r="G714" vm="2697">
        <f ca="1"/>
        <v>1.3689</v>
      </c>
      <c r="H714" vm="2784">
        <f ca="1"/>
        <v>1.37</v>
      </c>
      <c r="K714">
        <f ca="1">IF(ROW(T_CALC[[#This Row],[DAY]])-ROW(T_CALC[[#Headers],[DAY]])&gt;C_N_TRADING_DAYS,"",ROW(T_CALC[[#This Row],[DAY]])-ROW(T_CALC[[#Headers],[DAY]]))</f>
        <v>711</v>
      </c>
      <c r="L714" cm="1" vm="3156">
        <f t="array" aca="1" ref="L714" ca="1">IFERROR(INDEX(_xlfn.ANCHORARRAY($C$3),T_CALC[[#This Row],[DAY]]+1,1),NA())</f>
        <v>43754</v>
      </c>
      <c r="M714" cm="1" vm="1965">
        <f t="array" aca="1" ref="M714" ca="1">IFERROR(INDEX(_xlfn.ANCHORARRAY($C$3),T_CALC[[#This Row],[DAY]]+1,3),NA())</f>
        <v>1.3698999999999999</v>
      </c>
      <c r="N714" cm="1" vm="2767">
        <f t="array" aca="1" ref="N714" ca="1">IFERROR(INDEX(_xlfn.ANCHORARRAY($C$3),T_CALC[[#This Row],[DAY]]+1,4),NA())</f>
        <v>1.3732</v>
      </c>
      <c r="O714" cm="1" vm="2697">
        <f t="array" aca="1" ref="O714" ca="1">IFERROR(INDEX(_xlfn.ANCHORARRAY($C$3),T_CALC[[#This Row],[DAY]]+1,5),NA())</f>
        <v>1.3689</v>
      </c>
      <c r="P714" cm="1" vm="2784">
        <f t="array" aca="1" ref="P714" ca="1">IFERROR(INDEX(_xlfn.ANCHORARRAY($C$3),T_CALC[[#This Row],[DAY]]+1,6),NA())</f>
        <v>1.37</v>
      </c>
      <c r="Q714" cm="1">
        <f t="array" aca="1" ref="Q714" ca="1">IFERROR(INDEX(_xlfn.ANCHORARRAY($C$3),T_CALC[[#This Row],[DAY]]+1,2),NA())</f>
        <v>0</v>
      </c>
    </row>
    <row r="715" spans="3:17">
      <c r="C715" vm="3157">
        <f ca="1"/>
        <v>43755</v>
      </c>
      <c r="D715">
        <f ca="1"/>
        <v>0</v>
      </c>
      <c r="E715" vm="2853">
        <f ca="1"/>
        <v>1.3695999999999999</v>
      </c>
      <c r="F715" vm="2791">
        <f ca="1"/>
        <v>1.3707</v>
      </c>
      <c r="G715" vm="2050">
        <f ca="1"/>
        <v>1.363</v>
      </c>
      <c r="H715" vm="2035">
        <f ca="1"/>
        <v>1.3644000000000001</v>
      </c>
      <c r="K715">
        <f ca="1">IF(ROW(T_CALC[[#This Row],[DAY]])-ROW(T_CALC[[#Headers],[DAY]])&gt;C_N_TRADING_DAYS,"",ROW(T_CALC[[#This Row],[DAY]])-ROW(T_CALC[[#Headers],[DAY]]))</f>
        <v>712</v>
      </c>
      <c r="L715" cm="1" vm="3157">
        <f t="array" aca="1" ref="L715" ca="1">IFERROR(INDEX(_xlfn.ANCHORARRAY($C$3),T_CALC[[#This Row],[DAY]]+1,1),NA())</f>
        <v>43755</v>
      </c>
      <c r="M715" cm="1" vm="2853">
        <f t="array" aca="1" ref="M715" ca="1">IFERROR(INDEX(_xlfn.ANCHORARRAY($C$3),T_CALC[[#This Row],[DAY]]+1,3),NA())</f>
        <v>1.3695999999999999</v>
      </c>
      <c r="N715" cm="1" vm="2791">
        <f t="array" aca="1" ref="N715" ca="1">IFERROR(INDEX(_xlfn.ANCHORARRAY($C$3),T_CALC[[#This Row],[DAY]]+1,4),NA())</f>
        <v>1.3707</v>
      </c>
      <c r="O715" cm="1" vm="2050">
        <f t="array" aca="1" ref="O715" ca="1">IFERROR(INDEX(_xlfn.ANCHORARRAY($C$3),T_CALC[[#This Row],[DAY]]+1,5),NA())</f>
        <v>1.363</v>
      </c>
      <c r="P715" cm="1" vm="2035">
        <f t="array" aca="1" ref="P715" ca="1">IFERROR(INDEX(_xlfn.ANCHORARRAY($C$3),T_CALC[[#This Row],[DAY]]+1,6),NA())</f>
        <v>1.3644000000000001</v>
      </c>
      <c r="Q715" cm="1">
        <f t="array" aca="1" ref="Q715" ca="1">IFERROR(INDEX(_xlfn.ANCHORARRAY($C$3),T_CALC[[#This Row],[DAY]]+1,2),NA())</f>
        <v>0</v>
      </c>
    </row>
    <row r="716" spans="3:17">
      <c r="C716" vm="3158">
        <f ca="1"/>
        <v>43756</v>
      </c>
      <c r="D716">
        <f ca="1"/>
        <v>0</v>
      </c>
      <c r="E716" vm="2035">
        <f ca="1"/>
        <v>1.3644000000000001</v>
      </c>
      <c r="F716" vm="2705">
        <f ca="1"/>
        <v>1.3660000000000001</v>
      </c>
      <c r="G716" vm="2048">
        <f ca="1"/>
        <v>1.3628</v>
      </c>
      <c r="H716" vm="2026">
        <f ca="1"/>
        <v>1.3641000000000001</v>
      </c>
      <c r="K716">
        <f ca="1">IF(ROW(T_CALC[[#This Row],[DAY]])-ROW(T_CALC[[#Headers],[DAY]])&gt;C_N_TRADING_DAYS,"",ROW(T_CALC[[#This Row],[DAY]])-ROW(T_CALC[[#Headers],[DAY]]))</f>
        <v>713</v>
      </c>
      <c r="L716" cm="1" vm="3158">
        <f t="array" aca="1" ref="L716" ca="1">IFERROR(INDEX(_xlfn.ANCHORARRAY($C$3),T_CALC[[#This Row],[DAY]]+1,1),NA())</f>
        <v>43756</v>
      </c>
      <c r="M716" cm="1" vm="2035">
        <f t="array" aca="1" ref="M716" ca="1">IFERROR(INDEX(_xlfn.ANCHORARRAY($C$3),T_CALC[[#This Row],[DAY]]+1,3),NA())</f>
        <v>1.3644000000000001</v>
      </c>
      <c r="N716" cm="1" vm="2705">
        <f t="array" aca="1" ref="N716" ca="1">IFERROR(INDEX(_xlfn.ANCHORARRAY($C$3),T_CALC[[#This Row],[DAY]]+1,4),NA())</f>
        <v>1.3660000000000001</v>
      </c>
      <c r="O716" cm="1" vm="2048">
        <f t="array" aca="1" ref="O716" ca="1">IFERROR(INDEX(_xlfn.ANCHORARRAY($C$3),T_CALC[[#This Row],[DAY]]+1,5),NA())</f>
        <v>1.3628</v>
      </c>
      <c r="P716" cm="1" vm="2026">
        <f t="array" aca="1" ref="P716" ca="1">IFERROR(INDEX(_xlfn.ANCHORARRAY($C$3),T_CALC[[#This Row],[DAY]]+1,6),NA())</f>
        <v>1.3641000000000001</v>
      </c>
      <c r="Q716" cm="1">
        <f t="array" aca="1" ref="Q716" ca="1">IFERROR(INDEX(_xlfn.ANCHORARRAY($C$3),T_CALC[[#This Row],[DAY]]+1,2),NA())</f>
        <v>0</v>
      </c>
    </row>
    <row r="717" spans="3:17">
      <c r="C717" vm="3159">
        <f ca="1"/>
        <v>43759</v>
      </c>
      <c r="D717">
        <f ca="1"/>
        <v>0</v>
      </c>
      <c r="E717" vm="2026">
        <f ca="1"/>
        <v>1.3641000000000001</v>
      </c>
      <c r="F717" vm="1987">
        <f ca="1"/>
        <v>1.3642000000000001</v>
      </c>
      <c r="G717" vm="2667">
        <f ca="1"/>
        <v>1.3599000000000001</v>
      </c>
      <c r="H717" vm="1974">
        <f ca="1"/>
        <v>1.3608</v>
      </c>
      <c r="K717">
        <f ca="1">IF(ROW(T_CALC[[#This Row],[DAY]])-ROW(T_CALC[[#Headers],[DAY]])&gt;C_N_TRADING_DAYS,"",ROW(T_CALC[[#This Row],[DAY]])-ROW(T_CALC[[#Headers],[DAY]]))</f>
        <v>714</v>
      </c>
      <c r="L717" cm="1" vm="3159">
        <f t="array" aca="1" ref="L717" ca="1">IFERROR(INDEX(_xlfn.ANCHORARRAY($C$3),T_CALC[[#This Row],[DAY]]+1,1),NA())</f>
        <v>43759</v>
      </c>
      <c r="M717" cm="1" vm="2026">
        <f t="array" aca="1" ref="M717" ca="1">IFERROR(INDEX(_xlfn.ANCHORARRAY($C$3),T_CALC[[#This Row],[DAY]]+1,3),NA())</f>
        <v>1.3641000000000001</v>
      </c>
      <c r="N717" cm="1" vm="1987">
        <f t="array" aca="1" ref="N717" ca="1">IFERROR(INDEX(_xlfn.ANCHORARRAY($C$3),T_CALC[[#This Row],[DAY]]+1,4),NA())</f>
        <v>1.3642000000000001</v>
      </c>
      <c r="O717" cm="1" vm="2667">
        <f t="array" aca="1" ref="O717" ca="1">IFERROR(INDEX(_xlfn.ANCHORARRAY($C$3),T_CALC[[#This Row],[DAY]]+1,5),NA())</f>
        <v>1.3599000000000001</v>
      </c>
      <c r="P717" cm="1" vm="1974">
        <f t="array" aca="1" ref="P717" ca="1">IFERROR(INDEX(_xlfn.ANCHORARRAY($C$3),T_CALC[[#This Row],[DAY]]+1,6),NA())</f>
        <v>1.3608</v>
      </c>
      <c r="Q717" cm="1">
        <f t="array" aca="1" ref="Q717" ca="1">IFERROR(INDEX(_xlfn.ANCHORARRAY($C$3),T_CALC[[#This Row],[DAY]]+1,2),NA())</f>
        <v>0</v>
      </c>
    </row>
    <row r="718" spans="3:17">
      <c r="C718" vm="3160">
        <f ca="1"/>
        <v>43760</v>
      </c>
      <c r="D718">
        <f ca="1"/>
        <v>0</v>
      </c>
      <c r="E718" vm="2011">
        <f ca="1"/>
        <v>1.3611</v>
      </c>
      <c r="F718" vm="1982">
        <f ca="1"/>
        <v>1.3633</v>
      </c>
      <c r="G718" vm="2218">
        <f ca="1"/>
        <v>1.3596999999999999</v>
      </c>
      <c r="H718" vm="2192">
        <f ca="1"/>
        <v>1.3623000000000001</v>
      </c>
      <c r="K718">
        <f ca="1">IF(ROW(T_CALC[[#This Row],[DAY]])-ROW(T_CALC[[#Headers],[DAY]])&gt;C_N_TRADING_DAYS,"",ROW(T_CALC[[#This Row],[DAY]])-ROW(T_CALC[[#Headers],[DAY]]))</f>
        <v>715</v>
      </c>
      <c r="L718" cm="1" vm="3160">
        <f t="array" aca="1" ref="L718" ca="1">IFERROR(INDEX(_xlfn.ANCHORARRAY($C$3),T_CALC[[#This Row],[DAY]]+1,1),NA())</f>
        <v>43760</v>
      </c>
      <c r="M718" cm="1" vm="2011">
        <f t="array" aca="1" ref="M718" ca="1">IFERROR(INDEX(_xlfn.ANCHORARRAY($C$3),T_CALC[[#This Row],[DAY]]+1,3),NA())</f>
        <v>1.3611</v>
      </c>
      <c r="N718" cm="1" vm="1982">
        <f t="array" aca="1" ref="N718" ca="1">IFERROR(INDEX(_xlfn.ANCHORARRAY($C$3),T_CALC[[#This Row],[DAY]]+1,4),NA())</f>
        <v>1.3633</v>
      </c>
      <c r="O718" cm="1" vm="2218">
        <f t="array" aca="1" ref="O718" ca="1">IFERROR(INDEX(_xlfn.ANCHORARRAY($C$3),T_CALC[[#This Row],[DAY]]+1,5),NA())</f>
        <v>1.3596999999999999</v>
      </c>
      <c r="P718" cm="1" vm="2192">
        <f t="array" aca="1" ref="P718" ca="1">IFERROR(INDEX(_xlfn.ANCHORARRAY($C$3),T_CALC[[#This Row],[DAY]]+1,6),NA())</f>
        <v>1.3623000000000001</v>
      </c>
      <c r="Q718" cm="1">
        <f t="array" aca="1" ref="Q718" ca="1">IFERROR(INDEX(_xlfn.ANCHORARRAY($C$3),T_CALC[[#This Row],[DAY]]+1,2),NA())</f>
        <v>0</v>
      </c>
    </row>
    <row r="719" spans="3:17">
      <c r="C719" vm="3161">
        <f ca="1"/>
        <v>43761</v>
      </c>
      <c r="D719">
        <f ca="1"/>
        <v>0</v>
      </c>
      <c r="E719" vm="2675">
        <f ca="1"/>
        <v>1.3627</v>
      </c>
      <c r="F719" vm="2035">
        <f ca="1"/>
        <v>1.3644000000000001</v>
      </c>
      <c r="G719" vm="2156">
        <f ca="1"/>
        <v>1.3613</v>
      </c>
      <c r="H719" vm="1984">
        <f ca="1"/>
        <v>1.3620000000000001</v>
      </c>
      <c r="K719">
        <f ca="1">IF(ROW(T_CALC[[#This Row],[DAY]])-ROW(T_CALC[[#Headers],[DAY]])&gt;C_N_TRADING_DAYS,"",ROW(T_CALC[[#This Row],[DAY]])-ROW(T_CALC[[#Headers],[DAY]]))</f>
        <v>716</v>
      </c>
      <c r="L719" cm="1" vm="3161">
        <f t="array" aca="1" ref="L719" ca="1">IFERROR(INDEX(_xlfn.ANCHORARRAY($C$3),T_CALC[[#This Row],[DAY]]+1,1),NA())</f>
        <v>43761</v>
      </c>
      <c r="M719" cm="1" vm="2675">
        <f t="array" aca="1" ref="M719" ca="1">IFERROR(INDEX(_xlfn.ANCHORARRAY($C$3),T_CALC[[#This Row],[DAY]]+1,3),NA())</f>
        <v>1.3627</v>
      </c>
      <c r="N719" cm="1" vm="2035">
        <f t="array" aca="1" ref="N719" ca="1">IFERROR(INDEX(_xlfn.ANCHORARRAY($C$3),T_CALC[[#This Row],[DAY]]+1,4),NA())</f>
        <v>1.3644000000000001</v>
      </c>
      <c r="O719" cm="1" vm="2156">
        <f t="array" aca="1" ref="O719" ca="1">IFERROR(INDEX(_xlfn.ANCHORARRAY($C$3),T_CALC[[#This Row],[DAY]]+1,5),NA())</f>
        <v>1.3613</v>
      </c>
      <c r="P719" cm="1" vm="1984">
        <f t="array" aca="1" ref="P719" ca="1">IFERROR(INDEX(_xlfn.ANCHORARRAY($C$3),T_CALC[[#This Row],[DAY]]+1,6),NA())</f>
        <v>1.3620000000000001</v>
      </c>
      <c r="Q719" cm="1">
        <f t="array" aca="1" ref="Q719" ca="1">IFERROR(INDEX(_xlfn.ANCHORARRAY($C$3),T_CALC[[#This Row],[DAY]]+1,2),NA())</f>
        <v>0</v>
      </c>
    </row>
    <row r="720" spans="3:17">
      <c r="C720" vm="3162">
        <f ca="1"/>
        <v>43762</v>
      </c>
      <c r="D720">
        <f ca="1"/>
        <v>0</v>
      </c>
      <c r="E720" vm="1986">
        <f ca="1"/>
        <v>1.3619000000000001</v>
      </c>
      <c r="F720" vm="2026">
        <f ca="1"/>
        <v>1.3641000000000001</v>
      </c>
      <c r="G720" vm="2158">
        <f ca="1"/>
        <v>1.3605</v>
      </c>
      <c r="H720" vm="1982">
        <f ca="1"/>
        <v>1.3633</v>
      </c>
      <c r="K720">
        <f ca="1">IF(ROW(T_CALC[[#This Row],[DAY]])-ROW(T_CALC[[#Headers],[DAY]])&gt;C_N_TRADING_DAYS,"",ROW(T_CALC[[#This Row],[DAY]])-ROW(T_CALC[[#Headers],[DAY]]))</f>
        <v>717</v>
      </c>
      <c r="L720" cm="1" vm="3162">
        <f t="array" aca="1" ref="L720" ca="1">IFERROR(INDEX(_xlfn.ANCHORARRAY($C$3),T_CALC[[#This Row],[DAY]]+1,1),NA())</f>
        <v>43762</v>
      </c>
      <c r="M720" cm="1" vm="1986">
        <f t="array" aca="1" ref="M720" ca="1">IFERROR(INDEX(_xlfn.ANCHORARRAY($C$3),T_CALC[[#This Row],[DAY]]+1,3),NA())</f>
        <v>1.3619000000000001</v>
      </c>
      <c r="N720" cm="1" vm="2026">
        <f t="array" aca="1" ref="N720" ca="1">IFERROR(INDEX(_xlfn.ANCHORARRAY($C$3),T_CALC[[#This Row],[DAY]]+1,4),NA())</f>
        <v>1.3641000000000001</v>
      </c>
      <c r="O720" cm="1" vm="2158">
        <f t="array" aca="1" ref="O720" ca="1">IFERROR(INDEX(_xlfn.ANCHORARRAY($C$3),T_CALC[[#This Row],[DAY]]+1,5),NA())</f>
        <v>1.3605</v>
      </c>
      <c r="P720" cm="1" vm="1982">
        <f t="array" aca="1" ref="P720" ca="1">IFERROR(INDEX(_xlfn.ANCHORARRAY($C$3),T_CALC[[#This Row],[DAY]]+1,6),NA())</f>
        <v>1.3633</v>
      </c>
      <c r="Q720" cm="1">
        <f t="array" aca="1" ref="Q720" ca="1">IFERROR(INDEX(_xlfn.ANCHORARRAY($C$3),T_CALC[[#This Row],[DAY]]+1,2),NA())</f>
        <v>0</v>
      </c>
    </row>
    <row r="721" spans="3:17">
      <c r="C721" vm="3163">
        <f ca="1"/>
        <v>43763</v>
      </c>
      <c r="D721">
        <f ca="1"/>
        <v>0</v>
      </c>
      <c r="E721" vm="2169">
        <f ca="1"/>
        <v>1.3635999999999999</v>
      </c>
      <c r="F721" vm="2026">
        <f ca="1"/>
        <v>1.3641000000000001</v>
      </c>
      <c r="G721" vm="1984">
        <f ca="1"/>
        <v>1.3620000000000001</v>
      </c>
      <c r="H721" vm="2048">
        <f ca="1"/>
        <v>1.3628</v>
      </c>
      <c r="K721">
        <f ca="1">IF(ROW(T_CALC[[#This Row],[DAY]])-ROW(T_CALC[[#Headers],[DAY]])&gt;C_N_TRADING_DAYS,"",ROW(T_CALC[[#This Row],[DAY]])-ROW(T_CALC[[#Headers],[DAY]]))</f>
        <v>718</v>
      </c>
      <c r="L721" cm="1" vm="3163">
        <f t="array" aca="1" ref="L721" ca="1">IFERROR(INDEX(_xlfn.ANCHORARRAY($C$3),T_CALC[[#This Row],[DAY]]+1,1),NA())</f>
        <v>43763</v>
      </c>
      <c r="M721" cm="1" vm="2169">
        <f t="array" aca="1" ref="M721" ca="1">IFERROR(INDEX(_xlfn.ANCHORARRAY($C$3),T_CALC[[#This Row],[DAY]]+1,3),NA())</f>
        <v>1.3635999999999999</v>
      </c>
      <c r="N721" cm="1" vm="2026">
        <f t="array" aca="1" ref="N721" ca="1">IFERROR(INDEX(_xlfn.ANCHORARRAY($C$3),T_CALC[[#This Row],[DAY]]+1,4),NA())</f>
        <v>1.3641000000000001</v>
      </c>
      <c r="O721" cm="1" vm="1984">
        <f t="array" aca="1" ref="O721" ca="1">IFERROR(INDEX(_xlfn.ANCHORARRAY($C$3),T_CALC[[#This Row],[DAY]]+1,5),NA())</f>
        <v>1.3620000000000001</v>
      </c>
      <c r="P721" cm="1" vm="2048">
        <f t="array" aca="1" ref="P721" ca="1">IFERROR(INDEX(_xlfn.ANCHORARRAY($C$3),T_CALC[[#This Row],[DAY]]+1,6),NA())</f>
        <v>1.3628</v>
      </c>
      <c r="Q721" cm="1">
        <f t="array" aca="1" ref="Q721" ca="1">IFERROR(INDEX(_xlfn.ANCHORARRAY($C$3),T_CALC[[#This Row],[DAY]]+1,2),NA())</f>
        <v>0</v>
      </c>
    </row>
    <row r="722" spans="3:17">
      <c r="C722" vm="3164">
        <f ca="1"/>
        <v>43766</v>
      </c>
      <c r="D722">
        <f ca="1"/>
        <v>0</v>
      </c>
      <c r="E722" vm="2027">
        <f ca="1"/>
        <v>1.3629</v>
      </c>
      <c r="F722" vm="1978">
        <f ca="1"/>
        <v>1.3634999999999999</v>
      </c>
      <c r="G722" vm="2076">
        <f ca="1"/>
        <v>1.361</v>
      </c>
      <c r="H722" vm="1986">
        <f ca="1"/>
        <v>1.3619000000000001</v>
      </c>
      <c r="K722">
        <f ca="1">IF(ROW(T_CALC[[#This Row],[DAY]])-ROW(T_CALC[[#Headers],[DAY]])&gt;C_N_TRADING_DAYS,"",ROW(T_CALC[[#This Row],[DAY]])-ROW(T_CALC[[#Headers],[DAY]]))</f>
        <v>719</v>
      </c>
      <c r="L722" cm="1" vm="3164">
        <f t="array" aca="1" ref="L722" ca="1">IFERROR(INDEX(_xlfn.ANCHORARRAY($C$3),T_CALC[[#This Row],[DAY]]+1,1),NA())</f>
        <v>43766</v>
      </c>
      <c r="M722" cm="1" vm="2027">
        <f t="array" aca="1" ref="M722" ca="1">IFERROR(INDEX(_xlfn.ANCHORARRAY($C$3),T_CALC[[#This Row],[DAY]]+1,3),NA())</f>
        <v>1.3629</v>
      </c>
      <c r="N722" cm="1" vm="1978">
        <f t="array" aca="1" ref="N722" ca="1">IFERROR(INDEX(_xlfn.ANCHORARRAY($C$3),T_CALC[[#This Row],[DAY]]+1,4),NA())</f>
        <v>1.3634999999999999</v>
      </c>
      <c r="O722" cm="1" vm="2076">
        <f t="array" aca="1" ref="O722" ca="1">IFERROR(INDEX(_xlfn.ANCHORARRAY($C$3),T_CALC[[#This Row],[DAY]]+1,5),NA())</f>
        <v>1.361</v>
      </c>
      <c r="P722" cm="1" vm="1986">
        <f t="array" aca="1" ref="P722" ca="1">IFERROR(INDEX(_xlfn.ANCHORARRAY($C$3),T_CALC[[#This Row],[DAY]]+1,6),NA())</f>
        <v>1.3619000000000001</v>
      </c>
      <c r="Q722" cm="1">
        <f t="array" aca="1" ref="Q722" ca="1">IFERROR(INDEX(_xlfn.ANCHORARRAY($C$3),T_CALC[[#This Row],[DAY]]+1,2),NA())</f>
        <v>0</v>
      </c>
    </row>
    <row r="723" spans="3:17">
      <c r="C723" vm="3165">
        <f ca="1"/>
        <v>43767</v>
      </c>
      <c r="D723">
        <f ca="1"/>
        <v>0</v>
      </c>
      <c r="E723" vm="1984">
        <f ca="1"/>
        <v>1.3620000000000001</v>
      </c>
      <c r="F723" vm="2021">
        <f ca="1"/>
        <v>1.3637999999999999</v>
      </c>
      <c r="G723" vm="2011">
        <f ca="1"/>
        <v>1.3611</v>
      </c>
      <c r="H723" vm="1975">
        <f ca="1"/>
        <v>1.3621000000000001</v>
      </c>
      <c r="K723">
        <f ca="1">IF(ROW(T_CALC[[#This Row],[DAY]])-ROW(T_CALC[[#Headers],[DAY]])&gt;C_N_TRADING_DAYS,"",ROW(T_CALC[[#This Row],[DAY]])-ROW(T_CALC[[#Headers],[DAY]]))</f>
        <v>720</v>
      </c>
      <c r="L723" cm="1" vm="3165">
        <f t="array" aca="1" ref="L723" ca="1">IFERROR(INDEX(_xlfn.ANCHORARRAY($C$3),T_CALC[[#This Row],[DAY]]+1,1),NA())</f>
        <v>43767</v>
      </c>
      <c r="M723" cm="1" vm="1984">
        <f t="array" aca="1" ref="M723" ca="1">IFERROR(INDEX(_xlfn.ANCHORARRAY($C$3),T_CALC[[#This Row],[DAY]]+1,3),NA())</f>
        <v>1.3620000000000001</v>
      </c>
      <c r="N723" cm="1" vm="2021">
        <f t="array" aca="1" ref="N723" ca="1">IFERROR(INDEX(_xlfn.ANCHORARRAY($C$3),T_CALC[[#This Row],[DAY]]+1,4),NA())</f>
        <v>1.3637999999999999</v>
      </c>
      <c r="O723" cm="1" vm="2011">
        <f t="array" aca="1" ref="O723" ca="1">IFERROR(INDEX(_xlfn.ANCHORARRAY($C$3),T_CALC[[#This Row],[DAY]]+1,5),NA())</f>
        <v>1.3611</v>
      </c>
      <c r="P723" cm="1" vm="1975">
        <f t="array" aca="1" ref="P723" ca="1">IFERROR(INDEX(_xlfn.ANCHORARRAY($C$3),T_CALC[[#This Row],[DAY]]+1,6),NA())</f>
        <v>1.3621000000000001</v>
      </c>
      <c r="Q723" cm="1">
        <f t="array" aca="1" ref="Q723" ca="1">IFERROR(INDEX(_xlfn.ANCHORARRAY($C$3),T_CALC[[#This Row],[DAY]]+1,2),NA())</f>
        <v>0</v>
      </c>
    </row>
    <row r="724" spans="3:17">
      <c r="C724" vm="3166">
        <f ca="1"/>
        <v>43768</v>
      </c>
      <c r="D724">
        <f ca="1"/>
        <v>0</v>
      </c>
      <c r="E724" vm="1975">
        <f ca="1"/>
        <v>1.3621000000000001</v>
      </c>
      <c r="F724" vm="2029">
        <f ca="1"/>
        <v>1.3647</v>
      </c>
      <c r="G724" vm="2076">
        <f ca="1"/>
        <v>1.361</v>
      </c>
      <c r="H724" vm="2213">
        <f ca="1"/>
        <v>1.3615999999999999</v>
      </c>
      <c r="K724">
        <f ca="1">IF(ROW(T_CALC[[#This Row],[DAY]])-ROW(T_CALC[[#Headers],[DAY]])&gt;C_N_TRADING_DAYS,"",ROW(T_CALC[[#This Row],[DAY]])-ROW(T_CALC[[#Headers],[DAY]]))</f>
        <v>721</v>
      </c>
      <c r="L724" cm="1" vm="3166">
        <f t="array" aca="1" ref="L724" ca="1">IFERROR(INDEX(_xlfn.ANCHORARRAY($C$3),T_CALC[[#This Row],[DAY]]+1,1),NA())</f>
        <v>43768</v>
      </c>
      <c r="M724" cm="1" vm="1975">
        <f t="array" aca="1" ref="M724" ca="1">IFERROR(INDEX(_xlfn.ANCHORARRAY($C$3),T_CALC[[#This Row],[DAY]]+1,3),NA())</f>
        <v>1.3621000000000001</v>
      </c>
      <c r="N724" cm="1" vm="2029">
        <f t="array" aca="1" ref="N724" ca="1">IFERROR(INDEX(_xlfn.ANCHORARRAY($C$3),T_CALC[[#This Row],[DAY]]+1,4),NA())</f>
        <v>1.3647</v>
      </c>
      <c r="O724" cm="1" vm="2076">
        <f t="array" aca="1" ref="O724" ca="1">IFERROR(INDEX(_xlfn.ANCHORARRAY($C$3),T_CALC[[#This Row],[DAY]]+1,5),NA())</f>
        <v>1.361</v>
      </c>
      <c r="P724" cm="1" vm="2213">
        <f t="array" aca="1" ref="P724" ca="1">IFERROR(INDEX(_xlfn.ANCHORARRAY($C$3),T_CALC[[#This Row],[DAY]]+1,6),NA())</f>
        <v>1.3615999999999999</v>
      </c>
      <c r="Q724" cm="1">
        <f t="array" aca="1" ref="Q724" ca="1">IFERROR(INDEX(_xlfn.ANCHORARRAY($C$3),T_CALC[[#This Row],[DAY]]+1,2),NA())</f>
        <v>0</v>
      </c>
    </row>
    <row r="725" spans="3:17">
      <c r="C725" vm="3167">
        <f ca="1"/>
        <v>43769</v>
      </c>
      <c r="D725">
        <f ca="1"/>
        <v>0</v>
      </c>
      <c r="E725" vm="1996">
        <f ca="1"/>
        <v>1.3613999999999999</v>
      </c>
      <c r="F725" vm="2023">
        <f ca="1"/>
        <v>1.3626</v>
      </c>
      <c r="G725" vm="1979">
        <f ca="1"/>
        <v>1.3592</v>
      </c>
      <c r="H725" vm="2194">
        <f ca="1"/>
        <v>1.3602000000000001</v>
      </c>
      <c r="K725">
        <f ca="1">IF(ROW(T_CALC[[#This Row],[DAY]])-ROW(T_CALC[[#Headers],[DAY]])&gt;C_N_TRADING_DAYS,"",ROW(T_CALC[[#This Row],[DAY]])-ROW(T_CALC[[#Headers],[DAY]]))</f>
        <v>722</v>
      </c>
      <c r="L725" cm="1" vm="3167">
        <f t="array" aca="1" ref="L725" ca="1">IFERROR(INDEX(_xlfn.ANCHORARRAY($C$3),T_CALC[[#This Row],[DAY]]+1,1),NA())</f>
        <v>43769</v>
      </c>
      <c r="M725" cm="1" vm="1996">
        <f t="array" aca="1" ref="M725" ca="1">IFERROR(INDEX(_xlfn.ANCHORARRAY($C$3),T_CALC[[#This Row],[DAY]]+1,3),NA())</f>
        <v>1.3613999999999999</v>
      </c>
      <c r="N725" cm="1" vm="2023">
        <f t="array" aca="1" ref="N725" ca="1">IFERROR(INDEX(_xlfn.ANCHORARRAY($C$3),T_CALC[[#This Row],[DAY]]+1,4),NA())</f>
        <v>1.3626</v>
      </c>
      <c r="O725" cm="1" vm="1979">
        <f t="array" aca="1" ref="O725" ca="1">IFERROR(INDEX(_xlfn.ANCHORARRAY($C$3),T_CALC[[#This Row],[DAY]]+1,5),NA())</f>
        <v>1.3592</v>
      </c>
      <c r="P725" cm="1" vm="2194">
        <f t="array" aca="1" ref="P725" ca="1">IFERROR(INDEX(_xlfn.ANCHORARRAY($C$3),T_CALC[[#This Row],[DAY]]+1,6),NA())</f>
        <v>1.3602000000000001</v>
      </c>
      <c r="Q725" cm="1">
        <f t="array" aca="1" ref="Q725" ca="1">IFERROR(INDEX(_xlfn.ANCHORARRAY($C$3),T_CALC[[#This Row],[DAY]]+1,2),NA())</f>
        <v>0</v>
      </c>
    </row>
    <row r="726" spans="3:17">
      <c r="C726" vm="3168">
        <f ca="1"/>
        <v>43770</v>
      </c>
      <c r="D726">
        <f ca="1"/>
        <v>0</v>
      </c>
      <c r="E726" vm="2216">
        <f ca="1"/>
        <v>1.36</v>
      </c>
      <c r="F726" vm="2011">
        <f ca="1"/>
        <v>1.3611</v>
      </c>
      <c r="G726" vm="3005">
        <f ca="1"/>
        <v>1.3557999999999999</v>
      </c>
      <c r="H726" vm="2081">
        <f ca="1"/>
        <v>1.3573</v>
      </c>
      <c r="K726">
        <f ca="1">IF(ROW(T_CALC[[#This Row],[DAY]])-ROW(T_CALC[[#Headers],[DAY]])&gt;C_N_TRADING_DAYS,"",ROW(T_CALC[[#This Row],[DAY]])-ROW(T_CALC[[#Headers],[DAY]]))</f>
        <v>723</v>
      </c>
      <c r="L726" cm="1" vm="3168">
        <f t="array" aca="1" ref="L726" ca="1">IFERROR(INDEX(_xlfn.ANCHORARRAY($C$3),T_CALC[[#This Row],[DAY]]+1,1),NA())</f>
        <v>43770</v>
      </c>
      <c r="M726" cm="1" vm="2216">
        <f t="array" aca="1" ref="M726" ca="1">IFERROR(INDEX(_xlfn.ANCHORARRAY($C$3),T_CALC[[#This Row],[DAY]]+1,3),NA())</f>
        <v>1.36</v>
      </c>
      <c r="N726" cm="1" vm="2011">
        <f t="array" aca="1" ref="N726" ca="1">IFERROR(INDEX(_xlfn.ANCHORARRAY($C$3),T_CALC[[#This Row],[DAY]]+1,4),NA())</f>
        <v>1.3611</v>
      </c>
      <c r="O726" cm="1" vm="3005">
        <f t="array" aca="1" ref="O726" ca="1">IFERROR(INDEX(_xlfn.ANCHORARRAY($C$3),T_CALC[[#This Row],[DAY]]+1,5),NA())</f>
        <v>1.3557999999999999</v>
      </c>
      <c r="P726" cm="1" vm="2081">
        <f t="array" aca="1" ref="P726" ca="1">IFERROR(INDEX(_xlfn.ANCHORARRAY($C$3),T_CALC[[#This Row],[DAY]]+1,6),NA())</f>
        <v>1.3573</v>
      </c>
      <c r="Q726" cm="1">
        <f t="array" aca="1" ref="Q726" ca="1">IFERROR(INDEX(_xlfn.ANCHORARRAY($C$3),T_CALC[[#This Row],[DAY]]+1,2),NA())</f>
        <v>0</v>
      </c>
    </row>
    <row r="727" spans="3:17">
      <c r="C727" vm="3169">
        <f ca="1"/>
        <v>43773</v>
      </c>
      <c r="D727">
        <f ca="1"/>
        <v>0</v>
      </c>
      <c r="E727" vm="2010">
        <f ca="1"/>
        <v>1.3576999999999999</v>
      </c>
      <c r="F727" vm="2221">
        <f ca="1"/>
        <v>1.3589</v>
      </c>
      <c r="G727" vm="2062">
        <f ca="1"/>
        <v>1.3553999999999999</v>
      </c>
      <c r="H727" vm="2013">
        <f ca="1"/>
        <v>1.3588</v>
      </c>
      <c r="K727">
        <f ca="1">IF(ROW(T_CALC[[#This Row],[DAY]])-ROW(T_CALC[[#Headers],[DAY]])&gt;C_N_TRADING_DAYS,"",ROW(T_CALC[[#This Row],[DAY]])-ROW(T_CALC[[#Headers],[DAY]]))</f>
        <v>724</v>
      </c>
      <c r="L727" cm="1" vm="3169">
        <f t="array" aca="1" ref="L727" ca="1">IFERROR(INDEX(_xlfn.ANCHORARRAY($C$3),T_CALC[[#This Row],[DAY]]+1,1),NA())</f>
        <v>43773</v>
      </c>
      <c r="M727" cm="1" vm="2010">
        <f t="array" aca="1" ref="M727" ca="1">IFERROR(INDEX(_xlfn.ANCHORARRAY($C$3),T_CALC[[#This Row],[DAY]]+1,3),NA())</f>
        <v>1.3576999999999999</v>
      </c>
      <c r="N727" cm="1" vm="2221">
        <f t="array" aca="1" ref="N727" ca="1">IFERROR(INDEX(_xlfn.ANCHORARRAY($C$3),T_CALC[[#This Row],[DAY]]+1,4),NA())</f>
        <v>1.3589</v>
      </c>
      <c r="O727" cm="1" vm="2062">
        <f t="array" aca="1" ref="O727" ca="1">IFERROR(INDEX(_xlfn.ANCHORARRAY($C$3),T_CALC[[#This Row],[DAY]]+1,5),NA())</f>
        <v>1.3553999999999999</v>
      </c>
      <c r="P727" cm="1" vm="2013">
        <f t="array" aca="1" ref="P727" ca="1">IFERROR(INDEX(_xlfn.ANCHORARRAY($C$3),T_CALC[[#This Row],[DAY]]+1,6),NA())</f>
        <v>1.3588</v>
      </c>
      <c r="Q727" cm="1">
        <f t="array" aca="1" ref="Q727" ca="1">IFERROR(INDEX(_xlfn.ANCHORARRAY($C$3),T_CALC[[#This Row],[DAY]]+1,2),NA())</f>
        <v>0</v>
      </c>
    </row>
    <row r="728" spans="3:17">
      <c r="C728" vm="3170">
        <f ca="1"/>
        <v>43774</v>
      </c>
      <c r="D728">
        <f ca="1"/>
        <v>0</v>
      </c>
      <c r="E728" vm="2022">
        <f ca="1"/>
        <v>1.3587</v>
      </c>
      <c r="F728" vm="2058">
        <f ca="1"/>
        <v>1.3593999999999999</v>
      </c>
      <c r="G728" vm="1988">
        <f ca="1"/>
        <v>1.3552</v>
      </c>
      <c r="H728" vm="2075">
        <f ca="1"/>
        <v>1.3581000000000001</v>
      </c>
      <c r="K728">
        <f ca="1">IF(ROW(T_CALC[[#This Row],[DAY]])-ROW(T_CALC[[#Headers],[DAY]])&gt;C_N_TRADING_DAYS,"",ROW(T_CALC[[#This Row],[DAY]])-ROW(T_CALC[[#Headers],[DAY]]))</f>
        <v>725</v>
      </c>
      <c r="L728" cm="1" vm="3170">
        <f t="array" aca="1" ref="L728" ca="1">IFERROR(INDEX(_xlfn.ANCHORARRAY($C$3),T_CALC[[#This Row],[DAY]]+1,1),NA())</f>
        <v>43774</v>
      </c>
      <c r="M728" cm="1" vm="2022">
        <f t="array" aca="1" ref="M728" ca="1">IFERROR(INDEX(_xlfn.ANCHORARRAY($C$3),T_CALC[[#This Row],[DAY]]+1,3),NA())</f>
        <v>1.3587</v>
      </c>
      <c r="N728" cm="1" vm="2058">
        <f t="array" aca="1" ref="N728" ca="1">IFERROR(INDEX(_xlfn.ANCHORARRAY($C$3),T_CALC[[#This Row],[DAY]]+1,4),NA())</f>
        <v>1.3593999999999999</v>
      </c>
      <c r="O728" cm="1" vm="1988">
        <f t="array" aca="1" ref="O728" ca="1">IFERROR(INDEX(_xlfn.ANCHORARRAY($C$3),T_CALC[[#This Row],[DAY]]+1,5),NA())</f>
        <v>1.3552</v>
      </c>
      <c r="P728" cm="1" vm="2075">
        <f t="array" aca="1" ref="P728" ca="1">IFERROR(INDEX(_xlfn.ANCHORARRAY($C$3),T_CALC[[#This Row],[DAY]]+1,6),NA())</f>
        <v>1.3581000000000001</v>
      </c>
      <c r="Q728" cm="1">
        <f t="array" aca="1" ref="Q728" ca="1">IFERROR(INDEX(_xlfn.ANCHORARRAY($C$3),T_CALC[[#This Row],[DAY]]+1,2),NA())</f>
        <v>0</v>
      </c>
    </row>
    <row r="729" spans="3:17">
      <c r="C729" vm="3171">
        <f ca="1"/>
        <v>43775</v>
      </c>
      <c r="D729">
        <f ca="1"/>
        <v>0</v>
      </c>
      <c r="E729" vm="2006">
        <f ca="1"/>
        <v>1.3585</v>
      </c>
      <c r="F729" vm="2053">
        <f ca="1"/>
        <v>1.3609</v>
      </c>
      <c r="G729" vm="2000">
        <f ca="1"/>
        <v>1.3569</v>
      </c>
      <c r="H729" vm="2667">
        <f ca="1"/>
        <v>1.3599000000000001</v>
      </c>
      <c r="K729">
        <f ca="1">IF(ROW(T_CALC[[#This Row],[DAY]])-ROW(T_CALC[[#Headers],[DAY]])&gt;C_N_TRADING_DAYS,"",ROW(T_CALC[[#This Row],[DAY]])-ROW(T_CALC[[#Headers],[DAY]]))</f>
        <v>726</v>
      </c>
      <c r="L729" cm="1" vm="3171">
        <f t="array" aca="1" ref="L729" ca="1">IFERROR(INDEX(_xlfn.ANCHORARRAY($C$3),T_CALC[[#This Row],[DAY]]+1,1),NA())</f>
        <v>43775</v>
      </c>
      <c r="M729" cm="1" vm="2006">
        <f t="array" aca="1" ref="M729" ca="1">IFERROR(INDEX(_xlfn.ANCHORARRAY($C$3),T_CALC[[#This Row],[DAY]]+1,3),NA())</f>
        <v>1.3585</v>
      </c>
      <c r="N729" cm="1" vm="2053">
        <f t="array" aca="1" ref="N729" ca="1">IFERROR(INDEX(_xlfn.ANCHORARRAY($C$3),T_CALC[[#This Row],[DAY]]+1,4),NA())</f>
        <v>1.3609</v>
      </c>
      <c r="O729" cm="1" vm="2000">
        <f t="array" aca="1" ref="O729" ca="1">IFERROR(INDEX(_xlfn.ANCHORARRAY($C$3),T_CALC[[#This Row],[DAY]]+1,5),NA())</f>
        <v>1.3569</v>
      </c>
      <c r="P729" cm="1" vm="2667">
        <f t="array" aca="1" ref="P729" ca="1">IFERROR(INDEX(_xlfn.ANCHORARRAY($C$3),T_CALC[[#This Row],[DAY]]+1,6),NA())</f>
        <v>1.3599000000000001</v>
      </c>
      <c r="Q729" cm="1">
        <f t="array" aca="1" ref="Q729" ca="1">IFERROR(INDEX(_xlfn.ANCHORARRAY($C$3),T_CALC[[#This Row],[DAY]]+1,2),NA())</f>
        <v>0</v>
      </c>
    </row>
    <row r="730" spans="3:17">
      <c r="C730" vm="3172">
        <f ca="1"/>
        <v>43776</v>
      </c>
      <c r="D730">
        <f ca="1"/>
        <v>0</v>
      </c>
      <c r="E730" vm="2202">
        <f ca="1"/>
        <v>1.3597999999999999</v>
      </c>
      <c r="F730" vm="1992">
        <f ca="1"/>
        <v>1.3607</v>
      </c>
      <c r="G730" vm="2930">
        <f ca="1"/>
        <v>1.3556999999999999</v>
      </c>
      <c r="H730" vm="1991">
        <f ca="1"/>
        <v>1.357</v>
      </c>
      <c r="K730">
        <f ca="1">IF(ROW(T_CALC[[#This Row],[DAY]])-ROW(T_CALC[[#Headers],[DAY]])&gt;C_N_TRADING_DAYS,"",ROW(T_CALC[[#This Row],[DAY]])-ROW(T_CALC[[#Headers],[DAY]]))</f>
        <v>727</v>
      </c>
      <c r="L730" cm="1" vm="3172">
        <f t="array" aca="1" ref="L730" ca="1">IFERROR(INDEX(_xlfn.ANCHORARRAY($C$3),T_CALC[[#This Row],[DAY]]+1,1),NA())</f>
        <v>43776</v>
      </c>
      <c r="M730" cm="1" vm="2202">
        <f t="array" aca="1" ref="M730" ca="1">IFERROR(INDEX(_xlfn.ANCHORARRAY($C$3),T_CALC[[#This Row],[DAY]]+1,3),NA())</f>
        <v>1.3597999999999999</v>
      </c>
      <c r="N730" cm="1" vm="1992">
        <f t="array" aca="1" ref="N730" ca="1">IFERROR(INDEX(_xlfn.ANCHORARRAY($C$3),T_CALC[[#This Row],[DAY]]+1,4),NA())</f>
        <v>1.3607</v>
      </c>
      <c r="O730" cm="1" vm="2930">
        <f t="array" aca="1" ref="O730" ca="1">IFERROR(INDEX(_xlfn.ANCHORARRAY($C$3),T_CALC[[#This Row],[DAY]]+1,5),NA())</f>
        <v>1.3556999999999999</v>
      </c>
      <c r="P730" cm="1" vm="1991">
        <f t="array" aca="1" ref="P730" ca="1">IFERROR(INDEX(_xlfn.ANCHORARRAY($C$3),T_CALC[[#This Row],[DAY]]+1,6),NA())</f>
        <v>1.357</v>
      </c>
      <c r="Q730" cm="1">
        <f t="array" aca="1" ref="Q730" ca="1">IFERROR(INDEX(_xlfn.ANCHORARRAY($C$3),T_CALC[[#This Row],[DAY]]+1,2),NA())</f>
        <v>0</v>
      </c>
    </row>
    <row r="731" spans="3:17">
      <c r="C731" vm="3173">
        <f ca="1"/>
        <v>43777</v>
      </c>
      <c r="D731">
        <f ca="1"/>
        <v>0</v>
      </c>
      <c r="E731" vm="2230">
        <f ca="1"/>
        <v>1.3567</v>
      </c>
      <c r="F731" vm="2158">
        <f ca="1"/>
        <v>1.3605</v>
      </c>
      <c r="G731" vm="1998">
        <f ca="1"/>
        <v>1.3564000000000001</v>
      </c>
      <c r="H731" vm="2221">
        <f ca="1"/>
        <v>1.3589</v>
      </c>
      <c r="K731">
        <f ca="1">IF(ROW(T_CALC[[#This Row],[DAY]])-ROW(T_CALC[[#Headers],[DAY]])&gt;C_N_TRADING_DAYS,"",ROW(T_CALC[[#This Row],[DAY]])-ROW(T_CALC[[#Headers],[DAY]]))</f>
        <v>728</v>
      </c>
      <c r="L731" cm="1" vm="3173">
        <f t="array" aca="1" ref="L731" ca="1">IFERROR(INDEX(_xlfn.ANCHORARRAY($C$3),T_CALC[[#This Row],[DAY]]+1,1),NA())</f>
        <v>43777</v>
      </c>
      <c r="M731" cm="1" vm="2230">
        <f t="array" aca="1" ref="M731" ca="1">IFERROR(INDEX(_xlfn.ANCHORARRAY($C$3),T_CALC[[#This Row],[DAY]]+1,3),NA())</f>
        <v>1.3567</v>
      </c>
      <c r="N731" cm="1" vm="2158">
        <f t="array" aca="1" ref="N731" ca="1">IFERROR(INDEX(_xlfn.ANCHORARRAY($C$3),T_CALC[[#This Row],[DAY]]+1,4),NA())</f>
        <v>1.3605</v>
      </c>
      <c r="O731" cm="1" vm="1998">
        <f t="array" aca="1" ref="O731" ca="1">IFERROR(INDEX(_xlfn.ANCHORARRAY($C$3),T_CALC[[#This Row],[DAY]]+1,5),NA())</f>
        <v>1.3564000000000001</v>
      </c>
      <c r="P731" cm="1" vm="2221">
        <f t="array" aca="1" ref="P731" ca="1">IFERROR(INDEX(_xlfn.ANCHORARRAY($C$3),T_CALC[[#This Row],[DAY]]+1,6),NA())</f>
        <v>1.3589</v>
      </c>
      <c r="Q731" cm="1">
        <f t="array" aca="1" ref="Q731" ca="1">IFERROR(INDEX(_xlfn.ANCHORARRAY($C$3),T_CALC[[#This Row],[DAY]]+1,2),NA())</f>
        <v>0</v>
      </c>
    </row>
    <row r="732" spans="3:17">
      <c r="C732" vm="3174">
        <f ca="1"/>
        <v>43780</v>
      </c>
      <c r="D732">
        <f ca="1"/>
        <v>0</v>
      </c>
      <c r="E732" vm="2051">
        <f ca="1"/>
        <v>1.3594999999999999</v>
      </c>
      <c r="F732" vm="1986">
        <f ca="1"/>
        <v>1.3619000000000001</v>
      </c>
      <c r="G732" vm="2221">
        <f ca="1"/>
        <v>1.3589</v>
      </c>
      <c r="H732" vm="2018">
        <f ca="1"/>
        <v>1.3606</v>
      </c>
      <c r="K732">
        <f ca="1">IF(ROW(T_CALC[[#This Row],[DAY]])-ROW(T_CALC[[#Headers],[DAY]])&gt;C_N_TRADING_DAYS,"",ROW(T_CALC[[#This Row],[DAY]])-ROW(T_CALC[[#Headers],[DAY]]))</f>
        <v>729</v>
      </c>
      <c r="L732" cm="1" vm="3174">
        <f t="array" aca="1" ref="L732" ca="1">IFERROR(INDEX(_xlfn.ANCHORARRAY($C$3),T_CALC[[#This Row],[DAY]]+1,1),NA())</f>
        <v>43780</v>
      </c>
      <c r="M732" cm="1" vm="2051">
        <f t="array" aca="1" ref="M732" ca="1">IFERROR(INDEX(_xlfn.ANCHORARRAY($C$3),T_CALC[[#This Row],[DAY]]+1,3),NA())</f>
        <v>1.3594999999999999</v>
      </c>
      <c r="N732" cm="1" vm="1986">
        <f t="array" aca="1" ref="N732" ca="1">IFERROR(INDEX(_xlfn.ANCHORARRAY($C$3),T_CALC[[#This Row],[DAY]]+1,4),NA())</f>
        <v>1.3619000000000001</v>
      </c>
      <c r="O732" cm="1" vm="2221">
        <f t="array" aca="1" ref="O732" ca="1">IFERROR(INDEX(_xlfn.ANCHORARRAY($C$3),T_CALC[[#This Row],[DAY]]+1,5),NA())</f>
        <v>1.3589</v>
      </c>
      <c r="P732" cm="1" vm="2018">
        <f t="array" aca="1" ref="P732" ca="1">IFERROR(INDEX(_xlfn.ANCHORARRAY($C$3),T_CALC[[#This Row],[DAY]]+1,6),NA())</f>
        <v>1.3606</v>
      </c>
      <c r="Q732" cm="1">
        <f t="array" aca="1" ref="Q732" ca="1">IFERROR(INDEX(_xlfn.ANCHORARRAY($C$3),T_CALC[[#This Row],[DAY]]+1,2),NA())</f>
        <v>0</v>
      </c>
    </row>
    <row r="733" spans="3:17">
      <c r="C733" vm="3175">
        <f ca="1"/>
        <v>43781</v>
      </c>
      <c r="D733">
        <f ca="1"/>
        <v>0</v>
      </c>
      <c r="E733" vm="2036">
        <f ca="1"/>
        <v>1.3604000000000001</v>
      </c>
      <c r="F733" vm="2204">
        <f ca="1"/>
        <v>1.3625</v>
      </c>
      <c r="G733" vm="2056">
        <f ca="1"/>
        <v>1.3593</v>
      </c>
      <c r="H733" vm="1986">
        <f ca="1"/>
        <v>1.3619000000000001</v>
      </c>
      <c r="K733">
        <f ca="1">IF(ROW(T_CALC[[#This Row],[DAY]])-ROW(T_CALC[[#Headers],[DAY]])&gt;C_N_TRADING_DAYS,"",ROW(T_CALC[[#This Row],[DAY]])-ROW(T_CALC[[#Headers],[DAY]]))</f>
        <v>730</v>
      </c>
      <c r="L733" cm="1" vm="3175">
        <f t="array" aca="1" ref="L733" ca="1">IFERROR(INDEX(_xlfn.ANCHORARRAY($C$3),T_CALC[[#This Row],[DAY]]+1,1),NA())</f>
        <v>43781</v>
      </c>
      <c r="M733" cm="1" vm="2036">
        <f t="array" aca="1" ref="M733" ca="1">IFERROR(INDEX(_xlfn.ANCHORARRAY($C$3),T_CALC[[#This Row],[DAY]]+1,3),NA())</f>
        <v>1.3604000000000001</v>
      </c>
      <c r="N733" cm="1" vm="2204">
        <f t="array" aca="1" ref="N733" ca="1">IFERROR(INDEX(_xlfn.ANCHORARRAY($C$3),T_CALC[[#This Row],[DAY]]+1,4),NA())</f>
        <v>1.3625</v>
      </c>
      <c r="O733" cm="1" vm="2056">
        <f t="array" aca="1" ref="O733" ca="1">IFERROR(INDEX(_xlfn.ANCHORARRAY($C$3),T_CALC[[#This Row],[DAY]]+1,5),NA())</f>
        <v>1.3593</v>
      </c>
      <c r="P733" cm="1" vm="1986">
        <f t="array" aca="1" ref="P733" ca="1">IFERROR(INDEX(_xlfn.ANCHORARRAY($C$3),T_CALC[[#This Row],[DAY]]+1,6),NA())</f>
        <v>1.3619000000000001</v>
      </c>
      <c r="Q733" cm="1">
        <f t="array" aca="1" ref="Q733" ca="1">IFERROR(INDEX(_xlfn.ANCHORARRAY($C$3),T_CALC[[#This Row],[DAY]]+1,2),NA())</f>
        <v>0</v>
      </c>
    </row>
    <row r="734" spans="3:17">
      <c r="C734" vm="3176">
        <f ca="1"/>
        <v>43782</v>
      </c>
      <c r="D734">
        <f ca="1"/>
        <v>0</v>
      </c>
      <c r="E734" vm="1975">
        <f ca="1"/>
        <v>1.3621000000000001</v>
      </c>
      <c r="F734" vm="1982">
        <f ca="1"/>
        <v>1.3633</v>
      </c>
      <c r="G734" vm="2011">
        <f ca="1"/>
        <v>1.3611</v>
      </c>
      <c r="H734" vm="2023">
        <f ca="1"/>
        <v>1.3626</v>
      </c>
      <c r="K734">
        <f ca="1">IF(ROW(T_CALC[[#This Row],[DAY]])-ROW(T_CALC[[#Headers],[DAY]])&gt;C_N_TRADING_DAYS,"",ROW(T_CALC[[#This Row],[DAY]])-ROW(T_CALC[[#Headers],[DAY]]))</f>
        <v>731</v>
      </c>
      <c r="L734" cm="1" vm="3176">
        <f t="array" aca="1" ref="L734" ca="1">IFERROR(INDEX(_xlfn.ANCHORARRAY($C$3),T_CALC[[#This Row],[DAY]]+1,1),NA())</f>
        <v>43782</v>
      </c>
      <c r="M734" cm="1" vm="1975">
        <f t="array" aca="1" ref="M734" ca="1">IFERROR(INDEX(_xlfn.ANCHORARRAY($C$3),T_CALC[[#This Row],[DAY]]+1,3),NA())</f>
        <v>1.3621000000000001</v>
      </c>
      <c r="N734" cm="1" vm="1982">
        <f t="array" aca="1" ref="N734" ca="1">IFERROR(INDEX(_xlfn.ANCHORARRAY($C$3),T_CALC[[#This Row],[DAY]]+1,4),NA())</f>
        <v>1.3633</v>
      </c>
      <c r="O734" cm="1" vm="2011">
        <f t="array" aca="1" ref="O734" ca="1">IFERROR(INDEX(_xlfn.ANCHORARRAY($C$3),T_CALC[[#This Row],[DAY]]+1,5),NA())</f>
        <v>1.3611</v>
      </c>
      <c r="P734" cm="1" vm="2023">
        <f t="array" aca="1" ref="P734" ca="1">IFERROR(INDEX(_xlfn.ANCHORARRAY($C$3),T_CALC[[#This Row],[DAY]]+1,6),NA())</f>
        <v>1.3626</v>
      </c>
      <c r="Q734" cm="1">
        <f t="array" aca="1" ref="Q734" ca="1">IFERROR(INDEX(_xlfn.ANCHORARRAY($C$3),T_CALC[[#This Row],[DAY]]+1,2),NA())</f>
        <v>0</v>
      </c>
    </row>
    <row r="735" spans="3:17">
      <c r="C735" vm="3177">
        <f ca="1"/>
        <v>43783</v>
      </c>
      <c r="D735">
        <f ca="1"/>
        <v>0</v>
      </c>
      <c r="E735" vm="2675">
        <f ca="1"/>
        <v>1.3627</v>
      </c>
      <c r="F735" vm="2169">
        <f ca="1"/>
        <v>1.3635999999999999</v>
      </c>
      <c r="G735" vm="2032">
        <f ca="1"/>
        <v>1.3612</v>
      </c>
      <c r="H735" vm="2060">
        <f ca="1"/>
        <v>1.3616999999999999</v>
      </c>
      <c r="K735">
        <f ca="1">IF(ROW(T_CALC[[#This Row],[DAY]])-ROW(T_CALC[[#Headers],[DAY]])&gt;C_N_TRADING_DAYS,"",ROW(T_CALC[[#This Row],[DAY]])-ROW(T_CALC[[#Headers],[DAY]]))</f>
        <v>732</v>
      </c>
      <c r="L735" cm="1" vm="3177">
        <f t="array" aca="1" ref="L735" ca="1">IFERROR(INDEX(_xlfn.ANCHORARRAY($C$3),T_CALC[[#This Row],[DAY]]+1,1),NA())</f>
        <v>43783</v>
      </c>
      <c r="M735" cm="1" vm="2675">
        <f t="array" aca="1" ref="M735" ca="1">IFERROR(INDEX(_xlfn.ANCHORARRAY($C$3),T_CALC[[#This Row],[DAY]]+1,3),NA())</f>
        <v>1.3627</v>
      </c>
      <c r="N735" cm="1" vm="2169">
        <f t="array" aca="1" ref="N735" ca="1">IFERROR(INDEX(_xlfn.ANCHORARRAY($C$3),T_CALC[[#This Row],[DAY]]+1,4),NA())</f>
        <v>1.3635999999999999</v>
      </c>
      <c r="O735" cm="1" vm="2032">
        <f t="array" aca="1" ref="O735" ca="1">IFERROR(INDEX(_xlfn.ANCHORARRAY($C$3),T_CALC[[#This Row],[DAY]]+1,5),NA())</f>
        <v>1.3612</v>
      </c>
      <c r="P735" cm="1" vm="2060">
        <f t="array" aca="1" ref="P735" ca="1">IFERROR(INDEX(_xlfn.ANCHORARRAY($C$3),T_CALC[[#This Row],[DAY]]+1,6),NA())</f>
        <v>1.3616999999999999</v>
      </c>
      <c r="Q735" cm="1">
        <f t="array" aca="1" ref="Q735" ca="1">IFERROR(INDEX(_xlfn.ANCHORARRAY($C$3),T_CALC[[#This Row],[DAY]]+1,2),NA())</f>
        <v>0</v>
      </c>
    </row>
    <row r="736" spans="3:17">
      <c r="C736" vm="3178">
        <f ca="1"/>
        <v>43784</v>
      </c>
      <c r="D736">
        <f ca="1"/>
        <v>0</v>
      </c>
      <c r="E736" vm="1975">
        <f ca="1"/>
        <v>1.3621000000000001</v>
      </c>
      <c r="F736" vm="2192">
        <f ca="1"/>
        <v>1.3623000000000001</v>
      </c>
      <c r="G736" vm="2714">
        <f ca="1"/>
        <v>1.3595999999999999</v>
      </c>
      <c r="H736" vm="2667">
        <f ca="1"/>
        <v>1.3599000000000001</v>
      </c>
      <c r="K736">
        <f ca="1">IF(ROW(T_CALC[[#This Row],[DAY]])-ROW(T_CALC[[#Headers],[DAY]])&gt;C_N_TRADING_DAYS,"",ROW(T_CALC[[#This Row],[DAY]])-ROW(T_CALC[[#Headers],[DAY]]))</f>
        <v>733</v>
      </c>
      <c r="L736" cm="1" vm="3178">
        <f t="array" aca="1" ref="L736" ca="1">IFERROR(INDEX(_xlfn.ANCHORARRAY($C$3),T_CALC[[#This Row],[DAY]]+1,1),NA())</f>
        <v>43784</v>
      </c>
      <c r="M736" cm="1" vm="1975">
        <f t="array" aca="1" ref="M736" ca="1">IFERROR(INDEX(_xlfn.ANCHORARRAY($C$3),T_CALC[[#This Row],[DAY]]+1,3),NA())</f>
        <v>1.3621000000000001</v>
      </c>
      <c r="N736" cm="1" vm="2192">
        <f t="array" aca="1" ref="N736" ca="1">IFERROR(INDEX(_xlfn.ANCHORARRAY($C$3),T_CALC[[#This Row],[DAY]]+1,4),NA())</f>
        <v>1.3623000000000001</v>
      </c>
      <c r="O736" cm="1" vm="2714">
        <f t="array" aca="1" ref="O736" ca="1">IFERROR(INDEX(_xlfn.ANCHORARRAY($C$3),T_CALC[[#This Row],[DAY]]+1,5),NA())</f>
        <v>1.3595999999999999</v>
      </c>
      <c r="P736" cm="1" vm="2667">
        <f t="array" aca="1" ref="P736" ca="1">IFERROR(INDEX(_xlfn.ANCHORARRAY($C$3),T_CALC[[#This Row],[DAY]]+1,6),NA())</f>
        <v>1.3599000000000001</v>
      </c>
      <c r="Q736" cm="1">
        <f t="array" aca="1" ref="Q736" ca="1">IFERROR(INDEX(_xlfn.ANCHORARRAY($C$3),T_CALC[[#This Row],[DAY]]+1,2),NA())</f>
        <v>0</v>
      </c>
    </row>
    <row r="737" spans="3:17">
      <c r="C737" vm="3179">
        <f ca="1"/>
        <v>43787</v>
      </c>
      <c r="D737">
        <f ca="1"/>
        <v>0</v>
      </c>
      <c r="E737" vm="2020">
        <f ca="1"/>
        <v>1.3603000000000001</v>
      </c>
      <c r="F737" vm="2213">
        <f ca="1"/>
        <v>1.3615999999999999</v>
      </c>
      <c r="G737" vm="1979">
        <f ca="1"/>
        <v>1.3592</v>
      </c>
      <c r="H737" vm="2020">
        <f ca="1"/>
        <v>1.3603000000000001</v>
      </c>
      <c r="K737">
        <f ca="1">IF(ROW(T_CALC[[#This Row],[DAY]])-ROW(T_CALC[[#Headers],[DAY]])&gt;C_N_TRADING_DAYS,"",ROW(T_CALC[[#This Row],[DAY]])-ROW(T_CALC[[#Headers],[DAY]]))</f>
        <v>734</v>
      </c>
      <c r="L737" cm="1" vm="3179">
        <f t="array" aca="1" ref="L737" ca="1">IFERROR(INDEX(_xlfn.ANCHORARRAY($C$3),T_CALC[[#This Row],[DAY]]+1,1),NA())</f>
        <v>43787</v>
      </c>
      <c r="M737" cm="1" vm="2020">
        <f t="array" aca="1" ref="M737" ca="1">IFERROR(INDEX(_xlfn.ANCHORARRAY($C$3),T_CALC[[#This Row],[DAY]]+1,3),NA())</f>
        <v>1.3603000000000001</v>
      </c>
      <c r="N737" cm="1" vm="2213">
        <f t="array" aca="1" ref="N737" ca="1">IFERROR(INDEX(_xlfn.ANCHORARRAY($C$3),T_CALC[[#This Row],[DAY]]+1,4),NA())</f>
        <v>1.3615999999999999</v>
      </c>
      <c r="O737" cm="1" vm="1979">
        <f t="array" aca="1" ref="O737" ca="1">IFERROR(INDEX(_xlfn.ANCHORARRAY($C$3),T_CALC[[#This Row],[DAY]]+1,5),NA())</f>
        <v>1.3592</v>
      </c>
      <c r="P737" cm="1" vm="2020">
        <f t="array" aca="1" ref="P737" ca="1">IFERROR(INDEX(_xlfn.ANCHORARRAY($C$3),T_CALC[[#This Row],[DAY]]+1,6),NA())</f>
        <v>1.3603000000000001</v>
      </c>
      <c r="Q737" cm="1">
        <f t="array" aca="1" ref="Q737" ca="1">IFERROR(INDEX(_xlfn.ANCHORARRAY($C$3),T_CALC[[#This Row],[DAY]]+1,2),NA())</f>
        <v>0</v>
      </c>
    </row>
    <row r="738" spans="3:17">
      <c r="C738" vm="3180">
        <f ca="1"/>
        <v>43788</v>
      </c>
      <c r="D738">
        <f ca="1"/>
        <v>0</v>
      </c>
      <c r="E738" vm="2020">
        <f ca="1"/>
        <v>1.3603000000000001</v>
      </c>
      <c r="F738" vm="2040">
        <f ca="1"/>
        <v>1.3614999999999999</v>
      </c>
      <c r="G738" vm="1979">
        <f ca="1"/>
        <v>1.3592</v>
      </c>
      <c r="H738" vm="1992">
        <f ca="1"/>
        <v>1.3607</v>
      </c>
      <c r="K738">
        <f ca="1">IF(ROW(T_CALC[[#This Row],[DAY]])-ROW(T_CALC[[#Headers],[DAY]])&gt;C_N_TRADING_DAYS,"",ROW(T_CALC[[#This Row],[DAY]])-ROW(T_CALC[[#Headers],[DAY]]))</f>
        <v>735</v>
      </c>
      <c r="L738" cm="1" vm="3180">
        <f t="array" aca="1" ref="L738" ca="1">IFERROR(INDEX(_xlfn.ANCHORARRAY($C$3),T_CALC[[#This Row],[DAY]]+1,1),NA())</f>
        <v>43788</v>
      </c>
      <c r="M738" cm="1" vm="2020">
        <f t="array" aca="1" ref="M738" ca="1">IFERROR(INDEX(_xlfn.ANCHORARRAY($C$3),T_CALC[[#This Row],[DAY]]+1,3),NA())</f>
        <v>1.3603000000000001</v>
      </c>
      <c r="N738" cm="1" vm="2040">
        <f t="array" aca="1" ref="N738" ca="1">IFERROR(INDEX(_xlfn.ANCHORARRAY($C$3),T_CALC[[#This Row],[DAY]]+1,4),NA())</f>
        <v>1.3614999999999999</v>
      </c>
      <c r="O738" cm="1" vm="1979">
        <f t="array" aca="1" ref="O738" ca="1">IFERROR(INDEX(_xlfn.ANCHORARRAY($C$3),T_CALC[[#This Row],[DAY]]+1,5),NA())</f>
        <v>1.3592</v>
      </c>
      <c r="P738" cm="1" vm="1992">
        <f t="array" aca="1" ref="P738" ca="1">IFERROR(INDEX(_xlfn.ANCHORARRAY($C$3),T_CALC[[#This Row],[DAY]]+1,6),NA())</f>
        <v>1.3607</v>
      </c>
      <c r="Q738" cm="1">
        <f t="array" aca="1" ref="Q738" ca="1">IFERROR(INDEX(_xlfn.ANCHORARRAY($C$3),T_CALC[[#This Row],[DAY]]+1,2),NA())</f>
        <v>0</v>
      </c>
    </row>
    <row r="739" spans="3:17">
      <c r="C739" vm="3181">
        <f ca="1"/>
        <v>43789</v>
      </c>
      <c r="D739">
        <f ca="1"/>
        <v>0</v>
      </c>
      <c r="E739" vm="1992">
        <f ca="1"/>
        <v>1.3607</v>
      </c>
      <c r="F739" vm="2675">
        <f ca="1"/>
        <v>1.3627</v>
      </c>
      <c r="G739" vm="2695">
        <f ca="1"/>
        <v>1.3601000000000001</v>
      </c>
      <c r="H739" vm="1984">
        <f ca="1"/>
        <v>1.3620000000000001</v>
      </c>
      <c r="K739">
        <f ca="1">IF(ROW(T_CALC[[#This Row],[DAY]])-ROW(T_CALC[[#Headers],[DAY]])&gt;C_N_TRADING_DAYS,"",ROW(T_CALC[[#This Row],[DAY]])-ROW(T_CALC[[#Headers],[DAY]]))</f>
        <v>736</v>
      </c>
      <c r="L739" cm="1" vm="3181">
        <f t="array" aca="1" ref="L739" ca="1">IFERROR(INDEX(_xlfn.ANCHORARRAY($C$3),T_CALC[[#This Row],[DAY]]+1,1),NA())</f>
        <v>43789</v>
      </c>
      <c r="M739" cm="1" vm="1992">
        <f t="array" aca="1" ref="M739" ca="1">IFERROR(INDEX(_xlfn.ANCHORARRAY($C$3),T_CALC[[#This Row],[DAY]]+1,3),NA())</f>
        <v>1.3607</v>
      </c>
      <c r="N739" cm="1" vm="2675">
        <f t="array" aca="1" ref="N739" ca="1">IFERROR(INDEX(_xlfn.ANCHORARRAY($C$3),T_CALC[[#This Row],[DAY]]+1,4),NA())</f>
        <v>1.3627</v>
      </c>
      <c r="O739" cm="1" vm="2695">
        <f t="array" aca="1" ref="O739" ca="1">IFERROR(INDEX(_xlfn.ANCHORARRAY($C$3),T_CALC[[#This Row],[DAY]]+1,5),NA())</f>
        <v>1.3601000000000001</v>
      </c>
      <c r="P739" cm="1" vm="1984">
        <f t="array" aca="1" ref="P739" ca="1">IFERROR(INDEX(_xlfn.ANCHORARRAY($C$3),T_CALC[[#This Row],[DAY]]+1,6),NA())</f>
        <v>1.3620000000000001</v>
      </c>
      <c r="Q739" cm="1">
        <f t="array" aca="1" ref="Q739" ca="1">IFERROR(INDEX(_xlfn.ANCHORARRAY($C$3),T_CALC[[#This Row],[DAY]]+1,2),NA())</f>
        <v>0</v>
      </c>
    </row>
    <row r="740" spans="3:17">
      <c r="C740" vm="3182">
        <f ca="1"/>
        <v>43790</v>
      </c>
      <c r="D740">
        <f ca="1"/>
        <v>0</v>
      </c>
      <c r="E740" vm="2060">
        <f ca="1"/>
        <v>1.3616999999999999</v>
      </c>
      <c r="F740" vm="1977">
        <f ca="1"/>
        <v>1.3633999999999999</v>
      </c>
      <c r="G740" vm="2158">
        <f ca="1"/>
        <v>1.3605</v>
      </c>
      <c r="H740" vm="2027">
        <f ca="1"/>
        <v>1.3629</v>
      </c>
      <c r="K740">
        <f ca="1">IF(ROW(T_CALC[[#This Row],[DAY]])-ROW(T_CALC[[#Headers],[DAY]])&gt;C_N_TRADING_DAYS,"",ROW(T_CALC[[#This Row],[DAY]])-ROW(T_CALC[[#Headers],[DAY]]))</f>
        <v>737</v>
      </c>
      <c r="L740" cm="1" vm="3182">
        <f t="array" aca="1" ref="L740" ca="1">IFERROR(INDEX(_xlfn.ANCHORARRAY($C$3),T_CALC[[#This Row],[DAY]]+1,1),NA())</f>
        <v>43790</v>
      </c>
      <c r="M740" cm="1" vm="2060">
        <f t="array" aca="1" ref="M740" ca="1">IFERROR(INDEX(_xlfn.ANCHORARRAY($C$3),T_CALC[[#This Row],[DAY]]+1,3),NA())</f>
        <v>1.3616999999999999</v>
      </c>
      <c r="N740" cm="1" vm="1977">
        <f t="array" aca="1" ref="N740" ca="1">IFERROR(INDEX(_xlfn.ANCHORARRAY($C$3),T_CALC[[#This Row],[DAY]]+1,4),NA())</f>
        <v>1.3633999999999999</v>
      </c>
      <c r="O740" cm="1" vm="2158">
        <f t="array" aca="1" ref="O740" ca="1">IFERROR(INDEX(_xlfn.ANCHORARRAY($C$3),T_CALC[[#This Row],[DAY]]+1,5),NA())</f>
        <v>1.3605</v>
      </c>
      <c r="P740" cm="1" vm="2027">
        <f t="array" aca="1" ref="P740" ca="1">IFERROR(INDEX(_xlfn.ANCHORARRAY($C$3),T_CALC[[#This Row],[DAY]]+1,6),NA())</f>
        <v>1.3629</v>
      </c>
      <c r="Q740" cm="1">
        <f t="array" aca="1" ref="Q740" ca="1">IFERROR(INDEX(_xlfn.ANCHORARRAY($C$3),T_CALC[[#This Row],[DAY]]+1,2),NA())</f>
        <v>0</v>
      </c>
    </row>
    <row r="741" spans="3:17">
      <c r="C741" vm="3183">
        <f ca="1"/>
        <v>43791</v>
      </c>
      <c r="D741">
        <f ca="1"/>
        <v>0</v>
      </c>
      <c r="E741" vm="2050">
        <f ca="1"/>
        <v>1.363</v>
      </c>
      <c r="F741" vm="2029">
        <f ca="1"/>
        <v>1.3647</v>
      </c>
      <c r="G741" vm="2032">
        <f ca="1"/>
        <v>1.3612</v>
      </c>
      <c r="H741" vm="2193">
        <f ca="1"/>
        <v>1.3638999999999999</v>
      </c>
      <c r="K741">
        <f ca="1">IF(ROW(T_CALC[[#This Row],[DAY]])-ROW(T_CALC[[#Headers],[DAY]])&gt;C_N_TRADING_DAYS,"",ROW(T_CALC[[#This Row],[DAY]])-ROW(T_CALC[[#Headers],[DAY]]))</f>
        <v>738</v>
      </c>
      <c r="L741" cm="1" vm="3183">
        <f t="array" aca="1" ref="L741" ca="1">IFERROR(INDEX(_xlfn.ANCHORARRAY($C$3),T_CALC[[#This Row],[DAY]]+1,1),NA())</f>
        <v>43791</v>
      </c>
      <c r="M741" cm="1" vm="2050">
        <f t="array" aca="1" ref="M741" ca="1">IFERROR(INDEX(_xlfn.ANCHORARRAY($C$3),T_CALC[[#This Row],[DAY]]+1,3),NA())</f>
        <v>1.363</v>
      </c>
      <c r="N741" cm="1" vm="2029">
        <f t="array" aca="1" ref="N741" ca="1">IFERROR(INDEX(_xlfn.ANCHORARRAY($C$3),T_CALC[[#This Row],[DAY]]+1,4),NA())</f>
        <v>1.3647</v>
      </c>
      <c r="O741" cm="1" vm="2032">
        <f t="array" aca="1" ref="O741" ca="1">IFERROR(INDEX(_xlfn.ANCHORARRAY($C$3),T_CALC[[#This Row],[DAY]]+1,5),NA())</f>
        <v>1.3612</v>
      </c>
      <c r="P741" cm="1" vm="2193">
        <f t="array" aca="1" ref="P741" ca="1">IFERROR(INDEX(_xlfn.ANCHORARRAY($C$3),T_CALC[[#This Row],[DAY]]+1,6),NA())</f>
        <v>1.3638999999999999</v>
      </c>
      <c r="Q741" cm="1">
        <f t="array" aca="1" ref="Q741" ca="1">IFERROR(INDEX(_xlfn.ANCHORARRAY($C$3),T_CALC[[#This Row],[DAY]]+1,2),NA())</f>
        <v>0</v>
      </c>
    </row>
    <row r="742" spans="3:17">
      <c r="C742" vm="3184">
        <f ca="1"/>
        <v>43794</v>
      </c>
      <c r="D742">
        <f ca="1"/>
        <v>0</v>
      </c>
      <c r="E742" vm="1978">
        <f ca="1"/>
        <v>1.3634999999999999</v>
      </c>
      <c r="F742" vm="2687">
        <f ca="1"/>
        <v>1.3656999999999999</v>
      </c>
      <c r="G742" vm="2048">
        <f ca="1"/>
        <v>1.3628</v>
      </c>
      <c r="H742" vm="2685">
        <f ca="1"/>
        <v>1.3645</v>
      </c>
      <c r="K742">
        <f ca="1">IF(ROW(T_CALC[[#This Row],[DAY]])-ROW(T_CALC[[#Headers],[DAY]])&gt;C_N_TRADING_DAYS,"",ROW(T_CALC[[#This Row],[DAY]])-ROW(T_CALC[[#Headers],[DAY]]))</f>
        <v>739</v>
      </c>
      <c r="L742" cm="1" vm="3184">
        <f t="array" aca="1" ref="L742" ca="1">IFERROR(INDEX(_xlfn.ANCHORARRAY($C$3),T_CALC[[#This Row],[DAY]]+1,1),NA())</f>
        <v>43794</v>
      </c>
      <c r="M742" cm="1" vm="1978">
        <f t="array" aca="1" ref="M742" ca="1">IFERROR(INDEX(_xlfn.ANCHORARRAY($C$3),T_CALC[[#This Row],[DAY]]+1,3),NA())</f>
        <v>1.3634999999999999</v>
      </c>
      <c r="N742" cm="1" vm="2687">
        <f t="array" aca="1" ref="N742" ca="1">IFERROR(INDEX(_xlfn.ANCHORARRAY($C$3),T_CALC[[#This Row],[DAY]]+1,4),NA())</f>
        <v>1.3656999999999999</v>
      </c>
      <c r="O742" cm="1" vm="2048">
        <f t="array" aca="1" ref="O742" ca="1">IFERROR(INDEX(_xlfn.ANCHORARRAY($C$3),T_CALC[[#This Row],[DAY]]+1,5),NA())</f>
        <v>1.3628</v>
      </c>
      <c r="P742" cm="1" vm="2685">
        <f t="array" aca="1" ref="P742" ca="1">IFERROR(INDEX(_xlfn.ANCHORARRAY($C$3),T_CALC[[#This Row],[DAY]]+1,6),NA())</f>
        <v>1.3645</v>
      </c>
      <c r="Q742" cm="1">
        <f t="array" aca="1" ref="Q742" ca="1">IFERROR(INDEX(_xlfn.ANCHORARRAY($C$3),T_CALC[[#This Row],[DAY]]+1,2),NA())</f>
        <v>0</v>
      </c>
    </row>
    <row r="743" spans="3:17">
      <c r="C743" vm="3185">
        <f ca="1"/>
        <v>43795</v>
      </c>
      <c r="D743">
        <f ca="1"/>
        <v>0</v>
      </c>
      <c r="E743" vm="2150">
        <f ca="1"/>
        <v>1.3646</v>
      </c>
      <c r="F743" vm="2797">
        <f ca="1"/>
        <v>1.3667</v>
      </c>
      <c r="G743" vm="1977">
        <f ca="1"/>
        <v>1.3633999999999999</v>
      </c>
      <c r="H743" vm="2193">
        <f ca="1"/>
        <v>1.3638999999999999</v>
      </c>
      <c r="K743">
        <f ca="1">IF(ROW(T_CALC[[#This Row],[DAY]])-ROW(T_CALC[[#Headers],[DAY]])&gt;C_N_TRADING_DAYS,"",ROW(T_CALC[[#This Row],[DAY]])-ROW(T_CALC[[#Headers],[DAY]]))</f>
        <v>740</v>
      </c>
      <c r="L743" cm="1" vm="3185">
        <f t="array" aca="1" ref="L743" ca="1">IFERROR(INDEX(_xlfn.ANCHORARRAY($C$3),T_CALC[[#This Row],[DAY]]+1,1),NA())</f>
        <v>43795</v>
      </c>
      <c r="M743" cm="1" vm="2150">
        <f t="array" aca="1" ref="M743" ca="1">IFERROR(INDEX(_xlfn.ANCHORARRAY($C$3),T_CALC[[#This Row],[DAY]]+1,3),NA())</f>
        <v>1.3646</v>
      </c>
      <c r="N743" cm="1" vm="2797">
        <f t="array" aca="1" ref="N743" ca="1">IFERROR(INDEX(_xlfn.ANCHORARRAY($C$3),T_CALC[[#This Row],[DAY]]+1,4),NA())</f>
        <v>1.3667</v>
      </c>
      <c r="O743" cm="1" vm="1977">
        <f t="array" aca="1" ref="O743" ca="1">IFERROR(INDEX(_xlfn.ANCHORARRAY($C$3),T_CALC[[#This Row],[DAY]]+1,5),NA())</f>
        <v>1.3633999999999999</v>
      </c>
      <c r="P743" cm="1" vm="2193">
        <f t="array" aca="1" ref="P743" ca="1">IFERROR(INDEX(_xlfn.ANCHORARRAY($C$3),T_CALC[[#This Row],[DAY]]+1,6),NA())</f>
        <v>1.3638999999999999</v>
      </c>
      <c r="Q743" cm="1">
        <f t="array" aca="1" ref="Q743" ca="1">IFERROR(INDEX(_xlfn.ANCHORARRAY($C$3),T_CALC[[#This Row],[DAY]]+1,2),NA())</f>
        <v>0</v>
      </c>
    </row>
    <row r="744" spans="3:17">
      <c r="C744" vm="3186">
        <f ca="1"/>
        <v>43796</v>
      </c>
      <c r="D744">
        <f ca="1"/>
        <v>0</v>
      </c>
      <c r="E744" vm="2193">
        <f ca="1"/>
        <v>1.3638999999999999</v>
      </c>
      <c r="F744" vm="3047">
        <f ca="1"/>
        <v>1.3665</v>
      </c>
      <c r="G744" vm="2707">
        <f ca="1"/>
        <v>1.3636999999999999</v>
      </c>
      <c r="H744" vm="2711">
        <f ca="1"/>
        <v>1.3649</v>
      </c>
      <c r="K744">
        <f ca="1">IF(ROW(T_CALC[[#This Row],[DAY]])-ROW(T_CALC[[#Headers],[DAY]])&gt;C_N_TRADING_DAYS,"",ROW(T_CALC[[#This Row],[DAY]])-ROW(T_CALC[[#Headers],[DAY]]))</f>
        <v>741</v>
      </c>
      <c r="L744" cm="1" vm="3186">
        <f t="array" aca="1" ref="L744" ca="1">IFERROR(INDEX(_xlfn.ANCHORARRAY($C$3),T_CALC[[#This Row],[DAY]]+1,1),NA())</f>
        <v>43796</v>
      </c>
      <c r="M744" cm="1" vm="2193">
        <f t="array" aca="1" ref="M744" ca="1">IFERROR(INDEX(_xlfn.ANCHORARRAY($C$3),T_CALC[[#This Row],[DAY]]+1,3),NA())</f>
        <v>1.3638999999999999</v>
      </c>
      <c r="N744" cm="1" vm="3047">
        <f t="array" aca="1" ref="N744" ca="1">IFERROR(INDEX(_xlfn.ANCHORARRAY($C$3),T_CALC[[#This Row],[DAY]]+1,4),NA())</f>
        <v>1.3665</v>
      </c>
      <c r="O744" cm="1" vm="2707">
        <f t="array" aca="1" ref="O744" ca="1">IFERROR(INDEX(_xlfn.ANCHORARRAY($C$3),T_CALC[[#This Row],[DAY]]+1,5),NA())</f>
        <v>1.3636999999999999</v>
      </c>
      <c r="P744" cm="1" vm="2711">
        <f t="array" aca="1" ref="P744" ca="1">IFERROR(INDEX(_xlfn.ANCHORARRAY($C$3),T_CALC[[#This Row],[DAY]]+1,6),NA())</f>
        <v>1.3649</v>
      </c>
      <c r="Q744" cm="1">
        <f t="array" aca="1" ref="Q744" ca="1">IFERROR(INDEX(_xlfn.ANCHORARRAY($C$3),T_CALC[[#This Row],[DAY]]+1,2),NA())</f>
        <v>0</v>
      </c>
    </row>
    <row r="745" spans="3:17">
      <c r="C745" vm="3187">
        <f ca="1"/>
        <v>43797</v>
      </c>
      <c r="D745">
        <f ca="1"/>
        <v>0</v>
      </c>
      <c r="E745" vm="2702">
        <f ca="1"/>
        <v>1.365</v>
      </c>
      <c r="F745" vm="3047">
        <f ca="1"/>
        <v>1.3665</v>
      </c>
      <c r="G745" vm="2685">
        <f ca="1"/>
        <v>1.3645</v>
      </c>
      <c r="H745" vm="1972">
        <f ca="1"/>
        <v>1.3655999999999999</v>
      </c>
      <c r="K745">
        <f ca="1">IF(ROW(T_CALC[[#This Row],[DAY]])-ROW(T_CALC[[#Headers],[DAY]])&gt;C_N_TRADING_DAYS,"",ROW(T_CALC[[#This Row],[DAY]])-ROW(T_CALC[[#Headers],[DAY]]))</f>
        <v>742</v>
      </c>
      <c r="L745" cm="1" vm="3187">
        <f t="array" aca="1" ref="L745" ca="1">IFERROR(INDEX(_xlfn.ANCHORARRAY($C$3),T_CALC[[#This Row],[DAY]]+1,1),NA())</f>
        <v>43797</v>
      </c>
      <c r="M745" cm="1" vm="2702">
        <f t="array" aca="1" ref="M745" ca="1">IFERROR(INDEX(_xlfn.ANCHORARRAY($C$3),T_CALC[[#This Row],[DAY]]+1,3),NA())</f>
        <v>1.365</v>
      </c>
      <c r="N745" cm="1" vm="3047">
        <f t="array" aca="1" ref="N745" ca="1">IFERROR(INDEX(_xlfn.ANCHORARRAY($C$3),T_CALC[[#This Row],[DAY]]+1,4),NA())</f>
        <v>1.3665</v>
      </c>
      <c r="O745" cm="1" vm="2685">
        <f t="array" aca="1" ref="O745" ca="1">IFERROR(INDEX(_xlfn.ANCHORARRAY($C$3),T_CALC[[#This Row],[DAY]]+1,5),NA())</f>
        <v>1.3645</v>
      </c>
      <c r="P745" cm="1" vm="1972">
        <f t="array" aca="1" ref="P745" ca="1">IFERROR(INDEX(_xlfn.ANCHORARRAY($C$3),T_CALC[[#This Row],[DAY]]+1,6),NA())</f>
        <v>1.3655999999999999</v>
      </c>
      <c r="Q745" cm="1">
        <f t="array" aca="1" ref="Q745" ca="1">IFERROR(INDEX(_xlfn.ANCHORARRAY($C$3),T_CALC[[#This Row],[DAY]]+1,2),NA())</f>
        <v>0</v>
      </c>
    </row>
    <row r="746" spans="3:17">
      <c r="C746" vm="3188">
        <f ca="1"/>
        <v>43798</v>
      </c>
      <c r="D746">
        <f ca="1"/>
        <v>0</v>
      </c>
      <c r="E746" vm="1972">
        <f ca="1"/>
        <v>1.3655999999999999</v>
      </c>
      <c r="F746" vm="3155">
        <f ca="1"/>
        <v>1.3677999999999999</v>
      </c>
      <c r="G746" vm="2702">
        <f ca="1"/>
        <v>1.365</v>
      </c>
      <c r="H746" vm="2198">
        <f ca="1"/>
        <v>1.3672</v>
      </c>
      <c r="K746">
        <f ca="1">IF(ROW(T_CALC[[#This Row],[DAY]])-ROW(T_CALC[[#Headers],[DAY]])&gt;C_N_TRADING_DAYS,"",ROW(T_CALC[[#This Row],[DAY]])-ROW(T_CALC[[#Headers],[DAY]]))</f>
        <v>743</v>
      </c>
      <c r="L746" cm="1" vm="3188">
        <f t="array" aca="1" ref="L746" ca="1">IFERROR(INDEX(_xlfn.ANCHORARRAY($C$3),T_CALC[[#This Row],[DAY]]+1,1),NA())</f>
        <v>43798</v>
      </c>
      <c r="M746" cm="1" vm="1972">
        <f t="array" aca="1" ref="M746" ca="1">IFERROR(INDEX(_xlfn.ANCHORARRAY($C$3),T_CALC[[#This Row],[DAY]]+1,3),NA())</f>
        <v>1.3655999999999999</v>
      </c>
      <c r="N746" cm="1" vm="3155">
        <f t="array" aca="1" ref="N746" ca="1">IFERROR(INDEX(_xlfn.ANCHORARRAY($C$3),T_CALC[[#This Row],[DAY]]+1,4),NA())</f>
        <v>1.3677999999999999</v>
      </c>
      <c r="O746" cm="1" vm="2702">
        <f t="array" aca="1" ref="O746" ca="1">IFERROR(INDEX(_xlfn.ANCHORARRAY($C$3),T_CALC[[#This Row],[DAY]]+1,5),NA())</f>
        <v>1.365</v>
      </c>
      <c r="P746" cm="1" vm="2198">
        <f t="array" aca="1" ref="P746" ca="1">IFERROR(INDEX(_xlfn.ANCHORARRAY($C$3),T_CALC[[#This Row],[DAY]]+1,6),NA())</f>
        <v>1.3672</v>
      </c>
      <c r="Q746" cm="1">
        <f t="array" aca="1" ref="Q746" ca="1">IFERROR(INDEX(_xlfn.ANCHORARRAY($C$3),T_CALC[[#This Row],[DAY]]+1,2),NA())</f>
        <v>0</v>
      </c>
    </row>
    <row r="747" spans="3:17">
      <c r="C747" vm="3189">
        <f ca="1"/>
        <v>43801</v>
      </c>
      <c r="D747">
        <f ca="1"/>
        <v>0</v>
      </c>
      <c r="E747" vm="2797">
        <f ca="1"/>
        <v>1.3667</v>
      </c>
      <c r="F747" vm="2723">
        <f ca="1"/>
        <v>1.3691</v>
      </c>
      <c r="G747" vm="2711">
        <f ca="1"/>
        <v>1.3649</v>
      </c>
      <c r="H747" vm="2687">
        <f ca="1"/>
        <v>1.3656999999999999</v>
      </c>
      <c r="K747">
        <f ca="1">IF(ROW(T_CALC[[#This Row],[DAY]])-ROW(T_CALC[[#Headers],[DAY]])&gt;C_N_TRADING_DAYS,"",ROW(T_CALC[[#This Row],[DAY]])-ROW(T_CALC[[#Headers],[DAY]]))</f>
        <v>744</v>
      </c>
      <c r="L747" cm="1" vm="3189">
        <f t="array" aca="1" ref="L747" ca="1">IFERROR(INDEX(_xlfn.ANCHORARRAY($C$3),T_CALC[[#This Row],[DAY]]+1,1),NA())</f>
        <v>43801</v>
      </c>
      <c r="M747" cm="1" vm="2797">
        <f t="array" aca="1" ref="M747" ca="1">IFERROR(INDEX(_xlfn.ANCHORARRAY($C$3),T_CALC[[#This Row],[DAY]]+1,3),NA())</f>
        <v>1.3667</v>
      </c>
      <c r="N747" cm="1" vm="2723">
        <f t="array" aca="1" ref="N747" ca="1">IFERROR(INDEX(_xlfn.ANCHORARRAY($C$3),T_CALC[[#This Row],[DAY]]+1,4),NA())</f>
        <v>1.3691</v>
      </c>
      <c r="O747" cm="1" vm="2711">
        <f t="array" aca="1" ref="O747" ca="1">IFERROR(INDEX(_xlfn.ANCHORARRAY($C$3),T_CALC[[#This Row],[DAY]]+1,5),NA())</f>
        <v>1.3649</v>
      </c>
      <c r="P747" cm="1" vm="2687">
        <f t="array" aca="1" ref="P747" ca="1">IFERROR(INDEX(_xlfn.ANCHORARRAY($C$3),T_CALC[[#This Row],[DAY]]+1,6),NA())</f>
        <v>1.3656999999999999</v>
      </c>
      <c r="Q747" cm="1">
        <f t="array" aca="1" ref="Q747" ca="1">IFERROR(INDEX(_xlfn.ANCHORARRAY($C$3),T_CALC[[#This Row],[DAY]]+1,2),NA())</f>
        <v>0</v>
      </c>
    </row>
    <row r="748" spans="3:17">
      <c r="C748" vm="3190">
        <f ca="1"/>
        <v>43802</v>
      </c>
      <c r="D748">
        <f ca="1"/>
        <v>0</v>
      </c>
      <c r="E748" vm="1962">
        <f ca="1"/>
        <v>1.3662000000000001</v>
      </c>
      <c r="F748" vm="2196">
        <f ca="1"/>
        <v>1.3668</v>
      </c>
      <c r="G748" vm="2050">
        <f ca="1"/>
        <v>1.363</v>
      </c>
      <c r="H748" vm="2169">
        <f ca="1"/>
        <v>1.3635999999999999</v>
      </c>
      <c r="K748">
        <f ca="1">IF(ROW(T_CALC[[#This Row],[DAY]])-ROW(T_CALC[[#Headers],[DAY]])&gt;C_N_TRADING_DAYS,"",ROW(T_CALC[[#This Row],[DAY]])-ROW(T_CALC[[#Headers],[DAY]]))</f>
        <v>745</v>
      </c>
      <c r="L748" cm="1" vm="3190">
        <f t="array" aca="1" ref="L748" ca="1">IFERROR(INDEX(_xlfn.ANCHORARRAY($C$3),T_CALC[[#This Row],[DAY]]+1,1),NA())</f>
        <v>43802</v>
      </c>
      <c r="M748" cm="1" vm="1962">
        <f t="array" aca="1" ref="M748" ca="1">IFERROR(INDEX(_xlfn.ANCHORARRAY($C$3),T_CALC[[#This Row],[DAY]]+1,3),NA())</f>
        <v>1.3662000000000001</v>
      </c>
      <c r="N748" cm="1" vm="2196">
        <f t="array" aca="1" ref="N748" ca="1">IFERROR(INDEX(_xlfn.ANCHORARRAY($C$3),T_CALC[[#This Row],[DAY]]+1,4),NA())</f>
        <v>1.3668</v>
      </c>
      <c r="O748" cm="1" vm="2050">
        <f t="array" aca="1" ref="O748" ca="1">IFERROR(INDEX(_xlfn.ANCHORARRAY($C$3),T_CALC[[#This Row],[DAY]]+1,5),NA())</f>
        <v>1.363</v>
      </c>
      <c r="P748" cm="1" vm="2169">
        <f t="array" aca="1" ref="P748" ca="1">IFERROR(INDEX(_xlfn.ANCHORARRAY($C$3),T_CALC[[#This Row],[DAY]]+1,6),NA())</f>
        <v>1.3635999999999999</v>
      </c>
      <c r="Q748" cm="1">
        <f t="array" aca="1" ref="Q748" ca="1">IFERROR(INDEX(_xlfn.ANCHORARRAY($C$3),T_CALC[[#This Row],[DAY]]+1,2),NA())</f>
        <v>0</v>
      </c>
    </row>
    <row r="749" spans="3:17">
      <c r="C749" vm="3191">
        <f ca="1"/>
        <v>43803</v>
      </c>
      <c r="D749">
        <f ca="1"/>
        <v>0</v>
      </c>
      <c r="E749" vm="2169">
        <f ca="1"/>
        <v>1.3635999999999999</v>
      </c>
      <c r="F749" vm="2165">
        <f ca="1"/>
        <v>1.3653</v>
      </c>
      <c r="G749" vm="2156">
        <f ca="1"/>
        <v>1.3613</v>
      </c>
      <c r="H749" vm="2050">
        <f ca="1"/>
        <v>1.363</v>
      </c>
      <c r="K749">
        <f ca="1">IF(ROW(T_CALC[[#This Row],[DAY]])-ROW(T_CALC[[#Headers],[DAY]])&gt;C_N_TRADING_DAYS,"",ROW(T_CALC[[#This Row],[DAY]])-ROW(T_CALC[[#Headers],[DAY]]))</f>
        <v>746</v>
      </c>
      <c r="L749" cm="1" vm="3191">
        <f t="array" aca="1" ref="L749" ca="1">IFERROR(INDEX(_xlfn.ANCHORARRAY($C$3),T_CALC[[#This Row],[DAY]]+1,1),NA())</f>
        <v>43803</v>
      </c>
      <c r="M749" cm="1" vm="2169">
        <f t="array" aca="1" ref="M749" ca="1">IFERROR(INDEX(_xlfn.ANCHORARRAY($C$3),T_CALC[[#This Row],[DAY]]+1,3),NA())</f>
        <v>1.3635999999999999</v>
      </c>
      <c r="N749" cm="1" vm="2165">
        <f t="array" aca="1" ref="N749" ca="1">IFERROR(INDEX(_xlfn.ANCHORARRAY($C$3),T_CALC[[#This Row],[DAY]]+1,4),NA())</f>
        <v>1.3653</v>
      </c>
      <c r="O749" cm="1" vm="2156">
        <f t="array" aca="1" ref="O749" ca="1">IFERROR(INDEX(_xlfn.ANCHORARRAY($C$3),T_CALC[[#This Row],[DAY]]+1,5),NA())</f>
        <v>1.3613</v>
      </c>
      <c r="P749" cm="1" vm="2050">
        <f t="array" aca="1" ref="P749" ca="1">IFERROR(INDEX(_xlfn.ANCHORARRAY($C$3),T_CALC[[#This Row],[DAY]]+1,6),NA())</f>
        <v>1.363</v>
      </c>
      <c r="Q749" cm="1">
        <f t="array" aca="1" ref="Q749" ca="1">IFERROR(INDEX(_xlfn.ANCHORARRAY($C$3),T_CALC[[#This Row],[DAY]]+1,2),NA())</f>
        <v>0</v>
      </c>
    </row>
    <row r="750" spans="3:17">
      <c r="C750" vm="3192">
        <f ca="1"/>
        <v>43804</v>
      </c>
      <c r="D750">
        <f ca="1"/>
        <v>0</v>
      </c>
      <c r="E750" vm="2168">
        <f ca="1"/>
        <v>1.3631</v>
      </c>
      <c r="F750" vm="1982">
        <f ca="1"/>
        <v>1.3633</v>
      </c>
      <c r="G750" vm="2667">
        <f ca="1"/>
        <v>1.3599000000000001</v>
      </c>
      <c r="H750" vm="2018">
        <f ca="1"/>
        <v>1.3606</v>
      </c>
      <c r="K750">
        <f ca="1">IF(ROW(T_CALC[[#This Row],[DAY]])-ROW(T_CALC[[#Headers],[DAY]])&gt;C_N_TRADING_DAYS,"",ROW(T_CALC[[#This Row],[DAY]])-ROW(T_CALC[[#Headers],[DAY]]))</f>
        <v>747</v>
      </c>
      <c r="L750" cm="1" vm="3192">
        <f t="array" aca="1" ref="L750" ca="1">IFERROR(INDEX(_xlfn.ANCHORARRAY($C$3),T_CALC[[#This Row],[DAY]]+1,1),NA())</f>
        <v>43804</v>
      </c>
      <c r="M750" cm="1" vm="2168">
        <f t="array" aca="1" ref="M750" ca="1">IFERROR(INDEX(_xlfn.ANCHORARRAY($C$3),T_CALC[[#This Row],[DAY]]+1,3),NA())</f>
        <v>1.3631</v>
      </c>
      <c r="N750" cm="1" vm="1982">
        <f t="array" aca="1" ref="N750" ca="1">IFERROR(INDEX(_xlfn.ANCHORARRAY($C$3),T_CALC[[#This Row],[DAY]]+1,4),NA())</f>
        <v>1.3633</v>
      </c>
      <c r="O750" cm="1" vm="2667">
        <f t="array" aca="1" ref="O750" ca="1">IFERROR(INDEX(_xlfn.ANCHORARRAY($C$3),T_CALC[[#This Row],[DAY]]+1,5),NA())</f>
        <v>1.3599000000000001</v>
      </c>
      <c r="P750" cm="1" vm="2018">
        <f t="array" aca="1" ref="P750" ca="1">IFERROR(INDEX(_xlfn.ANCHORARRAY($C$3),T_CALC[[#This Row],[DAY]]+1,6),NA())</f>
        <v>1.3606</v>
      </c>
      <c r="Q750" cm="1">
        <f t="array" aca="1" ref="Q750" ca="1">IFERROR(INDEX(_xlfn.ANCHORARRAY($C$3),T_CALC[[#This Row],[DAY]]+1,2),NA())</f>
        <v>0</v>
      </c>
    </row>
    <row r="751" spans="3:17">
      <c r="C751" vm="3193">
        <f ca="1"/>
        <v>43805</v>
      </c>
      <c r="D751">
        <f ca="1"/>
        <v>0</v>
      </c>
      <c r="E751" vm="2158">
        <f ca="1"/>
        <v>1.3605</v>
      </c>
      <c r="F751" vm="2040">
        <f ca="1"/>
        <v>1.3614999999999999</v>
      </c>
      <c r="G751" vm="2013">
        <f ca="1"/>
        <v>1.3588</v>
      </c>
      <c r="H751" vm="2036">
        <f ca="1"/>
        <v>1.3604000000000001</v>
      </c>
      <c r="K751">
        <f ca="1">IF(ROW(T_CALC[[#This Row],[DAY]])-ROW(T_CALC[[#Headers],[DAY]])&gt;C_N_TRADING_DAYS,"",ROW(T_CALC[[#This Row],[DAY]])-ROW(T_CALC[[#Headers],[DAY]]))</f>
        <v>748</v>
      </c>
      <c r="L751" cm="1" vm="3193">
        <f t="array" aca="1" ref="L751" ca="1">IFERROR(INDEX(_xlfn.ANCHORARRAY($C$3),T_CALC[[#This Row],[DAY]]+1,1),NA())</f>
        <v>43805</v>
      </c>
      <c r="M751" cm="1" vm="2158">
        <f t="array" aca="1" ref="M751" ca="1">IFERROR(INDEX(_xlfn.ANCHORARRAY($C$3),T_CALC[[#This Row],[DAY]]+1,3),NA())</f>
        <v>1.3605</v>
      </c>
      <c r="N751" cm="1" vm="2040">
        <f t="array" aca="1" ref="N751" ca="1">IFERROR(INDEX(_xlfn.ANCHORARRAY($C$3),T_CALC[[#This Row],[DAY]]+1,4),NA())</f>
        <v>1.3614999999999999</v>
      </c>
      <c r="O751" cm="1" vm="2013">
        <f t="array" aca="1" ref="O751" ca="1">IFERROR(INDEX(_xlfn.ANCHORARRAY($C$3),T_CALC[[#This Row],[DAY]]+1,5),NA())</f>
        <v>1.3588</v>
      </c>
      <c r="P751" cm="1" vm="2036">
        <f t="array" aca="1" ref="P751" ca="1">IFERROR(INDEX(_xlfn.ANCHORARRAY($C$3),T_CALC[[#This Row],[DAY]]+1,6),NA())</f>
        <v>1.3604000000000001</v>
      </c>
      <c r="Q751" cm="1">
        <f t="array" aca="1" ref="Q751" ca="1">IFERROR(INDEX(_xlfn.ANCHORARRAY($C$3),T_CALC[[#This Row],[DAY]]+1,2),NA())</f>
        <v>0</v>
      </c>
    </row>
    <row r="752" spans="3:17">
      <c r="C752" vm="3194">
        <f ca="1"/>
        <v>43808</v>
      </c>
      <c r="D752">
        <f ca="1"/>
        <v>0</v>
      </c>
      <c r="E752" vm="2194">
        <f ca="1"/>
        <v>1.3602000000000001</v>
      </c>
      <c r="F752" vm="1996">
        <f ca="1"/>
        <v>1.3613999999999999</v>
      </c>
      <c r="G752" vm="1983">
        <f ca="1"/>
        <v>1.3586</v>
      </c>
      <c r="H752" vm="3075">
        <f ca="1"/>
        <v>1.3591</v>
      </c>
      <c r="K752">
        <f ca="1">IF(ROW(T_CALC[[#This Row],[DAY]])-ROW(T_CALC[[#Headers],[DAY]])&gt;C_N_TRADING_DAYS,"",ROW(T_CALC[[#This Row],[DAY]])-ROW(T_CALC[[#Headers],[DAY]]))</f>
        <v>749</v>
      </c>
      <c r="L752" cm="1" vm="3194">
        <f t="array" aca="1" ref="L752" ca="1">IFERROR(INDEX(_xlfn.ANCHORARRAY($C$3),T_CALC[[#This Row],[DAY]]+1,1),NA())</f>
        <v>43808</v>
      </c>
      <c r="M752" cm="1" vm="2194">
        <f t="array" aca="1" ref="M752" ca="1">IFERROR(INDEX(_xlfn.ANCHORARRAY($C$3),T_CALC[[#This Row],[DAY]]+1,3),NA())</f>
        <v>1.3602000000000001</v>
      </c>
      <c r="N752" cm="1" vm="1996">
        <f t="array" aca="1" ref="N752" ca="1">IFERROR(INDEX(_xlfn.ANCHORARRAY($C$3),T_CALC[[#This Row],[DAY]]+1,4),NA())</f>
        <v>1.3613999999999999</v>
      </c>
      <c r="O752" cm="1" vm="1983">
        <f t="array" aca="1" ref="O752" ca="1">IFERROR(INDEX(_xlfn.ANCHORARRAY($C$3),T_CALC[[#This Row],[DAY]]+1,5),NA())</f>
        <v>1.3586</v>
      </c>
      <c r="P752" cm="1" vm="3075">
        <f t="array" aca="1" ref="P752" ca="1">IFERROR(INDEX(_xlfn.ANCHORARRAY($C$3),T_CALC[[#This Row],[DAY]]+1,6),NA())</f>
        <v>1.3591</v>
      </c>
      <c r="Q752" cm="1">
        <f t="array" aca="1" ref="Q752" ca="1">IFERROR(INDEX(_xlfn.ANCHORARRAY($C$3),T_CALC[[#This Row],[DAY]]+1,2),NA())</f>
        <v>0</v>
      </c>
    </row>
    <row r="753" spans="3:17">
      <c r="C753" vm="3195">
        <f ca="1"/>
        <v>43809</v>
      </c>
      <c r="D753">
        <f ca="1"/>
        <v>0</v>
      </c>
      <c r="E753" vm="2051">
        <f ca="1"/>
        <v>1.3594999999999999</v>
      </c>
      <c r="F753" vm="2020">
        <f ca="1"/>
        <v>1.3603000000000001</v>
      </c>
      <c r="G753" vm="2151">
        <f ca="1"/>
        <v>1.3575999999999999</v>
      </c>
      <c r="H753" vm="2075">
        <f ca="1"/>
        <v>1.3581000000000001</v>
      </c>
      <c r="K753">
        <f ca="1">IF(ROW(T_CALC[[#This Row],[DAY]])-ROW(T_CALC[[#Headers],[DAY]])&gt;C_N_TRADING_DAYS,"",ROW(T_CALC[[#This Row],[DAY]])-ROW(T_CALC[[#Headers],[DAY]]))</f>
        <v>750</v>
      </c>
      <c r="L753" cm="1" vm="3195">
        <f t="array" aca="1" ref="L753" ca="1">IFERROR(INDEX(_xlfn.ANCHORARRAY($C$3),T_CALC[[#This Row],[DAY]]+1,1),NA())</f>
        <v>43809</v>
      </c>
      <c r="M753" cm="1" vm="2051">
        <f t="array" aca="1" ref="M753" ca="1">IFERROR(INDEX(_xlfn.ANCHORARRAY($C$3),T_CALC[[#This Row],[DAY]]+1,3),NA())</f>
        <v>1.3594999999999999</v>
      </c>
      <c r="N753" cm="1" vm="2020">
        <f t="array" aca="1" ref="N753" ca="1">IFERROR(INDEX(_xlfn.ANCHORARRAY($C$3),T_CALC[[#This Row],[DAY]]+1,4),NA())</f>
        <v>1.3603000000000001</v>
      </c>
      <c r="O753" cm="1" vm="2151">
        <f t="array" aca="1" ref="O753" ca="1">IFERROR(INDEX(_xlfn.ANCHORARRAY($C$3),T_CALC[[#This Row],[DAY]]+1,5),NA())</f>
        <v>1.3575999999999999</v>
      </c>
      <c r="P753" cm="1" vm="2075">
        <f t="array" aca="1" ref="P753" ca="1">IFERROR(INDEX(_xlfn.ANCHORARRAY($C$3),T_CALC[[#This Row],[DAY]]+1,6),NA())</f>
        <v>1.3581000000000001</v>
      </c>
      <c r="Q753" cm="1">
        <f t="array" aca="1" ref="Q753" ca="1">IFERROR(INDEX(_xlfn.ANCHORARRAY($C$3),T_CALC[[#This Row],[DAY]]+1,2),NA())</f>
        <v>0</v>
      </c>
    </row>
    <row r="754" spans="3:17">
      <c r="C754" vm="3196">
        <f ca="1"/>
        <v>43810</v>
      </c>
      <c r="D754">
        <f ca="1"/>
        <v>0</v>
      </c>
      <c r="E754" vm="2075">
        <f ca="1"/>
        <v>1.3581000000000001</v>
      </c>
      <c r="F754" vm="2194">
        <f ca="1"/>
        <v>1.3602000000000001</v>
      </c>
      <c r="G754" vm="2230">
        <f ca="1"/>
        <v>1.3567</v>
      </c>
      <c r="H754" vm="2000">
        <f ca="1"/>
        <v>1.3569</v>
      </c>
      <c r="K754">
        <f ca="1">IF(ROW(T_CALC[[#This Row],[DAY]])-ROW(T_CALC[[#Headers],[DAY]])&gt;C_N_TRADING_DAYS,"",ROW(T_CALC[[#This Row],[DAY]])-ROW(T_CALC[[#Headers],[DAY]]))</f>
        <v>751</v>
      </c>
      <c r="L754" cm="1" vm="3196">
        <f t="array" aca="1" ref="L754" ca="1">IFERROR(INDEX(_xlfn.ANCHORARRAY($C$3),T_CALC[[#This Row],[DAY]]+1,1),NA())</f>
        <v>43810</v>
      </c>
      <c r="M754" cm="1" vm="2075">
        <f t="array" aca="1" ref="M754" ca="1">IFERROR(INDEX(_xlfn.ANCHORARRAY($C$3),T_CALC[[#This Row],[DAY]]+1,3),NA())</f>
        <v>1.3581000000000001</v>
      </c>
      <c r="N754" cm="1" vm="2194">
        <f t="array" aca="1" ref="N754" ca="1">IFERROR(INDEX(_xlfn.ANCHORARRAY($C$3),T_CALC[[#This Row],[DAY]]+1,4),NA())</f>
        <v>1.3602000000000001</v>
      </c>
      <c r="O754" cm="1" vm="2230">
        <f t="array" aca="1" ref="O754" ca="1">IFERROR(INDEX(_xlfn.ANCHORARRAY($C$3),T_CALC[[#This Row],[DAY]]+1,5),NA())</f>
        <v>1.3567</v>
      </c>
      <c r="P754" cm="1" vm="2000">
        <f t="array" aca="1" ref="P754" ca="1">IFERROR(INDEX(_xlfn.ANCHORARRAY($C$3),T_CALC[[#This Row],[DAY]]+1,6),NA())</f>
        <v>1.3569</v>
      </c>
      <c r="Q754" cm="1">
        <f t="array" aca="1" ref="Q754" ca="1">IFERROR(INDEX(_xlfn.ANCHORARRAY($C$3),T_CALC[[#This Row],[DAY]]+1,2),NA())</f>
        <v>0</v>
      </c>
    </row>
    <row r="755" spans="3:17">
      <c r="C755" vm="3197">
        <f ca="1"/>
        <v>43811</v>
      </c>
      <c r="D755">
        <f ca="1"/>
        <v>0</v>
      </c>
      <c r="E755" vm="2065">
        <f ca="1"/>
        <v>1.3568</v>
      </c>
      <c r="F755" vm="2010">
        <f ca="1"/>
        <v>1.3576999999999999</v>
      </c>
      <c r="G755" vm="2007">
        <f ca="1"/>
        <v>1.3536999999999999</v>
      </c>
      <c r="H755" vm="2005">
        <f ca="1"/>
        <v>1.3542000000000001</v>
      </c>
      <c r="K755">
        <f ca="1">IF(ROW(T_CALC[[#This Row],[DAY]])-ROW(T_CALC[[#Headers],[DAY]])&gt;C_N_TRADING_DAYS,"",ROW(T_CALC[[#This Row],[DAY]])-ROW(T_CALC[[#Headers],[DAY]]))</f>
        <v>752</v>
      </c>
      <c r="L755" cm="1" vm="3197">
        <f t="array" aca="1" ref="L755" ca="1">IFERROR(INDEX(_xlfn.ANCHORARRAY($C$3),T_CALC[[#This Row],[DAY]]+1,1),NA())</f>
        <v>43811</v>
      </c>
      <c r="M755" cm="1" vm="2065">
        <f t="array" aca="1" ref="M755" ca="1">IFERROR(INDEX(_xlfn.ANCHORARRAY($C$3),T_CALC[[#This Row],[DAY]]+1,3),NA())</f>
        <v>1.3568</v>
      </c>
      <c r="N755" cm="1" vm="2010">
        <f t="array" aca="1" ref="N755" ca="1">IFERROR(INDEX(_xlfn.ANCHORARRAY($C$3),T_CALC[[#This Row],[DAY]]+1,4),NA())</f>
        <v>1.3576999999999999</v>
      </c>
      <c r="O755" cm="1" vm="2007">
        <f t="array" aca="1" ref="O755" ca="1">IFERROR(INDEX(_xlfn.ANCHORARRAY($C$3),T_CALC[[#This Row],[DAY]]+1,5),NA())</f>
        <v>1.3536999999999999</v>
      </c>
      <c r="P755" cm="1" vm="2005">
        <f t="array" aca="1" ref="P755" ca="1">IFERROR(INDEX(_xlfn.ANCHORARRAY($C$3),T_CALC[[#This Row],[DAY]]+1,6),NA())</f>
        <v>1.3542000000000001</v>
      </c>
      <c r="Q755" cm="1">
        <f t="array" aca="1" ref="Q755" ca="1">IFERROR(INDEX(_xlfn.ANCHORARRAY($C$3),T_CALC[[#This Row],[DAY]]+1,2),NA())</f>
        <v>0</v>
      </c>
    </row>
    <row r="756" spans="3:17">
      <c r="C756" vm="3198">
        <f ca="1"/>
        <v>43812</v>
      </c>
      <c r="D756">
        <f ca="1"/>
        <v>0</v>
      </c>
      <c r="E756" vm="2005">
        <f ca="1"/>
        <v>1.3542000000000001</v>
      </c>
      <c r="F756" vm="2170">
        <f ca="1"/>
        <v>1.3559000000000001</v>
      </c>
      <c r="G756" vm="2940">
        <f ca="1"/>
        <v>1.3509</v>
      </c>
      <c r="H756" vm="1993">
        <f ca="1"/>
        <v>1.3535999999999999</v>
      </c>
      <c r="K756">
        <f ca="1">IF(ROW(T_CALC[[#This Row],[DAY]])-ROW(T_CALC[[#Headers],[DAY]])&gt;C_N_TRADING_DAYS,"",ROW(T_CALC[[#This Row],[DAY]])-ROW(T_CALC[[#Headers],[DAY]]))</f>
        <v>753</v>
      </c>
      <c r="L756" cm="1" vm="3198">
        <f t="array" aca="1" ref="L756" ca="1">IFERROR(INDEX(_xlfn.ANCHORARRAY($C$3),T_CALC[[#This Row],[DAY]]+1,1),NA())</f>
        <v>43812</v>
      </c>
      <c r="M756" cm="1" vm="2005">
        <f t="array" aca="1" ref="M756" ca="1">IFERROR(INDEX(_xlfn.ANCHORARRAY($C$3),T_CALC[[#This Row],[DAY]]+1,3),NA())</f>
        <v>1.3542000000000001</v>
      </c>
      <c r="N756" cm="1" vm="2170">
        <f t="array" aca="1" ref="N756" ca="1">IFERROR(INDEX(_xlfn.ANCHORARRAY($C$3),T_CALC[[#This Row],[DAY]]+1,4),NA())</f>
        <v>1.3559000000000001</v>
      </c>
      <c r="O756" cm="1" vm="2940">
        <f t="array" aca="1" ref="O756" ca="1">IFERROR(INDEX(_xlfn.ANCHORARRAY($C$3),T_CALC[[#This Row],[DAY]]+1,5),NA())</f>
        <v>1.3509</v>
      </c>
      <c r="P756" cm="1" vm="1993">
        <f t="array" aca="1" ref="P756" ca="1">IFERROR(INDEX(_xlfn.ANCHORARRAY($C$3),T_CALC[[#This Row],[DAY]]+1,6),NA())</f>
        <v>1.3535999999999999</v>
      </c>
      <c r="Q756" cm="1">
        <f t="array" aca="1" ref="Q756" ca="1">IFERROR(INDEX(_xlfn.ANCHORARRAY($C$3),T_CALC[[#This Row],[DAY]]+1,2),NA())</f>
        <v>0</v>
      </c>
    </row>
    <row r="757" spans="3:17">
      <c r="C757" vm="3199">
        <f ca="1"/>
        <v>43815</v>
      </c>
      <c r="D757">
        <f ca="1"/>
        <v>0</v>
      </c>
      <c r="E757" vm="1993">
        <f ca="1"/>
        <v>1.3535999999999999</v>
      </c>
      <c r="F757" vm="2230">
        <f ca="1"/>
        <v>1.3567</v>
      </c>
      <c r="G757" vm="2069">
        <f ca="1"/>
        <v>1.353</v>
      </c>
      <c r="H757" vm="2965">
        <f ca="1"/>
        <v>1.3544</v>
      </c>
      <c r="K757">
        <f ca="1">IF(ROW(T_CALC[[#This Row],[DAY]])-ROW(T_CALC[[#Headers],[DAY]])&gt;C_N_TRADING_DAYS,"",ROW(T_CALC[[#This Row],[DAY]])-ROW(T_CALC[[#Headers],[DAY]]))</f>
        <v>754</v>
      </c>
      <c r="L757" cm="1" vm="3199">
        <f t="array" aca="1" ref="L757" ca="1">IFERROR(INDEX(_xlfn.ANCHORARRAY($C$3),T_CALC[[#This Row],[DAY]]+1,1),NA())</f>
        <v>43815</v>
      </c>
      <c r="M757" cm="1" vm="1993">
        <f t="array" aca="1" ref="M757" ca="1">IFERROR(INDEX(_xlfn.ANCHORARRAY($C$3),T_CALC[[#This Row],[DAY]]+1,3),NA())</f>
        <v>1.3535999999999999</v>
      </c>
      <c r="N757" cm="1" vm="2230">
        <f t="array" aca="1" ref="N757" ca="1">IFERROR(INDEX(_xlfn.ANCHORARRAY($C$3),T_CALC[[#This Row],[DAY]]+1,4),NA())</f>
        <v>1.3567</v>
      </c>
      <c r="O757" cm="1" vm="2069">
        <f t="array" aca="1" ref="O757" ca="1">IFERROR(INDEX(_xlfn.ANCHORARRAY($C$3),T_CALC[[#This Row],[DAY]]+1,5),NA())</f>
        <v>1.353</v>
      </c>
      <c r="P757" cm="1" vm="2965">
        <f t="array" aca="1" ref="P757" ca="1">IFERROR(INDEX(_xlfn.ANCHORARRAY($C$3),T_CALC[[#This Row],[DAY]]+1,6),NA())</f>
        <v>1.3544</v>
      </c>
      <c r="Q757" cm="1">
        <f t="array" aca="1" ref="Q757" ca="1">IFERROR(INDEX(_xlfn.ANCHORARRAY($C$3),T_CALC[[#This Row],[DAY]]+1,2),NA())</f>
        <v>0</v>
      </c>
    </row>
    <row r="758" spans="3:17">
      <c r="C758" vm="3200">
        <f ca="1"/>
        <v>43816</v>
      </c>
      <c r="D758">
        <f ca="1"/>
        <v>0</v>
      </c>
      <c r="E758" vm="2148">
        <f ca="1"/>
        <v>1.3543000000000001</v>
      </c>
      <c r="F758" vm="2223">
        <f ca="1"/>
        <v>1.3562000000000001</v>
      </c>
      <c r="G758" vm="2928">
        <f ca="1"/>
        <v>1.3534999999999999</v>
      </c>
      <c r="H758" vm="2061">
        <f ca="1"/>
        <v>1.3547</v>
      </c>
      <c r="K758">
        <f ca="1">IF(ROW(T_CALC[[#This Row],[DAY]])-ROW(T_CALC[[#Headers],[DAY]])&gt;C_N_TRADING_DAYS,"",ROW(T_CALC[[#This Row],[DAY]])-ROW(T_CALC[[#Headers],[DAY]]))</f>
        <v>755</v>
      </c>
      <c r="L758" cm="1" vm="3200">
        <f t="array" aca="1" ref="L758" ca="1">IFERROR(INDEX(_xlfn.ANCHORARRAY($C$3),T_CALC[[#This Row],[DAY]]+1,1),NA())</f>
        <v>43816</v>
      </c>
      <c r="M758" cm="1" vm="2148">
        <f t="array" aca="1" ref="M758" ca="1">IFERROR(INDEX(_xlfn.ANCHORARRAY($C$3),T_CALC[[#This Row],[DAY]]+1,3),NA())</f>
        <v>1.3543000000000001</v>
      </c>
      <c r="N758" cm="1" vm="2223">
        <f t="array" aca="1" ref="N758" ca="1">IFERROR(INDEX(_xlfn.ANCHORARRAY($C$3),T_CALC[[#This Row],[DAY]]+1,4),NA())</f>
        <v>1.3562000000000001</v>
      </c>
      <c r="O758" cm="1" vm="2928">
        <f t="array" aca="1" ref="O758" ca="1">IFERROR(INDEX(_xlfn.ANCHORARRAY($C$3),T_CALC[[#This Row],[DAY]]+1,5),NA())</f>
        <v>1.3534999999999999</v>
      </c>
      <c r="P758" cm="1" vm="2061">
        <f t="array" aca="1" ref="P758" ca="1">IFERROR(INDEX(_xlfn.ANCHORARRAY($C$3),T_CALC[[#This Row],[DAY]]+1,6),NA())</f>
        <v>1.3547</v>
      </c>
      <c r="Q758" cm="1">
        <f t="array" aca="1" ref="Q758" ca="1">IFERROR(INDEX(_xlfn.ANCHORARRAY($C$3),T_CALC[[#This Row],[DAY]]+1,2),NA())</f>
        <v>0</v>
      </c>
    </row>
    <row r="759" spans="3:17">
      <c r="C759" vm="3201">
        <f ca="1"/>
        <v>43817</v>
      </c>
      <c r="D759">
        <f ca="1"/>
        <v>0</v>
      </c>
      <c r="E759" vm="2920">
        <f ca="1"/>
        <v>1.3546</v>
      </c>
      <c r="F759" vm="2000">
        <f ca="1"/>
        <v>1.3569</v>
      </c>
      <c r="G759" vm="2148">
        <f ca="1"/>
        <v>1.3543000000000001</v>
      </c>
      <c r="H759" vm="2153">
        <f ca="1"/>
        <v>1.3551</v>
      </c>
      <c r="K759">
        <f ca="1">IF(ROW(T_CALC[[#This Row],[DAY]])-ROW(T_CALC[[#Headers],[DAY]])&gt;C_N_TRADING_DAYS,"",ROW(T_CALC[[#This Row],[DAY]])-ROW(T_CALC[[#Headers],[DAY]]))</f>
        <v>756</v>
      </c>
      <c r="L759" cm="1" vm="3201">
        <f t="array" aca="1" ref="L759" ca="1">IFERROR(INDEX(_xlfn.ANCHORARRAY($C$3),T_CALC[[#This Row],[DAY]]+1,1),NA())</f>
        <v>43817</v>
      </c>
      <c r="M759" cm="1" vm="2920">
        <f t="array" aca="1" ref="M759" ca="1">IFERROR(INDEX(_xlfn.ANCHORARRAY($C$3),T_CALC[[#This Row],[DAY]]+1,3),NA())</f>
        <v>1.3546</v>
      </c>
      <c r="N759" cm="1" vm="2000">
        <f t="array" aca="1" ref="N759" ca="1">IFERROR(INDEX(_xlfn.ANCHORARRAY($C$3),T_CALC[[#This Row],[DAY]]+1,4),NA())</f>
        <v>1.3569</v>
      </c>
      <c r="O759" cm="1" vm="2148">
        <f t="array" aca="1" ref="O759" ca="1">IFERROR(INDEX(_xlfn.ANCHORARRAY($C$3),T_CALC[[#This Row],[DAY]]+1,5),NA())</f>
        <v>1.3543000000000001</v>
      </c>
      <c r="P759" cm="1" vm="2153">
        <f t="array" aca="1" ref="P759" ca="1">IFERROR(INDEX(_xlfn.ANCHORARRAY($C$3),T_CALC[[#This Row],[DAY]]+1,6),NA())</f>
        <v>1.3551</v>
      </c>
      <c r="Q759" cm="1">
        <f t="array" aca="1" ref="Q759" ca="1">IFERROR(INDEX(_xlfn.ANCHORARRAY($C$3),T_CALC[[#This Row],[DAY]]+1,2),NA())</f>
        <v>0</v>
      </c>
    </row>
    <row r="760" spans="3:17">
      <c r="C760" vm="3202">
        <f ca="1"/>
        <v>43818</v>
      </c>
      <c r="D760">
        <f ca="1"/>
        <v>0</v>
      </c>
      <c r="E760" vm="2153">
        <f ca="1"/>
        <v>1.3551</v>
      </c>
      <c r="F760" vm="2916">
        <f ca="1"/>
        <v>1.3560000000000001</v>
      </c>
      <c r="G760" vm="2228">
        <f ca="1"/>
        <v>1.3539000000000001</v>
      </c>
      <c r="H760" vm="2153">
        <f ca="1"/>
        <v>1.3551</v>
      </c>
      <c r="K760">
        <f ca="1">IF(ROW(T_CALC[[#This Row],[DAY]])-ROW(T_CALC[[#Headers],[DAY]])&gt;C_N_TRADING_DAYS,"",ROW(T_CALC[[#This Row],[DAY]])-ROW(T_CALC[[#Headers],[DAY]]))</f>
        <v>757</v>
      </c>
      <c r="L760" cm="1" vm="3202">
        <f t="array" aca="1" ref="L760" ca="1">IFERROR(INDEX(_xlfn.ANCHORARRAY($C$3),T_CALC[[#This Row],[DAY]]+1,1),NA())</f>
        <v>43818</v>
      </c>
      <c r="M760" cm="1" vm="2153">
        <f t="array" aca="1" ref="M760" ca="1">IFERROR(INDEX(_xlfn.ANCHORARRAY($C$3),T_CALC[[#This Row],[DAY]]+1,3),NA())</f>
        <v>1.3551</v>
      </c>
      <c r="N760" cm="1" vm="2916">
        <f t="array" aca="1" ref="N760" ca="1">IFERROR(INDEX(_xlfn.ANCHORARRAY($C$3),T_CALC[[#This Row],[DAY]]+1,4),NA())</f>
        <v>1.3560000000000001</v>
      </c>
      <c r="O760" cm="1" vm="2228">
        <f t="array" aca="1" ref="O760" ca="1">IFERROR(INDEX(_xlfn.ANCHORARRAY($C$3),T_CALC[[#This Row],[DAY]]+1,5),NA())</f>
        <v>1.3539000000000001</v>
      </c>
      <c r="P760" cm="1" vm="2153">
        <f t="array" aca="1" ref="P760" ca="1">IFERROR(INDEX(_xlfn.ANCHORARRAY($C$3),T_CALC[[#This Row],[DAY]]+1,6),NA())</f>
        <v>1.3551</v>
      </c>
      <c r="Q760" cm="1">
        <f t="array" aca="1" ref="Q760" ca="1">IFERROR(INDEX(_xlfn.ANCHORARRAY($C$3),T_CALC[[#This Row],[DAY]]+1,2),NA())</f>
        <v>0</v>
      </c>
    </row>
    <row r="761" spans="3:17">
      <c r="C761" vm="3203">
        <f ca="1"/>
        <v>43819</v>
      </c>
      <c r="D761">
        <f ca="1"/>
        <v>0</v>
      </c>
      <c r="E761" vm="2077">
        <f ca="1"/>
        <v>1.355</v>
      </c>
      <c r="F761" vm="2070">
        <f ca="1"/>
        <v>1.3563000000000001</v>
      </c>
      <c r="G761" vm="2002">
        <f ca="1"/>
        <v>1.3540000000000001</v>
      </c>
      <c r="H761" vm="2064">
        <f ca="1"/>
        <v>1.3548</v>
      </c>
      <c r="K761">
        <f ca="1">IF(ROW(T_CALC[[#This Row],[DAY]])-ROW(T_CALC[[#Headers],[DAY]])&gt;C_N_TRADING_DAYS,"",ROW(T_CALC[[#This Row],[DAY]])-ROW(T_CALC[[#Headers],[DAY]]))</f>
        <v>758</v>
      </c>
      <c r="L761" cm="1" vm="3203">
        <f t="array" aca="1" ref="L761" ca="1">IFERROR(INDEX(_xlfn.ANCHORARRAY($C$3),T_CALC[[#This Row],[DAY]]+1,1),NA())</f>
        <v>43819</v>
      </c>
      <c r="M761" cm="1" vm="2077">
        <f t="array" aca="1" ref="M761" ca="1">IFERROR(INDEX(_xlfn.ANCHORARRAY($C$3),T_CALC[[#This Row],[DAY]]+1,3),NA())</f>
        <v>1.355</v>
      </c>
      <c r="N761" cm="1" vm="2070">
        <f t="array" aca="1" ref="N761" ca="1">IFERROR(INDEX(_xlfn.ANCHORARRAY($C$3),T_CALC[[#This Row],[DAY]]+1,4),NA())</f>
        <v>1.3563000000000001</v>
      </c>
      <c r="O761" cm="1" vm="2002">
        <f t="array" aca="1" ref="O761" ca="1">IFERROR(INDEX(_xlfn.ANCHORARRAY($C$3),T_CALC[[#This Row],[DAY]]+1,5),NA())</f>
        <v>1.3540000000000001</v>
      </c>
      <c r="P761" cm="1" vm="2064">
        <f t="array" aca="1" ref="P761" ca="1">IFERROR(INDEX(_xlfn.ANCHORARRAY($C$3),T_CALC[[#This Row],[DAY]]+1,6),NA())</f>
        <v>1.3548</v>
      </c>
      <c r="Q761" cm="1">
        <f t="array" aca="1" ref="Q761" ca="1">IFERROR(INDEX(_xlfn.ANCHORARRAY($C$3),T_CALC[[#This Row],[DAY]]+1,2),NA())</f>
        <v>0</v>
      </c>
    </row>
    <row r="762" spans="3:17">
      <c r="C762" vm="3204">
        <f ca="1"/>
        <v>43822</v>
      </c>
      <c r="D762">
        <f ca="1"/>
        <v>0</v>
      </c>
      <c r="E762" vm="2064">
        <f ca="1"/>
        <v>1.3548</v>
      </c>
      <c r="F762" vm="2230">
        <f ca="1"/>
        <v>1.3567</v>
      </c>
      <c r="G762" vm="2148">
        <f ca="1"/>
        <v>1.3543000000000001</v>
      </c>
      <c r="H762" vm="2062">
        <f ca="1"/>
        <v>1.3553999999999999</v>
      </c>
      <c r="K762">
        <f ca="1">IF(ROW(T_CALC[[#This Row],[DAY]])-ROW(T_CALC[[#Headers],[DAY]])&gt;C_N_TRADING_DAYS,"",ROW(T_CALC[[#This Row],[DAY]])-ROW(T_CALC[[#Headers],[DAY]]))</f>
        <v>759</v>
      </c>
      <c r="L762" cm="1" vm="3204">
        <f t="array" aca="1" ref="L762" ca="1">IFERROR(INDEX(_xlfn.ANCHORARRAY($C$3),T_CALC[[#This Row],[DAY]]+1,1),NA())</f>
        <v>43822</v>
      </c>
      <c r="M762" cm="1" vm="2064">
        <f t="array" aca="1" ref="M762" ca="1">IFERROR(INDEX(_xlfn.ANCHORARRAY($C$3),T_CALC[[#This Row],[DAY]]+1,3),NA())</f>
        <v>1.3548</v>
      </c>
      <c r="N762" cm="1" vm="2230">
        <f t="array" aca="1" ref="N762" ca="1">IFERROR(INDEX(_xlfn.ANCHORARRAY($C$3),T_CALC[[#This Row],[DAY]]+1,4),NA())</f>
        <v>1.3567</v>
      </c>
      <c r="O762" cm="1" vm="2148">
        <f t="array" aca="1" ref="O762" ca="1">IFERROR(INDEX(_xlfn.ANCHORARRAY($C$3),T_CALC[[#This Row],[DAY]]+1,5),NA())</f>
        <v>1.3543000000000001</v>
      </c>
      <c r="P762" cm="1" vm="2062">
        <f t="array" aca="1" ref="P762" ca="1">IFERROR(INDEX(_xlfn.ANCHORARRAY($C$3),T_CALC[[#This Row],[DAY]]+1,6),NA())</f>
        <v>1.3553999999999999</v>
      </c>
      <c r="Q762" cm="1">
        <f t="array" aca="1" ref="Q762" ca="1">IFERROR(INDEX(_xlfn.ANCHORARRAY($C$3),T_CALC[[#This Row],[DAY]]+1,2),NA())</f>
        <v>0</v>
      </c>
    </row>
    <row r="763" spans="3:17">
      <c r="C763" vm="3205">
        <f ca="1"/>
        <v>43823</v>
      </c>
      <c r="D763">
        <f ca="1"/>
        <v>0</v>
      </c>
      <c r="E763" vm="2062">
        <f ca="1"/>
        <v>1.3553999999999999</v>
      </c>
      <c r="F763" vm="2223">
        <f ca="1"/>
        <v>1.3562000000000001</v>
      </c>
      <c r="G763" vm="2965">
        <f ca="1"/>
        <v>1.3544</v>
      </c>
      <c r="H763" vm="2153">
        <f ca="1"/>
        <v>1.3551</v>
      </c>
      <c r="K763">
        <f ca="1">IF(ROW(T_CALC[[#This Row],[DAY]])-ROW(T_CALC[[#Headers],[DAY]])&gt;C_N_TRADING_DAYS,"",ROW(T_CALC[[#This Row],[DAY]])-ROW(T_CALC[[#Headers],[DAY]]))</f>
        <v>760</v>
      </c>
      <c r="L763" cm="1" vm="3205">
        <f t="array" aca="1" ref="L763" ca="1">IFERROR(INDEX(_xlfn.ANCHORARRAY($C$3),T_CALC[[#This Row],[DAY]]+1,1),NA())</f>
        <v>43823</v>
      </c>
      <c r="M763" cm="1" vm="2062">
        <f t="array" aca="1" ref="M763" ca="1">IFERROR(INDEX(_xlfn.ANCHORARRAY($C$3),T_CALC[[#This Row],[DAY]]+1,3),NA())</f>
        <v>1.3553999999999999</v>
      </c>
      <c r="N763" cm="1" vm="2223">
        <f t="array" aca="1" ref="N763" ca="1">IFERROR(INDEX(_xlfn.ANCHORARRAY($C$3),T_CALC[[#This Row],[DAY]]+1,4),NA())</f>
        <v>1.3562000000000001</v>
      </c>
      <c r="O763" cm="1" vm="2965">
        <f t="array" aca="1" ref="O763" ca="1">IFERROR(INDEX(_xlfn.ANCHORARRAY($C$3),T_CALC[[#This Row],[DAY]]+1,5),NA())</f>
        <v>1.3544</v>
      </c>
      <c r="P763" cm="1" vm="2153">
        <f t="array" aca="1" ref="P763" ca="1">IFERROR(INDEX(_xlfn.ANCHORARRAY($C$3),T_CALC[[#This Row],[DAY]]+1,6),NA())</f>
        <v>1.3551</v>
      </c>
      <c r="Q763" cm="1">
        <f t="array" aca="1" ref="Q763" ca="1">IFERROR(INDEX(_xlfn.ANCHORARRAY($C$3),T_CALC[[#This Row],[DAY]]+1,2),NA())</f>
        <v>0</v>
      </c>
    </row>
    <row r="764" spans="3:17">
      <c r="C764" vm="3206">
        <f ca="1"/>
        <v>43824</v>
      </c>
      <c r="D764">
        <f ca="1"/>
        <v>0</v>
      </c>
      <c r="E764" vm="2185">
        <f ca="1"/>
        <v>1.3552999999999999</v>
      </c>
      <c r="F764" vm="2185">
        <f ca="1"/>
        <v>1.3552999999999999</v>
      </c>
      <c r="G764" vm="2005">
        <f ca="1"/>
        <v>1.3542000000000001</v>
      </c>
      <c r="H764" vm="2920">
        <f ca="1"/>
        <v>1.3546</v>
      </c>
      <c r="K764">
        <f ca="1">IF(ROW(T_CALC[[#This Row],[DAY]])-ROW(T_CALC[[#Headers],[DAY]])&gt;C_N_TRADING_DAYS,"",ROW(T_CALC[[#This Row],[DAY]])-ROW(T_CALC[[#Headers],[DAY]]))</f>
        <v>761</v>
      </c>
      <c r="L764" cm="1" vm="3206">
        <f t="array" aca="1" ref="L764" ca="1">IFERROR(INDEX(_xlfn.ANCHORARRAY($C$3),T_CALC[[#This Row],[DAY]]+1,1),NA())</f>
        <v>43824</v>
      </c>
      <c r="M764" cm="1" vm="2185">
        <f t="array" aca="1" ref="M764" ca="1">IFERROR(INDEX(_xlfn.ANCHORARRAY($C$3),T_CALC[[#This Row],[DAY]]+1,3),NA())</f>
        <v>1.3552999999999999</v>
      </c>
      <c r="N764" cm="1" vm="2185">
        <f t="array" aca="1" ref="N764" ca="1">IFERROR(INDEX(_xlfn.ANCHORARRAY($C$3),T_CALC[[#This Row],[DAY]]+1,4),NA())</f>
        <v>1.3552999999999999</v>
      </c>
      <c r="O764" cm="1" vm="2005">
        <f t="array" aca="1" ref="O764" ca="1">IFERROR(INDEX(_xlfn.ANCHORARRAY($C$3),T_CALC[[#This Row],[DAY]]+1,5),NA())</f>
        <v>1.3542000000000001</v>
      </c>
      <c r="P764" cm="1" vm="2920">
        <f t="array" aca="1" ref="P764" ca="1">IFERROR(INDEX(_xlfn.ANCHORARRAY($C$3),T_CALC[[#This Row],[DAY]]+1,6),NA())</f>
        <v>1.3546</v>
      </c>
      <c r="Q764" cm="1">
        <f t="array" aca="1" ref="Q764" ca="1">IFERROR(INDEX(_xlfn.ANCHORARRAY($C$3),T_CALC[[#This Row],[DAY]]+1,2),NA())</f>
        <v>0</v>
      </c>
    </row>
    <row r="765" spans="3:17">
      <c r="C765" vm="3207">
        <f ca="1"/>
        <v>43825</v>
      </c>
      <c r="D765">
        <f ca="1"/>
        <v>0</v>
      </c>
      <c r="E765" vm="2064">
        <f ca="1"/>
        <v>1.3548</v>
      </c>
      <c r="F765" vm="1988">
        <f ca="1"/>
        <v>1.3552</v>
      </c>
      <c r="G765" vm="2671">
        <f ca="1"/>
        <v>1.3531</v>
      </c>
      <c r="H765" vm="2228">
        <f ca="1"/>
        <v>1.3539000000000001</v>
      </c>
      <c r="K765">
        <f ca="1">IF(ROW(T_CALC[[#This Row],[DAY]])-ROW(T_CALC[[#Headers],[DAY]])&gt;C_N_TRADING_DAYS,"",ROW(T_CALC[[#This Row],[DAY]])-ROW(T_CALC[[#Headers],[DAY]]))</f>
        <v>762</v>
      </c>
      <c r="L765" cm="1" vm="3207">
        <f t="array" aca="1" ref="L765" ca="1">IFERROR(INDEX(_xlfn.ANCHORARRAY($C$3),T_CALC[[#This Row],[DAY]]+1,1),NA())</f>
        <v>43825</v>
      </c>
      <c r="M765" cm="1" vm="2064">
        <f t="array" aca="1" ref="M765" ca="1">IFERROR(INDEX(_xlfn.ANCHORARRAY($C$3),T_CALC[[#This Row],[DAY]]+1,3),NA())</f>
        <v>1.3548</v>
      </c>
      <c r="N765" cm="1" vm="1988">
        <f t="array" aca="1" ref="N765" ca="1">IFERROR(INDEX(_xlfn.ANCHORARRAY($C$3),T_CALC[[#This Row],[DAY]]+1,4),NA())</f>
        <v>1.3552</v>
      </c>
      <c r="O765" cm="1" vm="2671">
        <f t="array" aca="1" ref="O765" ca="1">IFERROR(INDEX(_xlfn.ANCHORARRAY($C$3),T_CALC[[#This Row],[DAY]]+1,5),NA())</f>
        <v>1.3531</v>
      </c>
      <c r="P765" cm="1" vm="2228">
        <f t="array" aca="1" ref="P765" ca="1">IFERROR(INDEX(_xlfn.ANCHORARRAY($C$3),T_CALC[[#This Row],[DAY]]+1,6),NA())</f>
        <v>1.3539000000000001</v>
      </c>
      <c r="Q765" cm="1">
        <f t="array" aca="1" ref="Q765" ca="1">IFERROR(INDEX(_xlfn.ANCHORARRAY($C$3),T_CALC[[#This Row],[DAY]]+1,2),NA())</f>
        <v>0</v>
      </c>
    </row>
    <row r="766" spans="3:17">
      <c r="C766" vm="3208">
        <f ca="1"/>
        <v>43826</v>
      </c>
      <c r="D766">
        <f ca="1"/>
        <v>0</v>
      </c>
      <c r="E766" vm="2089">
        <f ca="1"/>
        <v>1.3537999999999999</v>
      </c>
      <c r="F766" vm="2148">
        <f ca="1"/>
        <v>1.3543000000000001</v>
      </c>
      <c r="G766" vm="2145">
        <f ca="1"/>
        <v>1.3512</v>
      </c>
      <c r="H766" vm="2261">
        <f ca="1"/>
        <v>1.3514999999999999</v>
      </c>
      <c r="K766">
        <f ca="1">IF(ROW(T_CALC[[#This Row],[DAY]])-ROW(T_CALC[[#Headers],[DAY]])&gt;C_N_TRADING_DAYS,"",ROW(T_CALC[[#This Row],[DAY]])-ROW(T_CALC[[#Headers],[DAY]]))</f>
        <v>763</v>
      </c>
      <c r="L766" cm="1" vm="3208">
        <f t="array" aca="1" ref="L766" ca="1">IFERROR(INDEX(_xlfn.ANCHORARRAY($C$3),T_CALC[[#This Row],[DAY]]+1,1),NA())</f>
        <v>43826</v>
      </c>
      <c r="M766" cm="1" vm="2089">
        <f t="array" aca="1" ref="M766" ca="1">IFERROR(INDEX(_xlfn.ANCHORARRAY($C$3),T_CALC[[#This Row],[DAY]]+1,3),NA())</f>
        <v>1.3537999999999999</v>
      </c>
      <c r="N766" cm="1" vm="2148">
        <f t="array" aca="1" ref="N766" ca="1">IFERROR(INDEX(_xlfn.ANCHORARRAY($C$3),T_CALC[[#This Row],[DAY]]+1,4),NA())</f>
        <v>1.3543000000000001</v>
      </c>
      <c r="O766" cm="1" vm="2145">
        <f t="array" aca="1" ref="O766" ca="1">IFERROR(INDEX(_xlfn.ANCHORARRAY($C$3),T_CALC[[#This Row],[DAY]]+1,5),NA())</f>
        <v>1.3512</v>
      </c>
      <c r="P766" cm="1" vm="2261">
        <f t="array" aca="1" ref="P766" ca="1">IFERROR(INDEX(_xlfn.ANCHORARRAY($C$3),T_CALC[[#This Row],[DAY]]+1,6),NA())</f>
        <v>1.3514999999999999</v>
      </c>
      <c r="Q766" cm="1">
        <f t="array" aca="1" ref="Q766" ca="1">IFERROR(INDEX(_xlfn.ANCHORARRAY($C$3),T_CALC[[#This Row],[DAY]]+1,2),NA())</f>
        <v>0</v>
      </c>
    </row>
    <row r="767" spans="3:17">
      <c r="C767" vm="3209">
        <f ca="1"/>
        <v>43829</v>
      </c>
      <c r="D767">
        <f ca="1"/>
        <v>0</v>
      </c>
      <c r="E767" vm="2964">
        <f ca="1"/>
        <v>1.3522000000000001</v>
      </c>
      <c r="F767" vm="2066">
        <f ca="1"/>
        <v>1.3524</v>
      </c>
      <c r="G767" vm="2090">
        <f ca="1"/>
        <v>1.3476999999999999</v>
      </c>
      <c r="H767" vm="2984">
        <f ca="1"/>
        <v>1.3485</v>
      </c>
      <c r="K767">
        <f ca="1">IF(ROW(T_CALC[[#This Row],[DAY]])-ROW(T_CALC[[#Headers],[DAY]])&gt;C_N_TRADING_DAYS,"",ROW(T_CALC[[#This Row],[DAY]])-ROW(T_CALC[[#Headers],[DAY]]))</f>
        <v>764</v>
      </c>
      <c r="L767" cm="1" vm="3209">
        <f t="array" aca="1" ref="L767" ca="1">IFERROR(INDEX(_xlfn.ANCHORARRAY($C$3),T_CALC[[#This Row],[DAY]]+1,1),NA())</f>
        <v>43829</v>
      </c>
      <c r="M767" cm="1" vm="2964">
        <f t="array" aca="1" ref="M767" ca="1">IFERROR(INDEX(_xlfn.ANCHORARRAY($C$3),T_CALC[[#This Row],[DAY]]+1,3),NA())</f>
        <v>1.3522000000000001</v>
      </c>
      <c r="N767" cm="1" vm="2066">
        <f t="array" aca="1" ref="N767" ca="1">IFERROR(INDEX(_xlfn.ANCHORARRAY($C$3),T_CALC[[#This Row],[DAY]]+1,4),NA())</f>
        <v>1.3524</v>
      </c>
      <c r="O767" cm="1" vm="2090">
        <f t="array" aca="1" ref="O767" ca="1">IFERROR(INDEX(_xlfn.ANCHORARRAY($C$3),T_CALC[[#This Row],[DAY]]+1,5),NA())</f>
        <v>1.3476999999999999</v>
      </c>
      <c r="P767" cm="1" vm="2984">
        <f t="array" aca="1" ref="P767" ca="1">IFERROR(INDEX(_xlfn.ANCHORARRAY($C$3),T_CALC[[#This Row],[DAY]]+1,6),NA())</f>
        <v>1.3485</v>
      </c>
      <c r="Q767" cm="1">
        <f t="array" aca="1" ref="Q767" ca="1">IFERROR(INDEX(_xlfn.ANCHORARRAY($C$3),T_CALC[[#This Row],[DAY]]+1,2),NA())</f>
        <v>0</v>
      </c>
    </row>
    <row r="768" spans="3:17">
      <c r="C768" vm="3210">
        <f ca="1"/>
        <v>43830</v>
      </c>
      <c r="D768">
        <f ca="1"/>
        <v>0</v>
      </c>
      <c r="E768" vm="2133">
        <f ca="1"/>
        <v>1.3484</v>
      </c>
      <c r="F768" vm="2259">
        <f ca="1"/>
        <v>1.3489</v>
      </c>
      <c r="G768" vm="3211">
        <f ca="1"/>
        <v>1.3439000000000001</v>
      </c>
      <c r="H768" vm="2289">
        <f ca="1"/>
        <v>1.3444</v>
      </c>
      <c r="K768">
        <f ca="1">IF(ROW(T_CALC[[#This Row],[DAY]])-ROW(T_CALC[[#Headers],[DAY]])&gt;C_N_TRADING_DAYS,"",ROW(T_CALC[[#This Row],[DAY]])-ROW(T_CALC[[#Headers],[DAY]]))</f>
        <v>765</v>
      </c>
      <c r="L768" cm="1" vm="3210">
        <f t="array" aca="1" ref="L768" ca="1">IFERROR(INDEX(_xlfn.ANCHORARRAY($C$3),T_CALC[[#This Row],[DAY]]+1,1),NA())</f>
        <v>43830</v>
      </c>
      <c r="M768" cm="1" vm="2133">
        <f t="array" aca="1" ref="M768" ca="1">IFERROR(INDEX(_xlfn.ANCHORARRAY($C$3),T_CALC[[#This Row],[DAY]]+1,3),NA())</f>
        <v>1.3484</v>
      </c>
      <c r="N768" cm="1" vm="2259">
        <f t="array" aca="1" ref="N768" ca="1">IFERROR(INDEX(_xlfn.ANCHORARRAY($C$3),T_CALC[[#This Row],[DAY]]+1,4),NA())</f>
        <v>1.3489</v>
      </c>
      <c r="O768" cm="1" vm="3211">
        <f t="array" aca="1" ref="O768" ca="1">IFERROR(INDEX(_xlfn.ANCHORARRAY($C$3),T_CALC[[#This Row],[DAY]]+1,5),NA())</f>
        <v>1.3439000000000001</v>
      </c>
      <c r="P768" cm="1" vm="2289">
        <f t="array" aca="1" ref="P768" ca="1">IFERROR(INDEX(_xlfn.ANCHORARRAY($C$3),T_CALC[[#This Row],[DAY]]+1,6),NA())</f>
        <v>1.3444</v>
      </c>
      <c r="Q768" cm="1">
        <f t="array" aca="1" ref="Q768" ca="1">IFERROR(INDEX(_xlfn.ANCHORARRAY($C$3),T_CALC[[#This Row],[DAY]]+1,2),NA())</f>
        <v>0</v>
      </c>
    </row>
    <row r="769" spans="3:17">
      <c r="C769" vm="3212">
        <f ca="1"/>
        <v>43831</v>
      </c>
      <c r="D769">
        <f ca="1"/>
        <v>0</v>
      </c>
      <c r="E769" vm="3213">
        <f ca="1"/>
        <v>1.3460000000000001</v>
      </c>
      <c r="F769" vm="2281">
        <f ca="1"/>
        <v>1.3461000000000001</v>
      </c>
      <c r="G769" vm="3214">
        <f ca="1"/>
        <v>1.3441000000000001</v>
      </c>
      <c r="H769" vm="2234">
        <f ca="1"/>
        <v>1.3445</v>
      </c>
      <c r="K769">
        <f ca="1">IF(ROW(T_CALC[[#This Row],[DAY]])-ROW(T_CALC[[#Headers],[DAY]])&gt;C_N_TRADING_DAYS,"",ROW(T_CALC[[#This Row],[DAY]])-ROW(T_CALC[[#Headers],[DAY]]))</f>
        <v>766</v>
      </c>
      <c r="L769" cm="1" vm="3212">
        <f t="array" aca="1" ref="L769" ca="1">IFERROR(INDEX(_xlfn.ANCHORARRAY($C$3),T_CALC[[#This Row],[DAY]]+1,1),NA())</f>
        <v>43831</v>
      </c>
      <c r="M769" cm="1" vm="3213">
        <f t="array" aca="1" ref="M769" ca="1">IFERROR(INDEX(_xlfn.ANCHORARRAY($C$3),T_CALC[[#This Row],[DAY]]+1,3),NA())</f>
        <v>1.3460000000000001</v>
      </c>
      <c r="N769" cm="1" vm="2281">
        <f t="array" aca="1" ref="N769" ca="1">IFERROR(INDEX(_xlfn.ANCHORARRAY($C$3),T_CALC[[#This Row],[DAY]]+1,4),NA())</f>
        <v>1.3461000000000001</v>
      </c>
      <c r="O769" cm="1" vm="3214">
        <f t="array" aca="1" ref="O769" ca="1">IFERROR(INDEX(_xlfn.ANCHORARRAY($C$3),T_CALC[[#This Row],[DAY]]+1,5),NA())</f>
        <v>1.3441000000000001</v>
      </c>
      <c r="P769" cm="1" vm="2234">
        <f t="array" aca="1" ref="P769" ca="1">IFERROR(INDEX(_xlfn.ANCHORARRAY($C$3),T_CALC[[#This Row],[DAY]]+1,6),NA())</f>
        <v>1.3445</v>
      </c>
      <c r="Q769" cm="1">
        <f t="array" aca="1" ref="Q769" ca="1">IFERROR(INDEX(_xlfn.ANCHORARRAY($C$3),T_CALC[[#This Row],[DAY]]+1,2),NA())</f>
        <v>0</v>
      </c>
    </row>
    <row r="770" spans="3:17">
      <c r="C770" vm="3215">
        <f ca="1"/>
        <v>43832</v>
      </c>
      <c r="D770">
        <f ca="1"/>
        <v>0</v>
      </c>
      <c r="E770" vm="2609">
        <f ca="1"/>
        <v>1.3446</v>
      </c>
      <c r="F770" vm="2255">
        <f ca="1"/>
        <v>1.3482000000000001</v>
      </c>
      <c r="G770" vm="3216">
        <f ca="1"/>
        <v>1.3440000000000001</v>
      </c>
      <c r="H770" vm="3217">
        <f ca="1"/>
        <v>1.347</v>
      </c>
      <c r="K770">
        <f ca="1">IF(ROW(T_CALC[[#This Row],[DAY]])-ROW(T_CALC[[#Headers],[DAY]])&gt;C_N_TRADING_DAYS,"",ROW(T_CALC[[#This Row],[DAY]])-ROW(T_CALC[[#Headers],[DAY]]))</f>
        <v>767</v>
      </c>
      <c r="L770" cm="1" vm="3215">
        <f t="array" aca="1" ref="L770" ca="1">IFERROR(INDEX(_xlfn.ANCHORARRAY($C$3),T_CALC[[#This Row],[DAY]]+1,1),NA())</f>
        <v>43832</v>
      </c>
      <c r="M770" cm="1" vm="2609">
        <f t="array" aca="1" ref="M770" ca="1">IFERROR(INDEX(_xlfn.ANCHORARRAY($C$3),T_CALC[[#This Row],[DAY]]+1,3),NA())</f>
        <v>1.3446</v>
      </c>
      <c r="N770" cm="1" vm="2255">
        <f t="array" aca="1" ref="N770" ca="1">IFERROR(INDEX(_xlfn.ANCHORARRAY($C$3),T_CALC[[#This Row],[DAY]]+1,4),NA())</f>
        <v>1.3482000000000001</v>
      </c>
      <c r="O770" cm="1" vm="3216">
        <f t="array" aca="1" ref="O770" ca="1">IFERROR(INDEX(_xlfn.ANCHORARRAY($C$3),T_CALC[[#This Row],[DAY]]+1,5),NA())</f>
        <v>1.3440000000000001</v>
      </c>
      <c r="P770" cm="1" vm="3217">
        <f t="array" aca="1" ref="P770" ca="1">IFERROR(INDEX(_xlfn.ANCHORARRAY($C$3),T_CALC[[#This Row],[DAY]]+1,6),NA())</f>
        <v>1.347</v>
      </c>
      <c r="Q770" cm="1">
        <f t="array" aca="1" ref="Q770" ca="1">IFERROR(INDEX(_xlfn.ANCHORARRAY($C$3),T_CALC[[#This Row],[DAY]]+1,2),NA())</f>
        <v>0</v>
      </c>
    </row>
    <row r="771" spans="3:17">
      <c r="C771" vm="3218">
        <f ca="1"/>
        <v>43833</v>
      </c>
      <c r="D771">
        <f ca="1"/>
        <v>0</v>
      </c>
      <c r="E771" vm="2262">
        <f ca="1"/>
        <v>1.3473999999999999</v>
      </c>
      <c r="F771" vm="2094">
        <f ca="1"/>
        <v>1.3508</v>
      </c>
      <c r="G771" vm="3219">
        <f ca="1"/>
        <v>1.3463000000000001</v>
      </c>
      <c r="H771" vm="2126">
        <f ca="1"/>
        <v>1.3495999999999999</v>
      </c>
      <c r="K771">
        <f ca="1">IF(ROW(T_CALC[[#This Row],[DAY]])-ROW(T_CALC[[#Headers],[DAY]])&gt;C_N_TRADING_DAYS,"",ROW(T_CALC[[#This Row],[DAY]])-ROW(T_CALC[[#Headers],[DAY]]))</f>
        <v>768</v>
      </c>
      <c r="L771" cm="1" vm="3218">
        <f t="array" aca="1" ref="L771" ca="1">IFERROR(INDEX(_xlfn.ANCHORARRAY($C$3),T_CALC[[#This Row],[DAY]]+1,1),NA())</f>
        <v>43833</v>
      </c>
      <c r="M771" cm="1" vm="2262">
        <f t="array" aca="1" ref="M771" ca="1">IFERROR(INDEX(_xlfn.ANCHORARRAY($C$3),T_CALC[[#This Row],[DAY]]+1,3),NA())</f>
        <v>1.3473999999999999</v>
      </c>
      <c r="N771" cm="1" vm="2094">
        <f t="array" aca="1" ref="N771" ca="1">IFERROR(INDEX(_xlfn.ANCHORARRAY($C$3),T_CALC[[#This Row],[DAY]]+1,4),NA())</f>
        <v>1.3508</v>
      </c>
      <c r="O771" cm="1" vm="3219">
        <f t="array" aca="1" ref="O771" ca="1">IFERROR(INDEX(_xlfn.ANCHORARRAY($C$3),T_CALC[[#This Row],[DAY]]+1,5),NA())</f>
        <v>1.3463000000000001</v>
      </c>
      <c r="P771" cm="1" vm="2126">
        <f t="array" aca="1" ref="P771" ca="1">IFERROR(INDEX(_xlfn.ANCHORARRAY($C$3),T_CALC[[#This Row],[DAY]]+1,6),NA())</f>
        <v>1.3495999999999999</v>
      </c>
      <c r="Q771" cm="1">
        <f t="array" aca="1" ref="Q771" ca="1">IFERROR(INDEX(_xlfn.ANCHORARRAY($C$3),T_CALC[[#This Row],[DAY]]+1,2),NA())</f>
        <v>0</v>
      </c>
    </row>
    <row r="772" spans="3:17">
      <c r="C772" vm="3220">
        <f ca="1"/>
        <v>43836</v>
      </c>
      <c r="D772">
        <f ca="1"/>
        <v>0</v>
      </c>
      <c r="E772" vm="2146">
        <f ca="1"/>
        <v>1.3496999999999999</v>
      </c>
      <c r="F772" vm="2666">
        <f ca="1"/>
        <v>1.3511</v>
      </c>
      <c r="G772" vm="2981">
        <f ca="1"/>
        <v>1.3478000000000001</v>
      </c>
      <c r="H772" vm="2179">
        <f ca="1"/>
        <v>1.349</v>
      </c>
      <c r="K772">
        <f ca="1">IF(ROW(T_CALC[[#This Row],[DAY]])-ROW(T_CALC[[#Headers],[DAY]])&gt;C_N_TRADING_DAYS,"",ROW(T_CALC[[#This Row],[DAY]])-ROW(T_CALC[[#Headers],[DAY]]))</f>
        <v>769</v>
      </c>
      <c r="L772" cm="1" vm="3220">
        <f t="array" aca="1" ref="L772" ca="1">IFERROR(INDEX(_xlfn.ANCHORARRAY($C$3),T_CALC[[#This Row],[DAY]]+1,1),NA())</f>
        <v>43836</v>
      </c>
      <c r="M772" cm="1" vm="2146">
        <f t="array" aca="1" ref="M772" ca="1">IFERROR(INDEX(_xlfn.ANCHORARRAY($C$3),T_CALC[[#This Row],[DAY]]+1,3),NA())</f>
        <v>1.3496999999999999</v>
      </c>
      <c r="N772" cm="1" vm="2666">
        <f t="array" aca="1" ref="N772" ca="1">IFERROR(INDEX(_xlfn.ANCHORARRAY($C$3),T_CALC[[#This Row],[DAY]]+1,4),NA())</f>
        <v>1.3511</v>
      </c>
      <c r="O772" cm="1" vm="2981">
        <f t="array" aca="1" ref="O772" ca="1">IFERROR(INDEX(_xlfn.ANCHORARRAY($C$3),T_CALC[[#This Row],[DAY]]+1,5),NA())</f>
        <v>1.3478000000000001</v>
      </c>
      <c r="P772" cm="1" vm="2179">
        <f t="array" aca="1" ref="P772" ca="1">IFERROR(INDEX(_xlfn.ANCHORARRAY($C$3),T_CALC[[#This Row],[DAY]]+1,6),NA())</f>
        <v>1.349</v>
      </c>
      <c r="Q772" cm="1">
        <f t="array" aca="1" ref="Q772" ca="1">IFERROR(INDEX(_xlfn.ANCHORARRAY($C$3),T_CALC[[#This Row],[DAY]]+1,2),NA())</f>
        <v>0</v>
      </c>
    </row>
    <row r="773" spans="3:17">
      <c r="C773" vm="3221">
        <f ca="1"/>
        <v>43837</v>
      </c>
      <c r="D773">
        <f ca="1"/>
        <v>0</v>
      </c>
      <c r="E773" vm="2954">
        <f ca="1"/>
        <v>1.3491</v>
      </c>
      <c r="F773" vm="2261">
        <f ca="1"/>
        <v>1.3514999999999999</v>
      </c>
      <c r="G773" vm="2257">
        <f ca="1"/>
        <v>1.3471</v>
      </c>
      <c r="H773" vm="2093">
        <f ca="1"/>
        <v>1.3499000000000001</v>
      </c>
      <c r="K773">
        <f ca="1">IF(ROW(T_CALC[[#This Row],[DAY]])-ROW(T_CALC[[#Headers],[DAY]])&gt;C_N_TRADING_DAYS,"",ROW(T_CALC[[#This Row],[DAY]])-ROW(T_CALC[[#Headers],[DAY]]))</f>
        <v>770</v>
      </c>
      <c r="L773" cm="1" vm="3221">
        <f t="array" aca="1" ref="L773" ca="1">IFERROR(INDEX(_xlfn.ANCHORARRAY($C$3),T_CALC[[#This Row],[DAY]]+1,1),NA())</f>
        <v>43837</v>
      </c>
      <c r="M773" cm="1" vm="2954">
        <f t="array" aca="1" ref="M773" ca="1">IFERROR(INDEX(_xlfn.ANCHORARRAY($C$3),T_CALC[[#This Row],[DAY]]+1,3),NA())</f>
        <v>1.3491</v>
      </c>
      <c r="N773" cm="1" vm="2261">
        <f t="array" aca="1" ref="N773" ca="1">IFERROR(INDEX(_xlfn.ANCHORARRAY($C$3),T_CALC[[#This Row],[DAY]]+1,4),NA())</f>
        <v>1.3514999999999999</v>
      </c>
      <c r="O773" cm="1" vm="2257">
        <f t="array" aca="1" ref="O773" ca="1">IFERROR(INDEX(_xlfn.ANCHORARRAY($C$3),T_CALC[[#This Row],[DAY]]+1,5),NA())</f>
        <v>1.3471</v>
      </c>
      <c r="P773" cm="1" vm="2093">
        <f t="array" aca="1" ref="P773" ca="1">IFERROR(INDEX(_xlfn.ANCHORARRAY($C$3),T_CALC[[#This Row],[DAY]]+1,6),NA())</f>
        <v>1.3499000000000001</v>
      </c>
      <c r="Q773" cm="1">
        <f t="array" aca="1" ref="Q773" ca="1">IFERROR(INDEX(_xlfn.ANCHORARRAY($C$3),T_CALC[[#This Row],[DAY]]+1,2),NA())</f>
        <v>0</v>
      </c>
    </row>
    <row r="774" spans="3:17">
      <c r="C774" vm="3222">
        <f ca="1"/>
        <v>43838</v>
      </c>
      <c r="D774">
        <f ca="1"/>
        <v>0</v>
      </c>
      <c r="E774" vm="2146">
        <f ca="1"/>
        <v>1.3496999999999999</v>
      </c>
      <c r="F774" vm="2692">
        <f ca="1"/>
        <v>1.3525</v>
      </c>
      <c r="G774" vm="2954">
        <f ca="1"/>
        <v>1.3491</v>
      </c>
      <c r="H774" vm="2139">
        <f ca="1"/>
        <v>1.3506</v>
      </c>
      <c r="K774">
        <f ca="1">IF(ROW(T_CALC[[#This Row],[DAY]])-ROW(T_CALC[[#Headers],[DAY]])&gt;C_N_TRADING_DAYS,"",ROW(T_CALC[[#This Row],[DAY]])-ROW(T_CALC[[#Headers],[DAY]]))</f>
        <v>771</v>
      </c>
      <c r="L774" cm="1" vm="3222">
        <f t="array" aca="1" ref="L774" ca="1">IFERROR(INDEX(_xlfn.ANCHORARRAY($C$3),T_CALC[[#This Row],[DAY]]+1,1),NA())</f>
        <v>43838</v>
      </c>
      <c r="M774" cm="1" vm="2146">
        <f t="array" aca="1" ref="M774" ca="1">IFERROR(INDEX(_xlfn.ANCHORARRAY($C$3),T_CALC[[#This Row],[DAY]]+1,3),NA())</f>
        <v>1.3496999999999999</v>
      </c>
      <c r="N774" cm="1" vm="2692">
        <f t="array" aca="1" ref="N774" ca="1">IFERROR(INDEX(_xlfn.ANCHORARRAY($C$3),T_CALC[[#This Row],[DAY]]+1,4),NA())</f>
        <v>1.3525</v>
      </c>
      <c r="O774" cm="1" vm="2954">
        <f t="array" aca="1" ref="O774" ca="1">IFERROR(INDEX(_xlfn.ANCHORARRAY($C$3),T_CALC[[#This Row],[DAY]]+1,5),NA())</f>
        <v>1.3491</v>
      </c>
      <c r="P774" cm="1" vm="2139">
        <f t="array" aca="1" ref="P774" ca="1">IFERROR(INDEX(_xlfn.ANCHORARRAY($C$3),T_CALC[[#This Row],[DAY]]+1,6),NA())</f>
        <v>1.3506</v>
      </c>
      <c r="Q774" cm="1">
        <f t="array" aca="1" ref="Q774" ca="1">IFERROR(INDEX(_xlfn.ANCHORARRAY($C$3),T_CALC[[#This Row],[DAY]]+1,2),NA())</f>
        <v>0</v>
      </c>
    </row>
    <row r="775" spans="3:17">
      <c r="C775" vm="3223">
        <f ca="1"/>
        <v>43839</v>
      </c>
      <c r="D775">
        <f ca="1"/>
        <v>0</v>
      </c>
      <c r="E775" vm="2940">
        <f ca="1"/>
        <v>1.3509</v>
      </c>
      <c r="F775" vm="2066">
        <f ca="1"/>
        <v>1.3524</v>
      </c>
      <c r="G775" vm="2135">
        <f ca="1"/>
        <v>1.3486</v>
      </c>
      <c r="H775" vm="2114">
        <f ca="1"/>
        <v>1.3512999999999999</v>
      </c>
      <c r="K775">
        <f ca="1">IF(ROW(T_CALC[[#This Row],[DAY]])-ROW(T_CALC[[#Headers],[DAY]])&gt;C_N_TRADING_DAYS,"",ROW(T_CALC[[#This Row],[DAY]])-ROW(T_CALC[[#Headers],[DAY]]))</f>
        <v>772</v>
      </c>
      <c r="L775" cm="1" vm="3223">
        <f t="array" aca="1" ref="L775" ca="1">IFERROR(INDEX(_xlfn.ANCHORARRAY($C$3),T_CALC[[#This Row],[DAY]]+1,1),NA())</f>
        <v>43839</v>
      </c>
      <c r="M775" cm="1" vm="2940">
        <f t="array" aca="1" ref="M775" ca="1">IFERROR(INDEX(_xlfn.ANCHORARRAY($C$3),T_CALC[[#This Row],[DAY]]+1,3),NA())</f>
        <v>1.3509</v>
      </c>
      <c r="N775" cm="1" vm="2066">
        <f t="array" aca="1" ref="N775" ca="1">IFERROR(INDEX(_xlfn.ANCHORARRAY($C$3),T_CALC[[#This Row],[DAY]]+1,4),NA())</f>
        <v>1.3524</v>
      </c>
      <c r="O775" cm="1" vm="2135">
        <f t="array" aca="1" ref="O775" ca="1">IFERROR(INDEX(_xlfn.ANCHORARRAY($C$3),T_CALC[[#This Row],[DAY]]+1,5),NA())</f>
        <v>1.3486</v>
      </c>
      <c r="P775" cm="1" vm="2114">
        <f t="array" aca="1" ref="P775" ca="1">IFERROR(INDEX(_xlfn.ANCHORARRAY($C$3),T_CALC[[#This Row],[DAY]]+1,6),NA())</f>
        <v>1.3512999999999999</v>
      </c>
      <c r="Q775" cm="1">
        <f t="array" aca="1" ref="Q775" ca="1">IFERROR(INDEX(_xlfn.ANCHORARRAY($C$3),T_CALC[[#This Row],[DAY]]+1,2),NA())</f>
        <v>0</v>
      </c>
    </row>
    <row r="776" spans="3:17">
      <c r="C776" vm="3224">
        <f ca="1"/>
        <v>43840</v>
      </c>
      <c r="D776">
        <f ca="1"/>
        <v>0</v>
      </c>
      <c r="E776" vm="2956">
        <f ca="1"/>
        <v>1.3515999999999999</v>
      </c>
      <c r="F776" vm="2956">
        <f ca="1"/>
        <v>1.3515999999999999</v>
      </c>
      <c r="G776" vm="2242">
        <f ca="1"/>
        <v>1.3474999999999999</v>
      </c>
      <c r="H776" vm="2133">
        <f ca="1"/>
        <v>1.3484</v>
      </c>
      <c r="K776">
        <f ca="1">IF(ROW(T_CALC[[#This Row],[DAY]])-ROW(T_CALC[[#Headers],[DAY]])&gt;C_N_TRADING_DAYS,"",ROW(T_CALC[[#This Row],[DAY]])-ROW(T_CALC[[#Headers],[DAY]]))</f>
        <v>773</v>
      </c>
      <c r="L776" cm="1" vm="3224">
        <f t="array" aca="1" ref="L776" ca="1">IFERROR(INDEX(_xlfn.ANCHORARRAY($C$3),T_CALC[[#This Row],[DAY]]+1,1),NA())</f>
        <v>43840</v>
      </c>
      <c r="M776" cm="1" vm="2956">
        <f t="array" aca="1" ref="M776" ca="1">IFERROR(INDEX(_xlfn.ANCHORARRAY($C$3),T_CALC[[#This Row],[DAY]]+1,3),NA())</f>
        <v>1.3515999999999999</v>
      </c>
      <c r="N776" cm="1" vm="2956">
        <f t="array" aca="1" ref="N776" ca="1">IFERROR(INDEX(_xlfn.ANCHORARRAY($C$3),T_CALC[[#This Row],[DAY]]+1,4),NA())</f>
        <v>1.3515999999999999</v>
      </c>
      <c r="O776" cm="1" vm="2242">
        <f t="array" aca="1" ref="O776" ca="1">IFERROR(INDEX(_xlfn.ANCHORARRAY($C$3),T_CALC[[#This Row],[DAY]]+1,5),NA())</f>
        <v>1.3474999999999999</v>
      </c>
      <c r="P776" cm="1" vm="2133">
        <f t="array" aca="1" ref="P776" ca="1">IFERROR(INDEX(_xlfn.ANCHORARRAY($C$3),T_CALC[[#This Row],[DAY]]+1,6),NA())</f>
        <v>1.3484</v>
      </c>
      <c r="Q776" cm="1">
        <f t="array" aca="1" ref="Q776" ca="1">IFERROR(INDEX(_xlfn.ANCHORARRAY($C$3),T_CALC[[#This Row],[DAY]]+1,2),NA())</f>
        <v>0</v>
      </c>
    </row>
    <row r="777" spans="3:17">
      <c r="C777" vm="3225">
        <f ca="1"/>
        <v>43843</v>
      </c>
      <c r="D777">
        <f ca="1"/>
        <v>0</v>
      </c>
      <c r="E777" vm="3226">
        <f ca="1"/>
        <v>1.3487</v>
      </c>
      <c r="F777" vm="2181">
        <f ca="1"/>
        <v>1.3488</v>
      </c>
      <c r="G777" vm="2239">
        <f ca="1"/>
        <v>1.3454999999999999</v>
      </c>
      <c r="H777" vm="3219">
        <f ca="1"/>
        <v>1.3463000000000001</v>
      </c>
      <c r="K777">
        <f ca="1">IF(ROW(T_CALC[[#This Row],[DAY]])-ROW(T_CALC[[#Headers],[DAY]])&gt;C_N_TRADING_DAYS,"",ROW(T_CALC[[#This Row],[DAY]])-ROW(T_CALC[[#Headers],[DAY]]))</f>
        <v>774</v>
      </c>
      <c r="L777" cm="1" vm="3225">
        <f t="array" aca="1" ref="L777" ca="1">IFERROR(INDEX(_xlfn.ANCHORARRAY($C$3),T_CALC[[#This Row],[DAY]]+1,1),NA())</f>
        <v>43843</v>
      </c>
      <c r="M777" cm="1" vm="3226">
        <f t="array" aca="1" ref="M777" ca="1">IFERROR(INDEX(_xlfn.ANCHORARRAY($C$3),T_CALC[[#This Row],[DAY]]+1,3),NA())</f>
        <v>1.3487</v>
      </c>
      <c r="N777" cm="1" vm="2181">
        <f t="array" aca="1" ref="N777" ca="1">IFERROR(INDEX(_xlfn.ANCHORARRAY($C$3),T_CALC[[#This Row],[DAY]]+1,4),NA())</f>
        <v>1.3488</v>
      </c>
      <c r="O777" cm="1" vm="2239">
        <f t="array" aca="1" ref="O777" ca="1">IFERROR(INDEX(_xlfn.ANCHORARRAY($C$3),T_CALC[[#This Row],[DAY]]+1,5),NA())</f>
        <v>1.3454999999999999</v>
      </c>
      <c r="P777" cm="1" vm="3219">
        <f t="array" aca="1" ref="P777" ca="1">IFERROR(INDEX(_xlfn.ANCHORARRAY($C$3),T_CALC[[#This Row],[DAY]]+1,6),NA())</f>
        <v>1.3463000000000001</v>
      </c>
      <c r="Q777" cm="1">
        <f t="array" aca="1" ref="Q777" ca="1">IFERROR(INDEX(_xlfn.ANCHORARRAY($C$3),T_CALC[[#This Row],[DAY]]+1,2),NA())</f>
        <v>0</v>
      </c>
    </row>
    <row r="778" spans="3:17">
      <c r="C778" vm="3227">
        <f ca="1"/>
        <v>43844</v>
      </c>
      <c r="D778">
        <f ca="1"/>
        <v>0</v>
      </c>
      <c r="E778" vm="2120">
        <f ca="1"/>
        <v>1.3462000000000001</v>
      </c>
      <c r="F778" vm="2250">
        <f ca="1"/>
        <v>1.3483000000000001</v>
      </c>
      <c r="G778" vm="2125">
        <f ca="1"/>
        <v>1.3451</v>
      </c>
      <c r="H778" vm="2979">
        <f ca="1"/>
        <v>1.3467</v>
      </c>
      <c r="K778">
        <f ca="1">IF(ROW(T_CALC[[#This Row],[DAY]])-ROW(T_CALC[[#Headers],[DAY]])&gt;C_N_TRADING_DAYS,"",ROW(T_CALC[[#This Row],[DAY]])-ROW(T_CALC[[#Headers],[DAY]]))</f>
        <v>775</v>
      </c>
      <c r="L778" cm="1" vm="3227">
        <f t="array" aca="1" ref="L778" ca="1">IFERROR(INDEX(_xlfn.ANCHORARRAY($C$3),T_CALC[[#This Row],[DAY]]+1,1),NA())</f>
        <v>43844</v>
      </c>
      <c r="M778" cm="1" vm="2120">
        <f t="array" aca="1" ref="M778" ca="1">IFERROR(INDEX(_xlfn.ANCHORARRAY($C$3),T_CALC[[#This Row],[DAY]]+1,3),NA())</f>
        <v>1.3462000000000001</v>
      </c>
      <c r="N778" cm="1" vm="2250">
        <f t="array" aca="1" ref="N778" ca="1">IFERROR(INDEX(_xlfn.ANCHORARRAY($C$3),T_CALC[[#This Row],[DAY]]+1,4),NA())</f>
        <v>1.3483000000000001</v>
      </c>
      <c r="O778" cm="1" vm="2125">
        <f t="array" aca="1" ref="O778" ca="1">IFERROR(INDEX(_xlfn.ANCHORARRAY($C$3),T_CALC[[#This Row],[DAY]]+1,5),NA())</f>
        <v>1.3451</v>
      </c>
      <c r="P778" cm="1" vm="2979">
        <f t="array" aca="1" ref="P778" ca="1">IFERROR(INDEX(_xlfn.ANCHORARRAY($C$3),T_CALC[[#This Row],[DAY]]+1,6),NA())</f>
        <v>1.3467</v>
      </c>
      <c r="Q778" cm="1">
        <f t="array" aca="1" ref="Q778" ca="1">IFERROR(INDEX(_xlfn.ANCHORARRAY($C$3),T_CALC[[#This Row],[DAY]]+1,2),NA())</f>
        <v>0</v>
      </c>
    </row>
    <row r="779" spans="3:17">
      <c r="C779" vm="3228">
        <f ca="1"/>
        <v>43845</v>
      </c>
      <c r="D779">
        <f ca="1"/>
        <v>0</v>
      </c>
      <c r="E779" vm="2108">
        <f ca="1"/>
        <v>1.3465</v>
      </c>
      <c r="F779" vm="2255">
        <f ca="1"/>
        <v>1.3482000000000001</v>
      </c>
      <c r="G779" vm="2239">
        <f ca="1"/>
        <v>1.3454999999999999</v>
      </c>
      <c r="H779" vm="3213">
        <f ca="1"/>
        <v>1.3460000000000001</v>
      </c>
      <c r="K779">
        <f ca="1">IF(ROW(T_CALC[[#This Row],[DAY]])-ROW(T_CALC[[#Headers],[DAY]])&gt;C_N_TRADING_DAYS,"",ROW(T_CALC[[#This Row],[DAY]])-ROW(T_CALC[[#Headers],[DAY]]))</f>
        <v>776</v>
      </c>
      <c r="L779" cm="1" vm="3228">
        <f t="array" aca="1" ref="L779" ca="1">IFERROR(INDEX(_xlfn.ANCHORARRAY($C$3),T_CALC[[#This Row],[DAY]]+1,1),NA())</f>
        <v>43845</v>
      </c>
      <c r="M779" cm="1" vm="2108">
        <f t="array" aca="1" ref="M779" ca="1">IFERROR(INDEX(_xlfn.ANCHORARRAY($C$3),T_CALC[[#This Row],[DAY]]+1,3),NA())</f>
        <v>1.3465</v>
      </c>
      <c r="N779" cm="1" vm="2255">
        <f t="array" aca="1" ref="N779" ca="1">IFERROR(INDEX(_xlfn.ANCHORARRAY($C$3),T_CALC[[#This Row],[DAY]]+1,4),NA())</f>
        <v>1.3482000000000001</v>
      </c>
      <c r="O779" cm="1" vm="2239">
        <f t="array" aca="1" ref="O779" ca="1">IFERROR(INDEX(_xlfn.ANCHORARRAY($C$3),T_CALC[[#This Row],[DAY]]+1,5),NA())</f>
        <v>1.3454999999999999</v>
      </c>
      <c r="P779" cm="1" vm="3213">
        <f t="array" aca="1" ref="P779" ca="1">IFERROR(INDEX(_xlfn.ANCHORARRAY($C$3),T_CALC[[#This Row],[DAY]]+1,6),NA())</f>
        <v>1.3460000000000001</v>
      </c>
      <c r="Q779" cm="1">
        <f t="array" aca="1" ref="Q779" ca="1">IFERROR(INDEX(_xlfn.ANCHORARRAY($C$3),T_CALC[[#This Row],[DAY]]+1,2),NA())</f>
        <v>0</v>
      </c>
    </row>
    <row r="780" spans="3:17">
      <c r="C780" vm="3229">
        <f ca="1"/>
        <v>43846</v>
      </c>
      <c r="D780">
        <f ca="1"/>
        <v>0</v>
      </c>
      <c r="E780" vm="2244">
        <f ca="1"/>
        <v>1.3459000000000001</v>
      </c>
      <c r="F780" vm="2262">
        <f ca="1"/>
        <v>1.3473999999999999</v>
      </c>
      <c r="G780" vm="2234">
        <f ca="1"/>
        <v>1.3445</v>
      </c>
      <c r="H780" vm="2104">
        <f ca="1"/>
        <v>1.3469</v>
      </c>
      <c r="K780">
        <f ca="1">IF(ROW(T_CALC[[#This Row],[DAY]])-ROW(T_CALC[[#Headers],[DAY]])&gt;C_N_TRADING_DAYS,"",ROW(T_CALC[[#This Row],[DAY]])-ROW(T_CALC[[#Headers],[DAY]]))</f>
        <v>777</v>
      </c>
      <c r="L780" cm="1" vm="3229">
        <f t="array" aca="1" ref="L780" ca="1">IFERROR(INDEX(_xlfn.ANCHORARRAY($C$3),T_CALC[[#This Row],[DAY]]+1,1),NA())</f>
        <v>43846</v>
      </c>
      <c r="M780" cm="1" vm="2244">
        <f t="array" aca="1" ref="M780" ca="1">IFERROR(INDEX(_xlfn.ANCHORARRAY($C$3),T_CALC[[#This Row],[DAY]]+1,3),NA())</f>
        <v>1.3459000000000001</v>
      </c>
      <c r="N780" cm="1" vm="2262">
        <f t="array" aca="1" ref="N780" ca="1">IFERROR(INDEX(_xlfn.ANCHORARRAY($C$3),T_CALC[[#This Row],[DAY]]+1,4),NA())</f>
        <v>1.3473999999999999</v>
      </c>
      <c r="O780" cm="1" vm="2234">
        <f t="array" aca="1" ref="O780" ca="1">IFERROR(INDEX(_xlfn.ANCHORARRAY($C$3),T_CALC[[#This Row],[DAY]]+1,5),NA())</f>
        <v>1.3445</v>
      </c>
      <c r="P780" cm="1" vm="2104">
        <f t="array" aca="1" ref="P780" ca="1">IFERROR(INDEX(_xlfn.ANCHORARRAY($C$3),T_CALC[[#This Row],[DAY]]+1,6),NA())</f>
        <v>1.3469</v>
      </c>
      <c r="Q780" cm="1">
        <f t="array" aca="1" ref="Q780" ca="1">IFERROR(INDEX(_xlfn.ANCHORARRAY($C$3),T_CALC[[#This Row],[DAY]]+1,2),NA())</f>
        <v>0</v>
      </c>
    </row>
    <row r="781" spans="3:17">
      <c r="C781" vm="3230">
        <f ca="1"/>
        <v>43847</v>
      </c>
      <c r="D781">
        <f ca="1"/>
        <v>0</v>
      </c>
      <c r="E781" vm="2104">
        <f ca="1"/>
        <v>1.3469</v>
      </c>
      <c r="F781" vm="2981">
        <f ca="1"/>
        <v>1.3478000000000001</v>
      </c>
      <c r="G781" vm="2123">
        <f ca="1"/>
        <v>1.345</v>
      </c>
      <c r="H781" vm="2253">
        <f ca="1"/>
        <v>1.3472</v>
      </c>
      <c r="K781">
        <f ca="1">IF(ROW(T_CALC[[#This Row],[DAY]])-ROW(T_CALC[[#Headers],[DAY]])&gt;C_N_TRADING_DAYS,"",ROW(T_CALC[[#This Row],[DAY]])-ROW(T_CALC[[#Headers],[DAY]]))</f>
        <v>778</v>
      </c>
      <c r="L781" cm="1" vm="3230">
        <f t="array" aca="1" ref="L781" ca="1">IFERROR(INDEX(_xlfn.ANCHORARRAY($C$3),T_CALC[[#This Row],[DAY]]+1,1),NA())</f>
        <v>43847</v>
      </c>
      <c r="M781" cm="1" vm="2104">
        <f t="array" aca="1" ref="M781" ca="1">IFERROR(INDEX(_xlfn.ANCHORARRAY($C$3),T_CALC[[#This Row],[DAY]]+1,3),NA())</f>
        <v>1.3469</v>
      </c>
      <c r="N781" cm="1" vm="2981">
        <f t="array" aca="1" ref="N781" ca="1">IFERROR(INDEX(_xlfn.ANCHORARRAY($C$3),T_CALC[[#This Row],[DAY]]+1,4),NA())</f>
        <v>1.3478000000000001</v>
      </c>
      <c r="O781" cm="1" vm="2123">
        <f t="array" aca="1" ref="O781" ca="1">IFERROR(INDEX(_xlfn.ANCHORARRAY($C$3),T_CALC[[#This Row],[DAY]]+1,5),NA())</f>
        <v>1.345</v>
      </c>
      <c r="P781" cm="1" vm="2253">
        <f t="array" aca="1" ref="P781" ca="1">IFERROR(INDEX(_xlfn.ANCHORARRAY($C$3),T_CALC[[#This Row],[DAY]]+1,6),NA())</f>
        <v>1.3472</v>
      </c>
      <c r="Q781" cm="1">
        <f t="array" aca="1" ref="Q781" ca="1">IFERROR(INDEX(_xlfn.ANCHORARRAY($C$3),T_CALC[[#This Row],[DAY]]+1,2),NA())</f>
        <v>0</v>
      </c>
    </row>
    <row r="782" spans="3:17">
      <c r="C782" vm="3231">
        <f ca="1"/>
        <v>43850</v>
      </c>
      <c r="D782">
        <f ca="1"/>
        <v>0</v>
      </c>
      <c r="E782" vm="2257">
        <f ca="1"/>
        <v>1.3471</v>
      </c>
      <c r="F782" vm="2255">
        <f ca="1"/>
        <v>1.3482000000000001</v>
      </c>
      <c r="G782" vm="2118">
        <f ca="1"/>
        <v>1.3458000000000001</v>
      </c>
      <c r="H782" vm="2106">
        <f ca="1"/>
        <v>1.3466</v>
      </c>
      <c r="K782">
        <f ca="1">IF(ROW(T_CALC[[#This Row],[DAY]])-ROW(T_CALC[[#Headers],[DAY]])&gt;C_N_TRADING_DAYS,"",ROW(T_CALC[[#This Row],[DAY]])-ROW(T_CALC[[#Headers],[DAY]]))</f>
        <v>779</v>
      </c>
      <c r="L782" cm="1" vm="3231">
        <f t="array" aca="1" ref="L782" ca="1">IFERROR(INDEX(_xlfn.ANCHORARRAY($C$3),T_CALC[[#This Row],[DAY]]+1,1),NA())</f>
        <v>43850</v>
      </c>
      <c r="M782" cm="1" vm="2257">
        <f t="array" aca="1" ref="M782" ca="1">IFERROR(INDEX(_xlfn.ANCHORARRAY($C$3),T_CALC[[#This Row],[DAY]]+1,3),NA())</f>
        <v>1.3471</v>
      </c>
      <c r="N782" cm="1" vm="2255">
        <f t="array" aca="1" ref="N782" ca="1">IFERROR(INDEX(_xlfn.ANCHORARRAY($C$3),T_CALC[[#This Row],[DAY]]+1,4),NA())</f>
        <v>1.3482000000000001</v>
      </c>
      <c r="O782" cm="1" vm="2118">
        <f t="array" aca="1" ref="O782" ca="1">IFERROR(INDEX(_xlfn.ANCHORARRAY($C$3),T_CALC[[#This Row],[DAY]]+1,5),NA())</f>
        <v>1.3458000000000001</v>
      </c>
      <c r="P782" cm="1" vm="2106">
        <f t="array" aca="1" ref="P782" ca="1">IFERROR(INDEX(_xlfn.ANCHORARRAY($C$3),T_CALC[[#This Row],[DAY]]+1,6),NA())</f>
        <v>1.3466</v>
      </c>
      <c r="Q782" cm="1">
        <f t="array" aca="1" ref="Q782" ca="1">IFERROR(INDEX(_xlfn.ANCHORARRAY($C$3),T_CALC[[#This Row],[DAY]]+1,2),NA())</f>
        <v>0</v>
      </c>
    </row>
    <row r="783" spans="3:17">
      <c r="C783" vm="3232">
        <f ca="1"/>
        <v>43851</v>
      </c>
      <c r="D783">
        <f ca="1"/>
        <v>0</v>
      </c>
      <c r="E783" vm="2108">
        <f ca="1"/>
        <v>1.3465</v>
      </c>
      <c r="F783" vm="2175">
        <f ca="1"/>
        <v>1.3504</v>
      </c>
      <c r="G783" vm="3213">
        <f ca="1"/>
        <v>1.3460000000000001</v>
      </c>
      <c r="H783" vm="2093">
        <f ca="1"/>
        <v>1.3499000000000001</v>
      </c>
      <c r="K783">
        <f ca="1">IF(ROW(T_CALC[[#This Row],[DAY]])-ROW(T_CALC[[#Headers],[DAY]])&gt;C_N_TRADING_DAYS,"",ROW(T_CALC[[#This Row],[DAY]])-ROW(T_CALC[[#Headers],[DAY]]))</f>
        <v>780</v>
      </c>
      <c r="L783" cm="1" vm="3232">
        <f t="array" aca="1" ref="L783" ca="1">IFERROR(INDEX(_xlfn.ANCHORARRAY($C$3),T_CALC[[#This Row],[DAY]]+1,1),NA())</f>
        <v>43851</v>
      </c>
      <c r="M783" cm="1" vm="2108">
        <f t="array" aca="1" ref="M783" ca="1">IFERROR(INDEX(_xlfn.ANCHORARRAY($C$3),T_CALC[[#This Row],[DAY]]+1,3),NA())</f>
        <v>1.3465</v>
      </c>
      <c r="N783" cm="1" vm="2175">
        <f t="array" aca="1" ref="N783" ca="1">IFERROR(INDEX(_xlfn.ANCHORARRAY($C$3),T_CALC[[#This Row],[DAY]]+1,4),NA())</f>
        <v>1.3504</v>
      </c>
      <c r="O783" cm="1" vm="3213">
        <f t="array" aca="1" ref="O783" ca="1">IFERROR(INDEX(_xlfn.ANCHORARRAY($C$3),T_CALC[[#This Row],[DAY]]+1,5),NA())</f>
        <v>1.3460000000000001</v>
      </c>
      <c r="P783" cm="1" vm="2093">
        <f t="array" aca="1" ref="P783" ca="1">IFERROR(INDEX(_xlfn.ANCHORARRAY($C$3),T_CALC[[#This Row],[DAY]]+1,6),NA())</f>
        <v>1.3499000000000001</v>
      </c>
      <c r="Q783" cm="1">
        <f t="array" aca="1" ref="Q783" ca="1">IFERROR(INDEX(_xlfn.ANCHORARRAY($C$3),T_CALC[[#This Row],[DAY]]+1,2),NA())</f>
        <v>0</v>
      </c>
    </row>
    <row r="784" spans="3:17">
      <c r="C784" vm="3233">
        <f ca="1"/>
        <v>43852</v>
      </c>
      <c r="D784">
        <f ca="1"/>
        <v>0</v>
      </c>
      <c r="E784" vm="2126">
        <f ca="1"/>
        <v>1.3495999999999999</v>
      </c>
      <c r="F784" vm="2086">
        <f ca="1"/>
        <v>1.351</v>
      </c>
      <c r="G784" vm="2240">
        <f ca="1"/>
        <v>1.3480000000000001</v>
      </c>
      <c r="H784" vm="2133">
        <f ca="1"/>
        <v>1.3484</v>
      </c>
      <c r="K784">
        <f ca="1">IF(ROW(T_CALC[[#This Row],[DAY]])-ROW(T_CALC[[#Headers],[DAY]])&gt;C_N_TRADING_DAYS,"",ROW(T_CALC[[#This Row],[DAY]])-ROW(T_CALC[[#Headers],[DAY]]))</f>
        <v>781</v>
      </c>
      <c r="L784" cm="1" vm="3233">
        <f t="array" aca="1" ref="L784" ca="1">IFERROR(INDEX(_xlfn.ANCHORARRAY($C$3),T_CALC[[#This Row],[DAY]]+1,1),NA())</f>
        <v>43852</v>
      </c>
      <c r="M784" cm="1" vm="2126">
        <f t="array" aca="1" ref="M784" ca="1">IFERROR(INDEX(_xlfn.ANCHORARRAY($C$3),T_CALC[[#This Row],[DAY]]+1,3),NA())</f>
        <v>1.3495999999999999</v>
      </c>
      <c r="N784" cm="1" vm="2086">
        <f t="array" aca="1" ref="N784" ca="1">IFERROR(INDEX(_xlfn.ANCHORARRAY($C$3),T_CALC[[#This Row],[DAY]]+1,4),NA())</f>
        <v>1.351</v>
      </c>
      <c r="O784" cm="1" vm="2240">
        <f t="array" aca="1" ref="O784" ca="1">IFERROR(INDEX(_xlfn.ANCHORARRAY($C$3),T_CALC[[#This Row],[DAY]]+1,5),NA())</f>
        <v>1.3480000000000001</v>
      </c>
      <c r="P784" cm="1" vm="2133">
        <f t="array" aca="1" ref="P784" ca="1">IFERROR(INDEX(_xlfn.ANCHORARRAY($C$3),T_CALC[[#This Row],[DAY]]+1,6),NA())</f>
        <v>1.3484</v>
      </c>
      <c r="Q784" cm="1">
        <f t="array" aca="1" ref="Q784" ca="1">IFERROR(INDEX(_xlfn.ANCHORARRAY($C$3),T_CALC[[#This Row],[DAY]]+1,2),NA())</f>
        <v>0</v>
      </c>
    </row>
    <row r="785" spans="3:17">
      <c r="C785" vm="3234">
        <f ca="1"/>
        <v>43853</v>
      </c>
      <c r="D785">
        <f ca="1"/>
        <v>0</v>
      </c>
      <c r="E785" vm="2984">
        <f ca="1"/>
        <v>1.3485</v>
      </c>
      <c r="F785" vm="2923">
        <f ca="1"/>
        <v>1.3527</v>
      </c>
      <c r="G785" vm="2242">
        <f ca="1"/>
        <v>1.3474999999999999</v>
      </c>
      <c r="H785" vm="2666">
        <f ca="1"/>
        <v>1.3511</v>
      </c>
      <c r="K785">
        <f ca="1">IF(ROW(T_CALC[[#This Row],[DAY]])-ROW(T_CALC[[#Headers],[DAY]])&gt;C_N_TRADING_DAYS,"",ROW(T_CALC[[#This Row],[DAY]])-ROW(T_CALC[[#Headers],[DAY]]))</f>
        <v>782</v>
      </c>
      <c r="L785" cm="1" vm="3234">
        <f t="array" aca="1" ref="L785" ca="1">IFERROR(INDEX(_xlfn.ANCHORARRAY($C$3),T_CALC[[#This Row],[DAY]]+1,1),NA())</f>
        <v>43853</v>
      </c>
      <c r="M785" cm="1" vm="2984">
        <f t="array" aca="1" ref="M785" ca="1">IFERROR(INDEX(_xlfn.ANCHORARRAY($C$3),T_CALC[[#This Row],[DAY]]+1,3),NA())</f>
        <v>1.3485</v>
      </c>
      <c r="N785" cm="1" vm="2923">
        <f t="array" aca="1" ref="N785" ca="1">IFERROR(INDEX(_xlfn.ANCHORARRAY($C$3),T_CALC[[#This Row],[DAY]]+1,4),NA())</f>
        <v>1.3527</v>
      </c>
      <c r="O785" cm="1" vm="2242">
        <f t="array" aca="1" ref="O785" ca="1">IFERROR(INDEX(_xlfn.ANCHORARRAY($C$3),T_CALC[[#This Row],[DAY]]+1,5),NA())</f>
        <v>1.3474999999999999</v>
      </c>
      <c r="P785" cm="1" vm="2666">
        <f t="array" aca="1" ref="P785" ca="1">IFERROR(INDEX(_xlfn.ANCHORARRAY($C$3),T_CALC[[#This Row],[DAY]]+1,6),NA())</f>
        <v>1.3511</v>
      </c>
      <c r="Q785" cm="1">
        <f t="array" aca="1" ref="Q785" ca="1">IFERROR(INDEX(_xlfn.ANCHORARRAY($C$3),T_CALC[[#This Row],[DAY]]+1,2),NA())</f>
        <v>0</v>
      </c>
    </row>
    <row r="786" spans="3:17">
      <c r="C786" vm="3235">
        <f ca="1"/>
        <v>43854</v>
      </c>
      <c r="D786">
        <f ca="1"/>
        <v>0</v>
      </c>
      <c r="E786" vm="2261">
        <f ca="1"/>
        <v>1.3514999999999999</v>
      </c>
      <c r="F786" vm="2178">
        <f ca="1"/>
        <v>1.3523000000000001</v>
      </c>
      <c r="G786" vm="2954">
        <f ca="1"/>
        <v>1.3491</v>
      </c>
      <c r="H786" vm="2086">
        <f ca="1"/>
        <v>1.351</v>
      </c>
      <c r="K786">
        <f ca="1">IF(ROW(T_CALC[[#This Row],[DAY]])-ROW(T_CALC[[#Headers],[DAY]])&gt;C_N_TRADING_DAYS,"",ROW(T_CALC[[#This Row],[DAY]])-ROW(T_CALC[[#Headers],[DAY]]))</f>
        <v>783</v>
      </c>
      <c r="L786" cm="1" vm="3235">
        <f t="array" aca="1" ref="L786" ca="1">IFERROR(INDEX(_xlfn.ANCHORARRAY($C$3),T_CALC[[#This Row],[DAY]]+1,1),NA())</f>
        <v>43854</v>
      </c>
      <c r="M786" cm="1" vm="2261">
        <f t="array" aca="1" ref="M786" ca="1">IFERROR(INDEX(_xlfn.ANCHORARRAY($C$3),T_CALC[[#This Row],[DAY]]+1,3),NA())</f>
        <v>1.3514999999999999</v>
      </c>
      <c r="N786" cm="1" vm="2178">
        <f t="array" aca="1" ref="N786" ca="1">IFERROR(INDEX(_xlfn.ANCHORARRAY($C$3),T_CALC[[#This Row],[DAY]]+1,4),NA())</f>
        <v>1.3523000000000001</v>
      </c>
      <c r="O786" cm="1" vm="2954">
        <f t="array" aca="1" ref="O786" ca="1">IFERROR(INDEX(_xlfn.ANCHORARRAY($C$3),T_CALC[[#This Row],[DAY]]+1,5),NA())</f>
        <v>1.3491</v>
      </c>
      <c r="P786" cm="1" vm="2086">
        <f t="array" aca="1" ref="P786" ca="1">IFERROR(INDEX(_xlfn.ANCHORARRAY($C$3),T_CALC[[#This Row],[DAY]]+1,6),NA())</f>
        <v>1.351</v>
      </c>
      <c r="Q786" cm="1">
        <f t="array" aca="1" ref="Q786" ca="1">IFERROR(INDEX(_xlfn.ANCHORARRAY($C$3),T_CALC[[#This Row],[DAY]]+1,2),NA())</f>
        <v>0</v>
      </c>
    </row>
    <row r="787" spans="3:17">
      <c r="C787" vm="3236">
        <f ca="1"/>
        <v>43857</v>
      </c>
      <c r="D787">
        <f ca="1"/>
        <v>0</v>
      </c>
      <c r="E787" vm="2666">
        <f ca="1"/>
        <v>1.3511</v>
      </c>
      <c r="F787" vm="2038">
        <f ca="1"/>
        <v>1.3582000000000001</v>
      </c>
      <c r="G787" vm="2086">
        <f ca="1"/>
        <v>1.351</v>
      </c>
      <c r="H787" vm="2015">
        <f ca="1"/>
        <v>1.3573999999999999</v>
      </c>
      <c r="K787">
        <f ca="1">IF(ROW(T_CALC[[#This Row],[DAY]])-ROW(T_CALC[[#Headers],[DAY]])&gt;C_N_TRADING_DAYS,"",ROW(T_CALC[[#This Row],[DAY]])-ROW(T_CALC[[#Headers],[DAY]]))</f>
        <v>784</v>
      </c>
      <c r="L787" cm="1" vm="3236">
        <f t="array" aca="1" ref="L787" ca="1">IFERROR(INDEX(_xlfn.ANCHORARRAY($C$3),T_CALC[[#This Row],[DAY]]+1,1),NA())</f>
        <v>43857</v>
      </c>
      <c r="M787" cm="1" vm="2666">
        <f t="array" aca="1" ref="M787" ca="1">IFERROR(INDEX(_xlfn.ANCHORARRAY($C$3),T_CALC[[#This Row],[DAY]]+1,3),NA())</f>
        <v>1.3511</v>
      </c>
      <c r="N787" cm="1" vm="2038">
        <f t="array" aca="1" ref="N787" ca="1">IFERROR(INDEX(_xlfn.ANCHORARRAY($C$3),T_CALC[[#This Row],[DAY]]+1,4),NA())</f>
        <v>1.3582000000000001</v>
      </c>
      <c r="O787" cm="1" vm="2086">
        <f t="array" aca="1" ref="O787" ca="1">IFERROR(INDEX(_xlfn.ANCHORARRAY($C$3),T_CALC[[#This Row],[DAY]]+1,5),NA())</f>
        <v>1.351</v>
      </c>
      <c r="P787" cm="1" vm="2015">
        <f t="array" aca="1" ref="P787" ca="1">IFERROR(INDEX(_xlfn.ANCHORARRAY($C$3),T_CALC[[#This Row],[DAY]]+1,6),NA())</f>
        <v>1.3573999999999999</v>
      </c>
      <c r="Q787" cm="1">
        <f t="array" aca="1" ref="Q787" ca="1">IFERROR(INDEX(_xlfn.ANCHORARRAY($C$3),T_CALC[[#This Row],[DAY]]+1,2),NA())</f>
        <v>0</v>
      </c>
    </row>
    <row r="788" spans="3:17">
      <c r="C788" vm="3237">
        <f ca="1"/>
        <v>43858</v>
      </c>
      <c r="D788">
        <f ca="1"/>
        <v>0</v>
      </c>
      <c r="E788" vm="2154">
        <f ca="1"/>
        <v>1.3572</v>
      </c>
      <c r="F788" vm="2218">
        <f ca="1"/>
        <v>1.3596999999999999</v>
      </c>
      <c r="G788" vm="2070">
        <f ca="1"/>
        <v>1.3563000000000001</v>
      </c>
      <c r="H788" vm="2151">
        <f ca="1"/>
        <v>1.3575999999999999</v>
      </c>
      <c r="K788">
        <f ca="1">IF(ROW(T_CALC[[#This Row],[DAY]])-ROW(T_CALC[[#Headers],[DAY]])&gt;C_N_TRADING_DAYS,"",ROW(T_CALC[[#This Row],[DAY]])-ROW(T_CALC[[#Headers],[DAY]]))</f>
        <v>785</v>
      </c>
      <c r="L788" cm="1" vm="3237">
        <f t="array" aca="1" ref="L788" ca="1">IFERROR(INDEX(_xlfn.ANCHORARRAY($C$3),T_CALC[[#This Row],[DAY]]+1,1),NA())</f>
        <v>43858</v>
      </c>
      <c r="M788" cm="1" vm="2154">
        <f t="array" aca="1" ref="M788" ca="1">IFERROR(INDEX(_xlfn.ANCHORARRAY($C$3),T_CALC[[#This Row],[DAY]]+1,3),NA())</f>
        <v>1.3572</v>
      </c>
      <c r="N788" cm="1" vm="2218">
        <f t="array" aca="1" ref="N788" ca="1">IFERROR(INDEX(_xlfn.ANCHORARRAY($C$3),T_CALC[[#This Row],[DAY]]+1,4),NA())</f>
        <v>1.3596999999999999</v>
      </c>
      <c r="O788" cm="1" vm="2070">
        <f t="array" aca="1" ref="O788" ca="1">IFERROR(INDEX(_xlfn.ANCHORARRAY($C$3),T_CALC[[#This Row],[DAY]]+1,5),NA())</f>
        <v>1.3563000000000001</v>
      </c>
      <c r="P788" cm="1" vm="2151">
        <f t="array" aca="1" ref="P788" ca="1">IFERROR(INDEX(_xlfn.ANCHORARRAY($C$3),T_CALC[[#This Row],[DAY]]+1,6),NA())</f>
        <v>1.3575999999999999</v>
      </c>
      <c r="Q788" cm="1">
        <f t="array" aca="1" ref="Q788" ca="1">IFERROR(INDEX(_xlfn.ANCHORARRAY($C$3),T_CALC[[#This Row],[DAY]]+1,2),NA())</f>
        <v>0</v>
      </c>
    </row>
    <row r="789" spans="3:17">
      <c r="C789" vm="3238">
        <f ca="1"/>
        <v>43859</v>
      </c>
      <c r="D789">
        <f ca="1"/>
        <v>0</v>
      </c>
      <c r="E789" vm="2151">
        <f ca="1"/>
        <v>1.3575999999999999</v>
      </c>
      <c r="F789" vm="1984">
        <f ca="1"/>
        <v>1.3620000000000001</v>
      </c>
      <c r="G789" vm="2223">
        <f ca="1"/>
        <v>1.3562000000000001</v>
      </c>
      <c r="H789" vm="2036">
        <f ca="1"/>
        <v>1.3604000000000001</v>
      </c>
      <c r="K789">
        <f ca="1">IF(ROW(T_CALC[[#This Row],[DAY]])-ROW(T_CALC[[#Headers],[DAY]])&gt;C_N_TRADING_DAYS,"",ROW(T_CALC[[#This Row],[DAY]])-ROW(T_CALC[[#Headers],[DAY]]))</f>
        <v>786</v>
      </c>
      <c r="L789" cm="1" vm="3238">
        <f t="array" aca="1" ref="L789" ca="1">IFERROR(INDEX(_xlfn.ANCHORARRAY($C$3),T_CALC[[#This Row],[DAY]]+1,1),NA())</f>
        <v>43859</v>
      </c>
      <c r="M789" cm="1" vm="2151">
        <f t="array" aca="1" ref="M789" ca="1">IFERROR(INDEX(_xlfn.ANCHORARRAY($C$3),T_CALC[[#This Row],[DAY]]+1,3),NA())</f>
        <v>1.3575999999999999</v>
      </c>
      <c r="N789" cm="1" vm="1984">
        <f t="array" aca="1" ref="N789" ca="1">IFERROR(INDEX(_xlfn.ANCHORARRAY($C$3),T_CALC[[#This Row],[DAY]]+1,4),NA())</f>
        <v>1.3620000000000001</v>
      </c>
      <c r="O789" cm="1" vm="2223">
        <f t="array" aca="1" ref="O789" ca="1">IFERROR(INDEX(_xlfn.ANCHORARRAY($C$3),T_CALC[[#This Row],[DAY]]+1,5),NA())</f>
        <v>1.3562000000000001</v>
      </c>
      <c r="P789" cm="1" vm="2036">
        <f t="array" aca="1" ref="P789" ca="1">IFERROR(INDEX(_xlfn.ANCHORARRAY($C$3),T_CALC[[#This Row],[DAY]]+1,6),NA())</f>
        <v>1.3604000000000001</v>
      </c>
      <c r="Q789" cm="1">
        <f t="array" aca="1" ref="Q789" ca="1">IFERROR(INDEX(_xlfn.ANCHORARRAY($C$3),T_CALC[[#This Row],[DAY]]+1,2),NA())</f>
        <v>0</v>
      </c>
    </row>
    <row r="790" spans="3:17">
      <c r="C790" vm="3239">
        <f ca="1"/>
        <v>43860</v>
      </c>
      <c r="D790">
        <f ca="1"/>
        <v>0</v>
      </c>
      <c r="E790" vm="2036">
        <f ca="1"/>
        <v>1.3604000000000001</v>
      </c>
      <c r="F790" vm="2021">
        <f ca="1"/>
        <v>1.3637999999999999</v>
      </c>
      <c r="G790" vm="2051">
        <f ca="1"/>
        <v>1.3594999999999999</v>
      </c>
      <c r="H790" vm="2040">
        <f ca="1"/>
        <v>1.3614999999999999</v>
      </c>
      <c r="K790">
        <f ca="1">IF(ROW(T_CALC[[#This Row],[DAY]])-ROW(T_CALC[[#Headers],[DAY]])&gt;C_N_TRADING_DAYS,"",ROW(T_CALC[[#This Row],[DAY]])-ROW(T_CALC[[#Headers],[DAY]]))</f>
        <v>787</v>
      </c>
      <c r="L790" cm="1" vm="3239">
        <f t="array" aca="1" ref="L790" ca="1">IFERROR(INDEX(_xlfn.ANCHORARRAY($C$3),T_CALC[[#This Row],[DAY]]+1,1),NA())</f>
        <v>43860</v>
      </c>
      <c r="M790" cm="1" vm="2036">
        <f t="array" aca="1" ref="M790" ca="1">IFERROR(INDEX(_xlfn.ANCHORARRAY($C$3),T_CALC[[#This Row],[DAY]]+1,3),NA())</f>
        <v>1.3604000000000001</v>
      </c>
      <c r="N790" cm="1" vm="2021">
        <f t="array" aca="1" ref="N790" ca="1">IFERROR(INDEX(_xlfn.ANCHORARRAY($C$3),T_CALC[[#This Row],[DAY]]+1,4),NA())</f>
        <v>1.3637999999999999</v>
      </c>
      <c r="O790" cm="1" vm="2051">
        <f t="array" aca="1" ref="O790" ca="1">IFERROR(INDEX(_xlfn.ANCHORARRAY($C$3),T_CALC[[#This Row],[DAY]]+1,5),NA())</f>
        <v>1.3594999999999999</v>
      </c>
      <c r="P790" cm="1" vm="2040">
        <f t="array" aca="1" ref="P790" ca="1">IFERROR(INDEX(_xlfn.ANCHORARRAY($C$3),T_CALC[[#This Row],[DAY]]+1,6),NA())</f>
        <v>1.3614999999999999</v>
      </c>
      <c r="Q790" cm="1">
        <f t="array" aca="1" ref="Q790" ca="1">IFERROR(INDEX(_xlfn.ANCHORARRAY($C$3),T_CALC[[#This Row],[DAY]]+1,2),NA())</f>
        <v>0</v>
      </c>
    </row>
    <row r="791" spans="3:17">
      <c r="C791" vm="3240">
        <f ca="1"/>
        <v>43861</v>
      </c>
      <c r="D791">
        <f ca="1"/>
        <v>0</v>
      </c>
      <c r="E791" vm="2040">
        <f ca="1"/>
        <v>1.3614999999999999</v>
      </c>
      <c r="F791" vm="2045">
        <f ca="1"/>
        <v>1.3671</v>
      </c>
      <c r="G791" vm="2036">
        <f ca="1"/>
        <v>1.3604000000000001</v>
      </c>
      <c r="H791" vm="1961">
        <f ca="1"/>
        <v>1.3648</v>
      </c>
      <c r="K791">
        <f ca="1">IF(ROW(T_CALC[[#This Row],[DAY]])-ROW(T_CALC[[#Headers],[DAY]])&gt;C_N_TRADING_DAYS,"",ROW(T_CALC[[#This Row],[DAY]])-ROW(T_CALC[[#Headers],[DAY]]))</f>
        <v>788</v>
      </c>
      <c r="L791" cm="1" vm="3240">
        <f t="array" aca="1" ref="L791" ca="1">IFERROR(INDEX(_xlfn.ANCHORARRAY($C$3),T_CALC[[#This Row],[DAY]]+1,1),NA())</f>
        <v>43861</v>
      </c>
      <c r="M791" cm="1" vm="2040">
        <f t="array" aca="1" ref="M791" ca="1">IFERROR(INDEX(_xlfn.ANCHORARRAY($C$3),T_CALC[[#This Row],[DAY]]+1,3),NA())</f>
        <v>1.3614999999999999</v>
      </c>
      <c r="N791" cm="1" vm="2045">
        <f t="array" aca="1" ref="N791" ca="1">IFERROR(INDEX(_xlfn.ANCHORARRAY($C$3),T_CALC[[#This Row],[DAY]]+1,4),NA())</f>
        <v>1.3671</v>
      </c>
      <c r="O791" cm="1" vm="2036">
        <f t="array" aca="1" ref="O791" ca="1">IFERROR(INDEX(_xlfn.ANCHORARRAY($C$3),T_CALC[[#This Row],[DAY]]+1,5),NA())</f>
        <v>1.3604000000000001</v>
      </c>
      <c r="P791" cm="1" vm="1961">
        <f t="array" aca="1" ref="P791" ca="1">IFERROR(INDEX(_xlfn.ANCHORARRAY($C$3),T_CALC[[#This Row],[DAY]]+1,6),NA())</f>
        <v>1.3648</v>
      </c>
      <c r="Q791" cm="1">
        <f t="array" aca="1" ref="Q791" ca="1">IFERROR(INDEX(_xlfn.ANCHORARRAY($C$3),T_CALC[[#This Row],[DAY]]+1,2),NA())</f>
        <v>0</v>
      </c>
    </row>
    <row r="792" spans="3:17">
      <c r="C792" vm="3241">
        <f ca="1"/>
        <v>43864</v>
      </c>
      <c r="D792">
        <f ca="1"/>
        <v>0</v>
      </c>
      <c r="E792" vm="2711">
        <f ca="1"/>
        <v>1.3649</v>
      </c>
      <c r="F792" vm="2721">
        <f ca="1"/>
        <v>1.3694</v>
      </c>
      <c r="G792" vm="2021">
        <f ca="1"/>
        <v>1.3637999999999999</v>
      </c>
      <c r="H792" vm="2680">
        <f ca="1"/>
        <v>1.3687</v>
      </c>
      <c r="K792">
        <f ca="1">IF(ROW(T_CALC[[#This Row],[DAY]])-ROW(T_CALC[[#Headers],[DAY]])&gt;C_N_TRADING_DAYS,"",ROW(T_CALC[[#This Row],[DAY]])-ROW(T_CALC[[#Headers],[DAY]]))</f>
        <v>789</v>
      </c>
      <c r="L792" cm="1" vm="3241">
        <f t="array" aca="1" ref="L792" ca="1">IFERROR(INDEX(_xlfn.ANCHORARRAY($C$3),T_CALC[[#This Row],[DAY]]+1,1),NA())</f>
        <v>43864</v>
      </c>
      <c r="M792" cm="1" vm="2711">
        <f t="array" aca="1" ref="M792" ca="1">IFERROR(INDEX(_xlfn.ANCHORARRAY($C$3),T_CALC[[#This Row],[DAY]]+1,3),NA())</f>
        <v>1.3649</v>
      </c>
      <c r="N792" cm="1" vm="2721">
        <f t="array" aca="1" ref="N792" ca="1">IFERROR(INDEX(_xlfn.ANCHORARRAY($C$3),T_CALC[[#This Row],[DAY]]+1,4),NA())</f>
        <v>1.3694</v>
      </c>
      <c r="O792" cm="1" vm="2021">
        <f t="array" aca="1" ref="O792" ca="1">IFERROR(INDEX(_xlfn.ANCHORARRAY($C$3),T_CALC[[#This Row],[DAY]]+1,5),NA())</f>
        <v>1.3637999999999999</v>
      </c>
      <c r="P792" cm="1" vm="2680">
        <f t="array" aca="1" ref="P792" ca="1">IFERROR(INDEX(_xlfn.ANCHORARRAY($C$3),T_CALC[[#This Row],[DAY]]+1,6),NA())</f>
        <v>1.3687</v>
      </c>
      <c r="Q792" cm="1">
        <f t="array" aca="1" ref="Q792" ca="1">IFERROR(INDEX(_xlfn.ANCHORARRAY($C$3),T_CALC[[#This Row],[DAY]]+1,2),NA())</f>
        <v>0</v>
      </c>
    </row>
    <row r="793" spans="3:17">
      <c r="C793" vm="3242">
        <f ca="1"/>
        <v>43865</v>
      </c>
      <c r="D793">
        <f ca="1"/>
        <v>0</v>
      </c>
      <c r="E793" vm="3082">
        <f ca="1"/>
        <v>1.3684000000000001</v>
      </c>
      <c r="F793" vm="2731">
        <f ca="1"/>
        <v>1.3728</v>
      </c>
      <c r="G793" vm="2760">
        <f ca="1"/>
        <v>1.3678999999999999</v>
      </c>
      <c r="H793" vm="1965">
        <f ca="1"/>
        <v>1.3698999999999999</v>
      </c>
      <c r="K793">
        <f ca="1">IF(ROW(T_CALC[[#This Row],[DAY]])-ROW(T_CALC[[#Headers],[DAY]])&gt;C_N_TRADING_DAYS,"",ROW(T_CALC[[#This Row],[DAY]])-ROW(T_CALC[[#Headers],[DAY]]))</f>
        <v>790</v>
      </c>
      <c r="L793" cm="1" vm="3242">
        <f t="array" aca="1" ref="L793" ca="1">IFERROR(INDEX(_xlfn.ANCHORARRAY($C$3),T_CALC[[#This Row],[DAY]]+1,1),NA())</f>
        <v>43865</v>
      </c>
      <c r="M793" cm="1" vm="3082">
        <f t="array" aca="1" ref="M793" ca="1">IFERROR(INDEX(_xlfn.ANCHORARRAY($C$3),T_CALC[[#This Row],[DAY]]+1,3),NA())</f>
        <v>1.3684000000000001</v>
      </c>
      <c r="N793" cm="1" vm="2731">
        <f t="array" aca="1" ref="N793" ca="1">IFERROR(INDEX(_xlfn.ANCHORARRAY($C$3),T_CALC[[#This Row],[DAY]]+1,4),NA())</f>
        <v>1.3728</v>
      </c>
      <c r="O793" cm="1" vm="2760">
        <f t="array" aca="1" ref="O793" ca="1">IFERROR(INDEX(_xlfn.ANCHORARRAY($C$3),T_CALC[[#This Row],[DAY]]+1,5),NA())</f>
        <v>1.3678999999999999</v>
      </c>
      <c r="P793" cm="1" vm="1965">
        <f t="array" aca="1" ref="P793" ca="1">IFERROR(INDEX(_xlfn.ANCHORARRAY($C$3),T_CALC[[#This Row],[DAY]]+1,6),NA())</f>
        <v>1.3698999999999999</v>
      </c>
      <c r="Q793" cm="1">
        <f t="array" aca="1" ref="Q793" ca="1">IFERROR(INDEX(_xlfn.ANCHORARRAY($C$3),T_CALC[[#This Row],[DAY]]+1,2),NA())</f>
        <v>0</v>
      </c>
    </row>
    <row r="794" spans="3:17">
      <c r="C794" vm="3243">
        <f ca="1"/>
        <v>43866</v>
      </c>
      <c r="D794">
        <f ca="1"/>
        <v>0</v>
      </c>
      <c r="E794" vm="2746">
        <f ca="1"/>
        <v>1.3703000000000001</v>
      </c>
      <c r="F794" vm="1928">
        <f ca="1"/>
        <v>1.3823000000000001</v>
      </c>
      <c r="G794" vm="2793">
        <f ca="1"/>
        <v>1.3694999999999999</v>
      </c>
      <c r="H794" vm="3026">
        <f ca="1"/>
        <v>1.3812</v>
      </c>
      <c r="K794">
        <f ca="1">IF(ROW(T_CALC[[#This Row],[DAY]])-ROW(T_CALC[[#Headers],[DAY]])&gt;C_N_TRADING_DAYS,"",ROW(T_CALC[[#This Row],[DAY]])-ROW(T_CALC[[#Headers],[DAY]]))</f>
        <v>791</v>
      </c>
      <c r="L794" cm="1" vm="3243">
        <f t="array" aca="1" ref="L794" ca="1">IFERROR(INDEX(_xlfn.ANCHORARRAY($C$3),T_CALC[[#This Row],[DAY]]+1,1),NA())</f>
        <v>43866</v>
      </c>
      <c r="M794" cm="1" vm="2746">
        <f t="array" aca="1" ref="M794" ca="1">IFERROR(INDEX(_xlfn.ANCHORARRAY($C$3),T_CALC[[#This Row],[DAY]]+1,3),NA())</f>
        <v>1.3703000000000001</v>
      </c>
      <c r="N794" cm="1" vm="1928">
        <f t="array" aca="1" ref="N794" ca="1">IFERROR(INDEX(_xlfn.ANCHORARRAY($C$3),T_CALC[[#This Row],[DAY]]+1,4),NA())</f>
        <v>1.3823000000000001</v>
      </c>
      <c r="O794" cm="1" vm="2793">
        <f t="array" aca="1" ref="O794" ca="1">IFERROR(INDEX(_xlfn.ANCHORARRAY($C$3),T_CALC[[#This Row],[DAY]]+1,5),NA())</f>
        <v>1.3694999999999999</v>
      </c>
      <c r="P794" cm="1" vm="3026">
        <f t="array" aca="1" ref="P794" ca="1">IFERROR(INDEX(_xlfn.ANCHORARRAY($C$3),T_CALC[[#This Row],[DAY]]+1,6),NA())</f>
        <v>1.3812</v>
      </c>
      <c r="Q794" cm="1">
        <f t="array" aca="1" ref="Q794" ca="1">IFERROR(INDEX(_xlfn.ANCHORARRAY($C$3),T_CALC[[#This Row],[DAY]]+1,2),NA())</f>
        <v>0</v>
      </c>
    </row>
    <row r="795" spans="3:17">
      <c r="C795" vm="3244">
        <f ca="1"/>
        <v>43867</v>
      </c>
      <c r="D795">
        <f ca="1"/>
        <v>0</v>
      </c>
      <c r="E795" vm="3026">
        <f ca="1"/>
        <v>1.3812</v>
      </c>
      <c r="F795" vm="1915">
        <f ca="1"/>
        <v>1.3867</v>
      </c>
      <c r="G795" vm="1864">
        <f ca="1"/>
        <v>1.3794</v>
      </c>
      <c r="H795" vm="1940">
        <f ca="1"/>
        <v>1.3855</v>
      </c>
      <c r="K795">
        <f ca="1">IF(ROW(T_CALC[[#This Row],[DAY]])-ROW(T_CALC[[#Headers],[DAY]])&gt;C_N_TRADING_DAYS,"",ROW(T_CALC[[#This Row],[DAY]])-ROW(T_CALC[[#Headers],[DAY]]))</f>
        <v>792</v>
      </c>
      <c r="L795" cm="1" vm="3244">
        <f t="array" aca="1" ref="L795" ca="1">IFERROR(INDEX(_xlfn.ANCHORARRAY($C$3),T_CALC[[#This Row],[DAY]]+1,1),NA())</f>
        <v>43867</v>
      </c>
      <c r="M795" cm="1" vm="3026">
        <f t="array" aca="1" ref="M795" ca="1">IFERROR(INDEX(_xlfn.ANCHORARRAY($C$3),T_CALC[[#This Row],[DAY]]+1,3),NA())</f>
        <v>1.3812</v>
      </c>
      <c r="N795" cm="1" vm="1915">
        <f t="array" aca="1" ref="N795" ca="1">IFERROR(INDEX(_xlfn.ANCHORARRAY($C$3),T_CALC[[#This Row],[DAY]]+1,4),NA())</f>
        <v>1.3867</v>
      </c>
      <c r="O795" cm="1" vm="1864">
        <f t="array" aca="1" ref="O795" ca="1">IFERROR(INDEX(_xlfn.ANCHORARRAY($C$3),T_CALC[[#This Row],[DAY]]+1,5),NA())</f>
        <v>1.3794</v>
      </c>
      <c r="P795" cm="1" vm="1940">
        <f t="array" aca="1" ref="P795" ca="1">IFERROR(INDEX(_xlfn.ANCHORARRAY($C$3),T_CALC[[#This Row],[DAY]]+1,6),NA())</f>
        <v>1.3855</v>
      </c>
      <c r="Q795" cm="1">
        <f t="array" aca="1" ref="Q795" ca="1">IFERROR(INDEX(_xlfn.ANCHORARRAY($C$3),T_CALC[[#This Row],[DAY]]+1,2),NA())</f>
        <v>0</v>
      </c>
    </row>
    <row r="796" spans="3:17">
      <c r="C796" vm="3245">
        <f ca="1"/>
        <v>43868</v>
      </c>
      <c r="D796">
        <f ca="1"/>
        <v>0</v>
      </c>
      <c r="E796" vm="1940">
        <f ca="1"/>
        <v>1.3855</v>
      </c>
      <c r="F796" vm="3246">
        <f ca="1"/>
        <v>1.3915999999999999</v>
      </c>
      <c r="G796" vm="1815">
        <f ca="1"/>
        <v>1.3847</v>
      </c>
      <c r="H796" vm="1807">
        <f ca="1"/>
        <v>1.3892</v>
      </c>
      <c r="K796">
        <f ca="1">IF(ROW(T_CALC[[#This Row],[DAY]])-ROW(T_CALC[[#Headers],[DAY]])&gt;C_N_TRADING_DAYS,"",ROW(T_CALC[[#This Row],[DAY]])-ROW(T_CALC[[#Headers],[DAY]]))</f>
        <v>793</v>
      </c>
      <c r="L796" cm="1" vm="3245">
        <f t="array" aca="1" ref="L796" ca="1">IFERROR(INDEX(_xlfn.ANCHORARRAY($C$3),T_CALC[[#This Row],[DAY]]+1,1),NA())</f>
        <v>43868</v>
      </c>
      <c r="M796" cm="1" vm="1940">
        <f t="array" aca="1" ref="M796" ca="1">IFERROR(INDEX(_xlfn.ANCHORARRAY($C$3),T_CALC[[#This Row],[DAY]]+1,3),NA())</f>
        <v>1.3855</v>
      </c>
      <c r="N796" cm="1" vm="3246">
        <f t="array" aca="1" ref="N796" ca="1">IFERROR(INDEX(_xlfn.ANCHORARRAY($C$3),T_CALC[[#This Row],[DAY]]+1,4),NA())</f>
        <v>1.3915999999999999</v>
      </c>
      <c r="O796" cm="1" vm="1815">
        <f t="array" aca="1" ref="O796" ca="1">IFERROR(INDEX(_xlfn.ANCHORARRAY($C$3),T_CALC[[#This Row],[DAY]]+1,5),NA())</f>
        <v>1.3847</v>
      </c>
      <c r="P796" cm="1" vm="1807">
        <f t="array" aca="1" ref="P796" ca="1">IFERROR(INDEX(_xlfn.ANCHORARRAY($C$3),T_CALC[[#This Row],[DAY]]+1,6),NA())</f>
        <v>1.3892</v>
      </c>
      <c r="Q796" cm="1">
        <f t="array" aca="1" ref="Q796" ca="1">IFERROR(INDEX(_xlfn.ANCHORARRAY($C$3),T_CALC[[#This Row],[DAY]]+1,2),NA())</f>
        <v>0</v>
      </c>
    </row>
    <row r="797" spans="3:17">
      <c r="C797" vm="3247">
        <f ca="1"/>
        <v>43871</v>
      </c>
      <c r="D797">
        <f ca="1"/>
        <v>0</v>
      </c>
      <c r="E797" vm="1807">
        <f ca="1"/>
        <v>1.3892</v>
      </c>
      <c r="F797" vm="3248">
        <f ca="1"/>
        <v>1.3922000000000001</v>
      </c>
      <c r="G797" vm="3116">
        <f ca="1"/>
        <v>1.3874</v>
      </c>
      <c r="H797" vm="3102">
        <f ca="1"/>
        <v>1.3894</v>
      </c>
      <c r="K797">
        <f ca="1">IF(ROW(T_CALC[[#This Row],[DAY]])-ROW(T_CALC[[#Headers],[DAY]])&gt;C_N_TRADING_DAYS,"",ROW(T_CALC[[#This Row],[DAY]])-ROW(T_CALC[[#Headers],[DAY]]))</f>
        <v>794</v>
      </c>
      <c r="L797" cm="1" vm="3247">
        <f t="array" aca="1" ref="L797" ca="1">IFERROR(INDEX(_xlfn.ANCHORARRAY($C$3),T_CALC[[#This Row],[DAY]]+1,1),NA())</f>
        <v>43871</v>
      </c>
      <c r="M797" cm="1" vm="1807">
        <f t="array" aca="1" ref="M797" ca="1">IFERROR(INDEX(_xlfn.ANCHORARRAY($C$3),T_CALC[[#This Row],[DAY]]+1,3),NA())</f>
        <v>1.3892</v>
      </c>
      <c r="N797" cm="1" vm="3248">
        <f t="array" aca="1" ref="N797" ca="1">IFERROR(INDEX(_xlfn.ANCHORARRAY($C$3),T_CALC[[#This Row],[DAY]]+1,4),NA())</f>
        <v>1.3922000000000001</v>
      </c>
      <c r="O797" cm="1" vm="3116">
        <f t="array" aca="1" ref="O797" ca="1">IFERROR(INDEX(_xlfn.ANCHORARRAY($C$3),T_CALC[[#This Row],[DAY]]+1,5),NA())</f>
        <v>1.3874</v>
      </c>
      <c r="P797" cm="1" vm="3102">
        <f t="array" aca="1" ref="P797" ca="1">IFERROR(INDEX(_xlfn.ANCHORARRAY($C$3),T_CALC[[#This Row],[DAY]]+1,6),NA())</f>
        <v>1.3894</v>
      </c>
      <c r="Q797" cm="1">
        <f t="array" aca="1" ref="Q797" ca="1">IFERROR(INDEX(_xlfn.ANCHORARRAY($C$3),T_CALC[[#This Row],[DAY]]+1,2),NA())</f>
        <v>0</v>
      </c>
    </row>
    <row r="798" spans="3:17">
      <c r="C798" vm="3249">
        <f ca="1"/>
        <v>43872</v>
      </c>
      <c r="D798">
        <f ca="1"/>
        <v>0</v>
      </c>
      <c r="E798" vm="3102">
        <f ca="1"/>
        <v>1.3894</v>
      </c>
      <c r="F798" vm="3250">
        <f ca="1"/>
        <v>1.3895999999999999</v>
      </c>
      <c r="G798" vm="2850">
        <f ca="1"/>
        <v>1.3854</v>
      </c>
      <c r="H798" vm="1839">
        <f ca="1"/>
        <v>1.3861000000000001</v>
      </c>
      <c r="K798">
        <f ca="1">IF(ROW(T_CALC[[#This Row],[DAY]])-ROW(T_CALC[[#Headers],[DAY]])&gt;C_N_TRADING_DAYS,"",ROW(T_CALC[[#This Row],[DAY]])-ROW(T_CALC[[#Headers],[DAY]]))</f>
        <v>795</v>
      </c>
      <c r="L798" cm="1" vm="3249">
        <f t="array" aca="1" ref="L798" ca="1">IFERROR(INDEX(_xlfn.ANCHORARRAY($C$3),T_CALC[[#This Row],[DAY]]+1,1),NA())</f>
        <v>43872</v>
      </c>
      <c r="M798" cm="1" vm="3102">
        <f t="array" aca="1" ref="M798" ca="1">IFERROR(INDEX(_xlfn.ANCHORARRAY($C$3),T_CALC[[#This Row],[DAY]]+1,3),NA())</f>
        <v>1.3894</v>
      </c>
      <c r="N798" cm="1" vm="3250">
        <f t="array" aca="1" ref="N798" ca="1">IFERROR(INDEX(_xlfn.ANCHORARRAY($C$3),T_CALC[[#This Row],[DAY]]+1,4),NA())</f>
        <v>1.3895999999999999</v>
      </c>
      <c r="O798" cm="1" vm="2850">
        <f t="array" aca="1" ref="O798" ca="1">IFERROR(INDEX(_xlfn.ANCHORARRAY($C$3),T_CALC[[#This Row],[DAY]]+1,5),NA())</f>
        <v>1.3854</v>
      </c>
      <c r="P798" cm="1" vm="1839">
        <f t="array" aca="1" ref="P798" ca="1">IFERROR(INDEX(_xlfn.ANCHORARRAY($C$3),T_CALC[[#This Row],[DAY]]+1,6),NA())</f>
        <v>1.3861000000000001</v>
      </c>
      <c r="Q798" cm="1">
        <f t="array" aca="1" ref="Q798" ca="1">IFERROR(INDEX(_xlfn.ANCHORARRAY($C$3),T_CALC[[#This Row],[DAY]]+1,2),NA())</f>
        <v>0</v>
      </c>
    </row>
    <row r="799" spans="3:17">
      <c r="C799" vm="3251">
        <f ca="1"/>
        <v>43873</v>
      </c>
      <c r="D799">
        <f ca="1"/>
        <v>0</v>
      </c>
      <c r="E799" vm="3091">
        <f ca="1"/>
        <v>1.3859999999999999</v>
      </c>
      <c r="F799" vm="1899">
        <f ca="1"/>
        <v>1.3875999999999999</v>
      </c>
      <c r="G799" vm="1819">
        <f ca="1"/>
        <v>1.3845000000000001</v>
      </c>
      <c r="H799" vm="1839">
        <f ca="1"/>
        <v>1.3861000000000001</v>
      </c>
      <c r="K799">
        <f ca="1">IF(ROW(T_CALC[[#This Row],[DAY]])-ROW(T_CALC[[#Headers],[DAY]])&gt;C_N_TRADING_DAYS,"",ROW(T_CALC[[#This Row],[DAY]])-ROW(T_CALC[[#Headers],[DAY]]))</f>
        <v>796</v>
      </c>
      <c r="L799" cm="1" vm="3251">
        <f t="array" aca="1" ref="L799" ca="1">IFERROR(INDEX(_xlfn.ANCHORARRAY($C$3),T_CALC[[#This Row],[DAY]]+1,1),NA())</f>
        <v>43873</v>
      </c>
      <c r="M799" cm="1" vm="3091">
        <f t="array" aca="1" ref="M799" ca="1">IFERROR(INDEX(_xlfn.ANCHORARRAY($C$3),T_CALC[[#This Row],[DAY]]+1,3),NA())</f>
        <v>1.3859999999999999</v>
      </c>
      <c r="N799" cm="1" vm="1899">
        <f t="array" aca="1" ref="N799" ca="1">IFERROR(INDEX(_xlfn.ANCHORARRAY($C$3),T_CALC[[#This Row],[DAY]]+1,4),NA())</f>
        <v>1.3875999999999999</v>
      </c>
      <c r="O799" cm="1" vm="1819">
        <f t="array" aca="1" ref="O799" ca="1">IFERROR(INDEX(_xlfn.ANCHORARRAY($C$3),T_CALC[[#This Row],[DAY]]+1,5),NA())</f>
        <v>1.3845000000000001</v>
      </c>
      <c r="P799" cm="1" vm="1839">
        <f t="array" aca="1" ref="P799" ca="1">IFERROR(INDEX(_xlfn.ANCHORARRAY($C$3),T_CALC[[#This Row],[DAY]]+1,6),NA())</f>
        <v>1.3861000000000001</v>
      </c>
      <c r="Q799" cm="1">
        <f t="array" aca="1" ref="Q799" ca="1">IFERROR(INDEX(_xlfn.ANCHORARRAY($C$3),T_CALC[[#This Row],[DAY]]+1,2),NA())</f>
        <v>0</v>
      </c>
    </row>
    <row r="800" spans="3:17">
      <c r="C800" vm="3252">
        <f ca="1"/>
        <v>43874</v>
      </c>
      <c r="D800">
        <f ca="1"/>
        <v>0</v>
      </c>
      <c r="E800" vm="3253">
        <f ca="1"/>
        <v>1.3858999999999999</v>
      </c>
      <c r="F800" vm="1904">
        <f ca="1"/>
        <v>1.3898999999999999</v>
      </c>
      <c r="G800" vm="1820">
        <f ca="1"/>
        <v>1.3857999999999999</v>
      </c>
      <c r="H800" vm="1897">
        <f ca="1"/>
        <v>1.3891</v>
      </c>
      <c r="K800">
        <f ca="1">IF(ROW(T_CALC[[#This Row],[DAY]])-ROW(T_CALC[[#Headers],[DAY]])&gt;C_N_TRADING_DAYS,"",ROW(T_CALC[[#This Row],[DAY]])-ROW(T_CALC[[#Headers],[DAY]]))</f>
        <v>797</v>
      </c>
      <c r="L800" cm="1" vm="3252">
        <f t="array" aca="1" ref="L800" ca="1">IFERROR(INDEX(_xlfn.ANCHORARRAY($C$3),T_CALC[[#This Row],[DAY]]+1,1),NA())</f>
        <v>43874</v>
      </c>
      <c r="M800" cm="1" vm="3253">
        <f t="array" aca="1" ref="M800" ca="1">IFERROR(INDEX(_xlfn.ANCHORARRAY($C$3),T_CALC[[#This Row],[DAY]]+1,3),NA())</f>
        <v>1.3858999999999999</v>
      </c>
      <c r="N800" cm="1" vm="1904">
        <f t="array" aca="1" ref="N800" ca="1">IFERROR(INDEX(_xlfn.ANCHORARRAY($C$3),T_CALC[[#This Row],[DAY]]+1,4),NA())</f>
        <v>1.3898999999999999</v>
      </c>
      <c r="O800" cm="1" vm="1820">
        <f t="array" aca="1" ref="O800" ca="1">IFERROR(INDEX(_xlfn.ANCHORARRAY($C$3),T_CALC[[#This Row],[DAY]]+1,5),NA())</f>
        <v>1.3857999999999999</v>
      </c>
      <c r="P800" cm="1" vm="1897">
        <f t="array" aca="1" ref="P800" ca="1">IFERROR(INDEX(_xlfn.ANCHORARRAY($C$3),T_CALC[[#This Row],[DAY]]+1,6),NA())</f>
        <v>1.3891</v>
      </c>
      <c r="Q800" cm="1">
        <f t="array" aca="1" ref="Q800" ca="1">IFERROR(INDEX(_xlfn.ANCHORARRAY($C$3),T_CALC[[#This Row],[DAY]]+1,2),NA())</f>
        <v>0</v>
      </c>
    </row>
    <row r="801" spans="3:17">
      <c r="C801" vm="3254">
        <f ca="1"/>
        <v>43875</v>
      </c>
      <c r="D801">
        <f ca="1"/>
        <v>0</v>
      </c>
      <c r="E801" vm="1900">
        <f ca="1"/>
        <v>1.389</v>
      </c>
      <c r="F801" vm="3255">
        <f ca="1"/>
        <v>1.3927</v>
      </c>
      <c r="G801" vm="3112">
        <f ca="1"/>
        <v>1.3882000000000001</v>
      </c>
      <c r="H801" vm="1769">
        <f ca="1"/>
        <v>1.3913</v>
      </c>
      <c r="K801">
        <f ca="1">IF(ROW(T_CALC[[#This Row],[DAY]])-ROW(T_CALC[[#Headers],[DAY]])&gt;C_N_TRADING_DAYS,"",ROW(T_CALC[[#This Row],[DAY]])-ROW(T_CALC[[#Headers],[DAY]]))</f>
        <v>798</v>
      </c>
      <c r="L801" cm="1" vm="3254">
        <f t="array" aca="1" ref="L801" ca="1">IFERROR(INDEX(_xlfn.ANCHORARRAY($C$3),T_CALC[[#This Row],[DAY]]+1,1),NA())</f>
        <v>43875</v>
      </c>
      <c r="M801" cm="1" vm="1900">
        <f t="array" aca="1" ref="M801" ca="1">IFERROR(INDEX(_xlfn.ANCHORARRAY($C$3),T_CALC[[#This Row],[DAY]]+1,3),NA())</f>
        <v>1.389</v>
      </c>
      <c r="N801" cm="1" vm="3255">
        <f t="array" aca="1" ref="N801" ca="1">IFERROR(INDEX(_xlfn.ANCHORARRAY($C$3),T_CALC[[#This Row],[DAY]]+1,4),NA())</f>
        <v>1.3927</v>
      </c>
      <c r="O801" cm="1" vm="3112">
        <f t="array" aca="1" ref="O801" ca="1">IFERROR(INDEX(_xlfn.ANCHORARRAY($C$3),T_CALC[[#This Row],[DAY]]+1,5),NA())</f>
        <v>1.3882000000000001</v>
      </c>
      <c r="P801" cm="1" vm="1769">
        <f t="array" aca="1" ref="P801" ca="1">IFERROR(INDEX(_xlfn.ANCHORARRAY($C$3),T_CALC[[#This Row],[DAY]]+1,6),NA())</f>
        <v>1.3913</v>
      </c>
      <c r="Q801" cm="1">
        <f t="array" aca="1" ref="Q801" ca="1">IFERROR(INDEX(_xlfn.ANCHORARRAY($C$3),T_CALC[[#This Row],[DAY]]+1,2),NA())</f>
        <v>0</v>
      </c>
    </row>
    <row r="802" spans="3:17">
      <c r="C802" vm="3256">
        <f ca="1"/>
        <v>43878</v>
      </c>
      <c r="D802">
        <f ca="1"/>
        <v>0</v>
      </c>
      <c r="E802" vm="3257">
        <f ca="1"/>
        <v>1.391</v>
      </c>
      <c r="F802" vm="1752">
        <f ca="1"/>
        <v>1.3925000000000001</v>
      </c>
      <c r="G802" vm="3258">
        <f ca="1"/>
        <v>1.3876999999999999</v>
      </c>
      <c r="H802" vm="1909">
        <f ca="1"/>
        <v>1.3888</v>
      </c>
      <c r="K802">
        <f ca="1">IF(ROW(T_CALC[[#This Row],[DAY]])-ROW(T_CALC[[#Headers],[DAY]])&gt;C_N_TRADING_DAYS,"",ROW(T_CALC[[#This Row],[DAY]])-ROW(T_CALC[[#Headers],[DAY]]))</f>
        <v>799</v>
      </c>
      <c r="L802" cm="1" vm="3256">
        <f t="array" aca="1" ref="L802" ca="1">IFERROR(INDEX(_xlfn.ANCHORARRAY($C$3),T_CALC[[#This Row],[DAY]]+1,1),NA())</f>
        <v>43878</v>
      </c>
      <c r="M802" cm="1" vm="3257">
        <f t="array" aca="1" ref="M802" ca="1">IFERROR(INDEX(_xlfn.ANCHORARRAY($C$3),T_CALC[[#This Row],[DAY]]+1,3),NA())</f>
        <v>1.391</v>
      </c>
      <c r="N802" cm="1" vm="1752">
        <f t="array" aca="1" ref="N802" ca="1">IFERROR(INDEX(_xlfn.ANCHORARRAY($C$3),T_CALC[[#This Row],[DAY]]+1,4),NA())</f>
        <v>1.3925000000000001</v>
      </c>
      <c r="O802" cm="1" vm="3258">
        <f t="array" aca="1" ref="O802" ca="1">IFERROR(INDEX(_xlfn.ANCHORARRAY($C$3),T_CALC[[#This Row],[DAY]]+1,5),NA())</f>
        <v>1.3876999999999999</v>
      </c>
      <c r="P802" cm="1" vm="1909">
        <f t="array" aca="1" ref="P802" ca="1">IFERROR(INDEX(_xlfn.ANCHORARRAY($C$3),T_CALC[[#This Row],[DAY]]+1,6),NA())</f>
        <v>1.3888</v>
      </c>
      <c r="Q802" cm="1">
        <f t="array" aca="1" ref="Q802" ca="1">IFERROR(INDEX(_xlfn.ANCHORARRAY($C$3),T_CALC[[#This Row],[DAY]]+1,2),NA())</f>
        <v>0</v>
      </c>
    </row>
    <row r="803" spans="3:17">
      <c r="C803" vm="3259">
        <f ca="1"/>
        <v>43879</v>
      </c>
      <c r="D803">
        <f ca="1"/>
        <v>0</v>
      </c>
      <c r="E803" vm="1900">
        <f ca="1"/>
        <v>1.389</v>
      </c>
      <c r="F803" vm="1813">
        <f ca="1"/>
        <v>1.3933</v>
      </c>
      <c r="G803" vm="3112">
        <f ca="1"/>
        <v>1.3882000000000001</v>
      </c>
      <c r="H803" vm="1770">
        <f ca="1"/>
        <v>1.3924000000000001</v>
      </c>
      <c r="K803">
        <f ca="1">IF(ROW(T_CALC[[#This Row],[DAY]])-ROW(T_CALC[[#Headers],[DAY]])&gt;C_N_TRADING_DAYS,"",ROW(T_CALC[[#This Row],[DAY]])-ROW(T_CALC[[#Headers],[DAY]]))</f>
        <v>800</v>
      </c>
      <c r="L803" cm="1" vm="3259">
        <f t="array" aca="1" ref="L803" ca="1">IFERROR(INDEX(_xlfn.ANCHORARRAY($C$3),T_CALC[[#This Row],[DAY]]+1,1),NA())</f>
        <v>43879</v>
      </c>
      <c r="M803" cm="1" vm="1900">
        <f t="array" aca="1" ref="M803" ca="1">IFERROR(INDEX(_xlfn.ANCHORARRAY($C$3),T_CALC[[#This Row],[DAY]]+1,3),NA())</f>
        <v>1.389</v>
      </c>
      <c r="N803" cm="1" vm="1813">
        <f t="array" aca="1" ref="N803" ca="1">IFERROR(INDEX(_xlfn.ANCHORARRAY($C$3),T_CALC[[#This Row],[DAY]]+1,4),NA())</f>
        <v>1.3933</v>
      </c>
      <c r="O803" cm="1" vm="3112">
        <f t="array" aca="1" ref="O803" ca="1">IFERROR(INDEX(_xlfn.ANCHORARRAY($C$3),T_CALC[[#This Row],[DAY]]+1,5),NA())</f>
        <v>1.3882000000000001</v>
      </c>
      <c r="P803" cm="1" vm="1770">
        <f t="array" aca="1" ref="P803" ca="1">IFERROR(INDEX(_xlfn.ANCHORARRAY($C$3),T_CALC[[#This Row],[DAY]]+1,6),NA())</f>
        <v>1.3924000000000001</v>
      </c>
      <c r="Q803" cm="1">
        <f t="array" aca="1" ref="Q803" ca="1">IFERROR(INDEX(_xlfn.ANCHORARRAY($C$3),T_CALC[[#This Row],[DAY]]+1,2),NA())</f>
        <v>0</v>
      </c>
    </row>
    <row r="804" spans="3:17">
      <c r="C804" vm="3260">
        <f ca="1"/>
        <v>43880</v>
      </c>
      <c r="D804">
        <f ca="1"/>
        <v>0</v>
      </c>
      <c r="E804" vm="3110">
        <f ca="1"/>
        <v>1.3923000000000001</v>
      </c>
      <c r="F804" vm="1691">
        <f ca="1"/>
        <v>1.3949</v>
      </c>
      <c r="G804" vm="1904">
        <f ca="1"/>
        <v>1.3898999999999999</v>
      </c>
      <c r="H804" vm="1764">
        <f ca="1"/>
        <v>1.3943000000000001</v>
      </c>
      <c r="K804">
        <f ca="1">IF(ROW(T_CALC[[#This Row],[DAY]])-ROW(T_CALC[[#Headers],[DAY]])&gt;C_N_TRADING_DAYS,"",ROW(T_CALC[[#This Row],[DAY]])-ROW(T_CALC[[#Headers],[DAY]]))</f>
        <v>801</v>
      </c>
      <c r="L804" cm="1" vm="3260">
        <f t="array" aca="1" ref="L804" ca="1">IFERROR(INDEX(_xlfn.ANCHORARRAY($C$3),T_CALC[[#This Row],[DAY]]+1,1),NA())</f>
        <v>43880</v>
      </c>
      <c r="M804" cm="1" vm="3110">
        <f t="array" aca="1" ref="M804" ca="1">IFERROR(INDEX(_xlfn.ANCHORARRAY($C$3),T_CALC[[#This Row],[DAY]]+1,3),NA())</f>
        <v>1.3923000000000001</v>
      </c>
      <c r="N804" cm="1" vm="1691">
        <f t="array" aca="1" ref="N804" ca="1">IFERROR(INDEX(_xlfn.ANCHORARRAY($C$3),T_CALC[[#This Row],[DAY]]+1,4),NA())</f>
        <v>1.3949</v>
      </c>
      <c r="O804" cm="1" vm="1904">
        <f t="array" aca="1" ref="O804" ca="1">IFERROR(INDEX(_xlfn.ANCHORARRAY($C$3),T_CALC[[#This Row],[DAY]]+1,5),NA())</f>
        <v>1.3898999999999999</v>
      </c>
      <c r="P804" cm="1" vm="1764">
        <f t="array" aca="1" ref="P804" ca="1">IFERROR(INDEX(_xlfn.ANCHORARRAY($C$3),T_CALC[[#This Row],[DAY]]+1,6),NA())</f>
        <v>1.3943000000000001</v>
      </c>
      <c r="Q804" cm="1">
        <f t="array" aca="1" ref="Q804" ca="1">IFERROR(INDEX(_xlfn.ANCHORARRAY($C$3),T_CALC[[#This Row],[DAY]]+1,2),NA())</f>
        <v>0</v>
      </c>
    </row>
    <row r="805" spans="3:17">
      <c r="C805" vm="3261">
        <f ca="1"/>
        <v>43881</v>
      </c>
      <c r="D805">
        <f ca="1"/>
        <v>0</v>
      </c>
      <c r="E805" vm="1764">
        <f ca="1"/>
        <v>1.3943000000000001</v>
      </c>
      <c r="F805" vm="1571">
        <f ca="1"/>
        <v>1.4079999999999999</v>
      </c>
      <c r="G805" vm="1785">
        <f ca="1"/>
        <v>1.3931</v>
      </c>
      <c r="H805" vm="1734">
        <f ca="1"/>
        <v>1.4006000000000001</v>
      </c>
      <c r="K805">
        <f ca="1">IF(ROW(T_CALC[[#This Row],[DAY]])-ROW(T_CALC[[#Headers],[DAY]])&gt;C_N_TRADING_DAYS,"",ROW(T_CALC[[#This Row],[DAY]])-ROW(T_CALC[[#Headers],[DAY]]))</f>
        <v>802</v>
      </c>
      <c r="L805" cm="1" vm="3261">
        <f t="array" aca="1" ref="L805" ca="1">IFERROR(INDEX(_xlfn.ANCHORARRAY($C$3),T_CALC[[#This Row],[DAY]]+1,1),NA())</f>
        <v>43881</v>
      </c>
      <c r="M805" cm="1" vm="1764">
        <f t="array" aca="1" ref="M805" ca="1">IFERROR(INDEX(_xlfn.ANCHORARRAY($C$3),T_CALC[[#This Row],[DAY]]+1,3),NA())</f>
        <v>1.3943000000000001</v>
      </c>
      <c r="N805" cm="1" vm="1571">
        <f t="array" aca="1" ref="N805" ca="1">IFERROR(INDEX(_xlfn.ANCHORARRAY($C$3),T_CALC[[#This Row],[DAY]]+1,4),NA())</f>
        <v>1.4079999999999999</v>
      </c>
      <c r="O805" cm="1" vm="1785">
        <f t="array" aca="1" ref="O805" ca="1">IFERROR(INDEX(_xlfn.ANCHORARRAY($C$3),T_CALC[[#This Row],[DAY]]+1,5),NA())</f>
        <v>1.3931</v>
      </c>
      <c r="P805" cm="1" vm="1734">
        <f t="array" aca="1" ref="P805" ca="1">IFERROR(INDEX(_xlfn.ANCHORARRAY($C$3),T_CALC[[#This Row],[DAY]]+1,6),NA())</f>
        <v>1.4006000000000001</v>
      </c>
      <c r="Q805" cm="1">
        <f t="array" aca="1" ref="Q805" ca="1">IFERROR(INDEX(_xlfn.ANCHORARRAY($C$3),T_CALC[[#This Row],[DAY]]+1,2),NA())</f>
        <v>0</v>
      </c>
    </row>
    <row r="806" spans="3:17">
      <c r="C806" vm="3262">
        <f ca="1"/>
        <v>43882</v>
      </c>
      <c r="D806">
        <f ca="1"/>
        <v>0</v>
      </c>
      <c r="E806" vm="1678">
        <f ca="1"/>
        <v>1.4007000000000001</v>
      </c>
      <c r="F806" vm="3263">
        <f ca="1"/>
        <v>1.4026000000000001</v>
      </c>
      <c r="G806" vm="3264">
        <f ca="1"/>
        <v>1.3960999999999999</v>
      </c>
      <c r="H806" vm="1718">
        <f ca="1"/>
        <v>1.3980999999999999</v>
      </c>
      <c r="K806">
        <f ca="1">IF(ROW(T_CALC[[#This Row],[DAY]])-ROW(T_CALC[[#Headers],[DAY]])&gt;C_N_TRADING_DAYS,"",ROW(T_CALC[[#This Row],[DAY]])-ROW(T_CALC[[#Headers],[DAY]]))</f>
        <v>803</v>
      </c>
      <c r="L806" cm="1" vm="3262">
        <f t="array" aca="1" ref="L806" ca="1">IFERROR(INDEX(_xlfn.ANCHORARRAY($C$3),T_CALC[[#This Row],[DAY]]+1,1),NA())</f>
        <v>43882</v>
      </c>
      <c r="M806" cm="1" vm="1678">
        <f t="array" aca="1" ref="M806" ca="1">IFERROR(INDEX(_xlfn.ANCHORARRAY($C$3),T_CALC[[#This Row],[DAY]]+1,3),NA())</f>
        <v>1.4007000000000001</v>
      </c>
      <c r="N806" cm="1" vm="3263">
        <f t="array" aca="1" ref="N806" ca="1">IFERROR(INDEX(_xlfn.ANCHORARRAY($C$3),T_CALC[[#This Row],[DAY]]+1,4),NA())</f>
        <v>1.4026000000000001</v>
      </c>
      <c r="O806" cm="1" vm="3264">
        <f t="array" aca="1" ref="O806" ca="1">IFERROR(INDEX(_xlfn.ANCHORARRAY($C$3),T_CALC[[#This Row],[DAY]]+1,5),NA())</f>
        <v>1.3960999999999999</v>
      </c>
      <c r="P806" cm="1" vm="1718">
        <f t="array" aca="1" ref="P806" ca="1">IFERROR(INDEX(_xlfn.ANCHORARRAY($C$3),T_CALC[[#This Row],[DAY]]+1,6),NA())</f>
        <v>1.3980999999999999</v>
      </c>
      <c r="Q806" cm="1">
        <f t="array" aca="1" ref="Q806" ca="1">IFERROR(INDEX(_xlfn.ANCHORARRAY($C$3),T_CALC[[#This Row],[DAY]]+1,2),NA())</f>
        <v>0</v>
      </c>
    </row>
    <row r="807" spans="3:17">
      <c r="C807" vm="3265">
        <f ca="1"/>
        <v>43885</v>
      </c>
      <c r="D807">
        <f ca="1"/>
        <v>0</v>
      </c>
      <c r="E807" vm="1714">
        <f ca="1"/>
        <v>1.3986000000000001</v>
      </c>
      <c r="F807" vm="1803">
        <f ca="1"/>
        <v>1.4041999999999999</v>
      </c>
      <c r="G807" vm="1710">
        <f ca="1"/>
        <v>1.3978999999999999</v>
      </c>
      <c r="H807" vm="1692">
        <f ca="1"/>
        <v>1.3994</v>
      </c>
      <c r="K807">
        <f ca="1">IF(ROW(T_CALC[[#This Row],[DAY]])-ROW(T_CALC[[#Headers],[DAY]])&gt;C_N_TRADING_DAYS,"",ROW(T_CALC[[#This Row],[DAY]])-ROW(T_CALC[[#Headers],[DAY]]))</f>
        <v>804</v>
      </c>
      <c r="L807" cm="1" vm="3265">
        <f t="array" aca="1" ref="L807" ca="1">IFERROR(INDEX(_xlfn.ANCHORARRAY($C$3),T_CALC[[#This Row],[DAY]]+1,1),NA())</f>
        <v>43885</v>
      </c>
      <c r="M807" cm="1" vm="1714">
        <f t="array" aca="1" ref="M807" ca="1">IFERROR(INDEX(_xlfn.ANCHORARRAY($C$3),T_CALC[[#This Row],[DAY]]+1,3),NA())</f>
        <v>1.3986000000000001</v>
      </c>
      <c r="N807" cm="1" vm="1803">
        <f t="array" aca="1" ref="N807" ca="1">IFERROR(INDEX(_xlfn.ANCHORARRAY($C$3),T_CALC[[#This Row],[DAY]]+1,4),NA())</f>
        <v>1.4041999999999999</v>
      </c>
      <c r="O807" cm="1" vm="1710">
        <f t="array" aca="1" ref="O807" ca="1">IFERROR(INDEX(_xlfn.ANCHORARRAY($C$3),T_CALC[[#This Row],[DAY]]+1,5),NA())</f>
        <v>1.3978999999999999</v>
      </c>
      <c r="P807" cm="1" vm="1692">
        <f t="array" aca="1" ref="P807" ca="1">IFERROR(INDEX(_xlfn.ANCHORARRAY($C$3),T_CALC[[#This Row],[DAY]]+1,6),NA())</f>
        <v>1.3994</v>
      </c>
      <c r="Q807" cm="1">
        <f t="array" aca="1" ref="Q807" ca="1">IFERROR(INDEX(_xlfn.ANCHORARRAY($C$3),T_CALC[[#This Row],[DAY]]+1,2),NA())</f>
        <v>0</v>
      </c>
    </row>
    <row r="808" spans="3:17">
      <c r="C808" vm="3266">
        <f ca="1"/>
        <v>43886</v>
      </c>
      <c r="D808">
        <f ca="1"/>
        <v>0</v>
      </c>
      <c r="E808" vm="3267">
        <f ca="1"/>
        <v>1.3993</v>
      </c>
      <c r="F808" vm="3268">
        <f ca="1"/>
        <v>1.3998999999999999</v>
      </c>
      <c r="G808" vm="3269">
        <f ca="1"/>
        <v>1.3954</v>
      </c>
      <c r="H808" vm="3270">
        <f ca="1"/>
        <v>1.3985000000000001</v>
      </c>
      <c r="K808">
        <f ca="1">IF(ROW(T_CALC[[#This Row],[DAY]])-ROW(T_CALC[[#Headers],[DAY]])&gt;C_N_TRADING_DAYS,"",ROW(T_CALC[[#This Row],[DAY]])-ROW(T_CALC[[#Headers],[DAY]]))</f>
        <v>805</v>
      </c>
      <c r="L808" cm="1" vm="3266">
        <f t="array" aca="1" ref="L808" ca="1">IFERROR(INDEX(_xlfn.ANCHORARRAY($C$3),T_CALC[[#This Row],[DAY]]+1,1),NA())</f>
        <v>43886</v>
      </c>
      <c r="M808" cm="1" vm="3267">
        <f t="array" aca="1" ref="M808" ca="1">IFERROR(INDEX(_xlfn.ANCHORARRAY($C$3),T_CALC[[#This Row],[DAY]]+1,3),NA())</f>
        <v>1.3993</v>
      </c>
      <c r="N808" cm="1" vm="3268">
        <f t="array" aca="1" ref="N808" ca="1">IFERROR(INDEX(_xlfn.ANCHORARRAY($C$3),T_CALC[[#This Row],[DAY]]+1,4),NA())</f>
        <v>1.3998999999999999</v>
      </c>
      <c r="O808" cm="1" vm="3269">
        <f t="array" aca="1" ref="O808" ca="1">IFERROR(INDEX(_xlfn.ANCHORARRAY($C$3),T_CALC[[#This Row],[DAY]]+1,5),NA())</f>
        <v>1.3954</v>
      </c>
      <c r="P808" cm="1" vm="3270">
        <f t="array" aca="1" ref="P808" ca="1">IFERROR(INDEX(_xlfn.ANCHORARRAY($C$3),T_CALC[[#This Row],[DAY]]+1,6),NA())</f>
        <v>1.3985000000000001</v>
      </c>
      <c r="Q808" cm="1">
        <f t="array" aca="1" ref="Q808" ca="1">IFERROR(INDEX(_xlfn.ANCHORARRAY($C$3),T_CALC[[#This Row],[DAY]]+1,2),NA())</f>
        <v>0</v>
      </c>
    </row>
    <row r="809" spans="3:17">
      <c r="C809" vm="3271">
        <f ca="1"/>
        <v>43887</v>
      </c>
      <c r="D809">
        <f ca="1"/>
        <v>0</v>
      </c>
      <c r="E809" vm="3270">
        <f ca="1"/>
        <v>1.3985000000000001</v>
      </c>
      <c r="F809" vm="1678">
        <f ca="1"/>
        <v>1.4007000000000001</v>
      </c>
      <c r="G809" vm="3272">
        <f ca="1"/>
        <v>1.3962000000000001</v>
      </c>
      <c r="H809" vm="3273">
        <f ca="1"/>
        <v>1.3973</v>
      </c>
      <c r="K809">
        <f ca="1">IF(ROW(T_CALC[[#This Row],[DAY]])-ROW(T_CALC[[#Headers],[DAY]])&gt;C_N_TRADING_DAYS,"",ROW(T_CALC[[#This Row],[DAY]])-ROW(T_CALC[[#Headers],[DAY]]))</f>
        <v>806</v>
      </c>
      <c r="L809" cm="1" vm="3271">
        <f t="array" aca="1" ref="L809" ca="1">IFERROR(INDEX(_xlfn.ANCHORARRAY($C$3),T_CALC[[#This Row],[DAY]]+1,1),NA())</f>
        <v>43887</v>
      </c>
      <c r="M809" cm="1" vm="3270">
        <f t="array" aca="1" ref="M809" ca="1">IFERROR(INDEX(_xlfn.ANCHORARRAY($C$3),T_CALC[[#This Row],[DAY]]+1,3),NA())</f>
        <v>1.3985000000000001</v>
      </c>
      <c r="N809" cm="1" vm="1678">
        <f t="array" aca="1" ref="N809" ca="1">IFERROR(INDEX(_xlfn.ANCHORARRAY($C$3),T_CALC[[#This Row],[DAY]]+1,4),NA())</f>
        <v>1.4007000000000001</v>
      </c>
      <c r="O809" cm="1" vm="3272">
        <f t="array" aca="1" ref="O809" ca="1">IFERROR(INDEX(_xlfn.ANCHORARRAY($C$3),T_CALC[[#This Row],[DAY]]+1,5),NA())</f>
        <v>1.3962000000000001</v>
      </c>
      <c r="P809" cm="1" vm="3273">
        <f t="array" aca="1" ref="P809" ca="1">IFERROR(INDEX(_xlfn.ANCHORARRAY($C$3),T_CALC[[#This Row],[DAY]]+1,6),NA())</f>
        <v>1.3973</v>
      </c>
      <c r="Q809" cm="1">
        <f t="array" aca="1" ref="Q809" ca="1">IFERROR(INDEX(_xlfn.ANCHORARRAY($C$3),T_CALC[[#This Row],[DAY]]+1,2),NA())</f>
        <v>0</v>
      </c>
    </row>
    <row r="810" spans="3:17">
      <c r="C810" vm="3274">
        <f ca="1"/>
        <v>43888</v>
      </c>
      <c r="D810">
        <f ca="1"/>
        <v>0</v>
      </c>
      <c r="E810" vm="3273">
        <f ca="1"/>
        <v>1.3973</v>
      </c>
      <c r="F810" vm="1722">
        <f ca="1"/>
        <v>1.3977999999999999</v>
      </c>
      <c r="G810" vm="1772">
        <f ca="1"/>
        <v>1.3934</v>
      </c>
      <c r="H810" vm="1686">
        <f ca="1"/>
        <v>1.395</v>
      </c>
      <c r="K810">
        <f ca="1">IF(ROW(T_CALC[[#This Row],[DAY]])-ROW(T_CALC[[#Headers],[DAY]])&gt;C_N_TRADING_DAYS,"",ROW(T_CALC[[#This Row],[DAY]])-ROW(T_CALC[[#Headers],[DAY]]))</f>
        <v>807</v>
      </c>
      <c r="L810" cm="1" vm="3274">
        <f t="array" aca="1" ref="L810" ca="1">IFERROR(INDEX(_xlfn.ANCHORARRAY($C$3),T_CALC[[#This Row],[DAY]]+1,1),NA())</f>
        <v>43888</v>
      </c>
      <c r="M810" cm="1" vm="3273">
        <f t="array" aca="1" ref="M810" ca="1">IFERROR(INDEX(_xlfn.ANCHORARRAY($C$3),T_CALC[[#This Row],[DAY]]+1,3),NA())</f>
        <v>1.3973</v>
      </c>
      <c r="N810" cm="1" vm="1722">
        <f t="array" aca="1" ref="N810" ca="1">IFERROR(INDEX(_xlfn.ANCHORARRAY($C$3),T_CALC[[#This Row],[DAY]]+1,4),NA())</f>
        <v>1.3977999999999999</v>
      </c>
      <c r="O810" cm="1" vm="1772">
        <f t="array" aca="1" ref="O810" ca="1">IFERROR(INDEX(_xlfn.ANCHORARRAY($C$3),T_CALC[[#This Row],[DAY]]+1,5),NA())</f>
        <v>1.3934</v>
      </c>
      <c r="P810" cm="1" vm="1686">
        <f t="array" aca="1" ref="P810" ca="1">IFERROR(INDEX(_xlfn.ANCHORARRAY($C$3),T_CALC[[#This Row],[DAY]]+1,6),NA())</f>
        <v>1.395</v>
      </c>
      <c r="Q810" cm="1">
        <f t="array" aca="1" ref="Q810" ca="1">IFERROR(INDEX(_xlfn.ANCHORARRAY($C$3),T_CALC[[#This Row],[DAY]]+1,2),NA())</f>
        <v>0</v>
      </c>
    </row>
    <row r="811" spans="3:17">
      <c r="C811" vm="3275">
        <f ca="1"/>
        <v>43889</v>
      </c>
      <c r="D811">
        <f ca="1"/>
        <v>0</v>
      </c>
      <c r="E811" vm="3276">
        <f ca="1"/>
        <v>1.3947000000000001</v>
      </c>
      <c r="F811" vm="1763">
        <f ca="1"/>
        <v>1.399</v>
      </c>
      <c r="G811" vm="3248">
        <f ca="1"/>
        <v>1.3922000000000001</v>
      </c>
      <c r="H811" vm="1715">
        <f ca="1"/>
        <v>1.3929</v>
      </c>
      <c r="K811">
        <f ca="1">IF(ROW(T_CALC[[#This Row],[DAY]])-ROW(T_CALC[[#Headers],[DAY]])&gt;C_N_TRADING_DAYS,"",ROW(T_CALC[[#This Row],[DAY]])-ROW(T_CALC[[#Headers],[DAY]]))</f>
        <v>808</v>
      </c>
      <c r="L811" cm="1" vm="3275">
        <f t="array" aca="1" ref="L811" ca="1">IFERROR(INDEX(_xlfn.ANCHORARRAY($C$3),T_CALC[[#This Row],[DAY]]+1,1),NA())</f>
        <v>43889</v>
      </c>
      <c r="M811" cm="1" vm="3276">
        <f t="array" aca="1" ref="M811" ca="1">IFERROR(INDEX(_xlfn.ANCHORARRAY($C$3),T_CALC[[#This Row],[DAY]]+1,3),NA())</f>
        <v>1.3947000000000001</v>
      </c>
      <c r="N811" cm="1" vm="1763">
        <f t="array" aca="1" ref="N811" ca="1">IFERROR(INDEX(_xlfn.ANCHORARRAY($C$3),T_CALC[[#This Row],[DAY]]+1,4),NA())</f>
        <v>1.399</v>
      </c>
      <c r="O811" cm="1" vm="3248">
        <f t="array" aca="1" ref="O811" ca="1">IFERROR(INDEX(_xlfn.ANCHORARRAY($C$3),T_CALC[[#This Row],[DAY]]+1,5),NA())</f>
        <v>1.3922000000000001</v>
      </c>
      <c r="P811" cm="1" vm="1715">
        <f t="array" aca="1" ref="P811" ca="1">IFERROR(INDEX(_xlfn.ANCHORARRAY($C$3),T_CALC[[#This Row],[DAY]]+1,6),NA())</f>
        <v>1.3929</v>
      </c>
      <c r="Q811" cm="1">
        <f t="array" aca="1" ref="Q811" ca="1">IFERROR(INDEX(_xlfn.ANCHORARRAY($C$3),T_CALC[[#This Row],[DAY]]+1,2),NA())</f>
        <v>0</v>
      </c>
    </row>
    <row r="812" spans="3:17">
      <c r="C812" vm="3277">
        <f ca="1"/>
        <v>43892</v>
      </c>
      <c r="D812">
        <f ca="1"/>
        <v>0</v>
      </c>
      <c r="E812" vm="1770">
        <f ca="1"/>
        <v>1.3924000000000001</v>
      </c>
      <c r="F812" vm="1756">
        <f ca="1"/>
        <v>1.3972</v>
      </c>
      <c r="G812" vm="3119">
        <f ca="1"/>
        <v>1.3875</v>
      </c>
      <c r="H812" vm="1808">
        <f ca="1"/>
        <v>1.3897999999999999</v>
      </c>
      <c r="K812">
        <f ca="1">IF(ROW(T_CALC[[#This Row],[DAY]])-ROW(T_CALC[[#Headers],[DAY]])&gt;C_N_TRADING_DAYS,"",ROW(T_CALC[[#This Row],[DAY]])-ROW(T_CALC[[#Headers],[DAY]]))</f>
        <v>809</v>
      </c>
      <c r="L812" cm="1" vm="3277">
        <f t="array" aca="1" ref="L812" ca="1">IFERROR(INDEX(_xlfn.ANCHORARRAY($C$3),T_CALC[[#This Row],[DAY]]+1,1),NA())</f>
        <v>43892</v>
      </c>
      <c r="M812" cm="1" vm="1770">
        <f t="array" aca="1" ref="M812" ca="1">IFERROR(INDEX(_xlfn.ANCHORARRAY($C$3),T_CALC[[#This Row],[DAY]]+1,3),NA())</f>
        <v>1.3924000000000001</v>
      </c>
      <c r="N812" cm="1" vm="1756">
        <f t="array" aca="1" ref="N812" ca="1">IFERROR(INDEX(_xlfn.ANCHORARRAY($C$3),T_CALC[[#This Row],[DAY]]+1,4),NA())</f>
        <v>1.3972</v>
      </c>
      <c r="O812" cm="1" vm="3119">
        <f t="array" aca="1" ref="O812" ca="1">IFERROR(INDEX(_xlfn.ANCHORARRAY($C$3),T_CALC[[#This Row],[DAY]]+1,5),NA())</f>
        <v>1.3875</v>
      </c>
      <c r="P812" cm="1" vm="1808">
        <f t="array" aca="1" ref="P812" ca="1">IFERROR(INDEX(_xlfn.ANCHORARRAY($C$3),T_CALC[[#This Row],[DAY]]+1,6),NA())</f>
        <v>1.3897999999999999</v>
      </c>
      <c r="Q812" cm="1">
        <f t="array" aca="1" ref="Q812" ca="1">IFERROR(INDEX(_xlfn.ANCHORARRAY($C$3),T_CALC[[#This Row],[DAY]]+1,2),NA())</f>
        <v>0</v>
      </c>
    </row>
    <row r="813" spans="3:17">
      <c r="C813" vm="3278">
        <f ca="1"/>
        <v>43893</v>
      </c>
      <c r="D813">
        <f ca="1"/>
        <v>0</v>
      </c>
      <c r="E813" vm="3279">
        <f ca="1"/>
        <v>1.39</v>
      </c>
      <c r="F813" vm="3280">
        <f ca="1"/>
        <v>1.3944000000000001</v>
      </c>
      <c r="G813" vm="1827">
        <f ca="1"/>
        <v>1.3836999999999999</v>
      </c>
      <c r="H813" vm="1899">
        <f ca="1"/>
        <v>1.3875999999999999</v>
      </c>
      <c r="K813">
        <f ca="1">IF(ROW(T_CALC[[#This Row],[DAY]])-ROW(T_CALC[[#Headers],[DAY]])&gt;C_N_TRADING_DAYS,"",ROW(T_CALC[[#This Row],[DAY]])-ROW(T_CALC[[#Headers],[DAY]]))</f>
        <v>810</v>
      </c>
      <c r="L813" cm="1" vm="3278">
        <f t="array" aca="1" ref="L813" ca="1">IFERROR(INDEX(_xlfn.ANCHORARRAY($C$3),T_CALC[[#This Row],[DAY]]+1,1),NA())</f>
        <v>43893</v>
      </c>
      <c r="M813" cm="1" vm="3279">
        <f t="array" aca="1" ref="M813" ca="1">IFERROR(INDEX(_xlfn.ANCHORARRAY($C$3),T_CALC[[#This Row],[DAY]]+1,3),NA())</f>
        <v>1.39</v>
      </c>
      <c r="N813" cm="1" vm="3280">
        <f t="array" aca="1" ref="N813" ca="1">IFERROR(INDEX(_xlfn.ANCHORARRAY($C$3),T_CALC[[#This Row],[DAY]]+1,4),NA())</f>
        <v>1.3944000000000001</v>
      </c>
      <c r="O813" cm="1" vm="1827">
        <f t="array" aca="1" ref="O813" ca="1">IFERROR(INDEX(_xlfn.ANCHORARRAY($C$3),T_CALC[[#This Row],[DAY]]+1,5),NA())</f>
        <v>1.3836999999999999</v>
      </c>
      <c r="P813" cm="1" vm="1899">
        <f t="array" aca="1" ref="P813" ca="1">IFERROR(INDEX(_xlfn.ANCHORARRAY($C$3),T_CALC[[#This Row],[DAY]]+1,6),NA())</f>
        <v>1.3875999999999999</v>
      </c>
      <c r="Q813" cm="1">
        <f t="array" aca="1" ref="Q813" ca="1">IFERROR(INDEX(_xlfn.ANCHORARRAY($C$3),T_CALC[[#This Row],[DAY]]+1,2),NA())</f>
        <v>0</v>
      </c>
    </row>
    <row r="814" spans="3:17">
      <c r="C814" vm="3281">
        <f ca="1"/>
        <v>43894</v>
      </c>
      <c r="D814">
        <f ca="1"/>
        <v>0</v>
      </c>
      <c r="E814" vm="1899">
        <f ca="1"/>
        <v>1.3875999999999999</v>
      </c>
      <c r="F814" vm="3250">
        <f ca="1"/>
        <v>1.3895999999999999</v>
      </c>
      <c r="G814" vm="1926">
        <f ca="1"/>
        <v>1.3825000000000001</v>
      </c>
      <c r="H814" vm="1819">
        <f ca="1"/>
        <v>1.3845000000000001</v>
      </c>
      <c r="K814">
        <f ca="1">IF(ROW(T_CALC[[#This Row],[DAY]])-ROW(T_CALC[[#Headers],[DAY]])&gt;C_N_TRADING_DAYS,"",ROW(T_CALC[[#This Row],[DAY]])-ROW(T_CALC[[#Headers],[DAY]]))</f>
        <v>811</v>
      </c>
      <c r="L814" cm="1" vm="3281">
        <f t="array" aca="1" ref="L814" ca="1">IFERROR(INDEX(_xlfn.ANCHORARRAY($C$3),T_CALC[[#This Row],[DAY]]+1,1),NA())</f>
        <v>43894</v>
      </c>
      <c r="M814" cm="1" vm="1899">
        <f t="array" aca="1" ref="M814" ca="1">IFERROR(INDEX(_xlfn.ANCHORARRAY($C$3),T_CALC[[#This Row],[DAY]]+1,3),NA())</f>
        <v>1.3875999999999999</v>
      </c>
      <c r="N814" cm="1" vm="3250">
        <f t="array" aca="1" ref="N814" ca="1">IFERROR(INDEX(_xlfn.ANCHORARRAY($C$3),T_CALC[[#This Row],[DAY]]+1,4),NA())</f>
        <v>1.3895999999999999</v>
      </c>
      <c r="O814" cm="1" vm="1926">
        <f t="array" aca="1" ref="O814" ca="1">IFERROR(INDEX(_xlfn.ANCHORARRAY($C$3),T_CALC[[#This Row],[DAY]]+1,5),NA())</f>
        <v>1.3825000000000001</v>
      </c>
      <c r="P814" cm="1" vm="1819">
        <f t="array" aca="1" ref="P814" ca="1">IFERROR(INDEX(_xlfn.ANCHORARRAY($C$3),T_CALC[[#This Row],[DAY]]+1,6),NA())</f>
        <v>1.3845000000000001</v>
      </c>
      <c r="Q814" cm="1">
        <f t="array" aca="1" ref="Q814" ca="1">IFERROR(INDEX(_xlfn.ANCHORARRAY($C$3),T_CALC[[#This Row],[DAY]]+1,2),NA())</f>
        <v>0</v>
      </c>
    </row>
    <row r="815" spans="3:17">
      <c r="C815" vm="3282">
        <f ca="1"/>
        <v>43895</v>
      </c>
      <c r="D815">
        <f ca="1"/>
        <v>0</v>
      </c>
      <c r="E815" vm="2848">
        <f ca="1"/>
        <v>1.3846000000000001</v>
      </c>
      <c r="F815" vm="3258">
        <f ca="1"/>
        <v>1.3876999999999999</v>
      </c>
      <c r="G815" vm="1874">
        <f ca="1"/>
        <v>1.3821000000000001</v>
      </c>
      <c r="H815" vm="1865">
        <f ca="1"/>
        <v>1.3827</v>
      </c>
      <c r="K815">
        <f ca="1">IF(ROW(T_CALC[[#This Row],[DAY]])-ROW(T_CALC[[#Headers],[DAY]])&gt;C_N_TRADING_DAYS,"",ROW(T_CALC[[#This Row],[DAY]])-ROW(T_CALC[[#Headers],[DAY]]))</f>
        <v>812</v>
      </c>
      <c r="L815" cm="1" vm="3282">
        <f t="array" aca="1" ref="L815" ca="1">IFERROR(INDEX(_xlfn.ANCHORARRAY($C$3),T_CALC[[#This Row],[DAY]]+1,1),NA())</f>
        <v>43895</v>
      </c>
      <c r="M815" cm="1" vm="2848">
        <f t="array" aca="1" ref="M815" ca="1">IFERROR(INDEX(_xlfn.ANCHORARRAY($C$3),T_CALC[[#This Row],[DAY]]+1,3),NA())</f>
        <v>1.3846000000000001</v>
      </c>
      <c r="N815" cm="1" vm="3258">
        <f t="array" aca="1" ref="N815" ca="1">IFERROR(INDEX(_xlfn.ANCHORARRAY($C$3),T_CALC[[#This Row],[DAY]]+1,4),NA())</f>
        <v>1.3876999999999999</v>
      </c>
      <c r="O815" cm="1" vm="1874">
        <f t="array" aca="1" ref="O815" ca="1">IFERROR(INDEX(_xlfn.ANCHORARRAY($C$3),T_CALC[[#This Row],[DAY]]+1,5),NA())</f>
        <v>1.3821000000000001</v>
      </c>
      <c r="P815" cm="1" vm="1865">
        <f t="array" aca="1" ref="P815" ca="1">IFERROR(INDEX(_xlfn.ANCHORARRAY($C$3),T_CALC[[#This Row],[DAY]]+1,6),NA())</f>
        <v>1.3827</v>
      </c>
      <c r="Q815" cm="1">
        <f t="array" aca="1" ref="Q815" ca="1">IFERROR(INDEX(_xlfn.ANCHORARRAY($C$3),T_CALC[[#This Row],[DAY]]+1,2),NA())</f>
        <v>0</v>
      </c>
    </row>
    <row r="816" spans="3:17">
      <c r="C816" vm="3283">
        <f ca="1"/>
        <v>43896</v>
      </c>
      <c r="D816">
        <f ca="1"/>
        <v>0</v>
      </c>
      <c r="E816" vm="1865">
        <f ca="1"/>
        <v>1.3827</v>
      </c>
      <c r="F816" vm="3091">
        <f ca="1"/>
        <v>1.3859999999999999</v>
      </c>
      <c r="G816" vm="1925">
        <f ca="1"/>
        <v>1.3765000000000001</v>
      </c>
      <c r="H816" vm="1857">
        <f ca="1"/>
        <v>1.3781000000000001</v>
      </c>
      <c r="K816">
        <f ca="1">IF(ROW(T_CALC[[#This Row],[DAY]])-ROW(T_CALC[[#Headers],[DAY]])&gt;C_N_TRADING_DAYS,"",ROW(T_CALC[[#This Row],[DAY]])-ROW(T_CALC[[#Headers],[DAY]]))</f>
        <v>813</v>
      </c>
      <c r="L816" cm="1" vm="3283">
        <f t="array" aca="1" ref="L816" ca="1">IFERROR(INDEX(_xlfn.ANCHORARRAY($C$3),T_CALC[[#This Row],[DAY]]+1,1),NA())</f>
        <v>43896</v>
      </c>
      <c r="M816" cm="1" vm="1865">
        <f t="array" aca="1" ref="M816" ca="1">IFERROR(INDEX(_xlfn.ANCHORARRAY($C$3),T_CALC[[#This Row],[DAY]]+1,3),NA())</f>
        <v>1.3827</v>
      </c>
      <c r="N816" cm="1" vm="3091">
        <f t="array" aca="1" ref="N816" ca="1">IFERROR(INDEX(_xlfn.ANCHORARRAY($C$3),T_CALC[[#This Row],[DAY]]+1,4),NA())</f>
        <v>1.3859999999999999</v>
      </c>
      <c r="O816" cm="1" vm="1925">
        <f t="array" aca="1" ref="O816" ca="1">IFERROR(INDEX(_xlfn.ANCHORARRAY($C$3),T_CALC[[#This Row],[DAY]]+1,5),NA())</f>
        <v>1.3765000000000001</v>
      </c>
      <c r="P816" cm="1" vm="1857">
        <f t="array" aca="1" ref="P816" ca="1">IFERROR(INDEX(_xlfn.ANCHORARRAY($C$3),T_CALC[[#This Row],[DAY]]+1,6),NA())</f>
        <v>1.3781000000000001</v>
      </c>
      <c r="Q816" cm="1">
        <f t="array" aca="1" ref="Q816" ca="1">IFERROR(INDEX(_xlfn.ANCHORARRAY($C$3),T_CALC[[#This Row],[DAY]]+1,2),NA())</f>
        <v>0</v>
      </c>
    </row>
    <row r="817" spans="3:17">
      <c r="C817" vm="3284">
        <f ca="1"/>
        <v>43899</v>
      </c>
      <c r="D817">
        <f ca="1"/>
        <v>0</v>
      </c>
      <c r="E817" vm="2830">
        <f ca="1"/>
        <v>1.3779999999999999</v>
      </c>
      <c r="F817" vm="1839">
        <f ca="1"/>
        <v>1.3861000000000001</v>
      </c>
      <c r="G817" vm="2835">
        <f ca="1"/>
        <v>1.3754999999999999</v>
      </c>
      <c r="H817" vm="1845">
        <f ca="1"/>
        <v>1.3838999999999999</v>
      </c>
      <c r="K817">
        <f ca="1">IF(ROW(T_CALC[[#This Row],[DAY]])-ROW(T_CALC[[#Headers],[DAY]])&gt;C_N_TRADING_DAYS,"",ROW(T_CALC[[#This Row],[DAY]])-ROW(T_CALC[[#Headers],[DAY]]))</f>
        <v>814</v>
      </c>
      <c r="L817" cm="1" vm="3284">
        <f t="array" aca="1" ref="L817" ca="1">IFERROR(INDEX(_xlfn.ANCHORARRAY($C$3),T_CALC[[#This Row],[DAY]]+1,1),NA())</f>
        <v>43899</v>
      </c>
      <c r="M817" cm="1" vm="2830">
        <f t="array" aca="1" ref="M817" ca="1">IFERROR(INDEX(_xlfn.ANCHORARRAY($C$3),T_CALC[[#This Row],[DAY]]+1,3),NA())</f>
        <v>1.3779999999999999</v>
      </c>
      <c r="N817" cm="1" vm="1839">
        <f t="array" aca="1" ref="N817" ca="1">IFERROR(INDEX(_xlfn.ANCHORARRAY($C$3),T_CALC[[#This Row],[DAY]]+1,4),NA())</f>
        <v>1.3861000000000001</v>
      </c>
      <c r="O817" cm="1" vm="2835">
        <f t="array" aca="1" ref="O817" ca="1">IFERROR(INDEX(_xlfn.ANCHORARRAY($C$3),T_CALC[[#This Row],[DAY]]+1,5),NA())</f>
        <v>1.3754999999999999</v>
      </c>
      <c r="P817" cm="1" vm="1845">
        <f t="array" aca="1" ref="P817" ca="1">IFERROR(INDEX(_xlfn.ANCHORARRAY($C$3),T_CALC[[#This Row],[DAY]]+1,6),NA())</f>
        <v>1.3838999999999999</v>
      </c>
      <c r="Q817" cm="1">
        <f t="array" aca="1" ref="Q817" ca="1">IFERROR(INDEX(_xlfn.ANCHORARRAY($C$3),T_CALC[[#This Row],[DAY]]+1,2),NA())</f>
        <v>0</v>
      </c>
    </row>
    <row r="818" spans="3:17">
      <c r="C818" vm="3285">
        <f ca="1"/>
        <v>43900</v>
      </c>
      <c r="D818">
        <f ca="1"/>
        <v>0</v>
      </c>
      <c r="E818" vm="1827">
        <f ca="1"/>
        <v>1.3836999999999999</v>
      </c>
      <c r="F818" vm="3286">
        <f ca="1"/>
        <v>1.3918999999999999</v>
      </c>
      <c r="G818" vm="1926">
        <f ca="1"/>
        <v>1.3825000000000001</v>
      </c>
      <c r="H818" vm="1775">
        <f ca="1"/>
        <v>1.3914</v>
      </c>
      <c r="K818">
        <f ca="1">IF(ROW(T_CALC[[#This Row],[DAY]])-ROW(T_CALC[[#Headers],[DAY]])&gt;C_N_TRADING_DAYS,"",ROW(T_CALC[[#This Row],[DAY]])-ROW(T_CALC[[#Headers],[DAY]]))</f>
        <v>815</v>
      </c>
      <c r="L818" cm="1" vm="3285">
        <f t="array" aca="1" ref="L818" ca="1">IFERROR(INDEX(_xlfn.ANCHORARRAY($C$3),T_CALC[[#This Row],[DAY]]+1,1),NA())</f>
        <v>43900</v>
      </c>
      <c r="M818" cm="1" vm="1827">
        <f t="array" aca="1" ref="M818" ca="1">IFERROR(INDEX(_xlfn.ANCHORARRAY($C$3),T_CALC[[#This Row],[DAY]]+1,3),NA())</f>
        <v>1.3836999999999999</v>
      </c>
      <c r="N818" cm="1" vm="3286">
        <f t="array" aca="1" ref="N818" ca="1">IFERROR(INDEX(_xlfn.ANCHORARRAY($C$3),T_CALC[[#This Row],[DAY]]+1,4),NA())</f>
        <v>1.3918999999999999</v>
      </c>
      <c r="O818" cm="1" vm="1926">
        <f t="array" aca="1" ref="O818" ca="1">IFERROR(INDEX(_xlfn.ANCHORARRAY($C$3),T_CALC[[#This Row],[DAY]]+1,5),NA())</f>
        <v>1.3825000000000001</v>
      </c>
      <c r="P818" cm="1" vm="1775">
        <f t="array" aca="1" ref="P818" ca="1">IFERROR(INDEX(_xlfn.ANCHORARRAY($C$3),T_CALC[[#This Row],[DAY]]+1,6),NA())</f>
        <v>1.3914</v>
      </c>
      <c r="Q818" cm="1">
        <f t="array" aca="1" ref="Q818" ca="1">IFERROR(INDEX(_xlfn.ANCHORARRAY($C$3),T_CALC[[#This Row],[DAY]]+1,2),NA())</f>
        <v>0</v>
      </c>
    </row>
    <row r="819" spans="3:17">
      <c r="C819" vm="3287">
        <f ca="1"/>
        <v>43901</v>
      </c>
      <c r="D819">
        <f ca="1"/>
        <v>0</v>
      </c>
      <c r="E819" vm="1775">
        <f ca="1"/>
        <v>1.3914</v>
      </c>
      <c r="F819" vm="1704">
        <f ca="1"/>
        <v>1.3951</v>
      </c>
      <c r="G819" vm="3119">
        <f ca="1"/>
        <v>1.3875</v>
      </c>
      <c r="H819" vm="1686">
        <f ca="1"/>
        <v>1.395</v>
      </c>
      <c r="K819">
        <f ca="1">IF(ROW(T_CALC[[#This Row],[DAY]])-ROW(T_CALC[[#Headers],[DAY]])&gt;C_N_TRADING_DAYS,"",ROW(T_CALC[[#This Row],[DAY]])-ROW(T_CALC[[#Headers],[DAY]]))</f>
        <v>816</v>
      </c>
      <c r="L819" cm="1" vm="3287">
        <f t="array" aca="1" ref="L819" ca="1">IFERROR(INDEX(_xlfn.ANCHORARRAY($C$3),T_CALC[[#This Row],[DAY]]+1,1),NA())</f>
        <v>43901</v>
      </c>
      <c r="M819" cm="1" vm="1775">
        <f t="array" aca="1" ref="M819" ca="1">IFERROR(INDEX(_xlfn.ANCHORARRAY($C$3),T_CALC[[#This Row],[DAY]]+1,3),NA())</f>
        <v>1.3914</v>
      </c>
      <c r="N819" cm="1" vm="1704">
        <f t="array" aca="1" ref="N819" ca="1">IFERROR(INDEX(_xlfn.ANCHORARRAY($C$3),T_CALC[[#This Row],[DAY]]+1,4),NA())</f>
        <v>1.3951</v>
      </c>
      <c r="O819" cm="1" vm="3119">
        <f t="array" aca="1" ref="O819" ca="1">IFERROR(INDEX(_xlfn.ANCHORARRAY($C$3),T_CALC[[#This Row],[DAY]]+1,5),NA())</f>
        <v>1.3875</v>
      </c>
      <c r="P819" cm="1" vm="1686">
        <f t="array" aca="1" ref="P819" ca="1">IFERROR(INDEX(_xlfn.ANCHORARRAY($C$3),T_CALC[[#This Row],[DAY]]+1,6),NA())</f>
        <v>1.395</v>
      </c>
      <c r="Q819" cm="1">
        <f t="array" aca="1" ref="Q819" ca="1">IFERROR(INDEX(_xlfn.ANCHORARRAY($C$3),T_CALC[[#This Row],[DAY]]+1,2),NA())</f>
        <v>0</v>
      </c>
    </row>
    <row r="820" spans="3:17">
      <c r="C820" vm="3288">
        <f ca="1"/>
        <v>43902</v>
      </c>
      <c r="D820">
        <f ca="1"/>
        <v>0</v>
      </c>
      <c r="E820" vm="1691">
        <f ca="1"/>
        <v>1.3949</v>
      </c>
      <c r="F820" vm="1532">
        <f ca="1"/>
        <v>1.4117</v>
      </c>
      <c r="G820" vm="1805">
        <f ca="1"/>
        <v>1.3935</v>
      </c>
      <c r="H820" vm="3289">
        <f ca="1"/>
        <v>1.411</v>
      </c>
      <c r="K820">
        <f ca="1">IF(ROW(T_CALC[[#This Row],[DAY]])-ROW(T_CALC[[#Headers],[DAY]])&gt;C_N_TRADING_DAYS,"",ROW(T_CALC[[#This Row],[DAY]])-ROW(T_CALC[[#Headers],[DAY]]))</f>
        <v>817</v>
      </c>
      <c r="L820" cm="1" vm="3288">
        <f t="array" aca="1" ref="L820" ca="1">IFERROR(INDEX(_xlfn.ANCHORARRAY($C$3),T_CALC[[#This Row],[DAY]]+1,1),NA())</f>
        <v>43902</v>
      </c>
      <c r="M820" cm="1" vm="1691">
        <f t="array" aca="1" ref="M820" ca="1">IFERROR(INDEX(_xlfn.ANCHORARRAY($C$3),T_CALC[[#This Row],[DAY]]+1,3),NA())</f>
        <v>1.3949</v>
      </c>
      <c r="N820" cm="1" vm="1532">
        <f t="array" aca="1" ref="N820" ca="1">IFERROR(INDEX(_xlfn.ANCHORARRAY($C$3),T_CALC[[#This Row],[DAY]]+1,4),NA())</f>
        <v>1.4117</v>
      </c>
      <c r="O820" cm="1" vm="1805">
        <f t="array" aca="1" ref="O820" ca="1">IFERROR(INDEX(_xlfn.ANCHORARRAY($C$3),T_CALC[[#This Row],[DAY]]+1,5),NA())</f>
        <v>1.3935</v>
      </c>
      <c r="P820" cm="1" vm="3289">
        <f t="array" aca="1" ref="P820" ca="1">IFERROR(INDEX(_xlfn.ANCHORARRAY($C$3),T_CALC[[#This Row],[DAY]]+1,6),NA())</f>
        <v>1.411</v>
      </c>
      <c r="Q820" cm="1">
        <f t="array" aca="1" ref="Q820" ca="1">IFERROR(INDEX(_xlfn.ANCHORARRAY($C$3),T_CALC[[#This Row],[DAY]]+1,2),NA())</f>
        <v>0</v>
      </c>
    </row>
    <row r="821" spans="3:17">
      <c r="C821" vm="3290">
        <f ca="1"/>
        <v>43903</v>
      </c>
      <c r="D821">
        <f ca="1"/>
        <v>0</v>
      </c>
      <c r="E821" vm="3289">
        <f ca="1"/>
        <v>1.411</v>
      </c>
      <c r="F821" vm="1575">
        <f ca="1"/>
        <v>1.4177999999999999</v>
      </c>
      <c r="G821" vm="3291">
        <f ca="1"/>
        <v>1.4056</v>
      </c>
      <c r="H821" vm="3292">
        <f ca="1"/>
        <v>1.4147000000000001</v>
      </c>
      <c r="K821">
        <f ca="1">IF(ROW(T_CALC[[#This Row],[DAY]])-ROW(T_CALC[[#Headers],[DAY]])&gt;C_N_TRADING_DAYS,"",ROW(T_CALC[[#This Row],[DAY]])-ROW(T_CALC[[#Headers],[DAY]]))</f>
        <v>818</v>
      </c>
      <c r="L821" cm="1" vm="3290">
        <f t="array" aca="1" ref="L821" ca="1">IFERROR(INDEX(_xlfn.ANCHORARRAY($C$3),T_CALC[[#This Row],[DAY]]+1,1),NA())</f>
        <v>43903</v>
      </c>
      <c r="M821" cm="1" vm="3289">
        <f t="array" aca="1" ref="M821" ca="1">IFERROR(INDEX(_xlfn.ANCHORARRAY($C$3),T_CALC[[#This Row],[DAY]]+1,3),NA())</f>
        <v>1.411</v>
      </c>
      <c r="N821" cm="1" vm="1575">
        <f t="array" aca="1" ref="N821" ca="1">IFERROR(INDEX(_xlfn.ANCHORARRAY($C$3),T_CALC[[#This Row],[DAY]]+1,4),NA())</f>
        <v>1.4177999999999999</v>
      </c>
      <c r="O821" cm="1" vm="3291">
        <f t="array" aca="1" ref="O821" ca="1">IFERROR(INDEX(_xlfn.ANCHORARRAY($C$3),T_CALC[[#This Row],[DAY]]+1,5),NA())</f>
        <v>1.4056</v>
      </c>
      <c r="P821" cm="1" vm="3292">
        <f t="array" aca="1" ref="P821" ca="1">IFERROR(INDEX(_xlfn.ANCHORARRAY($C$3),T_CALC[[#This Row],[DAY]]+1,6),NA())</f>
        <v>1.4147000000000001</v>
      </c>
      <c r="Q821" cm="1">
        <f t="array" aca="1" ref="Q821" ca="1">IFERROR(INDEX(_xlfn.ANCHORARRAY($C$3),T_CALC[[#This Row],[DAY]]+1,2),NA())</f>
        <v>0</v>
      </c>
    </row>
    <row r="822" spans="3:17">
      <c r="C822" vm="3293">
        <f ca="1"/>
        <v>43906</v>
      </c>
      <c r="D822">
        <f ca="1"/>
        <v>0</v>
      </c>
      <c r="E822" vm="3294">
        <f ca="1"/>
        <v>1.4117999999999999</v>
      </c>
      <c r="F822" vm="3295">
        <f ca="1"/>
        <v>1.423</v>
      </c>
      <c r="G822" vm="3296">
        <f ca="1"/>
        <v>1.4051</v>
      </c>
      <c r="H822" vm="1584">
        <f ca="1"/>
        <v>1.4204000000000001</v>
      </c>
      <c r="K822">
        <f ca="1">IF(ROW(T_CALC[[#This Row],[DAY]])-ROW(T_CALC[[#Headers],[DAY]])&gt;C_N_TRADING_DAYS,"",ROW(T_CALC[[#This Row],[DAY]])-ROW(T_CALC[[#Headers],[DAY]]))</f>
        <v>819</v>
      </c>
      <c r="L822" cm="1" vm="3293">
        <f t="array" aca="1" ref="L822" ca="1">IFERROR(INDEX(_xlfn.ANCHORARRAY($C$3),T_CALC[[#This Row],[DAY]]+1,1),NA())</f>
        <v>43906</v>
      </c>
      <c r="M822" cm="1" vm="3294">
        <f t="array" aca="1" ref="M822" ca="1">IFERROR(INDEX(_xlfn.ANCHORARRAY($C$3),T_CALC[[#This Row],[DAY]]+1,3),NA())</f>
        <v>1.4117999999999999</v>
      </c>
      <c r="N822" cm="1" vm="3295">
        <f t="array" aca="1" ref="N822" ca="1">IFERROR(INDEX(_xlfn.ANCHORARRAY($C$3),T_CALC[[#This Row],[DAY]]+1,4),NA())</f>
        <v>1.423</v>
      </c>
      <c r="O822" cm="1" vm="3296">
        <f t="array" aca="1" ref="O822" ca="1">IFERROR(INDEX(_xlfn.ANCHORARRAY($C$3),T_CALC[[#This Row],[DAY]]+1,5),NA())</f>
        <v>1.4051</v>
      </c>
      <c r="P822" cm="1" vm="1584">
        <f t="array" aca="1" ref="P822" ca="1">IFERROR(INDEX(_xlfn.ANCHORARRAY($C$3),T_CALC[[#This Row],[DAY]]+1,6),NA())</f>
        <v>1.4204000000000001</v>
      </c>
      <c r="Q822" cm="1">
        <f t="array" aca="1" ref="Q822" ca="1">IFERROR(INDEX(_xlfn.ANCHORARRAY($C$3),T_CALC[[#This Row],[DAY]]+1,2),NA())</f>
        <v>0</v>
      </c>
    </row>
    <row r="823" spans="3:17">
      <c r="C823" vm="3297">
        <f ca="1"/>
        <v>43907</v>
      </c>
      <c r="D823">
        <f ca="1"/>
        <v>0</v>
      </c>
      <c r="E823" vm="1584">
        <f ca="1"/>
        <v>1.4204000000000001</v>
      </c>
      <c r="F823" vm="3298">
        <f ca="1"/>
        <v>1.4322999999999999</v>
      </c>
      <c r="G823" vm="1555">
        <f ca="1"/>
        <v>1.4168000000000001</v>
      </c>
      <c r="H823" vm="3299">
        <f ca="1"/>
        <v>1.4288000000000001</v>
      </c>
      <c r="K823">
        <f ca="1">IF(ROW(T_CALC[[#This Row],[DAY]])-ROW(T_CALC[[#Headers],[DAY]])&gt;C_N_TRADING_DAYS,"",ROW(T_CALC[[#This Row],[DAY]])-ROW(T_CALC[[#Headers],[DAY]]))</f>
        <v>820</v>
      </c>
      <c r="L823" cm="1" vm="3297">
        <f t="array" aca="1" ref="L823" ca="1">IFERROR(INDEX(_xlfn.ANCHORARRAY($C$3),T_CALC[[#This Row],[DAY]]+1,1),NA())</f>
        <v>43907</v>
      </c>
      <c r="M823" cm="1" vm="1584">
        <f t="array" aca="1" ref="M823" ca="1">IFERROR(INDEX(_xlfn.ANCHORARRAY($C$3),T_CALC[[#This Row],[DAY]]+1,3),NA())</f>
        <v>1.4204000000000001</v>
      </c>
      <c r="N823" cm="1" vm="3298">
        <f t="array" aca="1" ref="N823" ca="1">IFERROR(INDEX(_xlfn.ANCHORARRAY($C$3),T_CALC[[#This Row],[DAY]]+1,4),NA())</f>
        <v>1.4322999999999999</v>
      </c>
      <c r="O823" cm="1" vm="1555">
        <f t="array" aca="1" ref="O823" ca="1">IFERROR(INDEX(_xlfn.ANCHORARRAY($C$3),T_CALC[[#This Row],[DAY]]+1,5),NA())</f>
        <v>1.4168000000000001</v>
      </c>
      <c r="P823" cm="1" vm="3299">
        <f t="array" aca="1" ref="P823" ca="1">IFERROR(INDEX(_xlfn.ANCHORARRAY($C$3),T_CALC[[#This Row],[DAY]]+1,6),NA())</f>
        <v>1.4288000000000001</v>
      </c>
      <c r="Q823" cm="1">
        <f t="array" aca="1" ref="Q823" ca="1">IFERROR(INDEX(_xlfn.ANCHORARRAY($C$3),T_CALC[[#This Row],[DAY]]+1,2),NA())</f>
        <v>0</v>
      </c>
    </row>
    <row r="824" spans="3:17">
      <c r="C824" vm="3300">
        <f ca="1"/>
        <v>43908</v>
      </c>
      <c r="D824">
        <f ca="1"/>
        <v>0</v>
      </c>
      <c r="E824" vm="3301">
        <f ca="1"/>
        <v>1.4283999999999999</v>
      </c>
      <c r="F824" vm="3302">
        <f ca="1"/>
        <v>1.4466000000000001</v>
      </c>
      <c r="G824" vm="3303">
        <f ca="1"/>
        <v>1.4259999999999999</v>
      </c>
      <c r="H824" vm="3304">
        <f ca="1"/>
        <v>1.4426000000000001</v>
      </c>
      <c r="K824">
        <f ca="1">IF(ROW(T_CALC[[#This Row],[DAY]])-ROW(T_CALC[[#Headers],[DAY]])&gt;C_N_TRADING_DAYS,"",ROW(T_CALC[[#This Row],[DAY]])-ROW(T_CALC[[#Headers],[DAY]]))</f>
        <v>821</v>
      </c>
      <c r="L824" cm="1" vm="3300">
        <f t="array" aca="1" ref="L824" ca="1">IFERROR(INDEX(_xlfn.ANCHORARRAY($C$3),T_CALC[[#This Row],[DAY]]+1,1),NA())</f>
        <v>43908</v>
      </c>
      <c r="M824" cm="1" vm="3301">
        <f t="array" aca="1" ref="M824" ca="1">IFERROR(INDEX(_xlfn.ANCHORARRAY($C$3),T_CALC[[#This Row],[DAY]]+1,3),NA())</f>
        <v>1.4283999999999999</v>
      </c>
      <c r="N824" cm="1" vm="3302">
        <f t="array" aca="1" ref="N824" ca="1">IFERROR(INDEX(_xlfn.ANCHORARRAY($C$3),T_CALC[[#This Row],[DAY]]+1,4),NA())</f>
        <v>1.4466000000000001</v>
      </c>
      <c r="O824" cm="1" vm="3303">
        <f t="array" aca="1" ref="O824" ca="1">IFERROR(INDEX(_xlfn.ANCHORARRAY($C$3),T_CALC[[#This Row],[DAY]]+1,5),NA())</f>
        <v>1.4259999999999999</v>
      </c>
      <c r="P824" cm="1" vm="3304">
        <f t="array" aca="1" ref="P824" ca="1">IFERROR(INDEX(_xlfn.ANCHORARRAY($C$3),T_CALC[[#This Row],[DAY]]+1,6),NA())</f>
        <v>1.4426000000000001</v>
      </c>
      <c r="Q824" cm="1">
        <f t="array" aca="1" ref="Q824" ca="1">IFERROR(INDEX(_xlfn.ANCHORARRAY($C$3),T_CALC[[#This Row],[DAY]]+1,2),NA())</f>
        <v>0</v>
      </c>
    </row>
    <row r="825" spans="3:17">
      <c r="C825" vm="3305">
        <f ca="1"/>
        <v>43909</v>
      </c>
      <c r="D825">
        <f ca="1"/>
        <v>0</v>
      </c>
      <c r="E825" vm="3306">
        <f ca="1"/>
        <v>1.4424999999999999</v>
      </c>
      <c r="F825" vm="3307">
        <f ca="1"/>
        <v>1.4564999999999999</v>
      </c>
      <c r="G825" vm="3308">
        <f ca="1"/>
        <v>1.4377</v>
      </c>
      <c r="H825" vm="3309">
        <f ca="1"/>
        <v>1.4520999999999999</v>
      </c>
      <c r="K825">
        <f ca="1">IF(ROW(T_CALC[[#This Row],[DAY]])-ROW(T_CALC[[#Headers],[DAY]])&gt;C_N_TRADING_DAYS,"",ROW(T_CALC[[#This Row],[DAY]])-ROW(T_CALC[[#Headers],[DAY]]))</f>
        <v>822</v>
      </c>
      <c r="L825" cm="1" vm="3305">
        <f t="array" aca="1" ref="L825" ca="1">IFERROR(INDEX(_xlfn.ANCHORARRAY($C$3),T_CALC[[#This Row],[DAY]]+1,1),NA())</f>
        <v>43909</v>
      </c>
      <c r="M825" cm="1" vm="3306">
        <f t="array" aca="1" ref="M825" ca="1">IFERROR(INDEX(_xlfn.ANCHORARRAY($C$3),T_CALC[[#This Row],[DAY]]+1,3),NA())</f>
        <v>1.4424999999999999</v>
      </c>
      <c r="N825" cm="1" vm="3307">
        <f t="array" aca="1" ref="N825" ca="1">IFERROR(INDEX(_xlfn.ANCHORARRAY($C$3),T_CALC[[#This Row],[DAY]]+1,4),NA())</f>
        <v>1.4564999999999999</v>
      </c>
      <c r="O825" cm="1" vm="3308">
        <f t="array" aca="1" ref="O825" ca="1">IFERROR(INDEX(_xlfn.ANCHORARRAY($C$3),T_CALC[[#This Row],[DAY]]+1,5),NA())</f>
        <v>1.4377</v>
      </c>
      <c r="P825" cm="1" vm="3309">
        <f t="array" aca="1" ref="P825" ca="1">IFERROR(INDEX(_xlfn.ANCHORARRAY($C$3),T_CALC[[#This Row],[DAY]]+1,6),NA())</f>
        <v>1.4520999999999999</v>
      </c>
      <c r="Q825" cm="1">
        <f t="array" aca="1" ref="Q825" ca="1">IFERROR(INDEX(_xlfn.ANCHORARRAY($C$3),T_CALC[[#This Row],[DAY]]+1,2),NA())</f>
        <v>0</v>
      </c>
    </row>
    <row r="826" spans="3:17">
      <c r="C826" vm="3310">
        <f ca="1"/>
        <v>43910</v>
      </c>
      <c r="D826">
        <f ca="1"/>
        <v>0</v>
      </c>
      <c r="E826" vm="3309">
        <f ca="1"/>
        <v>1.4520999999999999</v>
      </c>
      <c r="F826" vm="3311">
        <f ca="1"/>
        <v>1.4540999999999999</v>
      </c>
      <c r="G826" vm="3312">
        <f ca="1"/>
        <v>1.4410000000000001</v>
      </c>
      <c r="H826" vm="3313">
        <f ca="1"/>
        <v>1.4491000000000001</v>
      </c>
      <c r="K826">
        <f ca="1">IF(ROW(T_CALC[[#This Row],[DAY]])-ROW(T_CALC[[#Headers],[DAY]])&gt;C_N_TRADING_DAYS,"",ROW(T_CALC[[#This Row],[DAY]])-ROW(T_CALC[[#Headers],[DAY]]))</f>
        <v>823</v>
      </c>
      <c r="L826" cm="1" vm="3310">
        <f t="array" aca="1" ref="L826" ca="1">IFERROR(INDEX(_xlfn.ANCHORARRAY($C$3),T_CALC[[#This Row],[DAY]]+1,1),NA())</f>
        <v>43910</v>
      </c>
      <c r="M826" cm="1" vm="3309">
        <f t="array" aca="1" ref="M826" ca="1">IFERROR(INDEX(_xlfn.ANCHORARRAY($C$3),T_CALC[[#This Row],[DAY]]+1,3),NA())</f>
        <v>1.4520999999999999</v>
      </c>
      <c r="N826" cm="1" vm="3311">
        <f t="array" aca="1" ref="N826" ca="1">IFERROR(INDEX(_xlfn.ANCHORARRAY($C$3),T_CALC[[#This Row],[DAY]]+1,4),NA())</f>
        <v>1.4540999999999999</v>
      </c>
      <c r="O826" cm="1" vm="3312">
        <f t="array" aca="1" ref="O826" ca="1">IFERROR(INDEX(_xlfn.ANCHORARRAY($C$3),T_CALC[[#This Row],[DAY]]+1,5),NA())</f>
        <v>1.4410000000000001</v>
      </c>
      <c r="P826" cm="1" vm="3313">
        <f t="array" aca="1" ref="P826" ca="1">IFERROR(INDEX(_xlfn.ANCHORARRAY($C$3),T_CALC[[#This Row],[DAY]]+1,6),NA())</f>
        <v>1.4491000000000001</v>
      </c>
      <c r="Q826" cm="1">
        <f t="array" aca="1" ref="Q826" ca="1">IFERROR(INDEX(_xlfn.ANCHORARRAY($C$3),T_CALC[[#This Row],[DAY]]+1,2),NA())</f>
        <v>0</v>
      </c>
    </row>
    <row r="827" spans="3:17">
      <c r="C827" vm="3314">
        <f ca="1"/>
        <v>43913</v>
      </c>
      <c r="D827">
        <f ca="1"/>
        <v>0</v>
      </c>
      <c r="E827" vm="3313">
        <f ca="1"/>
        <v>1.4491000000000001</v>
      </c>
      <c r="F827" vm="3315">
        <f ca="1"/>
        <v>1.4645999999999999</v>
      </c>
      <c r="G827" vm="3313">
        <f ca="1"/>
        <v>1.4491000000000001</v>
      </c>
      <c r="H827" vm="3316">
        <f ca="1"/>
        <v>1.4592000000000001</v>
      </c>
      <c r="K827">
        <f ca="1">IF(ROW(T_CALC[[#This Row],[DAY]])-ROW(T_CALC[[#Headers],[DAY]])&gt;C_N_TRADING_DAYS,"",ROW(T_CALC[[#This Row],[DAY]])-ROW(T_CALC[[#Headers],[DAY]]))</f>
        <v>824</v>
      </c>
      <c r="L827" cm="1" vm="3314">
        <f t="array" aca="1" ref="L827" ca="1">IFERROR(INDEX(_xlfn.ANCHORARRAY($C$3),T_CALC[[#This Row],[DAY]]+1,1),NA())</f>
        <v>43913</v>
      </c>
      <c r="M827" cm="1" vm="3313">
        <f t="array" aca="1" ref="M827" ca="1">IFERROR(INDEX(_xlfn.ANCHORARRAY($C$3),T_CALC[[#This Row],[DAY]]+1,3),NA())</f>
        <v>1.4491000000000001</v>
      </c>
      <c r="N827" cm="1" vm="3315">
        <f t="array" aca="1" ref="N827" ca="1">IFERROR(INDEX(_xlfn.ANCHORARRAY($C$3),T_CALC[[#This Row],[DAY]]+1,4),NA())</f>
        <v>1.4645999999999999</v>
      </c>
      <c r="O827" cm="1" vm="3313">
        <f t="array" aca="1" ref="O827" ca="1">IFERROR(INDEX(_xlfn.ANCHORARRAY($C$3),T_CALC[[#This Row],[DAY]]+1,5),NA())</f>
        <v>1.4491000000000001</v>
      </c>
      <c r="P827" cm="1" vm="3316">
        <f t="array" aca="1" ref="P827" ca="1">IFERROR(INDEX(_xlfn.ANCHORARRAY($C$3),T_CALC[[#This Row],[DAY]]+1,6),NA())</f>
        <v>1.4592000000000001</v>
      </c>
      <c r="Q827" cm="1">
        <f t="array" aca="1" ref="Q827" ca="1">IFERROR(INDEX(_xlfn.ANCHORARRAY($C$3),T_CALC[[#This Row],[DAY]]+1,2),NA())</f>
        <v>0</v>
      </c>
    </row>
    <row r="828" spans="3:17">
      <c r="C828" vm="3317">
        <f ca="1"/>
        <v>43914</v>
      </c>
      <c r="D828">
        <f ca="1"/>
        <v>0</v>
      </c>
      <c r="E828" vm="3318">
        <f ca="1"/>
        <v>1.4601999999999999</v>
      </c>
      <c r="F828" vm="3319">
        <f ca="1"/>
        <v>1.4617</v>
      </c>
      <c r="G828" vm="3320">
        <f ca="1"/>
        <v>1.4450000000000001</v>
      </c>
      <c r="H828" vm="3321">
        <f ca="1"/>
        <v>1.4461999999999999</v>
      </c>
      <c r="K828">
        <f ca="1">IF(ROW(T_CALC[[#This Row],[DAY]])-ROW(T_CALC[[#Headers],[DAY]])&gt;C_N_TRADING_DAYS,"",ROW(T_CALC[[#This Row],[DAY]])-ROW(T_CALC[[#Headers],[DAY]]))</f>
        <v>825</v>
      </c>
      <c r="L828" cm="1" vm="3317">
        <f t="array" aca="1" ref="L828" ca="1">IFERROR(INDEX(_xlfn.ANCHORARRAY($C$3),T_CALC[[#This Row],[DAY]]+1,1),NA())</f>
        <v>43914</v>
      </c>
      <c r="M828" cm="1" vm="3318">
        <f t="array" aca="1" ref="M828" ca="1">IFERROR(INDEX(_xlfn.ANCHORARRAY($C$3),T_CALC[[#This Row],[DAY]]+1,3),NA())</f>
        <v>1.4601999999999999</v>
      </c>
      <c r="N828" cm="1" vm="3319">
        <f t="array" aca="1" ref="N828" ca="1">IFERROR(INDEX(_xlfn.ANCHORARRAY($C$3),T_CALC[[#This Row],[DAY]]+1,4),NA())</f>
        <v>1.4617</v>
      </c>
      <c r="O828" cm="1" vm="3320">
        <f t="array" aca="1" ref="O828" ca="1">IFERROR(INDEX(_xlfn.ANCHORARRAY($C$3),T_CALC[[#This Row],[DAY]]+1,5),NA())</f>
        <v>1.4450000000000001</v>
      </c>
      <c r="P828" cm="1" vm="3321">
        <f t="array" aca="1" ref="P828" ca="1">IFERROR(INDEX(_xlfn.ANCHORARRAY($C$3),T_CALC[[#This Row],[DAY]]+1,6),NA())</f>
        <v>1.4461999999999999</v>
      </c>
      <c r="Q828" cm="1">
        <f t="array" aca="1" ref="Q828" ca="1">IFERROR(INDEX(_xlfn.ANCHORARRAY($C$3),T_CALC[[#This Row],[DAY]]+1,2),NA())</f>
        <v>0</v>
      </c>
    </row>
    <row r="829" spans="3:17">
      <c r="C829" vm="3322">
        <f ca="1"/>
        <v>43915</v>
      </c>
      <c r="D829">
        <f ca="1"/>
        <v>0</v>
      </c>
      <c r="E829" vm="3321">
        <f ca="1"/>
        <v>1.4461999999999999</v>
      </c>
      <c r="F829" vm="3323">
        <f ca="1"/>
        <v>1.4511000000000001</v>
      </c>
      <c r="G829" vm="3324">
        <f ca="1"/>
        <v>1.4439</v>
      </c>
      <c r="H829" vm="3325">
        <f ca="1"/>
        <v>1.4468000000000001</v>
      </c>
      <c r="K829">
        <f ca="1">IF(ROW(T_CALC[[#This Row],[DAY]])-ROW(T_CALC[[#Headers],[DAY]])&gt;C_N_TRADING_DAYS,"",ROW(T_CALC[[#This Row],[DAY]])-ROW(T_CALC[[#Headers],[DAY]]))</f>
        <v>826</v>
      </c>
      <c r="L829" cm="1" vm="3322">
        <f t="array" aca="1" ref="L829" ca="1">IFERROR(INDEX(_xlfn.ANCHORARRAY($C$3),T_CALC[[#This Row],[DAY]]+1,1),NA())</f>
        <v>43915</v>
      </c>
      <c r="M829" cm="1" vm="3321">
        <f t="array" aca="1" ref="M829" ca="1">IFERROR(INDEX(_xlfn.ANCHORARRAY($C$3),T_CALC[[#This Row],[DAY]]+1,3),NA())</f>
        <v>1.4461999999999999</v>
      </c>
      <c r="N829" cm="1" vm="3323">
        <f t="array" aca="1" ref="N829" ca="1">IFERROR(INDEX(_xlfn.ANCHORARRAY($C$3),T_CALC[[#This Row],[DAY]]+1,4),NA())</f>
        <v>1.4511000000000001</v>
      </c>
      <c r="O829" cm="1" vm="3324">
        <f t="array" aca="1" ref="O829" ca="1">IFERROR(INDEX(_xlfn.ANCHORARRAY($C$3),T_CALC[[#This Row],[DAY]]+1,5),NA())</f>
        <v>1.4439</v>
      </c>
      <c r="P829" cm="1" vm="3325">
        <f t="array" aca="1" ref="P829" ca="1">IFERROR(INDEX(_xlfn.ANCHORARRAY($C$3),T_CALC[[#This Row],[DAY]]+1,6),NA())</f>
        <v>1.4468000000000001</v>
      </c>
      <c r="Q829" cm="1">
        <f t="array" aca="1" ref="Q829" ca="1">IFERROR(INDEX(_xlfn.ANCHORARRAY($C$3),T_CALC[[#This Row],[DAY]]+1,2),NA())</f>
        <v>0</v>
      </c>
    </row>
    <row r="830" spans="3:17">
      <c r="C830" vm="3326">
        <f ca="1"/>
        <v>43916</v>
      </c>
      <c r="D830">
        <f ca="1"/>
        <v>0</v>
      </c>
      <c r="E830" vm="3327">
        <f ca="1"/>
        <v>1.4470000000000001</v>
      </c>
      <c r="F830" vm="3328">
        <f ca="1"/>
        <v>1.4509000000000001</v>
      </c>
      <c r="G830" vm="3329">
        <f ca="1"/>
        <v>1.4298</v>
      </c>
      <c r="H830" vm="3330">
        <f ca="1"/>
        <v>1.431</v>
      </c>
      <c r="K830">
        <f ca="1">IF(ROW(T_CALC[[#This Row],[DAY]])-ROW(T_CALC[[#Headers],[DAY]])&gt;C_N_TRADING_DAYS,"",ROW(T_CALC[[#This Row],[DAY]])-ROW(T_CALC[[#Headers],[DAY]]))</f>
        <v>827</v>
      </c>
      <c r="L830" cm="1" vm="3326">
        <f t="array" aca="1" ref="L830" ca="1">IFERROR(INDEX(_xlfn.ANCHORARRAY($C$3),T_CALC[[#This Row],[DAY]]+1,1),NA())</f>
        <v>43916</v>
      </c>
      <c r="M830" cm="1" vm="3327">
        <f t="array" aca="1" ref="M830" ca="1">IFERROR(INDEX(_xlfn.ANCHORARRAY($C$3),T_CALC[[#This Row],[DAY]]+1,3),NA())</f>
        <v>1.4470000000000001</v>
      </c>
      <c r="N830" cm="1" vm="3328">
        <f t="array" aca="1" ref="N830" ca="1">IFERROR(INDEX(_xlfn.ANCHORARRAY($C$3),T_CALC[[#This Row],[DAY]]+1,4),NA())</f>
        <v>1.4509000000000001</v>
      </c>
      <c r="O830" cm="1" vm="3329">
        <f t="array" aca="1" ref="O830" ca="1">IFERROR(INDEX(_xlfn.ANCHORARRAY($C$3),T_CALC[[#This Row],[DAY]]+1,5),NA())</f>
        <v>1.4298</v>
      </c>
      <c r="P830" cm="1" vm="3330">
        <f t="array" aca="1" ref="P830" ca="1">IFERROR(INDEX(_xlfn.ANCHORARRAY($C$3),T_CALC[[#This Row],[DAY]]+1,6),NA())</f>
        <v>1.431</v>
      </c>
      <c r="Q830" cm="1">
        <f t="array" aca="1" ref="Q830" ca="1">IFERROR(INDEX(_xlfn.ANCHORARRAY($C$3),T_CALC[[#This Row],[DAY]]+1,2),NA())</f>
        <v>0</v>
      </c>
    </row>
    <row r="831" spans="3:17">
      <c r="C831" vm="3331">
        <f ca="1"/>
        <v>43917</v>
      </c>
      <c r="D831">
        <f ca="1"/>
        <v>0</v>
      </c>
      <c r="E831" vm="3332">
        <f ca="1"/>
        <v>1.4309000000000001</v>
      </c>
      <c r="F831" vm="3333">
        <f ca="1"/>
        <v>1.4361999999999999</v>
      </c>
      <c r="G831" vm="1595">
        <f ca="1"/>
        <v>1.4242999999999999</v>
      </c>
      <c r="H831" vm="3334">
        <f ca="1"/>
        <v>1.4268000000000001</v>
      </c>
      <c r="K831">
        <f ca="1">IF(ROW(T_CALC[[#This Row],[DAY]])-ROW(T_CALC[[#Headers],[DAY]])&gt;C_N_TRADING_DAYS,"",ROW(T_CALC[[#This Row],[DAY]])-ROW(T_CALC[[#Headers],[DAY]]))</f>
        <v>828</v>
      </c>
      <c r="L831" cm="1" vm="3331">
        <f t="array" aca="1" ref="L831" ca="1">IFERROR(INDEX(_xlfn.ANCHORARRAY($C$3),T_CALC[[#This Row],[DAY]]+1,1),NA())</f>
        <v>43917</v>
      </c>
      <c r="M831" cm="1" vm="3332">
        <f t="array" aca="1" ref="M831" ca="1">IFERROR(INDEX(_xlfn.ANCHORARRAY($C$3),T_CALC[[#This Row],[DAY]]+1,3),NA())</f>
        <v>1.4309000000000001</v>
      </c>
      <c r="N831" cm="1" vm="3333">
        <f t="array" aca="1" ref="N831" ca="1">IFERROR(INDEX(_xlfn.ANCHORARRAY($C$3),T_CALC[[#This Row],[DAY]]+1,4),NA())</f>
        <v>1.4361999999999999</v>
      </c>
      <c r="O831" cm="1" vm="1595">
        <f t="array" aca="1" ref="O831" ca="1">IFERROR(INDEX(_xlfn.ANCHORARRAY($C$3),T_CALC[[#This Row],[DAY]]+1,5),NA())</f>
        <v>1.4242999999999999</v>
      </c>
      <c r="P831" cm="1" vm="3334">
        <f t="array" aca="1" ref="P831" ca="1">IFERROR(INDEX(_xlfn.ANCHORARRAY($C$3),T_CALC[[#This Row],[DAY]]+1,6),NA())</f>
        <v>1.4268000000000001</v>
      </c>
      <c r="Q831" cm="1">
        <f t="array" aca="1" ref="Q831" ca="1">IFERROR(INDEX(_xlfn.ANCHORARRAY($C$3),T_CALC[[#This Row],[DAY]]+1,2),NA())</f>
        <v>0</v>
      </c>
    </row>
    <row r="832" spans="3:17">
      <c r="C832" vm="3335">
        <f ca="1"/>
        <v>43920</v>
      </c>
      <c r="D832">
        <f ca="1"/>
        <v>0</v>
      </c>
      <c r="E832" vm="3334">
        <f ca="1"/>
        <v>1.4268000000000001</v>
      </c>
      <c r="F832" vm="3336">
        <f ca="1"/>
        <v>1.4294</v>
      </c>
      <c r="G832" vm="1550">
        <f ca="1"/>
        <v>1.4209000000000001</v>
      </c>
      <c r="H832" vm="3337">
        <f ca="1"/>
        <v>1.4234</v>
      </c>
      <c r="K832">
        <f ca="1">IF(ROW(T_CALC[[#This Row],[DAY]])-ROW(T_CALC[[#Headers],[DAY]])&gt;C_N_TRADING_DAYS,"",ROW(T_CALC[[#This Row],[DAY]])-ROW(T_CALC[[#Headers],[DAY]]))</f>
        <v>829</v>
      </c>
      <c r="L832" cm="1" vm="3335">
        <f t="array" aca="1" ref="L832" ca="1">IFERROR(INDEX(_xlfn.ANCHORARRAY($C$3),T_CALC[[#This Row],[DAY]]+1,1),NA())</f>
        <v>43920</v>
      </c>
      <c r="M832" cm="1" vm="3334">
        <f t="array" aca="1" ref="M832" ca="1">IFERROR(INDEX(_xlfn.ANCHORARRAY($C$3),T_CALC[[#This Row],[DAY]]+1,3),NA())</f>
        <v>1.4268000000000001</v>
      </c>
      <c r="N832" cm="1" vm="3336">
        <f t="array" aca="1" ref="N832" ca="1">IFERROR(INDEX(_xlfn.ANCHORARRAY($C$3),T_CALC[[#This Row],[DAY]]+1,4),NA())</f>
        <v>1.4294</v>
      </c>
      <c r="O832" cm="1" vm="1550">
        <f t="array" aca="1" ref="O832" ca="1">IFERROR(INDEX(_xlfn.ANCHORARRAY($C$3),T_CALC[[#This Row],[DAY]]+1,5),NA())</f>
        <v>1.4209000000000001</v>
      </c>
      <c r="P832" cm="1" vm="3337">
        <f t="array" aca="1" ref="P832" ca="1">IFERROR(INDEX(_xlfn.ANCHORARRAY($C$3),T_CALC[[#This Row],[DAY]]+1,6),NA())</f>
        <v>1.4234</v>
      </c>
      <c r="Q832" cm="1">
        <f t="array" aca="1" ref="Q832" ca="1">IFERROR(INDEX(_xlfn.ANCHORARRAY($C$3),T_CALC[[#This Row],[DAY]]+1,2),NA())</f>
        <v>0</v>
      </c>
    </row>
    <row r="833" spans="3:17">
      <c r="C833" vm="3338">
        <f ca="1"/>
        <v>43921</v>
      </c>
      <c r="D833">
        <f ca="1"/>
        <v>0</v>
      </c>
      <c r="E833" vm="3337">
        <f ca="1"/>
        <v>1.4234</v>
      </c>
      <c r="F833" vm="3339">
        <f ca="1"/>
        <v>1.4277</v>
      </c>
      <c r="G833" vm="1661">
        <f ca="1"/>
        <v>1.4201999999999999</v>
      </c>
      <c r="H833" vm="1531">
        <f ca="1"/>
        <v>1.4215</v>
      </c>
      <c r="K833">
        <f ca="1">IF(ROW(T_CALC[[#This Row],[DAY]])-ROW(T_CALC[[#Headers],[DAY]])&gt;C_N_TRADING_DAYS,"",ROW(T_CALC[[#This Row],[DAY]])-ROW(T_CALC[[#Headers],[DAY]]))</f>
        <v>830</v>
      </c>
      <c r="L833" cm="1" vm="3338">
        <f t="array" aca="1" ref="L833" ca="1">IFERROR(INDEX(_xlfn.ANCHORARRAY($C$3),T_CALC[[#This Row],[DAY]]+1,1),NA())</f>
        <v>43921</v>
      </c>
      <c r="M833" cm="1" vm="3337">
        <f t="array" aca="1" ref="M833" ca="1">IFERROR(INDEX(_xlfn.ANCHORARRAY($C$3),T_CALC[[#This Row],[DAY]]+1,3),NA())</f>
        <v>1.4234</v>
      </c>
      <c r="N833" cm="1" vm="3339">
        <f t="array" aca="1" ref="N833" ca="1">IFERROR(INDEX(_xlfn.ANCHORARRAY($C$3),T_CALC[[#This Row],[DAY]]+1,4),NA())</f>
        <v>1.4277</v>
      </c>
      <c r="O833" cm="1" vm="1661">
        <f t="array" aca="1" ref="O833" ca="1">IFERROR(INDEX(_xlfn.ANCHORARRAY($C$3),T_CALC[[#This Row],[DAY]]+1,5),NA())</f>
        <v>1.4201999999999999</v>
      </c>
      <c r="P833" cm="1" vm="1531">
        <f t="array" aca="1" ref="P833" ca="1">IFERROR(INDEX(_xlfn.ANCHORARRAY($C$3),T_CALC[[#This Row],[DAY]]+1,6),NA())</f>
        <v>1.4215</v>
      </c>
      <c r="Q833" cm="1">
        <f t="array" aca="1" ref="Q833" ca="1">IFERROR(INDEX(_xlfn.ANCHORARRAY($C$3),T_CALC[[#This Row],[DAY]]+1,2),NA())</f>
        <v>0</v>
      </c>
    </row>
    <row r="834" spans="3:17">
      <c r="C834" vm="3340">
        <f ca="1"/>
        <v>43922</v>
      </c>
      <c r="D834">
        <f ca="1"/>
        <v>0</v>
      </c>
      <c r="E834" vm="1526">
        <f ca="1"/>
        <v>1.4216</v>
      </c>
      <c r="F834" vm="3341">
        <f ca="1"/>
        <v>1.4374</v>
      </c>
      <c r="G834" vm="1661">
        <f ca="1"/>
        <v>1.4201999999999999</v>
      </c>
      <c r="H834" vm="3342">
        <f ca="1"/>
        <v>1.4359999999999999</v>
      </c>
      <c r="K834">
        <f ca="1">IF(ROW(T_CALC[[#This Row],[DAY]])-ROW(T_CALC[[#Headers],[DAY]])&gt;C_N_TRADING_DAYS,"",ROW(T_CALC[[#This Row],[DAY]])-ROW(T_CALC[[#Headers],[DAY]]))</f>
        <v>831</v>
      </c>
      <c r="L834" cm="1" vm="3340">
        <f t="array" aca="1" ref="L834" ca="1">IFERROR(INDEX(_xlfn.ANCHORARRAY($C$3),T_CALC[[#This Row],[DAY]]+1,1),NA())</f>
        <v>43922</v>
      </c>
      <c r="M834" cm="1" vm="1526">
        <f t="array" aca="1" ref="M834" ca="1">IFERROR(INDEX(_xlfn.ANCHORARRAY($C$3),T_CALC[[#This Row],[DAY]]+1,3),NA())</f>
        <v>1.4216</v>
      </c>
      <c r="N834" cm="1" vm="3341">
        <f t="array" aca="1" ref="N834" ca="1">IFERROR(INDEX(_xlfn.ANCHORARRAY($C$3),T_CALC[[#This Row],[DAY]]+1,4),NA())</f>
        <v>1.4374</v>
      </c>
      <c r="O834" cm="1" vm="1661">
        <f t="array" aca="1" ref="O834" ca="1">IFERROR(INDEX(_xlfn.ANCHORARRAY($C$3),T_CALC[[#This Row],[DAY]]+1,5),NA())</f>
        <v>1.4201999999999999</v>
      </c>
      <c r="P834" cm="1" vm="3342">
        <f t="array" aca="1" ref="P834" ca="1">IFERROR(INDEX(_xlfn.ANCHORARRAY($C$3),T_CALC[[#This Row],[DAY]]+1,6),NA())</f>
        <v>1.4359999999999999</v>
      </c>
      <c r="Q834" cm="1">
        <f t="array" aca="1" ref="Q834" ca="1">IFERROR(INDEX(_xlfn.ANCHORARRAY($C$3),T_CALC[[#This Row],[DAY]]+1,2),NA())</f>
        <v>0</v>
      </c>
    </row>
    <row r="835" spans="3:17">
      <c r="C835" vm="3343">
        <f ca="1"/>
        <v>43923</v>
      </c>
      <c r="D835">
        <f ca="1"/>
        <v>0</v>
      </c>
      <c r="E835" vm="3344">
        <f ca="1"/>
        <v>1.4358</v>
      </c>
      <c r="F835" vm="3345">
        <f ca="1"/>
        <v>1.4381999999999999</v>
      </c>
      <c r="G835" vm="3339">
        <f ca="1"/>
        <v>1.4277</v>
      </c>
      <c r="H835" vm="3346">
        <f ca="1"/>
        <v>1.4303999999999999</v>
      </c>
      <c r="K835">
        <f ca="1">IF(ROW(T_CALC[[#This Row],[DAY]])-ROW(T_CALC[[#Headers],[DAY]])&gt;C_N_TRADING_DAYS,"",ROW(T_CALC[[#This Row],[DAY]])-ROW(T_CALC[[#Headers],[DAY]]))</f>
        <v>832</v>
      </c>
      <c r="L835" cm="1" vm="3343">
        <f t="array" aca="1" ref="L835" ca="1">IFERROR(INDEX(_xlfn.ANCHORARRAY($C$3),T_CALC[[#This Row],[DAY]]+1,1),NA())</f>
        <v>43923</v>
      </c>
      <c r="M835" cm="1" vm="3344">
        <f t="array" aca="1" ref="M835" ca="1">IFERROR(INDEX(_xlfn.ANCHORARRAY($C$3),T_CALC[[#This Row],[DAY]]+1,3),NA())</f>
        <v>1.4358</v>
      </c>
      <c r="N835" cm="1" vm="3345">
        <f t="array" aca="1" ref="N835" ca="1">IFERROR(INDEX(_xlfn.ANCHORARRAY($C$3),T_CALC[[#This Row],[DAY]]+1,4),NA())</f>
        <v>1.4381999999999999</v>
      </c>
      <c r="O835" cm="1" vm="3339">
        <f t="array" aca="1" ref="O835" ca="1">IFERROR(INDEX(_xlfn.ANCHORARRAY($C$3),T_CALC[[#This Row],[DAY]]+1,5),NA())</f>
        <v>1.4277</v>
      </c>
      <c r="P835" cm="1" vm="3346">
        <f t="array" aca="1" ref="P835" ca="1">IFERROR(INDEX(_xlfn.ANCHORARRAY($C$3),T_CALC[[#This Row],[DAY]]+1,6),NA())</f>
        <v>1.4303999999999999</v>
      </c>
      <c r="Q835" cm="1">
        <f t="array" aca="1" ref="Q835" ca="1">IFERROR(INDEX(_xlfn.ANCHORARRAY($C$3),T_CALC[[#This Row],[DAY]]+1,2),NA())</f>
        <v>0</v>
      </c>
    </row>
    <row r="836" spans="3:17">
      <c r="C836" vm="3347">
        <f ca="1"/>
        <v>43924</v>
      </c>
      <c r="D836">
        <f ca="1"/>
        <v>0</v>
      </c>
      <c r="E836" vm="3348">
        <f ca="1"/>
        <v>1.43</v>
      </c>
      <c r="F836" vm="3349">
        <f ca="1"/>
        <v>1.4414</v>
      </c>
      <c r="G836" vm="3350">
        <f ca="1"/>
        <v>1.4289000000000001</v>
      </c>
      <c r="H836" vm="3351">
        <f ca="1"/>
        <v>1.4383999999999999</v>
      </c>
      <c r="K836">
        <f ca="1">IF(ROW(T_CALC[[#This Row],[DAY]])-ROW(T_CALC[[#Headers],[DAY]])&gt;C_N_TRADING_DAYS,"",ROW(T_CALC[[#This Row],[DAY]])-ROW(T_CALC[[#Headers],[DAY]]))</f>
        <v>833</v>
      </c>
      <c r="L836" cm="1" vm="3347">
        <f t="array" aca="1" ref="L836" ca="1">IFERROR(INDEX(_xlfn.ANCHORARRAY($C$3),T_CALC[[#This Row],[DAY]]+1,1),NA())</f>
        <v>43924</v>
      </c>
      <c r="M836" cm="1" vm="3348">
        <f t="array" aca="1" ref="M836" ca="1">IFERROR(INDEX(_xlfn.ANCHORARRAY($C$3),T_CALC[[#This Row],[DAY]]+1,3),NA())</f>
        <v>1.43</v>
      </c>
      <c r="N836" cm="1" vm="3349">
        <f t="array" aca="1" ref="N836" ca="1">IFERROR(INDEX(_xlfn.ANCHORARRAY($C$3),T_CALC[[#This Row],[DAY]]+1,4),NA())</f>
        <v>1.4414</v>
      </c>
      <c r="O836" cm="1" vm="3350">
        <f t="array" aca="1" ref="O836" ca="1">IFERROR(INDEX(_xlfn.ANCHORARRAY($C$3),T_CALC[[#This Row],[DAY]]+1,5),NA())</f>
        <v>1.4289000000000001</v>
      </c>
      <c r="P836" cm="1" vm="3351">
        <f t="array" aca="1" ref="P836" ca="1">IFERROR(INDEX(_xlfn.ANCHORARRAY($C$3),T_CALC[[#This Row],[DAY]]+1,6),NA())</f>
        <v>1.4383999999999999</v>
      </c>
      <c r="Q836" cm="1">
        <f t="array" aca="1" ref="Q836" ca="1">IFERROR(INDEX(_xlfn.ANCHORARRAY($C$3),T_CALC[[#This Row],[DAY]]+1,2),NA())</f>
        <v>0</v>
      </c>
    </row>
    <row r="837" spans="3:17">
      <c r="C837" vm="3352">
        <f ca="1"/>
        <v>43927</v>
      </c>
      <c r="D837">
        <f ca="1"/>
        <v>0</v>
      </c>
      <c r="E837" vm="3353">
        <f ca="1"/>
        <v>1.4384999999999999</v>
      </c>
      <c r="F837" vm="3354">
        <f ca="1"/>
        <v>1.4416</v>
      </c>
      <c r="G837" vm="3355">
        <f ca="1"/>
        <v>1.4308000000000001</v>
      </c>
      <c r="H837" vm="3356">
        <f ca="1"/>
        <v>1.4321999999999999</v>
      </c>
      <c r="K837">
        <f ca="1">IF(ROW(T_CALC[[#This Row],[DAY]])-ROW(T_CALC[[#Headers],[DAY]])&gt;C_N_TRADING_DAYS,"",ROW(T_CALC[[#This Row],[DAY]])-ROW(T_CALC[[#Headers],[DAY]]))</f>
        <v>834</v>
      </c>
      <c r="L837" cm="1" vm="3352">
        <f t="array" aca="1" ref="L837" ca="1">IFERROR(INDEX(_xlfn.ANCHORARRAY($C$3),T_CALC[[#This Row],[DAY]]+1,1),NA())</f>
        <v>43927</v>
      </c>
      <c r="M837" cm="1" vm="3353">
        <f t="array" aca="1" ref="M837" ca="1">IFERROR(INDEX(_xlfn.ANCHORARRAY($C$3),T_CALC[[#This Row],[DAY]]+1,3),NA())</f>
        <v>1.4384999999999999</v>
      </c>
      <c r="N837" cm="1" vm="3354">
        <f t="array" aca="1" ref="N837" ca="1">IFERROR(INDEX(_xlfn.ANCHORARRAY($C$3),T_CALC[[#This Row],[DAY]]+1,4),NA())</f>
        <v>1.4416</v>
      </c>
      <c r="O837" cm="1" vm="3355">
        <f t="array" aca="1" ref="O837" ca="1">IFERROR(INDEX(_xlfn.ANCHORARRAY($C$3),T_CALC[[#This Row],[DAY]]+1,5),NA())</f>
        <v>1.4308000000000001</v>
      </c>
      <c r="P837" cm="1" vm="3356">
        <f t="array" aca="1" ref="P837" ca="1">IFERROR(INDEX(_xlfn.ANCHORARRAY($C$3),T_CALC[[#This Row],[DAY]]+1,6),NA())</f>
        <v>1.4321999999999999</v>
      </c>
      <c r="Q837" cm="1">
        <f t="array" aca="1" ref="Q837" ca="1">IFERROR(INDEX(_xlfn.ANCHORARRAY($C$3),T_CALC[[#This Row],[DAY]]+1,2),NA())</f>
        <v>0</v>
      </c>
    </row>
    <row r="838" spans="3:17">
      <c r="C838" vm="3357">
        <f ca="1"/>
        <v>43928</v>
      </c>
      <c r="D838">
        <f ca="1"/>
        <v>0</v>
      </c>
      <c r="E838" vm="3358">
        <f ca="1"/>
        <v>1.4319</v>
      </c>
      <c r="F838" vm="3359">
        <f ca="1"/>
        <v>1.4323999999999999</v>
      </c>
      <c r="G838" vm="1531">
        <f ca="1"/>
        <v>1.4215</v>
      </c>
      <c r="H838" vm="1612">
        <f ca="1"/>
        <v>1.4231</v>
      </c>
      <c r="K838">
        <f ca="1">IF(ROW(T_CALC[[#This Row],[DAY]])-ROW(T_CALC[[#Headers],[DAY]])&gt;C_N_TRADING_DAYS,"",ROW(T_CALC[[#This Row],[DAY]])-ROW(T_CALC[[#Headers],[DAY]]))</f>
        <v>835</v>
      </c>
      <c r="L838" cm="1" vm="3357">
        <f t="array" aca="1" ref="L838" ca="1">IFERROR(INDEX(_xlfn.ANCHORARRAY($C$3),T_CALC[[#This Row],[DAY]]+1,1),NA())</f>
        <v>43928</v>
      </c>
      <c r="M838" cm="1" vm="3358">
        <f t="array" aca="1" ref="M838" ca="1">IFERROR(INDEX(_xlfn.ANCHORARRAY($C$3),T_CALC[[#This Row],[DAY]]+1,3),NA())</f>
        <v>1.4319</v>
      </c>
      <c r="N838" cm="1" vm="3359">
        <f t="array" aca="1" ref="N838" ca="1">IFERROR(INDEX(_xlfn.ANCHORARRAY($C$3),T_CALC[[#This Row],[DAY]]+1,4),NA())</f>
        <v>1.4323999999999999</v>
      </c>
      <c r="O838" cm="1" vm="1531">
        <f t="array" aca="1" ref="O838" ca="1">IFERROR(INDEX(_xlfn.ANCHORARRAY($C$3),T_CALC[[#This Row],[DAY]]+1,5),NA())</f>
        <v>1.4215</v>
      </c>
      <c r="P838" cm="1" vm="1612">
        <f t="array" aca="1" ref="P838" ca="1">IFERROR(INDEX(_xlfn.ANCHORARRAY($C$3),T_CALC[[#This Row],[DAY]]+1,6),NA())</f>
        <v>1.4231</v>
      </c>
      <c r="Q838" cm="1">
        <f t="array" aca="1" ref="Q838" ca="1">IFERROR(INDEX(_xlfn.ANCHORARRAY($C$3),T_CALC[[#This Row],[DAY]]+1,2),NA())</f>
        <v>0</v>
      </c>
    </row>
    <row r="839" spans="3:17">
      <c r="C839" vm="3360">
        <f ca="1"/>
        <v>43929</v>
      </c>
      <c r="D839">
        <f ca="1"/>
        <v>0</v>
      </c>
      <c r="E839" vm="3295">
        <f ca="1"/>
        <v>1.423</v>
      </c>
      <c r="F839" vm="3361">
        <f ca="1"/>
        <v>1.4295</v>
      </c>
      <c r="G839" vm="3362">
        <f ca="1"/>
        <v>1.4225000000000001</v>
      </c>
      <c r="H839" vm="3363">
        <f ca="1"/>
        <v>1.4252</v>
      </c>
      <c r="K839">
        <f ca="1">IF(ROW(T_CALC[[#This Row],[DAY]])-ROW(T_CALC[[#Headers],[DAY]])&gt;C_N_TRADING_DAYS,"",ROW(T_CALC[[#This Row],[DAY]])-ROW(T_CALC[[#Headers],[DAY]]))</f>
        <v>836</v>
      </c>
      <c r="L839" cm="1" vm="3360">
        <f t="array" aca="1" ref="L839" ca="1">IFERROR(INDEX(_xlfn.ANCHORARRAY($C$3),T_CALC[[#This Row],[DAY]]+1,1),NA())</f>
        <v>43929</v>
      </c>
      <c r="M839" cm="1" vm="3295">
        <f t="array" aca="1" ref="M839" ca="1">IFERROR(INDEX(_xlfn.ANCHORARRAY($C$3),T_CALC[[#This Row],[DAY]]+1,3),NA())</f>
        <v>1.423</v>
      </c>
      <c r="N839" cm="1" vm="3361">
        <f t="array" aca="1" ref="N839" ca="1">IFERROR(INDEX(_xlfn.ANCHORARRAY($C$3),T_CALC[[#This Row],[DAY]]+1,4),NA())</f>
        <v>1.4295</v>
      </c>
      <c r="O839" cm="1" vm="3362">
        <f t="array" aca="1" ref="O839" ca="1">IFERROR(INDEX(_xlfn.ANCHORARRAY($C$3),T_CALC[[#This Row],[DAY]]+1,5),NA())</f>
        <v>1.4225000000000001</v>
      </c>
      <c r="P839" cm="1" vm="3363">
        <f t="array" aca="1" ref="P839" ca="1">IFERROR(INDEX(_xlfn.ANCHORARRAY($C$3),T_CALC[[#This Row],[DAY]]+1,6),NA())</f>
        <v>1.4252</v>
      </c>
      <c r="Q839" cm="1">
        <f t="array" aca="1" ref="Q839" ca="1">IFERROR(INDEX(_xlfn.ANCHORARRAY($C$3),T_CALC[[#This Row],[DAY]]+1,2),NA())</f>
        <v>0</v>
      </c>
    </row>
    <row r="840" spans="3:17">
      <c r="C840" vm="3364">
        <f ca="1"/>
        <v>43930</v>
      </c>
      <c r="D840">
        <f ca="1"/>
        <v>0</v>
      </c>
      <c r="E840" vm="3365">
        <f ca="1"/>
        <v>1.4254</v>
      </c>
      <c r="F840" vm="3366">
        <f ca="1"/>
        <v>1.4269000000000001</v>
      </c>
      <c r="G840" vm="1669">
        <f ca="1"/>
        <v>1.4153</v>
      </c>
      <c r="H840" vm="1659">
        <f ca="1"/>
        <v>1.4165000000000001</v>
      </c>
      <c r="K840">
        <f ca="1">IF(ROW(T_CALC[[#This Row],[DAY]])-ROW(T_CALC[[#Headers],[DAY]])&gt;C_N_TRADING_DAYS,"",ROW(T_CALC[[#This Row],[DAY]])-ROW(T_CALC[[#Headers],[DAY]]))</f>
        <v>837</v>
      </c>
      <c r="L840" cm="1" vm="3364">
        <f t="array" aca="1" ref="L840" ca="1">IFERROR(INDEX(_xlfn.ANCHORARRAY($C$3),T_CALC[[#This Row],[DAY]]+1,1),NA())</f>
        <v>43930</v>
      </c>
      <c r="M840" cm="1" vm="3365">
        <f t="array" aca="1" ref="M840" ca="1">IFERROR(INDEX(_xlfn.ANCHORARRAY($C$3),T_CALC[[#This Row],[DAY]]+1,3),NA())</f>
        <v>1.4254</v>
      </c>
      <c r="N840" cm="1" vm="3366">
        <f t="array" aca="1" ref="N840" ca="1">IFERROR(INDEX(_xlfn.ANCHORARRAY($C$3),T_CALC[[#This Row],[DAY]]+1,4),NA())</f>
        <v>1.4269000000000001</v>
      </c>
      <c r="O840" cm="1" vm="1669">
        <f t="array" aca="1" ref="O840" ca="1">IFERROR(INDEX(_xlfn.ANCHORARRAY($C$3),T_CALC[[#This Row],[DAY]]+1,5),NA())</f>
        <v>1.4153</v>
      </c>
      <c r="P840" cm="1" vm="1659">
        <f t="array" aca="1" ref="P840" ca="1">IFERROR(INDEX(_xlfn.ANCHORARRAY($C$3),T_CALC[[#This Row],[DAY]]+1,6),NA())</f>
        <v>1.4165000000000001</v>
      </c>
      <c r="Q840" cm="1">
        <f t="array" aca="1" ref="Q840" ca="1">IFERROR(INDEX(_xlfn.ANCHORARRAY($C$3),T_CALC[[#This Row],[DAY]]+1,2),NA())</f>
        <v>0</v>
      </c>
    </row>
    <row r="841" spans="3:17">
      <c r="C841" vm="3367">
        <f ca="1"/>
        <v>43931</v>
      </c>
      <c r="D841">
        <f ca="1"/>
        <v>0</v>
      </c>
      <c r="E841" vm="1522">
        <f ca="1"/>
        <v>1.4169</v>
      </c>
      <c r="F841" vm="1605">
        <f ca="1"/>
        <v>1.4185000000000001</v>
      </c>
      <c r="G841" vm="1532">
        <f ca="1"/>
        <v>1.4117</v>
      </c>
      <c r="H841" vm="1579">
        <f ca="1"/>
        <v>1.4132</v>
      </c>
      <c r="K841">
        <f ca="1">IF(ROW(T_CALC[[#This Row],[DAY]])-ROW(T_CALC[[#Headers],[DAY]])&gt;C_N_TRADING_DAYS,"",ROW(T_CALC[[#This Row],[DAY]])-ROW(T_CALC[[#Headers],[DAY]]))</f>
        <v>838</v>
      </c>
      <c r="L841" cm="1" vm="3367">
        <f t="array" aca="1" ref="L841" ca="1">IFERROR(INDEX(_xlfn.ANCHORARRAY($C$3),T_CALC[[#This Row],[DAY]]+1,1),NA())</f>
        <v>43931</v>
      </c>
      <c r="M841" cm="1" vm="1522">
        <f t="array" aca="1" ref="M841" ca="1">IFERROR(INDEX(_xlfn.ANCHORARRAY($C$3),T_CALC[[#This Row],[DAY]]+1,3),NA())</f>
        <v>1.4169</v>
      </c>
      <c r="N841" cm="1" vm="1605">
        <f t="array" aca="1" ref="N841" ca="1">IFERROR(INDEX(_xlfn.ANCHORARRAY($C$3),T_CALC[[#This Row],[DAY]]+1,4),NA())</f>
        <v>1.4185000000000001</v>
      </c>
      <c r="O841" cm="1" vm="1532">
        <f t="array" aca="1" ref="O841" ca="1">IFERROR(INDEX(_xlfn.ANCHORARRAY($C$3),T_CALC[[#This Row],[DAY]]+1,5),NA())</f>
        <v>1.4117</v>
      </c>
      <c r="P841" cm="1" vm="1579">
        <f t="array" aca="1" ref="P841" ca="1">IFERROR(INDEX(_xlfn.ANCHORARRAY($C$3),T_CALC[[#This Row],[DAY]]+1,6),NA())</f>
        <v>1.4132</v>
      </c>
      <c r="Q841" cm="1">
        <f t="array" aca="1" ref="Q841" ca="1">IFERROR(INDEX(_xlfn.ANCHORARRAY($C$3),T_CALC[[#This Row],[DAY]]+1,2),NA())</f>
        <v>0</v>
      </c>
    </row>
    <row r="842" spans="3:17">
      <c r="C842" vm="3368">
        <f ca="1"/>
        <v>43934</v>
      </c>
      <c r="D842">
        <f ca="1"/>
        <v>0</v>
      </c>
      <c r="E842" vm="1667">
        <f ca="1"/>
        <v>1.4137</v>
      </c>
      <c r="F842" vm="1656">
        <f ca="1"/>
        <v>1.4179999999999999</v>
      </c>
      <c r="G842" vm="1569">
        <f ca="1"/>
        <v>1.4127000000000001</v>
      </c>
      <c r="H842" vm="1669">
        <f ca="1"/>
        <v>1.4153</v>
      </c>
      <c r="K842">
        <f ca="1">IF(ROW(T_CALC[[#This Row],[DAY]])-ROW(T_CALC[[#Headers],[DAY]])&gt;C_N_TRADING_DAYS,"",ROW(T_CALC[[#This Row],[DAY]])-ROW(T_CALC[[#Headers],[DAY]]))</f>
        <v>839</v>
      </c>
      <c r="L842" cm="1" vm="3368">
        <f t="array" aca="1" ref="L842" ca="1">IFERROR(INDEX(_xlfn.ANCHORARRAY($C$3),T_CALC[[#This Row],[DAY]]+1,1),NA())</f>
        <v>43934</v>
      </c>
      <c r="M842" cm="1" vm="1667">
        <f t="array" aca="1" ref="M842" ca="1">IFERROR(INDEX(_xlfn.ANCHORARRAY($C$3),T_CALC[[#This Row],[DAY]]+1,3),NA())</f>
        <v>1.4137</v>
      </c>
      <c r="N842" cm="1" vm="1656">
        <f t="array" aca="1" ref="N842" ca="1">IFERROR(INDEX(_xlfn.ANCHORARRAY($C$3),T_CALC[[#This Row],[DAY]]+1,4),NA())</f>
        <v>1.4179999999999999</v>
      </c>
      <c r="O842" cm="1" vm="1569">
        <f t="array" aca="1" ref="O842" ca="1">IFERROR(INDEX(_xlfn.ANCHORARRAY($C$3),T_CALC[[#This Row],[DAY]]+1,5),NA())</f>
        <v>1.4127000000000001</v>
      </c>
      <c r="P842" cm="1" vm="1669">
        <f t="array" aca="1" ref="P842" ca="1">IFERROR(INDEX(_xlfn.ANCHORARRAY($C$3),T_CALC[[#This Row],[DAY]]+1,6),NA())</f>
        <v>1.4153</v>
      </c>
      <c r="Q842" cm="1">
        <f t="array" aca="1" ref="Q842" ca="1">IFERROR(INDEX(_xlfn.ANCHORARRAY($C$3),T_CALC[[#This Row],[DAY]]+1,2),NA())</f>
        <v>0</v>
      </c>
    </row>
    <row r="843" spans="3:17">
      <c r="C843" vm="3369">
        <f ca="1"/>
        <v>43935</v>
      </c>
      <c r="D843">
        <f ca="1"/>
        <v>0</v>
      </c>
      <c r="E843" vm="3370">
        <f ca="1"/>
        <v>1.4146000000000001</v>
      </c>
      <c r="F843" vm="3371">
        <f ca="1"/>
        <v>1.4171</v>
      </c>
      <c r="G843" vm="1559">
        <f ca="1"/>
        <v>1.4126000000000001</v>
      </c>
      <c r="H843" vm="1560">
        <f ca="1"/>
        <v>1.4133</v>
      </c>
      <c r="K843">
        <f ca="1">IF(ROW(T_CALC[[#This Row],[DAY]])-ROW(T_CALC[[#Headers],[DAY]])&gt;C_N_TRADING_DAYS,"",ROW(T_CALC[[#This Row],[DAY]])-ROW(T_CALC[[#Headers],[DAY]]))</f>
        <v>840</v>
      </c>
      <c r="L843" cm="1" vm="3369">
        <f t="array" aca="1" ref="L843" ca="1">IFERROR(INDEX(_xlfn.ANCHORARRAY($C$3),T_CALC[[#This Row],[DAY]]+1,1),NA())</f>
        <v>43935</v>
      </c>
      <c r="M843" cm="1" vm="3370">
        <f t="array" aca="1" ref="M843" ca="1">IFERROR(INDEX(_xlfn.ANCHORARRAY($C$3),T_CALC[[#This Row],[DAY]]+1,3),NA())</f>
        <v>1.4146000000000001</v>
      </c>
      <c r="N843" cm="1" vm="3371">
        <f t="array" aca="1" ref="N843" ca="1">IFERROR(INDEX(_xlfn.ANCHORARRAY($C$3),T_CALC[[#This Row],[DAY]]+1,4),NA())</f>
        <v>1.4171</v>
      </c>
      <c r="O843" cm="1" vm="1559">
        <f t="array" aca="1" ref="O843" ca="1">IFERROR(INDEX(_xlfn.ANCHORARRAY($C$3),T_CALC[[#This Row],[DAY]]+1,5),NA())</f>
        <v>1.4126000000000001</v>
      </c>
      <c r="P843" cm="1" vm="1560">
        <f t="array" aca="1" ref="P843" ca="1">IFERROR(INDEX(_xlfn.ANCHORARRAY($C$3),T_CALC[[#This Row],[DAY]]+1,6),NA())</f>
        <v>1.4133</v>
      </c>
      <c r="Q843" cm="1">
        <f t="array" aca="1" ref="Q843" ca="1">IFERROR(INDEX(_xlfn.ANCHORARRAY($C$3),T_CALC[[#This Row],[DAY]]+1,2),NA())</f>
        <v>0</v>
      </c>
    </row>
    <row r="844" spans="3:17">
      <c r="C844" vm="3372">
        <f ca="1"/>
        <v>43936</v>
      </c>
      <c r="D844">
        <f ca="1"/>
        <v>0</v>
      </c>
      <c r="E844" vm="1667">
        <f ca="1"/>
        <v>1.4137</v>
      </c>
      <c r="F844" vm="3339">
        <f ca="1"/>
        <v>1.4277</v>
      </c>
      <c r="G844" vm="1643">
        <f ca="1"/>
        <v>1.4124000000000001</v>
      </c>
      <c r="H844" vm="1612">
        <f ca="1"/>
        <v>1.4231</v>
      </c>
      <c r="K844">
        <f ca="1">IF(ROW(T_CALC[[#This Row],[DAY]])-ROW(T_CALC[[#Headers],[DAY]])&gt;C_N_TRADING_DAYS,"",ROW(T_CALC[[#This Row],[DAY]])-ROW(T_CALC[[#Headers],[DAY]]))</f>
        <v>841</v>
      </c>
      <c r="L844" cm="1" vm="3372">
        <f t="array" aca="1" ref="L844" ca="1">IFERROR(INDEX(_xlfn.ANCHORARRAY($C$3),T_CALC[[#This Row],[DAY]]+1,1),NA())</f>
        <v>43936</v>
      </c>
      <c r="M844" cm="1" vm="1667">
        <f t="array" aca="1" ref="M844" ca="1">IFERROR(INDEX(_xlfn.ANCHORARRAY($C$3),T_CALC[[#This Row],[DAY]]+1,3),NA())</f>
        <v>1.4137</v>
      </c>
      <c r="N844" cm="1" vm="3339">
        <f t="array" aca="1" ref="N844" ca="1">IFERROR(INDEX(_xlfn.ANCHORARRAY($C$3),T_CALC[[#This Row],[DAY]]+1,4),NA())</f>
        <v>1.4277</v>
      </c>
      <c r="O844" cm="1" vm="1643">
        <f t="array" aca="1" ref="O844" ca="1">IFERROR(INDEX(_xlfn.ANCHORARRAY($C$3),T_CALC[[#This Row],[DAY]]+1,5),NA())</f>
        <v>1.4124000000000001</v>
      </c>
      <c r="P844" cm="1" vm="1612">
        <f t="array" aca="1" ref="P844" ca="1">IFERROR(INDEX(_xlfn.ANCHORARRAY($C$3),T_CALC[[#This Row],[DAY]]+1,6),NA())</f>
        <v>1.4231</v>
      </c>
      <c r="Q844" cm="1">
        <f t="array" aca="1" ref="Q844" ca="1">IFERROR(INDEX(_xlfn.ANCHORARRAY($C$3),T_CALC[[#This Row],[DAY]]+1,2),NA())</f>
        <v>0</v>
      </c>
    </row>
    <row r="845" spans="3:17">
      <c r="C845" vm="3373">
        <f ca="1"/>
        <v>43937</v>
      </c>
      <c r="D845">
        <f ca="1"/>
        <v>0</v>
      </c>
      <c r="E845" vm="1612">
        <f ca="1"/>
        <v>1.4231</v>
      </c>
      <c r="F845" vm="3374">
        <f ca="1"/>
        <v>1.4306000000000001</v>
      </c>
      <c r="G845" vm="3295">
        <f ca="1"/>
        <v>1.423</v>
      </c>
      <c r="H845" vm="3339">
        <f ca="1"/>
        <v>1.4277</v>
      </c>
      <c r="K845">
        <f ca="1">IF(ROW(T_CALC[[#This Row],[DAY]])-ROW(T_CALC[[#Headers],[DAY]])&gt;C_N_TRADING_DAYS,"",ROW(T_CALC[[#This Row],[DAY]])-ROW(T_CALC[[#Headers],[DAY]]))</f>
        <v>842</v>
      </c>
      <c r="L845" cm="1" vm="3373">
        <f t="array" aca="1" ref="L845" ca="1">IFERROR(INDEX(_xlfn.ANCHORARRAY($C$3),T_CALC[[#This Row],[DAY]]+1,1),NA())</f>
        <v>43937</v>
      </c>
      <c r="M845" cm="1" vm="1612">
        <f t="array" aca="1" ref="M845" ca="1">IFERROR(INDEX(_xlfn.ANCHORARRAY($C$3),T_CALC[[#This Row],[DAY]]+1,3),NA())</f>
        <v>1.4231</v>
      </c>
      <c r="N845" cm="1" vm="3374">
        <f t="array" aca="1" ref="N845" ca="1">IFERROR(INDEX(_xlfn.ANCHORARRAY($C$3),T_CALC[[#This Row],[DAY]]+1,4),NA())</f>
        <v>1.4306000000000001</v>
      </c>
      <c r="O845" cm="1" vm="3295">
        <f t="array" aca="1" ref="O845" ca="1">IFERROR(INDEX(_xlfn.ANCHORARRAY($C$3),T_CALC[[#This Row],[DAY]]+1,5),NA())</f>
        <v>1.423</v>
      </c>
      <c r="P845" cm="1" vm="3339">
        <f t="array" aca="1" ref="P845" ca="1">IFERROR(INDEX(_xlfn.ANCHORARRAY($C$3),T_CALC[[#This Row],[DAY]]+1,6),NA())</f>
        <v>1.4277</v>
      </c>
      <c r="Q845" cm="1">
        <f t="array" aca="1" ref="Q845" ca="1">IFERROR(INDEX(_xlfn.ANCHORARRAY($C$3),T_CALC[[#This Row],[DAY]]+1,2),NA())</f>
        <v>0</v>
      </c>
    </row>
    <row r="846" spans="3:17">
      <c r="C846" vm="3375">
        <f ca="1"/>
        <v>43938</v>
      </c>
      <c r="D846">
        <f ca="1"/>
        <v>0</v>
      </c>
      <c r="E846" vm="3376">
        <f ca="1"/>
        <v>1.4275</v>
      </c>
      <c r="F846" vm="3377">
        <f ca="1"/>
        <v>1.4278999999999999</v>
      </c>
      <c r="G846" vm="3378">
        <f ca="1"/>
        <v>1.4207000000000001</v>
      </c>
      <c r="H846" vm="3379">
        <f ca="1"/>
        <v>1.4214</v>
      </c>
      <c r="K846">
        <f ca="1">IF(ROW(T_CALC[[#This Row],[DAY]])-ROW(T_CALC[[#Headers],[DAY]])&gt;C_N_TRADING_DAYS,"",ROW(T_CALC[[#This Row],[DAY]])-ROW(T_CALC[[#Headers],[DAY]]))</f>
        <v>843</v>
      </c>
      <c r="L846" cm="1" vm="3375">
        <f t="array" aca="1" ref="L846" ca="1">IFERROR(INDEX(_xlfn.ANCHORARRAY($C$3),T_CALC[[#This Row],[DAY]]+1,1),NA())</f>
        <v>43938</v>
      </c>
      <c r="M846" cm="1" vm="3376">
        <f t="array" aca="1" ref="M846" ca="1">IFERROR(INDEX(_xlfn.ANCHORARRAY($C$3),T_CALC[[#This Row],[DAY]]+1,3),NA())</f>
        <v>1.4275</v>
      </c>
      <c r="N846" cm="1" vm="3377">
        <f t="array" aca="1" ref="N846" ca="1">IFERROR(INDEX(_xlfn.ANCHORARRAY($C$3),T_CALC[[#This Row],[DAY]]+1,4),NA())</f>
        <v>1.4278999999999999</v>
      </c>
      <c r="O846" cm="1" vm="3378">
        <f t="array" aca="1" ref="O846" ca="1">IFERROR(INDEX(_xlfn.ANCHORARRAY($C$3),T_CALC[[#This Row],[DAY]]+1,5),NA())</f>
        <v>1.4207000000000001</v>
      </c>
      <c r="P846" cm="1" vm="3379">
        <f t="array" aca="1" ref="P846" ca="1">IFERROR(INDEX(_xlfn.ANCHORARRAY($C$3),T_CALC[[#This Row],[DAY]]+1,6),NA())</f>
        <v>1.4214</v>
      </c>
      <c r="Q846" cm="1">
        <f t="array" aca="1" ref="Q846" ca="1">IFERROR(INDEX(_xlfn.ANCHORARRAY($C$3),T_CALC[[#This Row],[DAY]]+1,2),NA())</f>
        <v>0</v>
      </c>
    </row>
    <row r="847" spans="3:17">
      <c r="C847" vm="3380">
        <f ca="1"/>
        <v>43941</v>
      </c>
      <c r="D847">
        <f ca="1"/>
        <v>0</v>
      </c>
      <c r="E847" vm="3381">
        <f ca="1"/>
        <v>1.4219999999999999</v>
      </c>
      <c r="F847" vm="1520">
        <f ca="1"/>
        <v>1.4247000000000001</v>
      </c>
      <c r="G847" vm="1656">
        <f ca="1"/>
        <v>1.4179999999999999</v>
      </c>
      <c r="H847" vm="1550">
        <f ca="1"/>
        <v>1.4209000000000001</v>
      </c>
      <c r="K847">
        <f ca="1">IF(ROW(T_CALC[[#This Row],[DAY]])-ROW(T_CALC[[#Headers],[DAY]])&gt;C_N_TRADING_DAYS,"",ROW(T_CALC[[#This Row],[DAY]])-ROW(T_CALC[[#Headers],[DAY]]))</f>
        <v>844</v>
      </c>
      <c r="L847" cm="1" vm="3380">
        <f t="array" aca="1" ref="L847" ca="1">IFERROR(INDEX(_xlfn.ANCHORARRAY($C$3),T_CALC[[#This Row],[DAY]]+1,1),NA())</f>
        <v>43941</v>
      </c>
      <c r="M847" cm="1" vm="3381">
        <f t="array" aca="1" ref="M847" ca="1">IFERROR(INDEX(_xlfn.ANCHORARRAY($C$3),T_CALC[[#This Row],[DAY]]+1,3),NA())</f>
        <v>1.4219999999999999</v>
      </c>
      <c r="N847" cm="1" vm="1520">
        <f t="array" aca="1" ref="N847" ca="1">IFERROR(INDEX(_xlfn.ANCHORARRAY($C$3),T_CALC[[#This Row],[DAY]]+1,4),NA())</f>
        <v>1.4247000000000001</v>
      </c>
      <c r="O847" cm="1" vm="1656">
        <f t="array" aca="1" ref="O847" ca="1">IFERROR(INDEX(_xlfn.ANCHORARRAY($C$3),T_CALC[[#This Row],[DAY]]+1,5),NA())</f>
        <v>1.4179999999999999</v>
      </c>
      <c r="P847" cm="1" vm="1550">
        <f t="array" aca="1" ref="P847" ca="1">IFERROR(INDEX(_xlfn.ANCHORARRAY($C$3),T_CALC[[#This Row],[DAY]]+1,6),NA())</f>
        <v>1.4209000000000001</v>
      </c>
      <c r="Q847" cm="1">
        <f t="array" aca="1" ref="Q847" ca="1">IFERROR(INDEX(_xlfn.ANCHORARRAY($C$3),T_CALC[[#This Row],[DAY]]+1,2),NA())</f>
        <v>0</v>
      </c>
    </row>
    <row r="848" spans="3:17">
      <c r="C848" vm="3382">
        <f ca="1"/>
        <v>43942</v>
      </c>
      <c r="D848">
        <f ca="1"/>
        <v>0</v>
      </c>
      <c r="E848" vm="1530">
        <f ca="1"/>
        <v>1.4211</v>
      </c>
      <c r="F848" vm="3383">
        <f ca="1"/>
        <v>1.4328000000000001</v>
      </c>
      <c r="G848" vm="1574">
        <f ca="1"/>
        <v>1.4198</v>
      </c>
      <c r="H848" vm="1543">
        <f ca="1"/>
        <v>1.4313</v>
      </c>
      <c r="K848">
        <f ca="1">IF(ROW(T_CALC[[#This Row],[DAY]])-ROW(T_CALC[[#Headers],[DAY]])&gt;C_N_TRADING_DAYS,"",ROW(T_CALC[[#This Row],[DAY]])-ROW(T_CALC[[#Headers],[DAY]]))</f>
        <v>845</v>
      </c>
      <c r="L848" cm="1" vm="3382">
        <f t="array" aca="1" ref="L848" ca="1">IFERROR(INDEX(_xlfn.ANCHORARRAY($C$3),T_CALC[[#This Row],[DAY]]+1,1),NA())</f>
        <v>43942</v>
      </c>
      <c r="M848" cm="1" vm="1530">
        <f t="array" aca="1" ref="M848" ca="1">IFERROR(INDEX(_xlfn.ANCHORARRAY($C$3),T_CALC[[#This Row],[DAY]]+1,3),NA())</f>
        <v>1.4211</v>
      </c>
      <c r="N848" cm="1" vm="3383">
        <f t="array" aca="1" ref="N848" ca="1">IFERROR(INDEX(_xlfn.ANCHORARRAY($C$3),T_CALC[[#This Row],[DAY]]+1,4),NA())</f>
        <v>1.4328000000000001</v>
      </c>
      <c r="O848" cm="1" vm="1574">
        <f t="array" aca="1" ref="O848" ca="1">IFERROR(INDEX(_xlfn.ANCHORARRAY($C$3),T_CALC[[#This Row],[DAY]]+1,5),NA())</f>
        <v>1.4198</v>
      </c>
      <c r="P848" cm="1" vm="1543">
        <f t="array" aca="1" ref="P848" ca="1">IFERROR(INDEX(_xlfn.ANCHORARRAY($C$3),T_CALC[[#This Row],[DAY]]+1,6),NA())</f>
        <v>1.4313</v>
      </c>
      <c r="Q848" cm="1">
        <f t="array" aca="1" ref="Q848" ca="1">IFERROR(INDEX(_xlfn.ANCHORARRAY($C$3),T_CALC[[#This Row],[DAY]]+1,2),NA())</f>
        <v>0</v>
      </c>
    </row>
    <row r="849" spans="3:17">
      <c r="C849" vm="3384">
        <f ca="1"/>
        <v>43943</v>
      </c>
      <c r="D849">
        <f ca="1"/>
        <v>0</v>
      </c>
      <c r="E849" vm="1545">
        <f ca="1"/>
        <v>1.4314</v>
      </c>
      <c r="F849" vm="3298">
        <f ca="1"/>
        <v>1.4322999999999999</v>
      </c>
      <c r="G849" vm="3385">
        <f ca="1"/>
        <v>1.4248000000000001</v>
      </c>
      <c r="H849" vm="3334">
        <f ca="1"/>
        <v>1.4268000000000001</v>
      </c>
      <c r="K849">
        <f ca="1">IF(ROW(T_CALC[[#This Row],[DAY]])-ROW(T_CALC[[#Headers],[DAY]])&gt;C_N_TRADING_DAYS,"",ROW(T_CALC[[#This Row],[DAY]])-ROW(T_CALC[[#Headers],[DAY]]))</f>
        <v>846</v>
      </c>
      <c r="L849" cm="1" vm="3384">
        <f t="array" aca="1" ref="L849" ca="1">IFERROR(INDEX(_xlfn.ANCHORARRAY($C$3),T_CALC[[#This Row],[DAY]]+1,1),NA())</f>
        <v>43943</v>
      </c>
      <c r="M849" cm="1" vm="1545">
        <f t="array" aca="1" ref="M849" ca="1">IFERROR(INDEX(_xlfn.ANCHORARRAY($C$3),T_CALC[[#This Row],[DAY]]+1,3),NA())</f>
        <v>1.4314</v>
      </c>
      <c r="N849" cm="1" vm="3298">
        <f t="array" aca="1" ref="N849" ca="1">IFERROR(INDEX(_xlfn.ANCHORARRAY($C$3),T_CALC[[#This Row],[DAY]]+1,4),NA())</f>
        <v>1.4322999999999999</v>
      </c>
      <c r="O849" cm="1" vm="3385">
        <f t="array" aca="1" ref="O849" ca="1">IFERROR(INDEX(_xlfn.ANCHORARRAY($C$3),T_CALC[[#This Row],[DAY]]+1,5),NA())</f>
        <v>1.4248000000000001</v>
      </c>
      <c r="P849" cm="1" vm="3334">
        <f t="array" aca="1" ref="P849" ca="1">IFERROR(INDEX(_xlfn.ANCHORARRAY($C$3),T_CALC[[#This Row],[DAY]]+1,6),NA())</f>
        <v>1.4268000000000001</v>
      </c>
      <c r="Q849" cm="1">
        <f t="array" aca="1" ref="Q849" ca="1">IFERROR(INDEX(_xlfn.ANCHORARRAY($C$3),T_CALC[[#This Row],[DAY]]+1,2),NA())</f>
        <v>0</v>
      </c>
    </row>
    <row r="850" spans="3:17">
      <c r="C850" vm="3386">
        <f ca="1"/>
        <v>43944</v>
      </c>
      <c r="D850">
        <f ca="1"/>
        <v>0</v>
      </c>
      <c r="E850" vm="3387">
        <f ca="1"/>
        <v>1.4271</v>
      </c>
      <c r="F850" vm="3329">
        <f ca="1"/>
        <v>1.4298</v>
      </c>
      <c r="G850" vm="1586">
        <f ca="1"/>
        <v>1.4202999999999999</v>
      </c>
      <c r="H850" vm="3388">
        <f ca="1"/>
        <v>1.4241999999999999</v>
      </c>
      <c r="K850">
        <f ca="1">IF(ROW(T_CALC[[#This Row],[DAY]])-ROW(T_CALC[[#Headers],[DAY]])&gt;C_N_TRADING_DAYS,"",ROW(T_CALC[[#This Row],[DAY]])-ROW(T_CALC[[#Headers],[DAY]]))</f>
        <v>847</v>
      </c>
      <c r="L850" cm="1" vm="3386">
        <f t="array" aca="1" ref="L850" ca="1">IFERROR(INDEX(_xlfn.ANCHORARRAY($C$3),T_CALC[[#This Row],[DAY]]+1,1),NA())</f>
        <v>43944</v>
      </c>
      <c r="M850" cm="1" vm="3387">
        <f t="array" aca="1" ref="M850" ca="1">IFERROR(INDEX(_xlfn.ANCHORARRAY($C$3),T_CALC[[#This Row],[DAY]]+1,3),NA())</f>
        <v>1.4271</v>
      </c>
      <c r="N850" cm="1" vm="3329">
        <f t="array" aca="1" ref="N850" ca="1">IFERROR(INDEX(_xlfn.ANCHORARRAY($C$3),T_CALC[[#This Row],[DAY]]+1,4),NA())</f>
        <v>1.4298</v>
      </c>
      <c r="O850" cm="1" vm="1586">
        <f t="array" aca="1" ref="O850" ca="1">IFERROR(INDEX(_xlfn.ANCHORARRAY($C$3),T_CALC[[#This Row],[DAY]]+1,5),NA())</f>
        <v>1.4202999999999999</v>
      </c>
      <c r="P850" cm="1" vm="3388">
        <f t="array" aca="1" ref="P850" ca="1">IFERROR(INDEX(_xlfn.ANCHORARRAY($C$3),T_CALC[[#This Row],[DAY]]+1,6),NA())</f>
        <v>1.4241999999999999</v>
      </c>
      <c r="Q850" cm="1">
        <f t="array" aca="1" ref="Q850" ca="1">IFERROR(INDEX(_xlfn.ANCHORARRAY($C$3),T_CALC[[#This Row],[DAY]]+1,2),NA())</f>
        <v>0</v>
      </c>
    </row>
    <row r="851" spans="3:17">
      <c r="C851" vm="3389">
        <f ca="1"/>
        <v>43945</v>
      </c>
      <c r="D851">
        <f ca="1"/>
        <v>0</v>
      </c>
      <c r="E851" vm="3390">
        <f ca="1"/>
        <v>1.4240999999999999</v>
      </c>
      <c r="F851" vm="3391">
        <f ca="1"/>
        <v>1.4278</v>
      </c>
      <c r="G851" vm="3392">
        <f ca="1"/>
        <v>1.4228000000000001</v>
      </c>
      <c r="H851" vm="1595">
        <f ca="1"/>
        <v>1.4242999999999999</v>
      </c>
      <c r="K851">
        <f ca="1">IF(ROW(T_CALC[[#This Row],[DAY]])-ROW(T_CALC[[#Headers],[DAY]])&gt;C_N_TRADING_DAYS,"",ROW(T_CALC[[#This Row],[DAY]])-ROW(T_CALC[[#Headers],[DAY]]))</f>
        <v>848</v>
      </c>
      <c r="L851" cm="1" vm="3389">
        <f t="array" aca="1" ref="L851" ca="1">IFERROR(INDEX(_xlfn.ANCHORARRAY($C$3),T_CALC[[#This Row],[DAY]]+1,1),NA())</f>
        <v>43945</v>
      </c>
      <c r="M851" cm="1" vm="3390">
        <f t="array" aca="1" ref="M851" ca="1">IFERROR(INDEX(_xlfn.ANCHORARRAY($C$3),T_CALC[[#This Row],[DAY]]+1,3),NA())</f>
        <v>1.4240999999999999</v>
      </c>
      <c r="N851" cm="1" vm="3391">
        <f t="array" aca="1" ref="N851" ca="1">IFERROR(INDEX(_xlfn.ANCHORARRAY($C$3),T_CALC[[#This Row],[DAY]]+1,4),NA())</f>
        <v>1.4278</v>
      </c>
      <c r="O851" cm="1" vm="3392">
        <f t="array" aca="1" ref="O851" ca="1">IFERROR(INDEX(_xlfn.ANCHORARRAY($C$3),T_CALC[[#This Row],[DAY]]+1,5),NA())</f>
        <v>1.4228000000000001</v>
      </c>
      <c r="P851" cm="1" vm="1595">
        <f t="array" aca="1" ref="P851" ca="1">IFERROR(INDEX(_xlfn.ANCHORARRAY($C$3),T_CALC[[#This Row],[DAY]]+1,6),NA())</f>
        <v>1.4242999999999999</v>
      </c>
      <c r="Q851" cm="1">
        <f t="array" aca="1" ref="Q851" ca="1">IFERROR(INDEX(_xlfn.ANCHORARRAY($C$3),T_CALC[[#This Row],[DAY]]+1,2),NA())</f>
        <v>0</v>
      </c>
    </row>
    <row r="852" spans="3:17">
      <c r="C852" vm="3393">
        <f ca="1"/>
        <v>43948</v>
      </c>
      <c r="D852">
        <f ca="1"/>
        <v>0</v>
      </c>
      <c r="E852" vm="3394">
        <f ca="1"/>
        <v>1.4246000000000001</v>
      </c>
      <c r="F852" vm="3395">
        <f ca="1"/>
        <v>1.4253</v>
      </c>
      <c r="G852" vm="3396">
        <f ca="1"/>
        <v>1.4173</v>
      </c>
      <c r="H852" vm="3397">
        <f ca="1"/>
        <v>1.4182999999999999</v>
      </c>
      <c r="K852">
        <f ca="1">IF(ROW(T_CALC[[#This Row],[DAY]])-ROW(T_CALC[[#Headers],[DAY]])&gt;C_N_TRADING_DAYS,"",ROW(T_CALC[[#This Row],[DAY]])-ROW(T_CALC[[#Headers],[DAY]]))</f>
        <v>849</v>
      </c>
      <c r="L852" cm="1" vm="3393">
        <f t="array" aca="1" ref="L852" ca="1">IFERROR(INDEX(_xlfn.ANCHORARRAY($C$3),T_CALC[[#This Row],[DAY]]+1,1),NA())</f>
        <v>43948</v>
      </c>
      <c r="M852" cm="1" vm="3394">
        <f t="array" aca="1" ref="M852" ca="1">IFERROR(INDEX(_xlfn.ANCHORARRAY($C$3),T_CALC[[#This Row],[DAY]]+1,3),NA())</f>
        <v>1.4246000000000001</v>
      </c>
      <c r="N852" cm="1" vm="3395">
        <f t="array" aca="1" ref="N852" ca="1">IFERROR(INDEX(_xlfn.ANCHORARRAY($C$3),T_CALC[[#This Row],[DAY]]+1,4),NA())</f>
        <v>1.4253</v>
      </c>
      <c r="O852" cm="1" vm="3396">
        <f t="array" aca="1" ref="O852" ca="1">IFERROR(INDEX(_xlfn.ANCHORARRAY($C$3),T_CALC[[#This Row],[DAY]]+1,5),NA())</f>
        <v>1.4173</v>
      </c>
      <c r="P852" cm="1" vm="3397">
        <f t="array" aca="1" ref="P852" ca="1">IFERROR(INDEX(_xlfn.ANCHORARRAY($C$3),T_CALC[[#This Row],[DAY]]+1,6),NA())</f>
        <v>1.4182999999999999</v>
      </c>
      <c r="Q852" cm="1">
        <f t="array" aca="1" ref="Q852" ca="1">IFERROR(INDEX(_xlfn.ANCHORARRAY($C$3),T_CALC[[#This Row],[DAY]]+1,2),NA())</f>
        <v>0</v>
      </c>
    </row>
    <row r="853" spans="3:17">
      <c r="C853" vm="3398">
        <f ca="1"/>
        <v>43949</v>
      </c>
      <c r="D853">
        <f ca="1"/>
        <v>0</v>
      </c>
      <c r="E853" vm="1654">
        <f ca="1"/>
        <v>1.4184000000000001</v>
      </c>
      <c r="F853" vm="3399">
        <f ca="1"/>
        <v>1.4221999999999999</v>
      </c>
      <c r="G853" vm="3400">
        <f ca="1"/>
        <v>1.4142999999999999</v>
      </c>
      <c r="H853" vm="1522">
        <f ca="1"/>
        <v>1.4169</v>
      </c>
      <c r="K853">
        <f ca="1">IF(ROW(T_CALC[[#This Row],[DAY]])-ROW(T_CALC[[#Headers],[DAY]])&gt;C_N_TRADING_DAYS,"",ROW(T_CALC[[#This Row],[DAY]])-ROW(T_CALC[[#Headers],[DAY]]))</f>
        <v>850</v>
      </c>
      <c r="L853" cm="1" vm="3398">
        <f t="array" aca="1" ref="L853" ca="1">IFERROR(INDEX(_xlfn.ANCHORARRAY($C$3),T_CALC[[#This Row],[DAY]]+1,1),NA())</f>
        <v>43949</v>
      </c>
      <c r="M853" cm="1" vm="1654">
        <f t="array" aca="1" ref="M853" ca="1">IFERROR(INDEX(_xlfn.ANCHORARRAY($C$3),T_CALC[[#This Row],[DAY]]+1,3),NA())</f>
        <v>1.4184000000000001</v>
      </c>
      <c r="N853" cm="1" vm="3399">
        <f t="array" aca="1" ref="N853" ca="1">IFERROR(INDEX(_xlfn.ANCHORARRAY($C$3),T_CALC[[#This Row],[DAY]]+1,4),NA())</f>
        <v>1.4221999999999999</v>
      </c>
      <c r="O853" cm="1" vm="3400">
        <f t="array" aca="1" ref="O853" ca="1">IFERROR(INDEX(_xlfn.ANCHORARRAY($C$3),T_CALC[[#This Row],[DAY]]+1,5),NA())</f>
        <v>1.4142999999999999</v>
      </c>
      <c r="P853" cm="1" vm="1522">
        <f t="array" aca="1" ref="P853" ca="1">IFERROR(INDEX(_xlfn.ANCHORARRAY($C$3),T_CALC[[#This Row],[DAY]]+1,6),NA())</f>
        <v>1.4169</v>
      </c>
      <c r="Q853" cm="1">
        <f t="array" aca="1" ref="Q853" ca="1">IFERROR(INDEX(_xlfn.ANCHORARRAY($C$3),T_CALC[[#This Row],[DAY]]+1,2),NA())</f>
        <v>0</v>
      </c>
    </row>
    <row r="854" spans="3:17">
      <c r="C854" vm="3401">
        <f ca="1"/>
        <v>43950</v>
      </c>
      <c r="D854">
        <f ca="1"/>
        <v>0</v>
      </c>
      <c r="E854" vm="3402">
        <f ca="1"/>
        <v>1.4167000000000001</v>
      </c>
      <c r="F854" vm="1525">
        <f ca="1"/>
        <v>1.4172</v>
      </c>
      <c r="G854" vm="3403">
        <f ca="1"/>
        <v>1.4105000000000001</v>
      </c>
      <c r="H854" vm="3404">
        <f ca="1"/>
        <v>1.4115</v>
      </c>
      <c r="K854">
        <f ca="1">IF(ROW(T_CALC[[#This Row],[DAY]])-ROW(T_CALC[[#Headers],[DAY]])&gt;C_N_TRADING_DAYS,"",ROW(T_CALC[[#This Row],[DAY]])-ROW(T_CALC[[#Headers],[DAY]]))</f>
        <v>851</v>
      </c>
      <c r="L854" cm="1" vm="3401">
        <f t="array" aca="1" ref="L854" ca="1">IFERROR(INDEX(_xlfn.ANCHORARRAY($C$3),T_CALC[[#This Row],[DAY]]+1,1),NA())</f>
        <v>43950</v>
      </c>
      <c r="M854" cm="1" vm="3402">
        <f t="array" aca="1" ref="M854" ca="1">IFERROR(INDEX(_xlfn.ANCHORARRAY($C$3),T_CALC[[#This Row],[DAY]]+1,3),NA())</f>
        <v>1.4167000000000001</v>
      </c>
      <c r="N854" cm="1" vm="1525">
        <f t="array" aca="1" ref="N854" ca="1">IFERROR(INDEX(_xlfn.ANCHORARRAY($C$3),T_CALC[[#This Row],[DAY]]+1,4),NA())</f>
        <v>1.4172</v>
      </c>
      <c r="O854" cm="1" vm="3403">
        <f t="array" aca="1" ref="O854" ca="1">IFERROR(INDEX(_xlfn.ANCHORARRAY($C$3),T_CALC[[#This Row],[DAY]]+1,5),NA())</f>
        <v>1.4105000000000001</v>
      </c>
      <c r="P854" cm="1" vm="3404">
        <f t="array" aca="1" ref="P854" ca="1">IFERROR(INDEX(_xlfn.ANCHORARRAY($C$3),T_CALC[[#This Row],[DAY]]+1,6),NA())</f>
        <v>1.4115</v>
      </c>
      <c r="Q854" cm="1">
        <f t="array" aca="1" ref="Q854" ca="1">IFERROR(INDEX(_xlfn.ANCHORARRAY($C$3),T_CALC[[#This Row],[DAY]]+1,2),NA())</f>
        <v>0</v>
      </c>
    </row>
    <row r="855" spans="3:17">
      <c r="C855" vm="3405">
        <f ca="1"/>
        <v>43951</v>
      </c>
      <c r="D855">
        <f ca="1"/>
        <v>0</v>
      </c>
      <c r="E855" vm="1532">
        <f ca="1"/>
        <v>1.4117</v>
      </c>
      <c r="F855" vm="3406">
        <f ca="1"/>
        <v>1.4131</v>
      </c>
      <c r="G855" vm="1551">
        <f ca="1"/>
        <v>1.4066000000000001</v>
      </c>
      <c r="H855" vm="3407">
        <f ca="1"/>
        <v>1.4107000000000001</v>
      </c>
      <c r="K855">
        <f ca="1">IF(ROW(T_CALC[[#This Row],[DAY]])-ROW(T_CALC[[#Headers],[DAY]])&gt;C_N_TRADING_DAYS,"",ROW(T_CALC[[#This Row],[DAY]])-ROW(T_CALC[[#Headers],[DAY]]))</f>
        <v>852</v>
      </c>
      <c r="L855" cm="1" vm="3405">
        <f t="array" aca="1" ref="L855" ca="1">IFERROR(INDEX(_xlfn.ANCHORARRAY($C$3),T_CALC[[#This Row],[DAY]]+1,1),NA())</f>
        <v>43951</v>
      </c>
      <c r="M855" cm="1" vm="1532">
        <f t="array" aca="1" ref="M855" ca="1">IFERROR(INDEX(_xlfn.ANCHORARRAY($C$3),T_CALC[[#This Row],[DAY]]+1,3),NA())</f>
        <v>1.4117</v>
      </c>
      <c r="N855" cm="1" vm="3406">
        <f t="array" aca="1" ref="N855" ca="1">IFERROR(INDEX(_xlfn.ANCHORARRAY($C$3),T_CALC[[#This Row],[DAY]]+1,4),NA())</f>
        <v>1.4131</v>
      </c>
      <c r="O855" cm="1" vm="1551">
        <f t="array" aca="1" ref="O855" ca="1">IFERROR(INDEX(_xlfn.ANCHORARRAY($C$3),T_CALC[[#This Row],[DAY]]+1,5),NA())</f>
        <v>1.4066000000000001</v>
      </c>
      <c r="P855" cm="1" vm="3407">
        <f t="array" aca="1" ref="P855" ca="1">IFERROR(INDEX(_xlfn.ANCHORARRAY($C$3),T_CALC[[#This Row],[DAY]]+1,6),NA())</f>
        <v>1.4107000000000001</v>
      </c>
      <c r="Q855" cm="1">
        <f t="array" aca="1" ref="Q855" ca="1">IFERROR(INDEX(_xlfn.ANCHORARRAY($C$3),T_CALC[[#This Row],[DAY]]+1,2),NA())</f>
        <v>0</v>
      </c>
    </row>
    <row r="856" spans="3:17">
      <c r="C856" vm="3408">
        <f ca="1"/>
        <v>43952</v>
      </c>
      <c r="D856">
        <f ca="1"/>
        <v>0</v>
      </c>
      <c r="E856" vm="3403">
        <f ca="1"/>
        <v>1.4105000000000001</v>
      </c>
      <c r="F856" vm="1555">
        <f ca="1"/>
        <v>1.4168000000000001</v>
      </c>
      <c r="G856" vm="1801">
        <f ca="1"/>
        <v>1.4094</v>
      </c>
      <c r="H856" vm="3409">
        <f ca="1"/>
        <v>1.4151</v>
      </c>
      <c r="K856">
        <f ca="1">IF(ROW(T_CALC[[#This Row],[DAY]])-ROW(T_CALC[[#Headers],[DAY]])&gt;C_N_TRADING_DAYS,"",ROW(T_CALC[[#This Row],[DAY]])-ROW(T_CALC[[#Headers],[DAY]]))</f>
        <v>853</v>
      </c>
      <c r="L856" cm="1" vm="3408">
        <f t="array" aca="1" ref="L856" ca="1">IFERROR(INDEX(_xlfn.ANCHORARRAY($C$3),T_CALC[[#This Row],[DAY]]+1,1),NA())</f>
        <v>43952</v>
      </c>
      <c r="M856" cm="1" vm="3403">
        <f t="array" aca="1" ref="M856" ca="1">IFERROR(INDEX(_xlfn.ANCHORARRAY($C$3),T_CALC[[#This Row],[DAY]]+1,3),NA())</f>
        <v>1.4105000000000001</v>
      </c>
      <c r="N856" cm="1" vm="1555">
        <f t="array" aca="1" ref="N856" ca="1">IFERROR(INDEX(_xlfn.ANCHORARRAY($C$3),T_CALC[[#This Row],[DAY]]+1,4),NA())</f>
        <v>1.4168000000000001</v>
      </c>
      <c r="O856" cm="1" vm="1801">
        <f t="array" aca="1" ref="O856" ca="1">IFERROR(INDEX(_xlfn.ANCHORARRAY($C$3),T_CALC[[#This Row],[DAY]]+1,5),NA())</f>
        <v>1.4094</v>
      </c>
      <c r="P856" cm="1" vm="3409">
        <f t="array" aca="1" ref="P856" ca="1">IFERROR(INDEX(_xlfn.ANCHORARRAY($C$3),T_CALC[[#This Row],[DAY]]+1,6),NA())</f>
        <v>1.4151</v>
      </c>
      <c r="Q856" cm="1">
        <f t="array" aca="1" ref="Q856" ca="1">IFERROR(INDEX(_xlfn.ANCHORARRAY($C$3),T_CALC[[#This Row],[DAY]]+1,2),NA())</f>
        <v>0</v>
      </c>
    </row>
    <row r="857" spans="3:17">
      <c r="C857" vm="3410">
        <f ca="1"/>
        <v>43955</v>
      </c>
      <c r="D857">
        <f ca="1"/>
        <v>0</v>
      </c>
      <c r="E857" vm="1602">
        <f ca="1"/>
        <v>1.4157</v>
      </c>
      <c r="F857" vm="1584">
        <f ca="1"/>
        <v>1.4204000000000001</v>
      </c>
      <c r="G857" vm="3409">
        <f ca="1"/>
        <v>1.4151</v>
      </c>
      <c r="H857" vm="1659">
        <f ca="1"/>
        <v>1.4165000000000001</v>
      </c>
      <c r="K857">
        <f ca="1">IF(ROW(T_CALC[[#This Row],[DAY]])-ROW(T_CALC[[#Headers],[DAY]])&gt;C_N_TRADING_DAYS,"",ROW(T_CALC[[#This Row],[DAY]])-ROW(T_CALC[[#Headers],[DAY]]))</f>
        <v>854</v>
      </c>
      <c r="L857" cm="1" vm="3410">
        <f t="array" aca="1" ref="L857" ca="1">IFERROR(INDEX(_xlfn.ANCHORARRAY($C$3),T_CALC[[#This Row],[DAY]]+1,1),NA())</f>
        <v>43955</v>
      </c>
      <c r="M857" cm="1" vm="1602">
        <f t="array" aca="1" ref="M857" ca="1">IFERROR(INDEX(_xlfn.ANCHORARRAY($C$3),T_CALC[[#This Row],[DAY]]+1,3),NA())</f>
        <v>1.4157</v>
      </c>
      <c r="N857" cm="1" vm="1584">
        <f t="array" aca="1" ref="N857" ca="1">IFERROR(INDEX(_xlfn.ANCHORARRAY($C$3),T_CALC[[#This Row],[DAY]]+1,4),NA())</f>
        <v>1.4204000000000001</v>
      </c>
      <c r="O857" cm="1" vm="3409">
        <f t="array" aca="1" ref="O857" ca="1">IFERROR(INDEX(_xlfn.ANCHORARRAY($C$3),T_CALC[[#This Row],[DAY]]+1,5),NA())</f>
        <v>1.4151</v>
      </c>
      <c r="P857" cm="1" vm="1659">
        <f t="array" aca="1" ref="P857" ca="1">IFERROR(INDEX(_xlfn.ANCHORARRAY($C$3),T_CALC[[#This Row],[DAY]]+1,6),NA())</f>
        <v>1.4165000000000001</v>
      </c>
      <c r="Q857" cm="1">
        <f t="array" aca="1" ref="Q857" ca="1">IFERROR(INDEX(_xlfn.ANCHORARRAY($C$3),T_CALC[[#This Row],[DAY]]+1,2),NA())</f>
        <v>0</v>
      </c>
    </row>
    <row r="858" spans="3:17">
      <c r="C858" vm="3411">
        <f ca="1"/>
        <v>43956</v>
      </c>
      <c r="D858">
        <f ca="1"/>
        <v>0</v>
      </c>
      <c r="E858" vm="1659">
        <f ca="1"/>
        <v>1.4165000000000001</v>
      </c>
      <c r="F858" vm="1599">
        <f ca="1"/>
        <v>1.4176</v>
      </c>
      <c r="G858" vm="3412">
        <f ca="1"/>
        <v>1.4125000000000001</v>
      </c>
      <c r="H858" vm="3413">
        <f ca="1"/>
        <v>1.4155</v>
      </c>
      <c r="K858">
        <f ca="1">IF(ROW(T_CALC[[#This Row],[DAY]])-ROW(T_CALC[[#Headers],[DAY]])&gt;C_N_TRADING_DAYS,"",ROW(T_CALC[[#This Row],[DAY]])-ROW(T_CALC[[#Headers],[DAY]]))</f>
        <v>855</v>
      </c>
      <c r="L858" cm="1" vm="3411">
        <f t="array" aca="1" ref="L858" ca="1">IFERROR(INDEX(_xlfn.ANCHORARRAY($C$3),T_CALC[[#This Row],[DAY]]+1,1),NA())</f>
        <v>43956</v>
      </c>
      <c r="M858" cm="1" vm="1659">
        <f t="array" aca="1" ref="M858" ca="1">IFERROR(INDEX(_xlfn.ANCHORARRAY($C$3),T_CALC[[#This Row],[DAY]]+1,3),NA())</f>
        <v>1.4165000000000001</v>
      </c>
      <c r="N858" cm="1" vm="1599">
        <f t="array" aca="1" ref="N858" ca="1">IFERROR(INDEX(_xlfn.ANCHORARRAY($C$3),T_CALC[[#This Row],[DAY]]+1,4),NA())</f>
        <v>1.4176</v>
      </c>
      <c r="O858" cm="1" vm="3412">
        <f t="array" aca="1" ref="O858" ca="1">IFERROR(INDEX(_xlfn.ANCHORARRAY($C$3),T_CALC[[#This Row],[DAY]]+1,5),NA())</f>
        <v>1.4125000000000001</v>
      </c>
      <c r="P858" cm="1" vm="3413">
        <f t="array" aca="1" ref="P858" ca="1">IFERROR(INDEX(_xlfn.ANCHORARRAY($C$3),T_CALC[[#This Row],[DAY]]+1,6),NA())</f>
        <v>1.4155</v>
      </c>
      <c r="Q858" cm="1">
        <f t="array" aca="1" ref="Q858" ca="1">IFERROR(INDEX(_xlfn.ANCHORARRAY($C$3),T_CALC[[#This Row],[DAY]]+1,2),NA())</f>
        <v>0</v>
      </c>
    </row>
    <row r="859" spans="3:17">
      <c r="C859" vm="3414">
        <f ca="1"/>
        <v>43957</v>
      </c>
      <c r="D859">
        <f ca="1"/>
        <v>0</v>
      </c>
      <c r="E859" vm="3413">
        <f ca="1"/>
        <v>1.4155</v>
      </c>
      <c r="F859" vm="1526">
        <f ca="1"/>
        <v>1.4216</v>
      </c>
      <c r="G859" vm="1596">
        <f ca="1"/>
        <v>1.415</v>
      </c>
      <c r="H859" vm="1548">
        <f ca="1"/>
        <v>1.4206000000000001</v>
      </c>
      <c r="K859">
        <f ca="1">IF(ROW(T_CALC[[#This Row],[DAY]])-ROW(T_CALC[[#Headers],[DAY]])&gt;C_N_TRADING_DAYS,"",ROW(T_CALC[[#This Row],[DAY]])-ROW(T_CALC[[#Headers],[DAY]]))</f>
        <v>856</v>
      </c>
      <c r="L859" cm="1" vm="3414">
        <f t="array" aca="1" ref="L859" ca="1">IFERROR(INDEX(_xlfn.ANCHORARRAY($C$3),T_CALC[[#This Row],[DAY]]+1,1),NA())</f>
        <v>43957</v>
      </c>
      <c r="M859" cm="1" vm="3413">
        <f t="array" aca="1" ref="M859" ca="1">IFERROR(INDEX(_xlfn.ANCHORARRAY($C$3),T_CALC[[#This Row],[DAY]]+1,3),NA())</f>
        <v>1.4155</v>
      </c>
      <c r="N859" cm="1" vm="1526">
        <f t="array" aca="1" ref="N859" ca="1">IFERROR(INDEX(_xlfn.ANCHORARRAY($C$3),T_CALC[[#This Row],[DAY]]+1,4),NA())</f>
        <v>1.4216</v>
      </c>
      <c r="O859" cm="1" vm="1596">
        <f t="array" aca="1" ref="O859" ca="1">IFERROR(INDEX(_xlfn.ANCHORARRAY($C$3),T_CALC[[#This Row],[DAY]]+1,5),NA())</f>
        <v>1.415</v>
      </c>
      <c r="P859" cm="1" vm="1548">
        <f t="array" aca="1" ref="P859" ca="1">IFERROR(INDEX(_xlfn.ANCHORARRAY($C$3),T_CALC[[#This Row],[DAY]]+1,6),NA())</f>
        <v>1.4206000000000001</v>
      </c>
      <c r="Q859" cm="1">
        <f t="array" aca="1" ref="Q859" ca="1">IFERROR(INDEX(_xlfn.ANCHORARRAY($C$3),T_CALC[[#This Row],[DAY]]+1,2),NA())</f>
        <v>0</v>
      </c>
    </row>
    <row r="860" spans="3:17">
      <c r="C860" vm="3415">
        <f ca="1"/>
        <v>43958</v>
      </c>
      <c r="D860">
        <f ca="1"/>
        <v>0</v>
      </c>
      <c r="E860" vm="1586">
        <f ca="1"/>
        <v>1.4202999999999999</v>
      </c>
      <c r="F860" vm="1587">
        <f ca="1"/>
        <v>1.4229000000000001</v>
      </c>
      <c r="G860" vm="3416">
        <f ca="1"/>
        <v>1.413</v>
      </c>
      <c r="H860" vm="3417">
        <f ca="1"/>
        <v>1.4137999999999999</v>
      </c>
      <c r="K860">
        <f ca="1">IF(ROW(T_CALC[[#This Row],[DAY]])-ROW(T_CALC[[#Headers],[DAY]])&gt;C_N_TRADING_DAYS,"",ROW(T_CALC[[#This Row],[DAY]])-ROW(T_CALC[[#Headers],[DAY]]))</f>
        <v>857</v>
      </c>
      <c r="L860" cm="1" vm="3415">
        <f t="array" aca="1" ref="L860" ca="1">IFERROR(INDEX(_xlfn.ANCHORARRAY($C$3),T_CALC[[#This Row],[DAY]]+1,1),NA())</f>
        <v>43958</v>
      </c>
      <c r="M860" cm="1" vm="1586">
        <f t="array" aca="1" ref="M860" ca="1">IFERROR(INDEX(_xlfn.ANCHORARRAY($C$3),T_CALC[[#This Row],[DAY]]+1,3),NA())</f>
        <v>1.4202999999999999</v>
      </c>
      <c r="N860" cm="1" vm="1587">
        <f t="array" aca="1" ref="N860" ca="1">IFERROR(INDEX(_xlfn.ANCHORARRAY($C$3),T_CALC[[#This Row],[DAY]]+1,4),NA())</f>
        <v>1.4229000000000001</v>
      </c>
      <c r="O860" cm="1" vm="3416">
        <f t="array" aca="1" ref="O860" ca="1">IFERROR(INDEX(_xlfn.ANCHORARRAY($C$3),T_CALC[[#This Row],[DAY]]+1,5),NA())</f>
        <v>1.413</v>
      </c>
      <c r="P860" cm="1" vm="3417">
        <f t="array" aca="1" ref="P860" ca="1">IFERROR(INDEX(_xlfn.ANCHORARRAY($C$3),T_CALC[[#This Row],[DAY]]+1,6),NA())</f>
        <v>1.4137999999999999</v>
      </c>
      <c r="Q860" cm="1">
        <f t="array" aca="1" ref="Q860" ca="1">IFERROR(INDEX(_xlfn.ANCHORARRAY($C$3),T_CALC[[#This Row],[DAY]]+1,2),NA())</f>
        <v>0</v>
      </c>
    </row>
    <row r="861" spans="3:17">
      <c r="C861" vm="3418">
        <f ca="1"/>
        <v>43959</v>
      </c>
      <c r="D861">
        <f ca="1"/>
        <v>0</v>
      </c>
      <c r="E861" vm="3292">
        <f ca="1"/>
        <v>1.4147000000000001</v>
      </c>
      <c r="F861" vm="3292">
        <f ca="1"/>
        <v>1.4147000000000001</v>
      </c>
      <c r="G861" vm="1662">
        <f ca="1"/>
        <v>1.4104000000000001</v>
      </c>
      <c r="H861" vm="3412">
        <f ca="1"/>
        <v>1.4125000000000001</v>
      </c>
      <c r="K861">
        <f ca="1">IF(ROW(T_CALC[[#This Row],[DAY]])-ROW(T_CALC[[#Headers],[DAY]])&gt;C_N_TRADING_DAYS,"",ROW(T_CALC[[#This Row],[DAY]])-ROW(T_CALC[[#Headers],[DAY]]))</f>
        <v>858</v>
      </c>
      <c r="L861" cm="1" vm="3418">
        <f t="array" aca="1" ref="L861" ca="1">IFERROR(INDEX(_xlfn.ANCHORARRAY($C$3),T_CALC[[#This Row],[DAY]]+1,1),NA())</f>
        <v>43959</v>
      </c>
      <c r="M861" cm="1" vm="3292">
        <f t="array" aca="1" ref="M861" ca="1">IFERROR(INDEX(_xlfn.ANCHORARRAY($C$3),T_CALC[[#This Row],[DAY]]+1,3),NA())</f>
        <v>1.4147000000000001</v>
      </c>
      <c r="N861" cm="1" vm="3292">
        <f t="array" aca="1" ref="N861" ca="1">IFERROR(INDEX(_xlfn.ANCHORARRAY($C$3),T_CALC[[#This Row],[DAY]]+1,4),NA())</f>
        <v>1.4147000000000001</v>
      </c>
      <c r="O861" cm="1" vm="1662">
        <f t="array" aca="1" ref="O861" ca="1">IFERROR(INDEX(_xlfn.ANCHORARRAY($C$3),T_CALC[[#This Row],[DAY]]+1,5),NA())</f>
        <v>1.4104000000000001</v>
      </c>
      <c r="P861" cm="1" vm="3412">
        <f t="array" aca="1" ref="P861" ca="1">IFERROR(INDEX(_xlfn.ANCHORARRAY($C$3),T_CALC[[#This Row],[DAY]]+1,6),NA())</f>
        <v>1.4125000000000001</v>
      </c>
      <c r="Q861" cm="1">
        <f t="array" aca="1" ref="Q861" ca="1">IFERROR(INDEX(_xlfn.ANCHORARRAY($C$3),T_CALC[[#This Row],[DAY]]+1,2),NA())</f>
        <v>0</v>
      </c>
    </row>
    <row r="862" spans="3:17">
      <c r="C862" vm="3419">
        <f ca="1"/>
        <v>43962</v>
      </c>
      <c r="D862">
        <f ca="1"/>
        <v>0</v>
      </c>
      <c r="E862" vm="3406">
        <f ca="1"/>
        <v>1.4131</v>
      </c>
      <c r="F862" vm="1654">
        <f ca="1"/>
        <v>1.4184000000000001</v>
      </c>
      <c r="G862" vm="3420">
        <f ca="1"/>
        <v>1.4112</v>
      </c>
      <c r="H862" vm="1555">
        <f ca="1"/>
        <v>1.4168000000000001</v>
      </c>
      <c r="K862">
        <f ca="1">IF(ROW(T_CALC[[#This Row],[DAY]])-ROW(T_CALC[[#Headers],[DAY]])&gt;C_N_TRADING_DAYS,"",ROW(T_CALC[[#This Row],[DAY]])-ROW(T_CALC[[#Headers],[DAY]]))</f>
        <v>859</v>
      </c>
      <c r="L862" cm="1" vm="3419">
        <f t="array" aca="1" ref="L862" ca="1">IFERROR(INDEX(_xlfn.ANCHORARRAY($C$3),T_CALC[[#This Row],[DAY]]+1,1),NA())</f>
        <v>43962</v>
      </c>
      <c r="M862" cm="1" vm="3406">
        <f t="array" aca="1" ref="M862" ca="1">IFERROR(INDEX(_xlfn.ANCHORARRAY($C$3),T_CALC[[#This Row],[DAY]]+1,3),NA())</f>
        <v>1.4131</v>
      </c>
      <c r="N862" cm="1" vm="1654">
        <f t="array" aca="1" ref="N862" ca="1">IFERROR(INDEX(_xlfn.ANCHORARRAY($C$3),T_CALC[[#This Row],[DAY]]+1,4),NA())</f>
        <v>1.4184000000000001</v>
      </c>
      <c r="O862" cm="1" vm="3420">
        <f t="array" aca="1" ref="O862" ca="1">IFERROR(INDEX(_xlfn.ANCHORARRAY($C$3),T_CALC[[#This Row],[DAY]]+1,5),NA())</f>
        <v>1.4112</v>
      </c>
      <c r="P862" cm="1" vm="1555">
        <f t="array" aca="1" ref="P862" ca="1">IFERROR(INDEX(_xlfn.ANCHORARRAY($C$3),T_CALC[[#This Row],[DAY]]+1,6),NA())</f>
        <v>1.4168000000000001</v>
      </c>
      <c r="Q862" cm="1">
        <f t="array" aca="1" ref="Q862" ca="1">IFERROR(INDEX(_xlfn.ANCHORARRAY($C$3),T_CALC[[#This Row],[DAY]]+1,2),NA())</f>
        <v>0</v>
      </c>
    </row>
    <row r="863" spans="3:17">
      <c r="C863" vm="3421">
        <f ca="1"/>
        <v>43963</v>
      </c>
      <c r="D863">
        <f ca="1"/>
        <v>0</v>
      </c>
      <c r="E863" vm="3422">
        <f ca="1"/>
        <v>1.4166000000000001</v>
      </c>
      <c r="F863" vm="1584">
        <f ca="1"/>
        <v>1.4204000000000001</v>
      </c>
      <c r="G863" vm="1667">
        <f ca="1"/>
        <v>1.4137</v>
      </c>
      <c r="H863" vm="1523">
        <f ca="1"/>
        <v>1.4175</v>
      </c>
      <c r="K863">
        <f ca="1">IF(ROW(T_CALC[[#This Row],[DAY]])-ROW(T_CALC[[#Headers],[DAY]])&gt;C_N_TRADING_DAYS,"",ROW(T_CALC[[#This Row],[DAY]])-ROW(T_CALC[[#Headers],[DAY]]))</f>
        <v>860</v>
      </c>
      <c r="L863" cm="1" vm="3421">
        <f t="array" aca="1" ref="L863" ca="1">IFERROR(INDEX(_xlfn.ANCHORARRAY($C$3),T_CALC[[#This Row],[DAY]]+1,1),NA())</f>
        <v>43963</v>
      </c>
      <c r="M863" cm="1" vm="3422">
        <f t="array" aca="1" ref="M863" ca="1">IFERROR(INDEX(_xlfn.ANCHORARRAY($C$3),T_CALC[[#This Row],[DAY]]+1,3),NA())</f>
        <v>1.4166000000000001</v>
      </c>
      <c r="N863" cm="1" vm="1584">
        <f t="array" aca="1" ref="N863" ca="1">IFERROR(INDEX(_xlfn.ANCHORARRAY($C$3),T_CALC[[#This Row],[DAY]]+1,4),NA())</f>
        <v>1.4204000000000001</v>
      </c>
      <c r="O863" cm="1" vm="1667">
        <f t="array" aca="1" ref="O863" ca="1">IFERROR(INDEX(_xlfn.ANCHORARRAY($C$3),T_CALC[[#This Row],[DAY]]+1,5),NA())</f>
        <v>1.4137</v>
      </c>
      <c r="P863" cm="1" vm="1523">
        <f t="array" aca="1" ref="P863" ca="1">IFERROR(INDEX(_xlfn.ANCHORARRAY($C$3),T_CALC[[#This Row],[DAY]]+1,6),NA())</f>
        <v>1.4175</v>
      </c>
      <c r="Q863" cm="1">
        <f t="array" aca="1" ref="Q863" ca="1">IFERROR(INDEX(_xlfn.ANCHORARRAY($C$3),T_CALC[[#This Row],[DAY]]+1,2),NA())</f>
        <v>0</v>
      </c>
    </row>
    <row r="864" spans="3:17">
      <c r="C864" vm="3423">
        <f ca="1"/>
        <v>43964</v>
      </c>
      <c r="D864">
        <f ca="1"/>
        <v>0</v>
      </c>
      <c r="E864" vm="1599">
        <f ca="1"/>
        <v>1.4176</v>
      </c>
      <c r="F864" vm="1583">
        <f ca="1"/>
        <v>1.4205000000000001</v>
      </c>
      <c r="G864" vm="1560">
        <f ca="1"/>
        <v>1.4133</v>
      </c>
      <c r="H864" vm="1574">
        <f ca="1"/>
        <v>1.4198</v>
      </c>
      <c r="K864">
        <f ca="1">IF(ROW(T_CALC[[#This Row],[DAY]])-ROW(T_CALC[[#Headers],[DAY]])&gt;C_N_TRADING_DAYS,"",ROW(T_CALC[[#This Row],[DAY]])-ROW(T_CALC[[#Headers],[DAY]]))</f>
        <v>861</v>
      </c>
      <c r="L864" cm="1" vm="3423">
        <f t="array" aca="1" ref="L864" ca="1">IFERROR(INDEX(_xlfn.ANCHORARRAY($C$3),T_CALC[[#This Row],[DAY]]+1,1),NA())</f>
        <v>43964</v>
      </c>
      <c r="M864" cm="1" vm="1599">
        <f t="array" aca="1" ref="M864" ca="1">IFERROR(INDEX(_xlfn.ANCHORARRAY($C$3),T_CALC[[#This Row],[DAY]]+1,3),NA())</f>
        <v>1.4176</v>
      </c>
      <c r="N864" cm="1" vm="1583">
        <f t="array" aca="1" ref="N864" ca="1">IFERROR(INDEX(_xlfn.ANCHORARRAY($C$3),T_CALC[[#This Row],[DAY]]+1,4),NA())</f>
        <v>1.4205000000000001</v>
      </c>
      <c r="O864" cm="1" vm="1560">
        <f t="array" aca="1" ref="O864" ca="1">IFERROR(INDEX(_xlfn.ANCHORARRAY($C$3),T_CALC[[#This Row],[DAY]]+1,5),NA())</f>
        <v>1.4133</v>
      </c>
      <c r="P864" cm="1" vm="1574">
        <f t="array" aca="1" ref="P864" ca="1">IFERROR(INDEX(_xlfn.ANCHORARRAY($C$3),T_CALC[[#This Row],[DAY]]+1,6),NA())</f>
        <v>1.4198</v>
      </c>
      <c r="Q864" cm="1">
        <f t="array" aca="1" ref="Q864" ca="1">IFERROR(INDEX(_xlfn.ANCHORARRAY($C$3),T_CALC[[#This Row],[DAY]]+1,2),NA())</f>
        <v>0</v>
      </c>
    </row>
    <row r="865" spans="3:17">
      <c r="C865" vm="3424">
        <f ca="1"/>
        <v>43965</v>
      </c>
      <c r="D865">
        <f ca="1"/>
        <v>0</v>
      </c>
      <c r="E865" vm="1574">
        <f ca="1"/>
        <v>1.4198</v>
      </c>
      <c r="F865" vm="1538">
        <f ca="1"/>
        <v>1.4263999999999999</v>
      </c>
      <c r="G865" vm="1599">
        <f ca="1"/>
        <v>1.4176</v>
      </c>
      <c r="H865" vm="3425">
        <f ca="1"/>
        <v>1.4232</v>
      </c>
      <c r="K865">
        <f ca="1">IF(ROW(T_CALC[[#This Row],[DAY]])-ROW(T_CALC[[#Headers],[DAY]])&gt;C_N_TRADING_DAYS,"",ROW(T_CALC[[#This Row],[DAY]])-ROW(T_CALC[[#Headers],[DAY]]))</f>
        <v>862</v>
      </c>
      <c r="L865" cm="1" vm="3424">
        <f t="array" aca="1" ref="L865" ca="1">IFERROR(INDEX(_xlfn.ANCHORARRAY($C$3),T_CALC[[#This Row],[DAY]]+1,1),NA())</f>
        <v>43965</v>
      </c>
      <c r="M865" cm="1" vm="1574">
        <f t="array" aca="1" ref="M865" ca="1">IFERROR(INDEX(_xlfn.ANCHORARRAY($C$3),T_CALC[[#This Row],[DAY]]+1,3),NA())</f>
        <v>1.4198</v>
      </c>
      <c r="N865" cm="1" vm="1538">
        <f t="array" aca="1" ref="N865" ca="1">IFERROR(INDEX(_xlfn.ANCHORARRAY($C$3),T_CALC[[#This Row],[DAY]]+1,4),NA())</f>
        <v>1.4263999999999999</v>
      </c>
      <c r="O865" cm="1" vm="1599">
        <f t="array" aca="1" ref="O865" ca="1">IFERROR(INDEX(_xlfn.ANCHORARRAY($C$3),T_CALC[[#This Row],[DAY]]+1,5),NA())</f>
        <v>1.4176</v>
      </c>
      <c r="P865" cm="1" vm="3425">
        <f t="array" aca="1" ref="P865" ca="1">IFERROR(INDEX(_xlfn.ANCHORARRAY($C$3),T_CALC[[#This Row],[DAY]]+1,6),NA())</f>
        <v>1.4232</v>
      </c>
      <c r="Q865" cm="1">
        <f t="array" aca="1" ref="Q865" ca="1">IFERROR(INDEX(_xlfn.ANCHORARRAY($C$3),T_CALC[[#This Row],[DAY]]+1,2),NA())</f>
        <v>0</v>
      </c>
    </row>
    <row r="866" spans="3:17">
      <c r="C866" vm="3426">
        <f ca="1"/>
        <v>43966</v>
      </c>
      <c r="D866">
        <f ca="1"/>
        <v>0</v>
      </c>
      <c r="E866" vm="3295">
        <f ca="1"/>
        <v>1.423</v>
      </c>
      <c r="F866" vm="3377">
        <f ca="1"/>
        <v>1.4278999999999999</v>
      </c>
      <c r="G866" vm="3427">
        <f ca="1"/>
        <v>1.4217</v>
      </c>
      <c r="H866" vm="3387">
        <f ca="1"/>
        <v>1.4271</v>
      </c>
      <c r="K866">
        <f ca="1">IF(ROW(T_CALC[[#This Row],[DAY]])-ROW(T_CALC[[#Headers],[DAY]])&gt;C_N_TRADING_DAYS,"",ROW(T_CALC[[#This Row],[DAY]])-ROW(T_CALC[[#Headers],[DAY]]))</f>
        <v>863</v>
      </c>
      <c r="L866" cm="1" vm="3426">
        <f t="array" aca="1" ref="L866" ca="1">IFERROR(INDEX(_xlfn.ANCHORARRAY($C$3),T_CALC[[#This Row],[DAY]]+1,1),NA())</f>
        <v>43966</v>
      </c>
      <c r="M866" cm="1" vm="3295">
        <f t="array" aca="1" ref="M866" ca="1">IFERROR(INDEX(_xlfn.ANCHORARRAY($C$3),T_CALC[[#This Row],[DAY]]+1,3),NA())</f>
        <v>1.423</v>
      </c>
      <c r="N866" cm="1" vm="3377">
        <f t="array" aca="1" ref="N866" ca="1">IFERROR(INDEX(_xlfn.ANCHORARRAY($C$3),T_CALC[[#This Row],[DAY]]+1,4),NA())</f>
        <v>1.4278999999999999</v>
      </c>
      <c r="O866" cm="1" vm="3427">
        <f t="array" aca="1" ref="O866" ca="1">IFERROR(INDEX(_xlfn.ANCHORARRAY($C$3),T_CALC[[#This Row],[DAY]]+1,5),NA())</f>
        <v>1.4217</v>
      </c>
      <c r="P866" cm="1" vm="3387">
        <f t="array" aca="1" ref="P866" ca="1">IFERROR(INDEX(_xlfn.ANCHORARRAY($C$3),T_CALC[[#This Row],[DAY]]+1,6),NA())</f>
        <v>1.4271</v>
      </c>
      <c r="Q866" cm="1">
        <f t="array" aca="1" ref="Q866" ca="1">IFERROR(INDEX(_xlfn.ANCHORARRAY($C$3),T_CALC[[#This Row],[DAY]]+1,2),NA())</f>
        <v>0</v>
      </c>
    </row>
    <row r="867" spans="3:17">
      <c r="C867" vm="3428">
        <f ca="1"/>
        <v>43969</v>
      </c>
      <c r="D867">
        <f ca="1"/>
        <v>0</v>
      </c>
      <c r="E867" vm="1538">
        <f ca="1"/>
        <v>1.4263999999999999</v>
      </c>
      <c r="F867" vm="3339">
        <f ca="1"/>
        <v>1.4277</v>
      </c>
      <c r="G867" vm="1523">
        <f ca="1"/>
        <v>1.4175</v>
      </c>
      <c r="H867" vm="1656">
        <f ca="1"/>
        <v>1.4179999999999999</v>
      </c>
      <c r="K867">
        <f ca="1">IF(ROW(T_CALC[[#This Row],[DAY]])-ROW(T_CALC[[#Headers],[DAY]])&gt;C_N_TRADING_DAYS,"",ROW(T_CALC[[#This Row],[DAY]])-ROW(T_CALC[[#Headers],[DAY]]))</f>
        <v>864</v>
      </c>
      <c r="L867" cm="1" vm="3428">
        <f t="array" aca="1" ref="L867" ca="1">IFERROR(INDEX(_xlfn.ANCHORARRAY($C$3),T_CALC[[#This Row],[DAY]]+1,1),NA())</f>
        <v>43969</v>
      </c>
      <c r="M867" cm="1" vm="1538">
        <f t="array" aca="1" ref="M867" ca="1">IFERROR(INDEX(_xlfn.ANCHORARRAY($C$3),T_CALC[[#This Row],[DAY]]+1,3),NA())</f>
        <v>1.4263999999999999</v>
      </c>
      <c r="N867" cm="1" vm="3339">
        <f t="array" aca="1" ref="N867" ca="1">IFERROR(INDEX(_xlfn.ANCHORARRAY($C$3),T_CALC[[#This Row],[DAY]]+1,4),NA())</f>
        <v>1.4277</v>
      </c>
      <c r="O867" cm="1" vm="1523">
        <f t="array" aca="1" ref="O867" ca="1">IFERROR(INDEX(_xlfn.ANCHORARRAY($C$3),T_CALC[[#This Row],[DAY]]+1,5),NA())</f>
        <v>1.4175</v>
      </c>
      <c r="P867" cm="1" vm="1656">
        <f t="array" aca="1" ref="P867" ca="1">IFERROR(INDEX(_xlfn.ANCHORARRAY($C$3),T_CALC[[#This Row],[DAY]]+1,6),NA())</f>
        <v>1.4179999999999999</v>
      </c>
      <c r="Q867" cm="1">
        <f t="array" aca="1" ref="Q867" ca="1">IFERROR(INDEX(_xlfn.ANCHORARRAY($C$3),T_CALC[[#This Row],[DAY]]+1,2),NA())</f>
        <v>0</v>
      </c>
    </row>
    <row r="868" spans="3:17">
      <c r="C868" vm="3429">
        <f ca="1"/>
        <v>43970</v>
      </c>
      <c r="D868">
        <f ca="1"/>
        <v>0</v>
      </c>
      <c r="E868" vm="3430">
        <f ca="1"/>
        <v>1.4178999999999999</v>
      </c>
      <c r="F868" vm="1574">
        <f ca="1"/>
        <v>1.4198</v>
      </c>
      <c r="G868" vm="1667">
        <f ca="1"/>
        <v>1.4137</v>
      </c>
      <c r="H868" vm="1668">
        <f ca="1"/>
        <v>1.4159999999999999</v>
      </c>
      <c r="K868">
        <f ca="1">IF(ROW(T_CALC[[#This Row],[DAY]])-ROW(T_CALC[[#Headers],[DAY]])&gt;C_N_TRADING_DAYS,"",ROW(T_CALC[[#This Row],[DAY]])-ROW(T_CALC[[#Headers],[DAY]]))</f>
        <v>865</v>
      </c>
      <c r="L868" cm="1" vm="3429">
        <f t="array" aca="1" ref="L868" ca="1">IFERROR(INDEX(_xlfn.ANCHORARRAY($C$3),T_CALC[[#This Row],[DAY]]+1,1),NA())</f>
        <v>43970</v>
      </c>
      <c r="M868" cm="1" vm="3430">
        <f t="array" aca="1" ref="M868" ca="1">IFERROR(INDEX(_xlfn.ANCHORARRAY($C$3),T_CALC[[#This Row],[DAY]]+1,3),NA())</f>
        <v>1.4178999999999999</v>
      </c>
      <c r="N868" cm="1" vm="1574">
        <f t="array" aca="1" ref="N868" ca="1">IFERROR(INDEX(_xlfn.ANCHORARRAY($C$3),T_CALC[[#This Row],[DAY]]+1,4),NA())</f>
        <v>1.4198</v>
      </c>
      <c r="O868" cm="1" vm="1667">
        <f t="array" aca="1" ref="O868" ca="1">IFERROR(INDEX(_xlfn.ANCHORARRAY($C$3),T_CALC[[#This Row],[DAY]]+1,5),NA())</f>
        <v>1.4137</v>
      </c>
      <c r="P868" cm="1" vm="1668">
        <f t="array" aca="1" ref="P868" ca="1">IFERROR(INDEX(_xlfn.ANCHORARRAY($C$3),T_CALC[[#This Row],[DAY]]+1,6),NA())</f>
        <v>1.4159999999999999</v>
      </c>
      <c r="Q868" cm="1">
        <f t="array" aca="1" ref="Q868" ca="1">IFERROR(INDEX(_xlfn.ANCHORARRAY($C$3),T_CALC[[#This Row],[DAY]]+1,2),NA())</f>
        <v>0</v>
      </c>
    </row>
    <row r="869" spans="3:17">
      <c r="C869" vm="3431">
        <f ca="1"/>
        <v>43971</v>
      </c>
      <c r="D869">
        <f ca="1"/>
        <v>0</v>
      </c>
      <c r="E869" vm="1580">
        <f ca="1"/>
        <v>1.4162999999999999</v>
      </c>
      <c r="F869" vm="3432">
        <f ca="1"/>
        <v>1.4180999999999999</v>
      </c>
      <c r="G869" vm="1532">
        <f ca="1"/>
        <v>1.4117</v>
      </c>
      <c r="H869" vm="3412">
        <f ca="1"/>
        <v>1.4125000000000001</v>
      </c>
      <c r="K869">
        <f ca="1">IF(ROW(T_CALC[[#This Row],[DAY]])-ROW(T_CALC[[#Headers],[DAY]])&gt;C_N_TRADING_DAYS,"",ROW(T_CALC[[#This Row],[DAY]])-ROW(T_CALC[[#Headers],[DAY]]))</f>
        <v>866</v>
      </c>
      <c r="L869" cm="1" vm="3431">
        <f t="array" aca="1" ref="L869" ca="1">IFERROR(INDEX(_xlfn.ANCHORARRAY($C$3),T_CALC[[#This Row],[DAY]]+1,1),NA())</f>
        <v>43971</v>
      </c>
      <c r="M869" cm="1" vm="1580">
        <f t="array" aca="1" ref="M869" ca="1">IFERROR(INDEX(_xlfn.ANCHORARRAY($C$3),T_CALC[[#This Row],[DAY]]+1,3),NA())</f>
        <v>1.4162999999999999</v>
      </c>
      <c r="N869" cm="1" vm="3432">
        <f t="array" aca="1" ref="N869" ca="1">IFERROR(INDEX(_xlfn.ANCHORARRAY($C$3),T_CALC[[#This Row],[DAY]]+1,4),NA())</f>
        <v>1.4180999999999999</v>
      </c>
      <c r="O869" cm="1" vm="1532">
        <f t="array" aca="1" ref="O869" ca="1">IFERROR(INDEX(_xlfn.ANCHORARRAY($C$3),T_CALC[[#This Row],[DAY]]+1,5),NA())</f>
        <v>1.4117</v>
      </c>
      <c r="P869" cm="1" vm="3412">
        <f t="array" aca="1" ref="P869" ca="1">IFERROR(INDEX(_xlfn.ANCHORARRAY($C$3),T_CALC[[#This Row],[DAY]]+1,6),NA())</f>
        <v>1.4125000000000001</v>
      </c>
      <c r="Q869" cm="1">
        <f t="array" aca="1" ref="Q869" ca="1">IFERROR(INDEX(_xlfn.ANCHORARRAY($C$3),T_CALC[[#This Row],[DAY]]+1,2),NA())</f>
        <v>0</v>
      </c>
    </row>
    <row r="870" spans="3:17">
      <c r="C870" vm="3433">
        <f ca="1"/>
        <v>43972</v>
      </c>
      <c r="D870">
        <f ca="1"/>
        <v>0</v>
      </c>
      <c r="E870" vm="1559">
        <f ca="1"/>
        <v>1.4126000000000001</v>
      </c>
      <c r="F870" vm="3432">
        <f ca="1"/>
        <v>1.4180999999999999</v>
      </c>
      <c r="G870" vm="1645">
        <f ca="1"/>
        <v>1.4121999999999999</v>
      </c>
      <c r="H870" vm="1525">
        <f ca="1"/>
        <v>1.4172</v>
      </c>
      <c r="K870">
        <f ca="1">IF(ROW(T_CALC[[#This Row],[DAY]])-ROW(T_CALC[[#Headers],[DAY]])&gt;C_N_TRADING_DAYS,"",ROW(T_CALC[[#This Row],[DAY]])-ROW(T_CALC[[#Headers],[DAY]]))</f>
        <v>867</v>
      </c>
      <c r="L870" cm="1" vm="3433">
        <f t="array" aca="1" ref="L870" ca="1">IFERROR(INDEX(_xlfn.ANCHORARRAY($C$3),T_CALC[[#This Row],[DAY]]+1,1),NA())</f>
        <v>43972</v>
      </c>
      <c r="M870" cm="1" vm="1559">
        <f t="array" aca="1" ref="M870" ca="1">IFERROR(INDEX(_xlfn.ANCHORARRAY($C$3),T_CALC[[#This Row],[DAY]]+1,3),NA())</f>
        <v>1.4126000000000001</v>
      </c>
      <c r="N870" cm="1" vm="3432">
        <f t="array" aca="1" ref="N870" ca="1">IFERROR(INDEX(_xlfn.ANCHORARRAY($C$3),T_CALC[[#This Row],[DAY]]+1,4),NA())</f>
        <v>1.4180999999999999</v>
      </c>
      <c r="O870" cm="1" vm="1645">
        <f t="array" aca="1" ref="O870" ca="1">IFERROR(INDEX(_xlfn.ANCHORARRAY($C$3),T_CALC[[#This Row],[DAY]]+1,5),NA())</f>
        <v>1.4121999999999999</v>
      </c>
      <c r="P870" cm="1" vm="1525">
        <f t="array" aca="1" ref="P870" ca="1">IFERROR(INDEX(_xlfn.ANCHORARRAY($C$3),T_CALC[[#This Row],[DAY]]+1,6),NA())</f>
        <v>1.4172</v>
      </c>
      <c r="Q870" cm="1">
        <f t="array" aca="1" ref="Q870" ca="1">IFERROR(INDEX(_xlfn.ANCHORARRAY($C$3),T_CALC[[#This Row],[DAY]]+1,2),NA())</f>
        <v>0</v>
      </c>
    </row>
    <row r="871" spans="3:17">
      <c r="C871" vm="3434">
        <f ca="1"/>
        <v>43973</v>
      </c>
      <c r="D871">
        <f ca="1"/>
        <v>0</v>
      </c>
      <c r="E871" vm="1588">
        <f ca="1"/>
        <v>1.4174</v>
      </c>
      <c r="F871" vm="3435">
        <f ca="1"/>
        <v>1.4258999999999999</v>
      </c>
      <c r="G871" vm="1603">
        <f ca="1"/>
        <v>1.4161999999999999</v>
      </c>
      <c r="H871" vm="3436">
        <f ca="1"/>
        <v>1.425</v>
      </c>
      <c r="K871">
        <f ca="1">IF(ROW(T_CALC[[#This Row],[DAY]])-ROW(T_CALC[[#Headers],[DAY]])&gt;C_N_TRADING_DAYS,"",ROW(T_CALC[[#This Row],[DAY]])-ROW(T_CALC[[#Headers],[DAY]]))</f>
        <v>868</v>
      </c>
      <c r="L871" cm="1" vm="3434">
        <f t="array" aca="1" ref="L871" ca="1">IFERROR(INDEX(_xlfn.ANCHORARRAY($C$3),T_CALC[[#This Row],[DAY]]+1,1),NA())</f>
        <v>43973</v>
      </c>
      <c r="M871" cm="1" vm="1588">
        <f t="array" aca="1" ref="M871" ca="1">IFERROR(INDEX(_xlfn.ANCHORARRAY($C$3),T_CALC[[#This Row],[DAY]]+1,3),NA())</f>
        <v>1.4174</v>
      </c>
      <c r="N871" cm="1" vm="3435">
        <f t="array" aca="1" ref="N871" ca="1">IFERROR(INDEX(_xlfn.ANCHORARRAY($C$3),T_CALC[[#This Row],[DAY]]+1,4),NA())</f>
        <v>1.4258999999999999</v>
      </c>
      <c r="O871" cm="1" vm="1603">
        <f t="array" aca="1" ref="O871" ca="1">IFERROR(INDEX(_xlfn.ANCHORARRAY($C$3),T_CALC[[#This Row],[DAY]]+1,5),NA())</f>
        <v>1.4161999999999999</v>
      </c>
      <c r="P871" cm="1" vm="3436">
        <f t="array" aca="1" ref="P871" ca="1">IFERROR(INDEX(_xlfn.ANCHORARRAY($C$3),T_CALC[[#This Row],[DAY]]+1,6),NA())</f>
        <v>1.425</v>
      </c>
      <c r="Q871" cm="1">
        <f t="array" aca="1" ref="Q871" ca="1">IFERROR(INDEX(_xlfn.ANCHORARRAY($C$3),T_CALC[[#This Row],[DAY]]+1,2),NA())</f>
        <v>0</v>
      </c>
    </row>
    <row r="872" spans="3:17">
      <c r="C872" vm="3437">
        <f ca="1"/>
        <v>43976</v>
      </c>
      <c r="D872">
        <f ca="1"/>
        <v>0</v>
      </c>
      <c r="E872" vm="1520">
        <f ca="1"/>
        <v>1.4247000000000001</v>
      </c>
      <c r="F872" vm="3334">
        <f ca="1"/>
        <v>1.4268000000000001</v>
      </c>
      <c r="G872" vm="3438">
        <f ca="1"/>
        <v>1.4233</v>
      </c>
      <c r="H872" vm="3394">
        <f ca="1"/>
        <v>1.4246000000000001</v>
      </c>
      <c r="K872">
        <f ca="1">IF(ROW(T_CALC[[#This Row],[DAY]])-ROW(T_CALC[[#Headers],[DAY]])&gt;C_N_TRADING_DAYS,"",ROW(T_CALC[[#This Row],[DAY]])-ROW(T_CALC[[#Headers],[DAY]]))</f>
        <v>869</v>
      </c>
      <c r="L872" cm="1" vm="3437">
        <f t="array" aca="1" ref="L872" ca="1">IFERROR(INDEX(_xlfn.ANCHORARRAY($C$3),T_CALC[[#This Row],[DAY]]+1,1),NA())</f>
        <v>43976</v>
      </c>
      <c r="M872" cm="1" vm="1520">
        <f t="array" aca="1" ref="M872" ca="1">IFERROR(INDEX(_xlfn.ANCHORARRAY($C$3),T_CALC[[#This Row],[DAY]]+1,3),NA())</f>
        <v>1.4247000000000001</v>
      </c>
      <c r="N872" cm="1" vm="3334">
        <f t="array" aca="1" ref="N872" ca="1">IFERROR(INDEX(_xlfn.ANCHORARRAY($C$3),T_CALC[[#This Row],[DAY]]+1,4),NA())</f>
        <v>1.4268000000000001</v>
      </c>
      <c r="O872" cm="1" vm="3438">
        <f t="array" aca="1" ref="O872" ca="1">IFERROR(INDEX(_xlfn.ANCHORARRAY($C$3),T_CALC[[#This Row],[DAY]]+1,5),NA())</f>
        <v>1.4233</v>
      </c>
      <c r="P872" cm="1" vm="3394">
        <f t="array" aca="1" ref="P872" ca="1">IFERROR(INDEX(_xlfn.ANCHORARRAY($C$3),T_CALC[[#This Row],[DAY]]+1,6),NA())</f>
        <v>1.4246000000000001</v>
      </c>
      <c r="Q872" cm="1">
        <f t="array" aca="1" ref="Q872" ca="1">IFERROR(INDEX(_xlfn.ANCHORARRAY($C$3),T_CALC[[#This Row],[DAY]]+1,2),NA())</f>
        <v>0</v>
      </c>
    </row>
    <row r="873" spans="3:17">
      <c r="C873" vm="3439">
        <f ca="1"/>
        <v>43977</v>
      </c>
      <c r="D873">
        <f ca="1"/>
        <v>0</v>
      </c>
      <c r="E873" vm="3388">
        <f ca="1"/>
        <v>1.4241999999999999</v>
      </c>
      <c r="F873" vm="3440">
        <f ca="1"/>
        <v>1.4251</v>
      </c>
      <c r="G873" vm="3292">
        <f ca="1"/>
        <v>1.4147000000000001</v>
      </c>
      <c r="H873" vm="1603">
        <f ca="1"/>
        <v>1.4161999999999999</v>
      </c>
      <c r="K873">
        <f ca="1">IF(ROW(T_CALC[[#This Row],[DAY]])-ROW(T_CALC[[#Headers],[DAY]])&gt;C_N_TRADING_DAYS,"",ROW(T_CALC[[#This Row],[DAY]])-ROW(T_CALC[[#Headers],[DAY]]))</f>
        <v>870</v>
      </c>
      <c r="L873" cm="1" vm="3439">
        <f t="array" aca="1" ref="L873" ca="1">IFERROR(INDEX(_xlfn.ANCHORARRAY($C$3),T_CALC[[#This Row],[DAY]]+1,1),NA())</f>
        <v>43977</v>
      </c>
      <c r="M873" cm="1" vm="3388">
        <f t="array" aca="1" ref="M873" ca="1">IFERROR(INDEX(_xlfn.ANCHORARRAY($C$3),T_CALC[[#This Row],[DAY]]+1,3),NA())</f>
        <v>1.4241999999999999</v>
      </c>
      <c r="N873" cm="1" vm="3440">
        <f t="array" aca="1" ref="N873" ca="1">IFERROR(INDEX(_xlfn.ANCHORARRAY($C$3),T_CALC[[#This Row],[DAY]]+1,4),NA())</f>
        <v>1.4251</v>
      </c>
      <c r="O873" cm="1" vm="3292">
        <f t="array" aca="1" ref="O873" ca="1">IFERROR(INDEX(_xlfn.ANCHORARRAY($C$3),T_CALC[[#This Row],[DAY]]+1,5),NA())</f>
        <v>1.4147000000000001</v>
      </c>
      <c r="P873" cm="1" vm="1603">
        <f t="array" aca="1" ref="P873" ca="1">IFERROR(INDEX(_xlfn.ANCHORARRAY($C$3),T_CALC[[#This Row],[DAY]]+1,6),NA())</f>
        <v>1.4161999999999999</v>
      </c>
      <c r="Q873" cm="1">
        <f t="array" aca="1" ref="Q873" ca="1">IFERROR(INDEX(_xlfn.ANCHORARRAY($C$3),T_CALC[[#This Row],[DAY]]+1,2),NA())</f>
        <v>0</v>
      </c>
    </row>
    <row r="874" spans="3:17">
      <c r="C874" vm="3441">
        <f ca="1"/>
        <v>43978</v>
      </c>
      <c r="D874">
        <f ca="1"/>
        <v>0</v>
      </c>
      <c r="E874" vm="1671">
        <f ca="1"/>
        <v>1.4158999999999999</v>
      </c>
      <c r="F874" vm="1531">
        <f ca="1"/>
        <v>1.4215</v>
      </c>
      <c r="G874" vm="3442">
        <f ca="1"/>
        <v>1.4139999999999999</v>
      </c>
      <c r="H874" vm="3443">
        <f ca="1"/>
        <v>1.42</v>
      </c>
      <c r="K874">
        <f ca="1">IF(ROW(T_CALC[[#This Row],[DAY]])-ROW(T_CALC[[#Headers],[DAY]])&gt;C_N_TRADING_DAYS,"",ROW(T_CALC[[#This Row],[DAY]])-ROW(T_CALC[[#Headers],[DAY]]))</f>
        <v>871</v>
      </c>
      <c r="L874" cm="1" vm="3441">
        <f t="array" aca="1" ref="L874" ca="1">IFERROR(INDEX(_xlfn.ANCHORARRAY($C$3),T_CALC[[#This Row],[DAY]]+1,1),NA())</f>
        <v>43978</v>
      </c>
      <c r="M874" cm="1" vm="1671">
        <f t="array" aca="1" ref="M874" ca="1">IFERROR(INDEX(_xlfn.ANCHORARRAY($C$3),T_CALC[[#This Row],[DAY]]+1,3),NA())</f>
        <v>1.4158999999999999</v>
      </c>
      <c r="N874" cm="1" vm="1531">
        <f t="array" aca="1" ref="N874" ca="1">IFERROR(INDEX(_xlfn.ANCHORARRAY($C$3),T_CALC[[#This Row],[DAY]]+1,4),NA())</f>
        <v>1.4215</v>
      </c>
      <c r="O874" cm="1" vm="3442">
        <f t="array" aca="1" ref="O874" ca="1">IFERROR(INDEX(_xlfn.ANCHORARRAY($C$3),T_CALC[[#This Row],[DAY]]+1,5),NA())</f>
        <v>1.4139999999999999</v>
      </c>
      <c r="P874" cm="1" vm="3443">
        <f t="array" aca="1" ref="P874" ca="1">IFERROR(INDEX(_xlfn.ANCHORARRAY($C$3),T_CALC[[#This Row],[DAY]]+1,6),NA())</f>
        <v>1.42</v>
      </c>
      <c r="Q874" cm="1">
        <f t="array" aca="1" ref="Q874" ca="1">IFERROR(INDEX(_xlfn.ANCHORARRAY($C$3),T_CALC[[#This Row],[DAY]]+1,2),NA())</f>
        <v>0</v>
      </c>
    </row>
    <row r="875" spans="3:17">
      <c r="C875" vm="3444">
        <f ca="1"/>
        <v>43979</v>
      </c>
      <c r="D875">
        <f ca="1"/>
        <v>0</v>
      </c>
      <c r="E875" vm="1578">
        <f ca="1"/>
        <v>1.4196</v>
      </c>
      <c r="F875" vm="1658">
        <f ca="1"/>
        <v>1.4218999999999999</v>
      </c>
      <c r="G875" vm="3292">
        <f ca="1"/>
        <v>1.4147000000000001</v>
      </c>
      <c r="H875" vm="3396">
        <f ca="1"/>
        <v>1.4173</v>
      </c>
      <c r="K875">
        <f ca="1">IF(ROW(T_CALC[[#This Row],[DAY]])-ROW(T_CALC[[#Headers],[DAY]])&gt;C_N_TRADING_DAYS,"",ROW(T_CALC[[#This Row],[DAY]])-ROW(T_CALC[[#Headers],[DAY]]))</f>
        <v>872</v>
      </c>
      <c r="L875" cm="1" vm="3444">
        <f t="array" aca="1" ref="L875" ca="1">IFERROR(INDEX(_xlfn.ANCHORARRAY($C$3),T_CALC[[#This Row],[DAY]]+1,1),NA())</f>
        <v>43979</v>
      </c>
      <c r="M875" cm="1" vm="1578">
        <f t="array" aca="1" ref="M875" ca="1">IFERROR(INDEX(_xlfn.ANCHORARRAY($C$3),T_CALC[[#This Row],[DAY]]+1,3),NA())</f>
        <v>1.4196</v>
      </c>
      <c r="N875" cm="1" vm="1658">
        <f t="array" aca="1" ref="N875" ca="1">IFERROR(INDEX(_xlfn.ANCHORARRAY($C$3),T_CALC[[#This Row],[DAY]]+1,4),NA())</f>
        <v>1.4218999999999999</v>
      </c>
      <c r="O875" cm="1" vm="3292">
        <f t="array" aca="1" ref="O875" ca="1">IFERROR(INDEX(_xlfn.ANCHORARRAY($C$3),T_CALC[[#This Row],[DAY]]+1,5),NA())</f>
        <v>1.4147000000000001</v>
      </c>
      <c r="P875" cm="1" vm="3396">
        <f t="array" aca="1" ref="P875" ca="1">IFERROR(INDEX(_xlfn.ANCHORARRAY($C$3),T_CALC[[#This Row],[DAY]]+1,6),NA())</f>
        <v>1.4173</v>
      </c>
      <c r="Q875" cm="1">
        <f t="array" aca="1" ref="Q875" ca="1">IFERROR(INDEX(_xlfn.ANCHORARRAY($C$3),T_CALC[[#This Row],[DAY]]+1,2),NA())</f>
        <v>0</v>
      </c>
    </row>
    <row r="876" spans="3:17">
      <c r="C876" vm="3445">
        <f ca="1"/>
        <v>43980</v>
      </c>
      <c r="D876">
        <f ca="1"/>
        <v>0</v>
      </c>
      <c r="E876" vm="1588">
        <f ca="1"/>
        <v>1.4174</v>
      </c>
      <c r="F876" vm="1654">
        <f ca="1"/>
        <v>1.4184000000000001</v>
      </c>
      <c r="G876" vm="3446">
        <f ca="1"/>
        <v>1.4101999999999999</v>
      </c>
      <c r="H876" vm="3404">
        <f ca="1"/>
        <v>1.4115</v>
      </c>
      <c r="K876">
        <f ca="1">IF(ROW(T_CALC[[#This Row],[DAY]])-ROW(T_CALC[[#Headers],[DAY]])&gt;C_N_TRADING_DAYS,"",ROW(T_CALC[[#This Row],[DAY]])-ROW(T_CALC[[#Headers],[DAY]]))</f>
        <v>873</v>
      </c>
      <c r="L876" cm="1" vm="3445">
        <f t="array" aca="1" ref="L876" ca="1">IFERROR(INDEX(_xlfn.ANCHORARRAY($C$3),T_CALC[[#This Row],[DAY]]+1,1),NA())</f>
        <v>43980</v>
      </c>
      <c r="M876" cm="1" vm="1588">
        <f t="array" aca="1" ref="M876" ca="1">IFERROR(INDEX(_xlfn.ANCHORARRAY($C$3),T_CALC[[#This Row],[DAY]]+1,3),NA())</f>
        <v>1.4174</v>
      </c>
      <c r="N876" cm="1" vm="1654">
        <f t="array" aca="1" ref="N876" ca="1">IFERROR(INDEX(_xlfn.ANCHORARRAY($C$3),T_CALC[[#This Row],[DAY]]+1,4),NA())</f>
        <v>1.4184000000000001</v>
      </c>
      <c r="O876" cm="1" vm="3446">
        <f t="array" aca="1" ref="O876" ca="1">IFERROR(INDEX(_xlfn.ANCHORARRAY($C$3),T_CALC[[#This Row],[DAY]]+1,5),NA())</f>
        <v>1.4101999999999999</v>
      </c>
      <c r="P876" cm="1" vm="3404">
        <f t="array" aca="1" ref="P876" ca="1">IFERROR(INDEX(_xlfn.ANCHORARRAY($C$3),T_CALC[[#This Row],[DAY]]+1,6),NA())</f>
        <v>1.4115</v>
      </c>
      <c r="Q876" cm="1">
        <f t="array" aca="1" ref="Q876" ca="1">IFERROR(INDEX(_xlfn.ANCHORARRAY($C$3),T_CALC[[#This Row],[DAY]]+1,2),NA())</f>
        <v>0</v>
      </c>
    </row>
    <row r="877" spans="3:17">
      <c r="C877" vm="3447">
        <f ca="1"/>
        <v>43983</v>
      </c>
      <c r="D877">
        <f ca="1"/>
        <v>0</v>
      </c>
      <c r="E877" vm="3404">
        <f ca="1"/>
        <v>1.4115</v>
      </c>
      <c r="F877" vm="3442">
        <f ca="1"/>
        <v>1.4139999999999999</v>
      </c>
      <c r="G877" vm="1738">
        <f ca="1"/>
        <v>1.4043000000000001</v>
      </c>
      <c r="H877" vm="3448">
        <f ca="1"/>
        <v>1.4073</v>
      </c>
      <c r="K877">
        <f ca="1">IF(ROW(T_CALC[[#This Row],[DAY]])-ROW(T_CALC[[#Headers],[DAY]])&gt;C_N_TRADING_DAYS,"",ROW(T_CALC[[#This Row],[DAY]])-ROW(T_CALC[[#Headers],[DAY]]))</f>
        <v>874</v>
      </c>
      <c r="L877" cm="1" vm="3447">
        <f t="array" aca="1" ref="L877" ca="1">IFERROR(INDEX(_xlfn.ANCHORARRAY($C$3),T_CALC[[#This Row],[DAY]]+1,1),NA())</f>
        <v>43983</v>
      </c>
      <c r="M877" cm="1" vm="3404">
        <f t="array" aca="1" ref="M877" ca="1">IFERROR(INDEX(_xlfn.ANCHORARRAY($C$3),T_CALC[[#This Row],[DAY]]+1,3),NA())</f>
        <v>1.4115</v>
      </c>
      <c r="N877" cm="1" vm="3442">
        <f t="array" aca="1" ref="N877" ca="1">IFERROR(INDEX(_xlfn.ANCHORARRAY($C$3),T_CALC[[#This Row],[DAY]]+1,4),NA())</f>
        <v>1.4139999999999999</v>
      </c>
      <c r="O877" cm="1" vm="1738">
        <f t="array" aca="1" ref="O877" ca="1">IFERROR(INDEX(_xlfn.ANCHORARRAY($C$3),T_CALC[[#This Row],[DAY]]+1,5),NA())</f>
        <v>1.4043000000000001</v>
      </c>
      <c r="P877" cm="1" vm="3448">
        <f t="array" aca="1" ref="P877" ca="1">IFERROR(INDEX(_xlfn.ANCHORARRAY($C$3),T_CALC[[#This Row],[DAY]]+1,6),NA())</f>
        <v>1.4073</v>
      </c>
      <c r="Q877" cm="1">
        <f t="array" aca="1" ref="Q877" ca="1">IFERROR(INDEX(_xlfn.ANCHORARRAY($C$3),T_CALC[[#This Row],[DAY]]+1,2),NA())</f>
        <v>0</v>
      </c>
    </row>
    <row r="878" spans="3:17">
      <c r="C878" vm="3449">
        <f ca="1"/>
        <v>43984</v>
      </c>
      <c r="D878">
        <f ca="1"/>
        <v>0</v>
      </c>
      <c r="E878" vm="3450">
        <f ca="1"/>
        <v>1.4075</v>
      </c>
      <c r="F878" vm="1655">
        <f ca="1"/>
        <v>1.4085000000000001</v>
      </c>
      <c r="G878" vm="1763">
        <f ca="1"/>
        <v>1.399</v>
      </c>
      <c r="H878" vm="1677">
        <f ca="1"/>
        <v>1.4001999999999999</v>
      </c>
      <c r="K878">
        <f ca="1">IF(ROW(T_CALC[[#This Row],[DAY]])-ROW(T_CALC[[#Headers],[DAY]])&gt;C_N_TRADING_DAYS,"",ROW(T_CALC[[#This Row],[DAY]])-ROW(T_CALC[[#Headers],[DAY]]))</f>
        <v>875</v>
      </c>
      <c r="L878" cm="1" vm="3449">
        <f t="array" aca="1" ref="L878" ca="1">IFERROR(INDEX(_xlfn.ANCHORARRAY($C$3),T_CALC[[#This Row],[DAY]]+1,1),NA())</f>
        <v>43984</v>
      </c>
      <c r="M878" cm="1" vm="3450">
        <f t="array" aca="1" ref="M878" ca="1">IFERROR(INDEX(_xlfn.ANCHORARRAY($C$3),T_CALC[[#This Row],[DAY]]+1,3),NA())</f>
        <v>1.4075</v>
      </c>
      <c r="N878" cm="1" vm="1655">
        <f t="array" aca="1" ref="N878" ca="1">IFERROR(INDEX(_xlfn.ANCHORARRAY($C$3),T_CALC[[#This Row],[DAY]]+1,4),NA())</f>
        <v>1.4085000000000001</v>
      </c>
      <c r="O878" cm="1" vm="1763">
        <f t="array" aca="1" ref="O878" ca="1">IFERROR(INDEX(_xlfn.ANCHORARRAY($C$3),T_CALC[[#This Row],[DAY]]+1,5),NA())</f>
        <v>1.399</v>
      </c>
      <c r="P878" cm="1" vm="1677">
        <f t="array" aca="1" ref="P878" ca="1">IFERROR(INDEX(_xlfn.ANCHORARRAY($C$3),T_CALC[[#This Row],[DAY]]+1,6),NA())</f>
        <v>1.4001999999999999</v>
      </c>
      <c r="Q878" cm="1">
        <f t="array" aca="1" ref="Q878" ca="1">IFERROR(INDEX(_xlfn.ANCHORARRAY($C$3),T_CALC[[#This Row],[DAY]]+1,2),NA())</f>
        <v>0</v>
      </c>
    </row>
    <row r="879" spans="3:17">
      <c r="C879" vm="3451">
        <f ca="1"/>
        <v>43985</v>
      </c>
      <c r="D879">
        <f ca="1"/>
        <v>0</v>
      </c>
      <c r="E879" vm="1677">
        <f ca="1"/>
        <v>1.4001999999999999</v>
      </c>
      <c r="F879" vm="1673">
        <f ca="1"/>
        <v>1.4011</v>
      </c>
      <c r="G879" vm="1691">
        <f ca="1"/>
        <v>1.3949</v>
      </c>
      <c r="H879" vm="1713">
        <f ca="1"/>
        <v>1.3975</v>
      </c>
      <c r="K879">
        <f ca="1">IF(ROW(T_CALC[[#This Row],[DAY]])-ROW(T_CALC[[#Headers],[DAY]])&gt;C_N_TRADING_DAYS,"",ROW(T_CALC[[#This Row],[DAY]])-ROW(T_CALC[[#Headers],[DAY]]))</f>
        <v>876</v>
      </c>
      <c r="L879" cm="1" vm="3451">
        <f t="array" aca="1" ref="L879" ca="1">IFERROR(INDEX(_xlfn.ANCHORARRAY($C$3),T_CALC[[#This Row],[DAY]]+1,1),NA())</f>
        <v>43985</v>
      </c>
      <c r="M879" cm="1" vm="1677">
        <f t="array" aca="1" ref="M879" ca="1">IFERROR(INDEX(_xlfn.ANCHORARRAY($C$3),T_CALC[[#This Row],[DAY]]+1,3),NA())</f>
        <v>1.4001999999999999</v>
      </c>
      <c r="N879" cm="1" vm="1673">
        <f t="array" aca="1" ref="N879" ca="1">IFERROR(INDEX(_xlfn.ANCHORARRAY($C$3),T_CALC[[#This Row],[DAY]]+1,4),NA())</f>
        <v>1.4011</v>
      </c>
      <c r="O879" cm="1" vm="1691">
        <f t="array" aca="1" ref="O879" ca="1">IFERROR(INDEX(_xlfn.ANCHORARRAY($C$3),T_CALC[[#This Row],[DAY]]+1,5),NA())</f>
        <v>1.3949</v>
      </c>
      <c r="P879" cm="1" vm="1713">
        <f t="array" aca="1" ref="P879" ca="1">IFERROR(INDEX(_xlfn.ANCHORARRAY($C$3),T_CALC[[#This Row],[DAY]]+1,6),NA())</f>
        <v>1.3975</v>
      </c>
      <c r="Q879" cm="1">
        <f t="array" aca="1" ref="Q879" ca="1">IFERROR(INDEX(_xlfn.ANCHORARRAY($C$3),T_CALC[[#This Row],[DAY]]+1,2),NA())</f>
        <v>0</v>
      </c>
    </row>
    <row r="880" spans="3:17">
      <c r="C880" vm="3452">
        <f ca="1"/>
        <v>43986</v>
      </c>
      <c r="D880">
        <f ca="1"/>
        <v>0</v>
      </c>
      <c r="E880" vm="1726">
        <f ca="1"/>
        <v>1.3976</v>
      </c>
      <c r="F880" vm="3453">
        <f ca="1"/>
        <v>1.4027000000000001</v>
      </c>
      <c r="G880" vm="1704">
        <f ca="1"/>
        <v>1.3951</v>
      </c>
      <c r="H880" vm="1720">
        <f ca="1"/>
        <v>1.3979999999999999</v>
      </c>
      <c r="K880">
        <f ca="1">IF(ROW(T_CALC[[#This Row],[DAY]])-ROW(T_CALC[[#Headers],[DAY]])&gt;C_N_TRADING_DAYS,"",ROW(T_CALC[[#This Row],[DAY]])-ROW(T_CALC[[#Headers],[DAY]]))</f>
        <v>877</v>
      </c>
      <c r="L880" cm="1" vm="3452">
        <f t="array" aca="1" ref="L880" ca="1">IFERROR(INDEX(_xlfn.ANCHORARRAY($C$3),T_CALC[[#This Row],[DAY]]+1,1),NA())</f>
        <v>43986</v>
      </c>
      <c r="M880" cm="1" vm="1726">
        <f t="array" aca="1" ref="M880" ca="1">IFERROR(INDEX(_xlfn.ANCHORARRAY($C$3),T_CALC[[#This Row],[DAY]]+1,3),NA())</f>
        <v>1.3976</v>
      </c>
      <c r="N880" cm="1" vm="3453">
        <f t="array" aca="1" ref="N880" ca="1">IFERROR(INDEX(_xlfn.ANCHORARRAY($C$3),T_CALC[[#This Row],[DAY]]+1,4),NA())</f>
        <v>1.4027000000000001</v>
      </c>
      <c r="O880" cm="1" vm="1704">
        <f t="array" aca="1" ref="O880" ca="1">IFERROR(INDEX(_xlfn.ANCHORARRAY($C$3),T_CALC[[#This Row],[DAY]]+1,5),NA())</f>
        <v>1.3951</v>
      </c>
      <c r="P880" cm="1" vm="1720">
        <f t="array" aca="1" ref="P880" ca="1">IFERROR(INDEX(_xlfn.ANCHORARRAY($C$3),T_CALC[[#This Row],[DAY]]+1,6),NA())</f>
        <v>1.3979999999999999</v>
      </c>
      <c r="Q880" cm="1">
        <f t="array" aca="1" ref="Q880" ca="1">IFERROR(INDEX(_xlfn.ANCHORARRAY($C$3),T_CALC[[#This Row],[DAY]]+1,2),NA())</f>
        <v>0</v>
      </c>
    </row>
    <row r="881" spans="3:17">
      <c r="C881" vm="3454">
        <f ca="1"/>
        <v>43987</v>
      </c>
      <c r="D881">
        <f ca="1"/>
        <v>0</v>
      </c>
      <c r="E881" vm="1720">
        <f ca="1"/>
        <v>1.3979999999999999</v>
      </c>
      <c r="F881" vm="1718">
        <f ca="1"/>
        <v>1.3980999999999999</v>
      </c>
      <c r="G881" vm="3097">
        <f ca="1"/>
        <v>1.3905000000000001</v>
      </c>
      <c r="H881" vm="1752">
        <f ca="1"/>
        <v>1.3925000000000001</v>
      </c>
      <c r="K881">
        <f ca="1">IF(ROW(T_CALC[[#This Row],[DAY]])-ROW(T_CALC[[#Headers],[DAY]])&gt;C_N_TRADING_DAYS,"",ROW(T_CALC[[#This Row],[DAY]])-ROW(T_CALC[[#Headers],[DAY]]))</f>
        <v>878</v>
      </c>
      <c r="L881" cm="1" vm="3454">
        <f t="array" aca="1" ref="L881" ca="1">IFERROR(INDEX(_xlfn.ANCHORARRAY($C$3),T_CALC[[#This Row],[DAY]]+1,1),NA())</f>
        <v>43987</v>
      </c>
      <c r="M881" cm="1" vm="1720">
        <f t="array" aca="1" ref="M881" ca="1">IFERROR(INDEX(_xlfn.ANCHORARRAY($C$3),T_CALC[[#This Row],[DAY]]+1,3),NA())</f>
        <v>1.3979999999999999</v>
      </c>
      <c r="N881" cm="1" vm="1718">
        <f t="array" aca="1" ref="N881" ca="1">IFERROR(INDEX(_xlfn.ANCHORARRAY($C$3),T_CALC[[#This Row],[DAY]]+1,4),NA())</f>
        <v>1.3980999999999999</v>
      </c>
      <c r="O881" cm="1" vm="3097">
        <f t="array" aca="1" ref="O881" ca="1">IFERROR(INDEX(_xlfn.ANCHORARRAY($C$3),T_CALC[[#This Row],[DAY]]+1,5),NA())</f>
        <v>1.3905000000000001</v>
      </c>
      <c r="P881" cm="1" vm="1752">
        <f t="array" aca="1" ref="P881" ca="1">IFERROR(INDEX(_xlfn.ANCHORARRAY($C$3),T_CALC[[#This Row],[DAY]]+1,6),NA())</f>
        <v>1.3925000000000001</v>
      </c>
      <c r="Q881" cm="1">
        <f t="array" aca="1" ref="Q881" ca="1">IFERROR(INDEX(_xlfn.ANCHORARRAY($C$3),T_CALC[[#This Row],[DAY]]+1,2),NA())</f>
        <v>0</v>
      </c>
    </row>
    <row r="882" spans="3:17">
      <c r="C882" vm="3455">
        <f ca="1"/>
        <v>43990</v>
      </c>
      <c r="D882">
        <f ca="1"/>
        <v>0</v>
      </c>
      <c r="E882" vm="1813">
        <f ca="1"/>
        <v>1.3933</v>
      </c>
      <c r="F882" vm="3276">
        <f ca="1"/>
        <v>1.3947000000000001</v>
      </c>
      <c r="G882" vm="1903">
        <f ca="1"/>
        <v>1.3873</v>
      </c>
      <c r="H882" vm="1903">
        <f ca="1"/>
        <v>1.3873</v>
      </c>
      <c r="K882">
        <f ca="1">IF(ROW(T_CALC[[#This Row],[DAY]])-ROW(T_CALC[[#Headers],[DAY]])&gt;C_N_TRADING_DAYS,"",ROW(T_CALC[[#This Row],[DAY]])-ROW(T_CALC[[#Headers],[DAY]]))</f>
        <v>879</v>
      </c>
      <c r="L882" cm="1" vm="3455">
        <f t="array" aca="1" ref="L882" ca="1">IFERROR(INDEX(_xlfn.ANCHORARRAY($C$3),T_CALC[[#This Row],[DAY]]+1,1),NA())</f>
        <v>43990</v>
      </c>
      <c r="M882" cm="1" vm="1813">
        <f t="array" aca="1" ref="M882" ca="1">IFERROR(INDEX(_xlfn.ANCHORARRAY($C$3),T_CALC[[#This Row],[DAY]]+1,3),NA())</f>
        <v>1.3933</v>
      </c>
      <c r="N882" cm="1" vm="3276">
        <f t="array" aca="1" ref="N882" ca="1">IFERROR(INDEX(_xlfn.ANCHORARRAY($C$3),T_CALC[[#This Row],[DAY]]+1,4),NA())</f>
        <v>1.3947000000000001</v>
      </c>
      <c r="O882" cm="1" vm="1903">
        <f t="array" aca="1" ref="O882" ca="1">IFERROR(INDEX(_xlfn.ANCHORARRAY($C$3),T_CALC[[#This Row],[DAY]]+1,5),NA())</f>
        <v>1.3873</v>
      </c>
      <c r="P882" cm="1" vm="1903">
        <f t="array" aca="1" ref="P882" ca="1">IFERROR(INDEX(_xlfn.ANCHORARRAY($C$3),T_CALC[[#This Row],[DAY]]+1,6),NA())</f>
        <v>1.3873</v>
      </c>
      <c r="Q882" cm="1">
        <f t="array" aca="1" ref="Q882" ca="1">IFERROR(INDEX(_xlfn.ANCHORARRAY($C$3),T_CALC[[#This Row],[DAY]]+1,2),NA())</f>
        <v>0</v>
      </c>
    </row>
    <row r="883" spans="3:17">
      <c r="C883" vm="3456">
        <f ca="1"/>
        <v>43991</v>
      </c>
      <c r="D883">
        <f ca="1"/>
        <v>0</v>
      </c>
      <c r="E883" vm="3258">
        <f ca="1"/>
        <v>1.3876999999999999</v>
      </c>
      <c r="F883" vm="1716">
        <f ca="1"/>
        <v>1.3937999999999999</v>
      </c>
      <c r="G883" vm="1851">
        <f ca="1"/>
        <v>1.3865000000000001</v>
      </c>
      <c r="H883" vm="1818">
        <f ca="1"/>
        <v>1.3886000000000001</v>
      </c>
      <c r="K883">
        <f ca="1">IF(ROW(T_CALC[[#This Row],[DAY]])-ROW(T_CALC[[#Headers],[DAY]])&gt;C_N_TRADING_DAYS,"",ROW(T_CALC[[#This Row],[DAY]])-ROW(T_CALC[[#Headers],[DAY]]))</f>
        <v>880</v>
      </c>
      <c r="L883" cm="1" vm="3456">
        <f t="array" aca="1" ref="L883" ca="1">IFERROR(INDEX(_xlfn.ANCHORARRAY($C$3),T_CALC[[#This Row],[DAY]]+1,1),NA())</f>
        <v>43991</v>
      </c>
      <c r="M883" cm="1" vm="3258">
        <f t="array" aca="1" ref="M883" ca="1">IFERROR(INDEX(_xlfn.ANCHORARRAY($C$3),T_CALC[[#This Row],[DAY]]+1,3),NA())</f>
        <v>1.3876999999999999</v>
      </c>
      <c r="N883" cm="1" vm="1716">
        <f t="array" aca="1" ref="N883" ca="1">IFERROR(INDEX(_xlfn.ANCHORARRAY($C$3),T_CALC[[#This Row],[DAY]]+1,4),NA())</f>
        <v>1.3937999999999999</v>
      </c>
      <c r="O883" cm="1" vm="1851">
        <f t="array" aca="1" ref="O883" ca="1">IFERROR(INDEX(_xlfn.ANCHORARRAY($C$3),T_CALC[[#This Row],[DAY]]+1,5),NA())</f>
        <v>1.3865000000000001</v>
      </c>
      <c r="P883" cm="1" vm="1818">
        <f t="array" aca="1" ref="P883" ca="1">IFERROR(INDEX(_xlfn.ANCHORARRAY($C$3),T_CALC[[#This Row],[DAY]]+1,6),NA())</f>
        <v>1.3886000000000001</v>
      </c>
      <c r="Q883" cm="1">
        <f t="array" aca="1" ref="Q883" ca="1">IFERROR(INDEX(_xlfn.ANCHORARRAY($C$3),T_CALC[[#This Row],[DAY]]+1,2),NA())</f>
        <v>0</v>
      </c>
    </row>
    <row r="884" spans="3:17">
      <c r="C884" vm="3457">
        <f ca="1"/>
        <v>43992</v>
      </c>
      <c r="D884">
        <f ca="1"/>
        <v>0</v>
      </c>
      <c r="E884" vm="3102">
        <f ca="1"/>
        <v>1.3894</v>
      </c>
      <c r="F884" vm="1896">
        <f ca="1"/>
        <v>1.3907</v>
      </c>
      <c r="G884" vm="1856">
        <f ca="1"/>
        <v>1.3801000000000001</v>
      </c>
      <c r="H884" vm="1889">
        <f ca="1"/>
        <v>1.383</v>
      </c>
      <c r="K884">
        <f ca="1">IF(ROW(T_CALC[[#This Row],[DAY]])-ROW(T_CALC[[#Headers],[DAY]])&gt;C_N_TRADING_DAYS,"",ROW(T_CALC[[#This Row],[DAY]])-ROW(T_CALC[[#Headers],[DAY]]))</f>
        <v>881</v>
      </c>
      <c r="L884" cm="1" vm="3457">
        <f t="array" aca="1" ref="L884" ca="1">IFERROR(INDEX(_xlfn.ANCHORARRAY($C$3),T_CALC[[#This Row],[DAY]]+1,1),NA())</f>
        <v>43992</v>
      </c>
      <c r="M884" cm="1" vm="3102">
        <f t="array" aca="1" ref="M884" ca="1">IFERROR(INDEX(_xlfn.ANCHORARRAY($C$3),T_CALC[[#This Row],[DAY]]+1,3),NA())</f>
        <v>1.3894</v>
      </c>
      <c r="N884" cm="1" vm="1896">
        <f t="array" aca="1" ref="N884" ca="1">IFERROR(INDEX(_xlfn.ANCHORARRAY($C$3),T_CALC[[#This Row],[DAY]]+1,4),NA())</f>
        <v>1.3907</v>
      </c>
      <c r="O884" cm="1" vm="1856">
        <f t="array" aca="1" ref="O884" ca="1">IFERROR(INDEX(_xlfn.ANCHORARRAY($C$3),T_CALC[[#This Row],[DAY]]+1,5),NA())</f>
        <v>1.3801000000000001</v>
      </c>
      <c r="P884" cm="1" vm="1889">
        <f t="array" aca="1" ref="P884" ca="1">IFERROR(INDEX(_xlfn.ANCHORARRAY($C$3),T_CALC[[#This Row],[DAY]]+1,6),NA())</f>
        <v>1.383</v>
      </c>
      <c r="Q884" cm="1">
        <f t="array" aca="1" ref="Q884" ca="1">IFERROR(INDEX(_xlfn.ANCHORARRAY($C$3),T_CALC[[#This Row],[DAY]]+1,2),NA())</f>
        <v>0</v>
      </c>
    </row>
    <row r="885" spans="3:17">
      <c r="C885" vm="3458">
        <f ca="1"/>
        <v>43993</v>
      </c>
      <c r="D885">
        <f ca="1"/>
        <v>0</v>
      </c>
      <c r="E885" vm="1848">
        <f ca="1"/>
        <v>1.3829</v>
      </c>
      <c r="F885" vm="1780">
        <f ca="1"/>
        <v>1.3940999999999999</v>
      </c>
      <c r="G885" vm="1858">
        <f ca="1"/>
        <v>1.3814</v>
      </c>
      <c r="H885" vm="1715">
        <f ca="1"/>
        <v>1.3929</v>
      </c>
      <c r="K885">
        <f ca="1">IF(ROW(T_CALC[[#This Row],[DAY]])-ROW(T_CALC[[#Headers],[DAY]])&gt;C_N_TRADING_DAYS,"",ROW(T_CALC[[#This Row],[DAY]])-ROW(T_CALC[[#Headers],[DAY]]))</f>
        <v>882</v>
      </c>
      <c r="L885" cm="1" vm="3458">
        <f t="array" aca="1" ref="L885" ca="1">IFERROR(INDEX(_xlfn.ANCHORARRAY($C$3),T_CALC[[#This Row],[DAY]]+1,1),NA())</f>
        <v>43993</v>
      </c>
      <c r="M885" cm="1" vm="1848">
        <f t="array" aca="1" ref="M885" ca="1">IFERROR(INDEX(_xlfn.ANCHORARRAY($C$3),T_CALC[[#This Row],[DAY]]+1,3),NA())</f>
        <v>1.3829</v>
      </c>
      <c r="N885" cm="1" vm="1780">
        <f t="array" aca="1" ref="N885" ca="1">IFERROR(INDEX(_xlfn.ANCHORARRAY($C$3),T_CALC[[#This Row],[DAY]]+1,4),NA())</f>
        <v>1.3940999999999999</v>
      </c>
      <c r="O885" cm="1" vm="1858">
        <f t="array" aca="1" ref="O885" ca="1">IFERROR(INDEX(_xlfn.ANCHORARRAY($C$3),T_CALC[[#This Row],[DAY]]+1,5),NA())</f>
        <v>1.3814</v>
      </c>
      <c r="P885" cm="1" vm="1715">
        <f t="array" aca="1" ref="P885" ca="1">IFERROR(INDEX(_xlfn.ANCHORARRAY($C$3),T_CALC[[#This Row],[DAY]]+1,6),NA())</f>
        <v>1.3929</v>
      </c>
      <c r="Q885" cm="1">
        <f t="array" aca="1" ref="Q885" ca="1">IFERROR(INDEX(_xlfn.ANCHORARRAY($C$3),T_CALC[[#This Row],[DAY]]+1,2),NA())</f>
        <v>0</v>
      </c>
    </row>
    <row r="886" spans="3:17">
      <c r="C886" vm="3459">
        <f ca="1"/>
        <v>43994</v>
      </c>
      <c r="D886">
        <f ca="1"/>
        <v>0</v>
      </c>
      <c r="E886" vm="1770">
        <f ca="1"/>
        <v>1.3924000000000001</v>
      </c>
      <c r="F886" vm="1755">
        <f ca="1"/>
        <v>1.3958999999999999</v>
      </c>
      <c r="G886" vm="3460">
        <f ca="1"/>
        <v>1.3880999999999999</v>
      </c>
      <c r="H886" vm="1783">
        <f ca="1"/>
        <v>1.3919999999999999</v>
      </c>
      <c r="K886">
        <f ca="1">IF(ROW(T_CALC[[#This Row],[DAY]])-ROW(T_CALC[[#Headers],[DAY]])&gt;C_N_TRADING_DAYS,"",ROW(T_CALC[[#This Row],[DAY]])-ROW(T_CALC[[#Headers],[DAY]]))</f>
        <v>883</v>
      </c>
      <c r="L886" cm="1" vm="3459">
        <f t="array" aca="1" ref="L886" ca="1">IFERROR(INDEX(_xlfn.ANCHORARRAY($C$3),T_CALC[[#This Row],[DAY]]+1,1),NA())</f>
        <v>43994</v>
      </c>
      <c r="M886" cm="1" vm="1770">
        <f t="array" aca="1" ref="M886" ca="1">IFERROR(INDEX(_xlfn.ANCHORARRAY($C$3),T_CALC[[#This Row],[DAY]]+1,3),NA())</f>
        <v>1.3924000000000001</v>
      </c>
      <c r="N886" cm="1" vm="1755">
        <f t="array" aca="1" ref="N886" ca="1">IFERROR(INDEX(_xlfn.ANCHORARRAY($C$3),T_CALC[[#This Row],[DAY]]+1,4),NA())</f>
        <v>1.3958999999999999</v>
      </c>
      <c r="O886" cm="1" vm="3460">
        <f t="array" aca="1" ref="O886" ca="1">IFERROR(INDEX(_xlfn.ANCHORARRAY($C$3),T_CALC[[#This Row],[DAY]]+1,5),NA())</f>
        <v>1.3880999999999999</v>
      </c>
      <c r="P886" cm="1" vm="1783">
        <f t="array" aca="1" ref="P886" ca="1">IFERROR(INDEX(_xlfn.ANCHORARRAY($C$3),T_CALC[[#This Row],[DAY]]+1,6),NA())</f>
        <v>1.3919999999999999</v>
      </c>
      <c r="Q886" cm="1">
        <f t="array" aca="1" ref="Q886" ca="1">IFERROR(INDEX(_xlfn.ANCHORARRAY($C$3),T_CALC[[#This Row],[DAY]]+1,2),NA())</f>
        <v>0</v>
      </c>
    </row>
    <row r="887" spans="3:17">
      <c r="C887" vm="3461">
        <f ca="1"/>
        <v>43997</v>
      </c>
      <c r="D887">
        <f ca="1"/>
        <v>0</v>
      </c>
      <c r="E887" vm="3255">
        <f ca="1"/>
        <v>1.3927</v>
      </c>
      <c r="F887" vm="1727">
        <f ca="1"/>
        <v>1.3982000000000001</v>
      </c>
      <c r="G887" vm="1904">
        <f ca="1"/>
        <v>1.3898999999999999</v>
      </c>
      <c r="H887" vm="1823">
        <f ca="1"/>
        <v>1.3908</v>
      </c>
      <c r="K887">
        <f ca="1">IF(ROW(T_CALC[[#This Row],[DAY]])-ROW(T_CALC[[#Headers],[DAY]])&gt;C_N_TRADING_DAYS,"",ROW(T_CALC[[#This Row],[DAY]])-ROW(T_CALC[[#Headers],[DAY]]))</f>
        <v>884</v>
      </c>
      <c r="L887" cm="1" vm="3461">
        <f t="array" aca="1" ref="L887" ca="1">IFERROR(INDEX(_xlfn.ANCHORARRAY($C$3),T_CALC[[#This Row],[DAY]]+1,1),NA())</f>
        <v>43997</v>
      </c>
      <c r="M887" cm="1" vm="3255">
        <f t="array" aca="1" ref="M887" ca="1">IFERROR(INDEX(_xlfn.ANCHORARRAY($C$3),T_CALC[[#This Row],[DAY]]+1,3),NA())</f>
        <v>1.3927</v>
      </c>
      <c r="N887" cm="1" vm="1727">
        <f t="array" aca="1" ref="N887" ca="1">IFERROR(INDEX(_xlfn.ANCHORARRAY($C$3),T_CALC[[#This Row],[DAY]]+1,4),NA())</f>
        <v>1.3982000000000001</v>
      </c>
      <c r="O887" cm="1" vm="1904">
        <f t="array" aca="1" ref="O887" ca="1">IFERROR(INDEX(_xlfn.ANCHORARRAY($C$3),T_CALC[[#This Row],[DAY]]+1,5),NA())</f>
        <v>1.3898999999999999</v>
      </c>
      <c r="P887" cm="1" vm="1823">
        <f t="array" aca="1" ref="P887" ca="1">IFERROR(INDEX(_xlfn.ANCHORARRAY($C$3),T_CALC[[#This Row],[DAY]]+1,6),NA())</f>
        <v>1.3908</v>
      </c>
      <c r="Q887" cm="1">
        <f t="array" aca="1" ref="Q887" ca="1">IFERROR(INDEX(_xlfn.ANCHORARRAY($C$3),T_CALC[[#This Row],[DAY]]+1,2),NA())</f>
        <v>0</v>
      </c>
    </row>
    <row r="888" spans="3:17">
      <c r="C888" vm="3462">
        <f ca="1"/>
        <v>43998</v>
      </c>
      <c r="D888">
        <f ca="1"/>
        <v>0</v>
      </c>
      <c r="E888" vm="3463">
        <f ca="1"/>
        <v>1.3912</v>
      </c>
      <c r="F888" vm="3264">
        <f ca="1"/>
        <v>1.3960999999999999</v>
      </c>
      <c r="G888" vm="1852">
        <f ca="1"/>
        <v>1.3868</v>
      </c>
      <c r="H888" vm="3464">
        <f ca="1"/>
        <v>1.3946000000000001</v>
      </c>
      <c r="K888">
        <f ca="1">IF(ROW(T_CALC[[#This Row],[DAY]])-ROW(T_CALC[[#Headers],[DAY]])&gt;C_N_TRADING_DAYS,"",ROW(T_CALC[[#This Row],[DAY]])-ROW(T_CALC[[#Headers],[DAY]]))</f>
        <v>885</v>
      </c>
      <c r="L888" cm="1" vm="3462">
        <f t="array" aca="1" ref="L888" ca="1">IFERROR(INDEX(_xlfn.ANCHORARRAY($C$3),T_CALC[[#This Row],[DAY]]+1,1),NA())</f>
        <v>43998</v>
      </c>
      <c r="M888" cm="1" vm="3463">
        <f t="array" aca="1" ref="M888" ca="1">IFERROR(INDEX(_xlfn.ANCHORARRAY($C$3),T_CALC[[#This Row],[DAY]]+1,3),NA())</f>
        <v>1.3912</v>
      </c>
      <c r="N888" cm="1" vm="3264">
        <f t="array" aca="1" ref="N888" ca="1">IFERROR(INDEX(_xlfn.ANCHORARRAY($C$3),T_CALC[[#This Row],[DAY]]+1,4),NA())</f>
        <v>1.3960999999999999</v>
      </c>
      <c r="O888" cm="1" vm="1852">
        <f t="array" aca="1" ref="O888" ca="1">IFERROR(INDEX(_xlfn.ANCHORARRAY($C$3),T_CALC[[#This Row],[DAY]]+1,5),NA())</f>
        <v>1.3868</v>
      </c>
      <c r="P888" cm="1" vm="3464">
        <f t="array" aca="1" ref="P888" ca="1">IFERROR(INDEX(_xlfn.ANCHORARRAY($C$3),T_CALC[[#This Row],[DAY]]+1,6),NA())</f>
        <v>1.3946000000000001</v>
      </c>
      <c r="Q888" cm="1">
        <f t="array" aca="1" ref="Q888" ca="1">IFERROR(INDEX(_xlfn.ANCHORARRAY($C$3),T_CALC[[#This Row],[DAY]]+1,2),NA())</f>
        <v>0</v>
      </c>
    </row>
    <row r="889" spans="3:17">
      <c r="C889" vm="3465">
        <f ca="1"/>
        <v>43999</v>
      </c>
      <c r="D889">
        <f ca="1"/>
        <v>0</v>
      </c>
      <c r="E889" vm="3466">
        <f ca="1"/>
        <v>1.3942000000000001</v>
      </c>
      <c r="F889" vm="3467">
        <f ca="1"/>
        <v>1.3964000000000001</v>
      </c>
      <c r="G889" vm="1769">
        <f ca="1"/>
        <v>1.3913</v>
      </c>
      <c r="H889" vm="1715">
        <f ca="1"/>
        <v>1.3929</v>
      </c>
      <c r="K889">
        <f ca="1">IF(ROW(T_CALC[[#This Row],[DAY]])-ROW(T_CALC[[#Headers],[DAY]])&gt;C_N_TRADING_DAYS,"",ROW(T_CALC[[#This Row],[DAY]])-ROW(T_CALC[[#Headers],[DAY]]))</f>
        <v>886</v>
      </c>
      <c r="L889" cm="1" vm="3465">
        <f t="array" aca="1" ref="L889" ca="1">IFERROR(INDEX(_xlfn.ANCHORARRAY($C$3),T_CALC[[#This Row],[DAY]]+1,1),NA())</f>
        <v>43999</v>
      </c>
      <c r="M889" cm="1" vm="3466">
        <f t="array" aca="1" ref="M889" ca="1">IFERROR(INDEX(_xlfn.ANCHORARRAY($C$3),T_CALC[[#This Row],[DAY]]+1,3),NA())</f>
        <v>1.3942000000000001</v>
      </c>
      <c r="N889" cm="1" vm="3467">
        <f t="array" aca="1" ref="N889" ca="1">IFERROR(INDEX(_xlfn.ANCHORARRAY($C$3),T_CALC[[#This Row],[DAY]]+1,4),NA())</f>
        <v>1.3964000000000001</v>
      </c>
      <c r="O889" cm="1" vm="1769">
        <f t="array" aca="1" ref="O889" ca="1">IFERROR(INDEX(_xlfn.ANCHORARRAY($C$3),T_CALC[[#This Row],[DAY]]+1,5),NA())</f>
        <v>1.3913</v>
      </c>
      <c r="P889" cm="1" vm="1715">
        <f t="array" aca="1" ref="P889" ca="1">IFERROR(INDEX(_xlfn.ANCHORARRAY($C$3),T_CALC[[#This Row],[DAY]]+1,6),NA())</f>
        <v>1.3929</v>
      </c>
      <c r="Q889" cm="1">
        <f t="array" aca="1" ref="Q889" ca="1">IFERROR(INDEX(_xlfn.ANCHORARRAY($C$3),T_CALC[[#This Row],[DAY]]+1,2),NA())</f>
        <v>0</v>
      </c>
    </row>
    <row r="890" spans="3:17">
      <c r="C890" vm="3468">
        <f ca="1"/>
        <v>44000</v>
      </c>
      <c r="D890">
        <f ca="1"/>
        <v>0</v>
      </c>
      <c r="E890" vm="3469">
        <f ca="1"/>
        <v>1.393</v>
      </c>
      <c r="F890" vm="3470">
        <f ca="1"/>
        <v>1.3956999999999999</v>
      </c>
      <c r="G890" vm="3099">
        <f ca="1"/>
        <v>1.3906000000000001</v>
      </c>
      <c r="H890" vm="3471">
        <f ca="1"/>
        <v>1.3939999999999999</v>
      </c>
      <c r="K890">
        <f ca="1">IF(ROW(T_CALC[[#This Row],[DAY]])-ROW(T_CALC[[#Headers],[DAY]])&gt;C_N_TRADING_DAYS,"",ROW(T_CALC[[#This Row],[DAY]])-ROW(T_CALC[[#Headers],[DAY]]))</f>
        <v>887</v>
      </c>
      <c r="L890" cm="1" vm="3468">
        <f t="array" aca="1" ref="L890" ca="1">IFERROR(INDEX(_xlfn.ANCHORARRAY($C$3),T_CALC[[#This Row],[DAY]]+1,1),NA())</f>
        <v>44000</v>
      </c>
      <c r="M890" cm="1" vm="3469">
        <f t="array" aca="1" ref="M890" ca="1">IFERROR(INDEX(_xlfn.ANCHORARRAY($C$3),T_CALC[[#This Row],[DAY]]+1,3),NA())</f>
        <v>1.393</v>
      </c>
      <c r="N890" cm="1" vm="3470">
        <f t="array" aca="1" ref="N890" ca="1">IFERROR(INDEX(_xlfn.ANCHORARRAY($C$3),T_CALC[[#This Row],[DAY]]+1,4),NA())</f>
        <v>1.3956999999999999</v>
      </c>
      <c r="O890" cm="1" vm="3099">
        <f t="array" aca="1" ref="O890" ca="1">IFERROR(INDEX(_xlfn.ANCHORARRAY($C$3),T_CALC[[#This Row],[DAY]]+1,5),NA())</f>
        <v>1.3906000000000001</v>
      </c>
      <c r="P890" cm="1" vm="3471">
        <f t="array" aca="1" ref="P890" ca="1">IFERROR(INDEX(_xlfn.ANCHORARRAY($C$3),T_CALC[[#This Row],[DAY]]+1,6),NA())</f>
        <v>1.3939999999999999</v>
      </c>
      <c r="Q890" cm="1">
        <f t="array" aca="1" ref="Q890" ca="1">IFERROR(INDEX(_xlfn.ANCHORARRAY($C$3),T_CALC[[#This Row],[DAY]]+1,2),NA())</f>
        <v>0</v>
      </c>
    </row>
    <row r="891" spans="3:17">
      <c r="C891" vm="3472">
        <f ca="1"/>
        <v>44001</v>
      </c>
      <c r="D891">
        <f ca="1"/>
        <v>0</v>
      </c>
      <c r="E891" vm="3471">
        <f ca="1"/>
        <v>1.3939999999999999</v>
      </c>
      <c r="F891" vm="1720">
        <f ca="1"/>
        <v>1.3979999999999999</v>
      </c>
      <c r="G891" vm="3248">
        <f ca="1"/>
        <v>1.3922000000000001</v>
      </c>
      <c r="H891" vm="1699">
        <f ca="1"/>
        <v>1.397</v>
      </c>
      <c r="K891">
        <f ca="1">IF(ROW(T_CALC[[#This Row],[DAY]])-ROW(T_CALC[[#Headers],[DAY]])&gt;C_N_TRADING_DAYS,"",ROW(T_CALC[[#This Row],[DAY]])-ROW(T_CALC[[#Headers],[DAY]]))</f>
        <v>888</v>
      </c>
      <c r="L891" cm="1" vm="3472">
        <f t="array" aca="1" ref="L891" ca="1">IFERROR(INDEX(_xlfn.ANCHORARRAY($C$3),T_CALC[[#This Row],[DAY]]+1,1),NA())</f>
        <v>44001</v>
      </c>
      <c r="M891" cm="1" vm="3471">
        <f t="array" aca="1" ref="M891" ca="1">IFERROR(INDEX(_xlfn.ANCHORARRAY($C$3),T_CALC[[#This Row],[DAY]]+1,3),NA())</f>
        <v>1.3939999999999999</v>
      </c>
      <c r="N891" cm="1" vm="1720">
        <f t="array" aca="1" ref="N891" ca="1">IFERROR(INDEX(_xlfn.ANCHORARRAY($C$3),T_CALC[[#This Row],[DAY]]+1,4),NA())</f>
        <v>1.3979999999999999</v>
      </c>
      <c r="O891" cm="1" vm="3248">
        <f t="array" aca="1" ref="O891" ca="1">IFERROR(INDEX(_xlfn.ANCHORARRAY($C$3),T_CALC[[#This Row],[DAY]]+1,5),NA())</f>
        <v>1.3922000000000001</v>
      </c>
      <c r="P891" cm="1" vm="1699">
        <f t="array" aca="1" ref="P891" ca="1">IFERROR(INDEX(_xlfn.ANCHORARRAY($C$3),T_CALC[[#This Row],[DAY]]+1,6),NA())</f>
        <v>1.397</v>
      </c>
      <c r="Q891" cm="1">
        <f t="array" aca="1" ref="Q891" ca="1">IFERROR(INDEX(_xlfn.ANCHORARRAY($C$3),T_CALC[[#This Row],[DAY]]+1,2),NA())</f>
        <v>0</v>
      </c>
    </row>
    <row r="892" spans="3:17">
      <c r="C892" vm="3473">
        <f ca="1"/>
        <v>44004</v>
      </c>
      <c r="D892">
        <f ca="1"/>
        <v>0</v>
      </c>
      <c r="E892" vm="3467">
        <f ca="1"/>
        <v>1.3964000000000001</v>
      </c>
      <c r="F892" vm="1700">
        <f ca="1"/>
        <v>1.3991</v>
      </c>
      <c r="G892" vm="3474">
        <f ca="1"/>
        <v>1.3915</v>
      </c>
      <c r="H892" vm="3248">
        <f ca="1"/>
        <v>1.3922000000000001</v>
      </c>
      <c r="K892">
        <f ca="1">IF(ROW(T_CALC[[#This Row],[DAY]])-ROW(T_CALC[[#Headers],[DAY]])&gt;C_N_TRADING_DAYS,"",ROW(T_CALC[[#This Row],[DAY]])-ROW(T_CALC[[#Headers],[DAY]]))</f>
        <v>889</v>
      </c>
      <c r="L892" cm="1" vm="3473">
        <f t="array" aca="1" ref="L892" ca="1">IFERROR(INDEX(_xlfn.ANCHORARRAY($C$3),T_CALC[[#This Row],[DAY]]+1,1),NA())</f>
        <v>44004</v>
      </c>
      <c r="M892" cm="1" vm="3467">
        <f t="array" aca="1" ref="M892" ca="1">IFERROR(INDEX(_xlfn.ANCHORARRAY($C$3),T_CALC[[#This Row],[DAY]]+1,3),NA())</f>
        <v>1.3964000000000001</v>
      </c>
      <c r="N892" cm="1" vm="1700">
        <f t="array" aca="1" ref="N892" ca="1">IFERROR(INDEX(_xlfn.ANCHORARRAY($C$3),T_CALC[[#This Row],[DAY]]+1,4),NA())</f>
        <v>1.3991</v>
      </c>
      <c r="O892" cm="1" vm="3474">
        <f t="array" aca="1" ref="O892" ca="1">IFERROR(INDEX(_xlfn.ANCHORARRAY($C$3),T_CALC[[#This Row],[DAY]]+1,5),NA())</f>
        <v>1.3915</v>
      </c>
      <c r="P892" cm="1" vm="3248">
        <f t="array" aca="1" ref="P892" ca="1">IFERROR(INDEX(_xlfn.ANCHORARRAY($C$3),T_CALC[[#This Row],[DAY]]+1,6),NA())</f>
        <v>1.3922000000000001</v>
      </c>
      <c r="Q892" cm="1">
        <f t="array" aca="1" ref="Q892" ca="1">IFERROR(INDEX(_xlfn.ANCHORARRAY($C$3),T_CALC[[#This Row],[DAY]]+1,2),NA())</f>
        <v>0</v>
      </c>
    </row>
    <row r="893" spans="3:17">
      <c r="C893" vm="3475">
        <f ca="1"/>
        <v>44005</v>
      </c>
      <c r="D893">
        <f ca="1"/>
        <v>0</v>
      </c>
      <c r="E893" vm="3110">
        <f ca="1"/>
        <v>1.3923000000000001</v>
      </c>
      <c r="F893" vm="1687">
        <f ca="1"/>
        <v>1.3965000000000001</v>
      </c>
      <c r="G893" vm="3476">
        <f ca="1"/>
        <v>1.3883000000000001</v>
      </c>
      <c r="H893" vm="1906">
        <f ca="1"/>
        <v>1.3909</v>
      </c>
      <c r="K893">
        <f ca="1">IF(ROW(T_CALC[[#This Row],[DAY]])-ROW(T_CALC[[#Headers],[DAY]])&gt;C_N_TRADING_DAYS,"",ROW(T_CALC[[#This Row],[DAY]])-ROW(T_CALC[[#Headers],[DAY]]))</f>
        <v>890</v>
      </c>
      <c r="L893" cm="1" vm="3475">
        <f t="array" aca="1" ref="L893" ca="1">IFERROR(INDEX(_xlfn.ANCHORARRAY($C$3),T_CALC[[#This Row],[DAY]]+1,1),NA())</f>
        <v>44005</v>
      </c>
      <c r="M893" cm="1" vm="3110">
        <f t="array" aca="1" ref="M893" ca="1">IFERROR(INDEX(_xlfn.ANCHORARRAY($C$3),T_CALC[[#This Row],[DAY]]+1,3),NA())</f>
        <v>1.3923000000000001</v>
      </c>
      <c r="N893" cm="1" vm="1687">
        <f t="array" aca="1" ref="N893" ca="1">IFERROR(INDEX(_xlfn.ANCHORARRAY($C$3),T_CALC[[#This Row],[DAY]]+1,4),NA())</f>
        <v>1.3965000000000001</v>
      </c>
      <c r="O893" cm="1" vm="3476">
        <f t="array" aca="1" ref="O893" ca="1">IFERROR(INDEX(_xlfn.ANCHORARRAY($C$3),T_CALC[[#This Row],[DAY]]+1,5),NA())</f>
        <v>1.3883000000000001</v>
      </c>
      <c r="P893" cm="1" vm="1906">
        <f t="array" aca="1" ref="P893" ca="1">IFERROR(INDEX(_xlfn.ANCHORARRAY($C$3),T_CALC[[#This Row],[DAY]]+1,6),NA())</f>
        <v>1.3909</v>
      </c>
      <c r="Q893" cm="1">
        <f t="array" aca="1" ref="Q893" ca="1">IFERROR(INDEX(_xlfn.ANCHORARRAY($C$3),T_CALC[[#This Row],[DAY]]+1,2),NA())</f>
        <v>0</v>
      </c>
    </row>
    <row r="894" spans="3:17">
      <c r="C894" vm="3477">
        <f ca="1"/>
        <v>44006</v>
      </c>
      <c r="D894">
        <f ca="1"/>
        <v>0</v>
      </c>
      <c r="E894" vm="1906">
        <f ca="1"/>
        <v>1.3909</v>
      </c>
      <c r="F894" vm="1772">
        <f ca="1"/>
        <v>1.3934</v>
      </c>
      <c r="G894" vm="1894">
        <f ca="1"/>
        <v>1.3866000000000001</v>
      </c>
      <c r="H894" vm="1715">
        <f ca="1"/>
        <v>1.3929</v>
      </c>
      <c r="K894">
        <f ca="1">IF(ROW(T_CALC[[#This Row],[DAY]])-ROW(T_CALC[[#Headers],[DAY]])&gt;C_N_TRADING_DAYS,"",ROW(T_CALC[[#This Row],[DAY]])-ROW(T_CALC[[#Headers],[DAY]]))</f>
        <v>891</v>
      </c>
      <c r="L894" cm="1" vm="3477">
        <f t="array" aca="1" ref="L894" ca="1">IFERROR(INDEX(_xlfn.ANCHORARRAY($C$3),T_CALC[[#This Row],[DAY]]+1,1),NA())</f>
        <v>44006</v>
      </c>
      <c r="M894" cm="1" vm="1906">
        <f t="array" aca="1" ref="M894" ca="1">IFERROR(INDEX(_xlfn.ANCHORARRAY($C$3),T_CALC[[#This Row],[DAY]]+1,3),NA())</f>
        <v>1.3909</v>
      </c>
      <c r="N894" cm="1" vm="1772">
        <f t="array" aca="1" ref="N894" ca="1">IFERROR(INDEX(_xlfn.ANCHORARRAY($C$3),T_CALC[[#This Row],[DAY]]+1,4),NA())</f>
        <v>1.3934</v>
      </c>
      <c r="O894" cm="1" vm="1894">
        <f t="array" aca="1" ref="O894" ca="1">IFERROR(INDEX(_xlfn.ANCHORARRAY($C$3),T_CALC[[#This Row],[DAY]]+1,5),NA())</f>
        <v>1.3866000000000001</v>
      </c>
      <c r="P894" cm="1" vm="1715">
        <f t="array" aca="1" ref="P894" ca="1">IFERROR(INDEX(_xlfn.ANCHORARRAY($C$3),T_CALC[[#This Row],[DAY]]+1,6),NA())</f>
        <v>1.3929</v>
      </c>
      <c r="Q894" cm="1">
        <f t="array" aca="1" ref="Q894" ca="1">IFERROR(INDEX(_xlfn.ANCHORARRAY($C$3),T_CALC[[#This Row],[DAY]]+1,2),NA())</f>
        <v>0</v>
      </c>
    </row>
    <row r="895" spans="3:17">
      <c r="C895" vm="3478">
        <f ca="1"/>
        <v>44007</v>
      </c>
      <c r="D895">
        <f ca="1"/>
        <v>0</v>
      </c>
      <c r="E895" vm="3469">
        <f ca="1"/>
        <v>1.393</v>
      </c>
      <c r="F895" vm="1780">
        <f ca="1"/>
        <v>1.3940999999999999</v>
      </c>
      <c r="G895" vm="3097">
        <f ca="1"/>
        <v>1.3905000000000001</v>
      </c>
      <c r="H895" vm="1711">
        <f ca="1"/>
        <v>1.3911</v>
      </c>
      <c r="K895">
        <f ca="1">IF(ROW(T_CALC[[#This Row],[DAY]])-ROW(T_CALC[[#Headers],[DAY]])&gt;C_N_TRADING_DAYS,"",ROW(T_CALC[[#This Row],[DAY]])-ROW(T_CALC[[#Headers],[DAY]]))</f>
        <v>892</v>
      </c>
      <c r="L895" cm="1" vm="3478">
        <f t="array" aca="1" ref="L895" ca="1">IFERROR(INDEX(_xlfn.ANCHORARRAY($C$3),T_CALC[[#This Row],[DAY]]+1,1),NA())</f>
        <v>44007</v>
      </c>
      <c r="M895" cm="1" vm="3469">
        <f t="array" aca="1" ref="M895" ca="1">IFERROR(INDEX(_xlfn.ANCHORARRAY($C$3),T_CALC[[#This Row],[DAY]]+1,3),NA())</f>
        <v>1.393</v>
      </c>
      <c r="N895" cm="1" vm="1780">
        <f t="array" aca="1" ref="N895" ca="1">IFERROR(INDEX(_xlfn.ANCHORARRAY($C$3),T_CALC[[#This Row],[DAY]]+1,4),NA())</f>
        <v>1.3940999999999999</v>
      </c>
      <c r="O895" cm="1" vm="3097">
        <f t="array" aca="1" ref="O895" ca="1">IFERROR(INDEX(_xlfn.ANCHORARRAY($C$3),T_CALC[[#This Row],[DAY]]+1,5),NA())</f>
        <v>1.3905000000000001</v>
      </c>
      <c r="P895" cm="1" vm="1711">
        <f t="array" aca="1" ref="P895" ca="1">IFERROR(INDEX(_xlfn.ANCHORARRAY($C$3),T_CALC[[#This Row],[DAY]]+1,6),NA())</f>
        <v>1.3911</v>
      </c>
      <c r="Q895" cm="1">
        <f t="array" aca="1" ref="Q895" ca="1">IFERROR(INDEX(_xlfn.ANCHORARRAY($C$3),T_CALC[[#This Row],[DAY]]+1,2),NA())</f>
        <v>0</v>
      </c>
    </row>
    <row r="896" spans="3:17">
      <c r="C896" vm="3479">
        <f ca="1"/>
        <v>44008</v>
      </c>
      <c r="D896">
        <f ca="1"/>
        <v>0</v>
      </c>
      <c r="E896" vm="1769">
        <f ca="1"/>
        <v>1.3913</v>
      </c>
      <c r="F896" vm="1691">
        <f ca="1"/>
        <v>1.3949</v>
      </c>
      <c r="G896" vm="3279">
        <f ca="1"/>
        <v>1.39</v>
      </c>
      <c r="H896" vm="1715">
        <f ca="1"/>
        <v>1.3929</v>
      </c>
      <c r="K896">
        <f ca="1">IF(ROW(T_CALC[[#This Row],[DAY]])-ROW(T_CALC[[#Headers],[DAY]])&gt;C_N_TRADING_DAYS,"",ROW(T_CALC[[#This Row],[DAY]])-ROW(T_CALC[[#Headers],[DAY]]))</f>
        <v>893</v>
      </c>
      <c r="L896" cm="1" vm="3479">
        <f t="array" aca="1" ref="L896" ca="1">IFERROR(INDEX(_xlfn.ANCHORARRAY($C$3),T_CALC[[#This Row],[DAY]]+1,1),NA())</f>
        <v>44008</v>
      </c>
      <c r="M896" cm="1" vm="1769">
        <f t="array" aca="1" ref="M896" ca="1">IFERROR(INDEX(_xlfn.ANCHORARRAY($C$3),T_CALC[[#This Row],[DAY]]+1,3),NA())</f>
        <v>1.3913</v>
      </c>
      <c r="N896" cm="1" vm="1691">
        <f t="array" aca="1" ref="N896" ca="1">IFERROR(INDEX(_xlfn.ANCHORARRAY($C$3),T_CALC[[#This Row],[DAY]]+1,4),NA())</f>
        <v>1.3949</v>
      </c>
      <c r="O896" cm="1" vm="3279">
        <f t="array" aca="1" ref="O896" ca="1">IFERROR(INDEX(_xlfn.ANCHORARRAY($C$3),T_CALC[[#This Row],[DAY]]+1,5),NA())</f>
        <v>1.39</v>
      </c>
      <c r="P896" cm="1" vm="1715">
        <f t="array" aca="1" ref="P896" ca="1">IFERROR(INDEX(_xlfn.ANCHORARRAY($C$3),T_CALC[[#This Row],[DAY]]+1,6),NA())</f>
        <v>1.3929</v>
      </c>
      <c r="Q896" cm="1">
        <f t="array" aca="1" ref="Q896" ca="1">IFERROR(INDEX(_xlfn.ANCHORARRAY($C$3),T_CALC[[#This Row],[DAY]]+1,2),NA())</f>
        <v>0</v>
      </c>
    </row>
    <row r="897" spans="3:17">
      <c r="C897" vm="3480">
        <f ca="1"/>
        <v>44011</v>
      </c>
      <c r="D897">
        <f ca="1"/>
        <v>0</v>
      </c>
      <c r="E897" vm="3110">
        <f ca="1"/>
        <v>1.3923000000000001</v>
      </c>
      <c r="F897" vm="1704">
        <f ca="1"/>
        <v>1.3951</v>
      </c>
      <c r="G897" vm="1826">
        <f ca="1"/>
        <v>1.3916999999999999</v>
      </c>
      <c r="H897" vm="1805">
        <f ca="1"/>
        <v>1.3935</v>
      </c>
      <c r="K897">
        <f ca="1">IF(ROW(T_CALC[[#This Row],[DAY]])-ROW(T_CALC[[#Headers],[DAY]])&gt;C_N_TRADING_DAYS,"",ROW(T_CALC[[#This Row],[DAY]])-ROW(T_CALC[[#Headers],[DAY]]))</f>
        <v>894</v>
      </c>
      <c r="L897" cm="1" vm="3480">
        <f t="array" aca="1" ref="L897" ca="1">IFERROR(INDEX(_xlfn.ANCHORARRAY($C$3),T_CALC[[#This Row],[DAY]]+1,1),NA())</f>
        <v>44011</v>
      </c>
      <c r="M897" cm="1" vm="3110">
        <f t="array" aca="1" ref="M897" ca="1">IFERROR(INDEX(_xlfn.ANCHORARRAY($C$3),T_CALC[[#This Row],[DAY]]+1,3),NA())</f>
        <v>1.3923000000000001</v>
      </c>
      <c r="N897" cm="1" vm="1704">
        <f t="array" aca="1" ref="N897" ca="1">IFERROR(INDEX(_xlfn.ANCHORARRAY($C$3),T_CALC[[#This Row],[DAY]]+1,4),NA())</f>
        <v>1.3951</v>
      </c>
      <c r="O897" cm="1" vm="1826">
        <f t="array" aca="1" ref="O897" ca="1">IFERROR(INDEX(_xlfn.ANCHORARRAY($C$3),T_CALC[[#This Row],[DAY]]+1,5),NA())</f>
        <v>1.3916999999999999</v>
      </c>
      <c r="P897" cm="1" vm="1805">
        <f t="array" aca="1" ref="P897" ca="1">IFERROR(INDEX(_xlfn.ANCHORARRAY($C$3),T_CALC[[#This Row],[DAY]]+1,6),NA())</f>
        <v>1.3935</v>
      </c>
      <c r="Q897" cm="1">
        <f t="array" aca="1" ref="Q897" ca="1">IFERROR(INDEX(_xlfn.ANCHORARRAY($C$3),T_CALC[[#This Row],[DAY]]+1,2),NA())</f>
        <v>0</v>
      </c>
    </row>
    <row r="898" spans="3:17">
      <c r="C898" vm="3481">
        <f ca="1"/>
        <v>44012</v>
      </c>
      <c r="D898">
        <f ca="1"/>
        <v>0</v>
      </c>
      <c r="E898" vm="3482">
        <f ca="1"/>
        <v>1.3936999999999999</v>
      </c>
      <c r="F898" vm="1713">
        <f ca="1"/>
        <v>1.3975</v>
      </c>
      <c r="G898" vm="1770">
        <f ca="1"/>
        <v>1.3924000000000001</v>
      </c>
      <c r="H898" vm="1785">
        <f ca="1"/>
        <v>1.3931</v>
      </c>
      <c r="K898">
        <f ca="1">IF(ROW(T_CALC[[#This Row],[DAY]])-ROW(T_CALC[[#Headers],[DAY]])&gt;C_N_TRADING_DAYS,"",ROW(T_CALC[[#This Row],[DAY]])-ROW(T_CALC[[#Headers],[DAY]]))</f>
        <v>895</v>
      </c>
      <c r="L898" cm="1" vm="3481">
        <f t="array" aca="1" ref="L898" ca="1">IFERROR(INDEX(_xlfn.ANCHORARRAY($C$3),T_CALC[[#This Row],[DAY]]+1,1),NA())</f>
        <v>44012</v>
      </c>
      <c r="M898" cm="1" vm="3482">
        <f t="array" aca="1" ref="M898" ca="1">IFERROR(INDEX(_xlfn.ANCHORARRAY($C$3),T_CALC[[#This Row],[DAY]]+1,3),NA())</f>
        <v>1.3936999999999999</v>
      </c>
      <c r="N898" cm="1" vm="1713">
        <f t="array" aca="1" ref="N898" ca="1">IFERROR(INDEX(_xlfn.ANCHORARRAY($C$3),T_CALC[[#This Row],[DAY]]+1,4),NA())</f>
        <v>1.3975</v>
      </c>
      <c r="O898" cm="1" vm="1770">
        <f t="array" aca="1" ref="O898" ca="1">IFERROR(INDEX(_xlfn.ANCHORARRAY($C$3),T_CALC[[#This Row],[DAY]]+1,5),NA())</f>
        <v>1.3924000000000001</v>
      </c>
      <c r="P898" cm="1" vm="1785">
        <f t="array" aca="1" ref="P898" ca="1">IFERROR(INDEX(_xlfn.ANCHORARRAY($C$3),T_CALC[[#This Row],[DAY]]+1,6),NA())</f>
        <v>1.3931</v>
      </c>
      <c r="Q898" cm="1">
        <f t="array" aca="1" ref="Q898" ca="1">IFERROR(INDEX(_xlfn.ANCHORARRAY($C$3),T_CALC[[#This Row],[DAY]]+1,2),NA())</f>
        <v>0</v>
      </c>
    </row>
    <row r="899" spans="3:17">
      <c r="C899" vm="3483">
        <f ca="1"/>
        <v>44013</v>
      </c>
      <c r="D899">
        <f ca="1"/>
        <v>0</v>
      </c>
      <c r="E899" vm="1813">
        <f ca="1"/>
        <v>1.3933</v>
      </c>
      <c r="F899" vm="3272">
        <f ca="1"/>
        <v>1.3962000000000001</v>
      </c>
      <c r="G899" vm="1783">
        <f ca="1"/>
        <v>1.3919999999999999</v>
      </c>
      <c r="H899" vm="3484">
        <f ca="1"/>
        <v>1.3935999999999999</v>
      </c>
      <c r="K899">
        <f ca="1">IF(ROW(T_CALC[[#This Row],[DAY]])-ROW(T_CALC[[#Headers],[DAY]])&gt;C_N_TRADING_DAYS,"",ROW(T_CALC[[#This Row],[DAY]])-ROW(T_CALC[[#Headers],[DAY]]))</f>
        <v>896</v>
      </c>
      <c r="L899" cm="1" vm="3483">
        <f t="array" aca="1" ref="L899" ca="1">IFERROR(INDEX(_xlfn.ANCHORARRAY($C$3),T_CALC[[#This Row],[DAY]]+1,1),NA())</f>
        <v>44013</v>
      </c>
      <c r="M899" cm="1" vm="1813">
        <f t="array" aca="1" ref="M899" ca="1">IFERROR(INDEX(_xlfn.ANCHORARRAY($C$3),T_CALC[[#This Row],[DAY]]+1,3),NA())</f>
        <v>1.3933</v>
      </c>
      <c r="N899" cm="1" vm="3272">
        <f t="array" aca="1" ref="N899" ca="1">IFERROR(INDEX(_xlfn.ANCHORARRAY($C$3),T_CALC[[#This Row],[DAY]]+1,4),NA())</f>
        <v>1.3962000000000001</v>
      </c>
      <c r="O899" cm="1" vm="1783">
        <f t="array" aca="1" ref="O899" ca="1">IFERROR(INDEX(_xlfn.ANCHORARRAY($C$3),T_CALC[[#This Row],[DAY]]+1,5),NA())</f>
        <v>1.3919999999999999</v>
      </c>
      <c r="P899" cm="1" vm="3484">
        <f t="array" aca="1" ref="P899" ca="1">IFERROR(INDEX(_xlfn.ANCHORARRAY($C$3),T_CALC[[#This Row],[DAY]]+1,6),NA())</f>
        <v>1.3935999999999999</v>
      </c>
      <c r="Q899" cm="1">
        <f t="array" aca="1" ref="Q899" ca="1">IFERROR(INDEX(_xlfn.ANCHORARRAY($C$3),T_CALC[[#This Row],[DAY]]+1,2),NA())</f>
        <v>0</v>
      </c>
    </row>
    <row r="900" spans="3:17">
      <c r="C900" vm="3485">
        <f ca="1"/>
        <v>44014</v>
      </c>
      <c r="D900">
        <f ca="1"/>
        <v>0</v>
      </c>
      <c r="E900" vm="3484">
        <f ca="1"/>
        <v>1.3935999999999999</v>
      </c>
      <c r="F900" vm="1761">
        <f ca="1"/>
        <v>1.3956</v>
      </c>
      <c r="G900" vm="3474">
        <f ca="1"/>
        <v>1.3915</v>
      </c>
      <c r="H900" vm="3280">
        <f ca="1"/>
        <v>1.3944000000000001</v>
      </c>
      <c r="K900">
        <f ca="1">IF(ROW(T_CALC[[#This Row],[DAY]])-ROW(T_CALC[[#Headers],[DAY]])&gt;C_N_TRADING_DAYS,"",ROW(T_CALC[[#This Row],[DAY]])-ROW(T_CALC[[#Headers],[DAY]]))</f>
        <v>897</v>
      </c>
      <c r="L900" cm="1" vm="3485">
        <f t="array" aca="1" ref="L900" ca="1">IFERROR(INDEX(_xlfn.ANCHORARRAY($C$3),T_CALC[[#This Row],[DAY]]+1,1),NA())</f>
        <v>44014</v>
      </c>
      <c r="M900" cm="1" vm="3484">
        <f t="array" aca="1" ref="M900" ca="1">IFERROR(INDEX(_xlfn.ANCHORARRAY($C$3),T_CALC[[#This Row],[DAY]]+1,3),NA())</f>
        <v>1.3935999999999999</v>
      </c>
      <c r="N900" cm="1" vm="1761">
        <f t="array" aca="1" ref="N900" ca="1">IFERROR(INDEX(_xlfn.ANCHORARRAY($C$3),T_CALC[[#This Row],[DAY]]+1,4),NA())</f>
        <v>1.3956</v>
      </c>
      <c r="O900" cm="1" vm="3474">
        <f t="array" aca="1" ref="O900" ca="1">IFERROR(INDEX(_xlfn.ANCHORARRAY($C$3),T_CALC[[#This Row],[DAY]]+1,5),NA())</f>
        <v>1.3915</v>
      </c>
      <c r="P900" cm="1" vm="3280">
        <f t="array" aca="1" ref="P900" ca="1">IFERROR(INDEX(_xlfn.ANCHORARRAY($C$3),T_CALC[[#This Row],[DAY]]+1,6),NA())</f>
        <v>1.3944000000000001</v>
      </c>
      <c r="Q900" cm="1">
        <f t="array" aca="1" ref="Q900" ca="1">IFERROR(INDEX(_xlfn.ANCHORARRAY($C$3),T_CALC[[#This Row],[DAY]]+1,2),NA())</f>
        <v>0</v>
      </c>
    </row>
    <row r="901" spans="3:17">
      <c r="C901" vm="3486">
        <f ca="1"/>
        <v>44015</v>
      </c>
      <c r="D901">
        <f ca="1"/>
        <v>0</v>
      </c>
      <c r="E901" vm="3280">
        <f ca="1"/>
        <v>1.3944000000000001</v>
      </c>
      <c r="F901" vm="3470">
        <f ca="1"/>
        <v>1.3956999999999999</v>
      </c>
      <c r="G901" vm="3484">
        <f ca="1"/>
        <v>1.3935999999999999</v>
      </c>
      <c r="H901" vm="1728">
        <f ca="1"/>
        <v>1.3945000000000001</v>
      </c>
      <c r="K901">
        <f ca="1">IF(ROW(T_CALC[[#This Row],[DAY]])-ROW(T_CALC[[#Headers],[DAY]])&gt;C_N_TRADING_DAYS,"",ROW(T_CALC[[#This Row],[DAY]])-ROW(T_CALC[[#Headers],[DAY]]))</f>
        <v>898</v>
      </c>
      <c r="L901" cm="1" vm="3486">
        <f t="array" aca="1" ref="L901" ca="1">IFERROR(INDEX(_xlfn.ANCHORARRAY($C$3),T_CALC[[#This Row],[DAY]]+1,1),NA())</f>
        <v>44015</v>
      </c>
      <c r="M901" cm="1" vm="3280">
        <f t="array" aca="1" ref="M901" ca="1">IFERROR(INDEX(_xlfn.ANCHORARRAY($C$3),T_CALC[[#This Row],[DAY]]+1,3),NA())</f>
        <v>1.3944000000000001</v>
      </c>
      <c r="N901" cm="1" vm="3470">
        <f t="array" aca="1" ref="N901" ca="1">IFERROR(INDEX(_xlfn.ANCHORARRAY($C$3),T_CALC[[#This Row],[DAY]]+1,4),NA())</f>
        <v>1.3956999999999999</v>
      </c>
      <c r="O901" cm="1" vm="3484">
        <f t="array" aca="1" ref="O901" ca="1">IFERROR(INDEX(_xlfn.ANCHORARRAY($C$3),T_CALC[[#This Row],[DAY]]+1,5),NA())</f>
        <v>1.3935999999999999</v>
      </c>
      <c r="P901" cm="1" vm="1728">
        <f t="array" aca="1" ref="P901" ca="1">IFERROR(INDEX(_xlfn.ANCHORARRAY($C$3),T_CALC[[#This Row],[DAY]]+1,6),NA())</f>
        <v>1.3945000000000001</v>
      </c>
      <c r="Q901" cm="1">
        <f t="array" aca="1" ref="Q901" ca="1">IFERROR(INDEX(_xlfn.ANCHORARRAY($C$3),T_CALC[[#This Row],[DAY]]+1,2),NA())</f>
        <v>0</v>
      </c>
    </row>
    <row r="902" spans="3:17">
      <c r="C902" vm="3487">
        <f ca="1"/>
        <v>44018</v>
      </c>
      <c r="D902">
        <f ca="1"/>
        <v>0</v>
      </c>
      <c r="E902" vm="3464">
        <f ca="1"/>
        <v>1.3946000000000001</v>
      </c>
      <c r="F902" vm="3464">
        <f ca="1"/>
        <v>1.3946000000000001</v>
      </c>
      <c r="G902" vm="1896">
        <f ca="1"/>
        <v>1.3907</v>
      </c>
      <c r="H902" vm="1783">
        <f ca="1"/>
        <v>1.3919999999999999</v>
      </c>
      <c r="K902">
        <f ca="1">IF(ROW(T_CALC[[#This Row],[DAY]])-ROW(T_CALC[[#Headers],[DAY]])&gt;C_N_TRADING_DAYS,"",ROW(T_CALC[[#This Row],[DAY]])-ROW(T_CALC[[#Headers],[DAY]]))</f>
        <v>899</v>
      </c>
      <c r="L902" cm="1" vm="3487">
        <f t="array" aca="1" ref="L902" ca="1">IFERROR(INDEX(_xlfn.ANCHORARRAY($C$3),T_CALC[[#This Row],[DAY]]+1,1),NA())</f>
        <v>44018</v>
      </c>
      <c r="M902" cm="1" vm="3464">
        <f t="array" aca="1" ref="M902" ca="1">IFERROR(INDEX(_xlfn.ANCHORARRAY($C$3),T_CALC[[#This Row],[DAY]]+1,3),NA())</f>
        <v>1.3946000000000001</v>
      </c>
      <c r="N902" cm="1" vm="3464">
        <f t="array" aca="1" ref="N902" ca="1">IFERROR(INDEX(_xlfn.ANCHORARRAY($C$3),T_CALC[[#This Row],[DAY]]+1,4),NA())</f>
        <v>1.3946000000000001</v>
      </c>
      <c r="O902" cm="1" vm="1896">
        <f t="array" aca="1" ref="O902" ca="1">IFERROR(INDEX(_xlfn.ANCHORARRAY($C$3),T_CALC[[#This Row],[DAY]]+1,5),NA())</f>
        <v>1.3907</v>
      </c>
      <c r="P902" cm="1" vm="1783">
        <f t="array" aca="1" ref="P902" ca="1">IFERROR(INDEX(_xlfn.ANCHORARRAY($C$3),T_CALC[[#This Row],[DAY]]+1,6),NA())</f>
        <v>1.3919999999999999</v>
      </c>
      <c r="Q902" cm="1">
        <f t="array" aca="1" ref="Q902" ca="1">IFERROR(INDEX(_xlfn.ANCHORARRAY($C$3),T_CALC[[#This Row],[DAY]]+1,2),NA())</f>
        <v>0</v>
      </c>
    </row>
    <row r="903" spans="3:17">
      <c r="C903" vm="3488">
        <f ca="1"/>
        <v>44019</v>
      </c>
      <c r="D903">
        <f ca="1"/>
        <v>0</v>
      </c>
      <c r="E903" vm="1783">
        <f ca="1"/>
        <v>1.3919999999999999</v>
      </c>
      <c r="F903" vm="1699">
        <f ca="1"/>
        <v>1.397</v>
      </c>
      <c r="G903" vm="1904">
        <f ca="1"/>
        <v>1.3898999999999999</v>
      </c>
      <c r="H903" vm="1691">
        <f ca="1"/>
        <v>1.3949</v>
      </c>
      <c r="K903">
        <f ca="1">IF(ROW(T_CALC[[#This Row],[DAY]])-ROW(T_CALC[[#Headers],[DAY]])&gt;C_N_TRADING_DAYS,"",ROW(T_CALC[[#This Row],[DAY]])-ROW(T_CALC[[#Headers],[DAY]]))</f>
        <v>900</v>
      </c>
      <c r="L903" cm="1" vm="3488">
        <f t="array" aca="1" ref="L903" ca="1">IFERROR(INDEX(_xlfn.ANCHORARRAY($C$3),T_CALC[[#This Row],[DAY]]+1,1),NA())</f>
        <v>44019</v>
      </c>
      <c r="M903" cm="1" vm="1783">
        <f t="array" aca="1" ref="M903" ca="1">IFERROR(INDEX(_xlfn.ANCHORARRAY($C$3),T_CALC[[#This Row],[DAY]]+1,3),NA())</f>
        <v>1.3919999999999999</v>
      </c>
      <c r="N903" cm="1" vm="1699">
        <f t="array" aca="1" ref="N903" ca="1">IFERROR(INDEX(_xlfn.ANCHORARRAY($C$3),T_CALC[[#This Row],[DAY]]+1,4),NA())</f>
        <v>1.397</v>
      </c>
      <c r="O903" cm="1" vm="1904">
        <f t="array" aca="1" ref="O903" ca="1">IFERROR(INDEX(_xlfn.ANCHORARRAY($C$3),T_CALC[[#This Row],[DAY]]+1,5),NA())</f>
        <v>1.3898999999999999</v>
      </c>
      <c r="P903" cm="1" vm="1691">
        <f t="array" aca="1" ref="P903" ca="1">IFERROR(INDEX(_xlfn.ANCHORARRAY($C$3),T_CALC[[#This Row],[DAY]]+1,6),NA())</f>
        <v>1.3949</v>
      </c>
      <c r="Q903" cm="1">
        <f t="array" aca="1" ref="Q903" ca="1">IFERROR(INDEX(_xlfn.ANCHORARRAY($C$3),T_CALC[[#This Row],[DAY]]+1,2),NA())</f>
        <v>0</v>
      </c>
    </row>
    <row r="904" spans="3:17">
      <c r="C904" vm="3489">
        <f ca="1"/>
        <v>44020</v>
      </c>
      <c r="D904">
        <f ca="1"/>
        <v>0</v>
      </c>
      <c r="E904" vm="3464">
        <f ca="1"/>
        <v>1.3946000000000001</v>
      </c>
      <c r="F904" vm="1695">
        <f ca="1"/>
        <v>1.3966000000000001</v>
      </c>
      <c r="G904" vm="1823">
        <f ca="1"/>
        <v>1.3908</v>
      </c>
      <c r="H904" vm="3257">
        <f ca="1"/>
        <v>1.391</v>
      </c>
      <c r="K904">
        <f ca="1">IF(ROW(T_CALC[[#This Row],[DAY]])-ROW(T_CALC[[#Headers],[DAY]])&gt;C_N_TRADING_DAYS,"",ROW(T_CALC[[#This Row],[DAY]])-ROW(T_CALC[[#Headers],[DAY]]))</f>
        <v>901</v>
      </c>
      <c r="L904" cm="1" vm="3489">
        <f t="array" aca="1" ref="L904" ca="1">IFERROR(INDEX(_xlfn.ANCHORARRAY($C$3),T_CALC[[#This Row],[DAY]]+1,1),NA())</f>
        <v>44020</v>
      </c>
      <c r="M904" cm="1" vm="3464">
        <f t="array" aca="1" ref="M904" ca="1">IFERROR(INDEX(_xlfn.ANCHORARRAY($C$3),T_CALC[[#This Row],[DAY]]+1,3),NA())</f>
        <v>1.3946000000000001</v>
      </c>
      <c r="N904" cm="1" vm="1695">
        <f t="array" aca="1" ref="N904" ca="1">IFERROR(INDEX(_xlfn.ANCHORARRAY($C$3),T_CALC[[#This Row],[DAY]]+1,4),NA())</f>
        <v>1.3966000000000001</v>
      </c>
      <c r="O904" cm="1" vm="1823">
        <f t="array" aca="1" ref="O904" ca="1">IFERROR(INDEX(_xlfn.ANCHORARRAY($C$3),T_CALC[[#This Row],[DAY]]+1,5),NA())</f>
        <v>1.3908</v>
      </c>
      <c r="P904" cm="1" vm="3257">
        <f t="array" aca="1" ref="P904" ca="1">IFERROR(INDEX(_xlfn.ANCHORARRAY($C$3),T_CALC[[#This Row],[DAY]]+1,6),NA())</f>
        <v>1.391</v>
      </c>
      <c r="Q904" cm="1">
        <f t="array" aca="1" ref="Q904" ca="1">IFERROR(INDEX(_xlfn.ANCHORARRAY($C$3),T_CALC[[#This Row],[DAY]]+1,2),NA())</f>
        <v>0</v>
      </c>
    </row>
    <row r="905" spans="3:17">
      <c r="C905" vm="3490">
        <f ca="1"/>
        <v>44021</v>
      </c>
      <c r="D905">
        <f ca="1"/>
        <v>0</v>
      </c>
      <c r="E905" vm="1906">
        <f ca="1"/>
        <v>1.3909</v>
      </c>
      <c r="F905" vm="1772">
        <f ca="1"/>
        <v>1.3934</v>
      </c>
      <c r="G905" vm="1807">
        <f ca="1"/>
        <v>1.3892</v>
      </c>
      <c r="H905" vm="1770">
        <f ca="1"/>
        <v>1.3924000000000001</v>
      </c>
      <c r="K905">
        <f ca="1">IF(ROW(T_CALC[[#This Row],[DAY]])-ROW(T_CALC[[#Headers],[DAY]])&gt;C_N_TRADING_DAYS,"",ROW(T_CALC[[#This Row],[DAY]])-ROW(T_CALC[[#Headers],[DAY]]))</f>
        <v>902</v>
      </c>
      <c r="L905" cm="1" vm="3490">
        <f t="array" aca="1" ref="L905" ca="1">IFERROR(INDEX(_xlfn.ANCHORARRAY($C$3),T_CALC[[#This Row],[DAY]]+1,1),NA())</f>
        <v>44021</v>
      </c>
      <c r="M905" cm="1" vm="1906">
        <f t="array" aca="1" ref="M905" ca="1">IFERROR(INDEX(_xlfn.ANCHORARRAY($C$3),T_CALC[[#This Row],[DAY]]+1,3),NA())</f>
        <v>1.3909</v>
      </c>
      <c r="N905" cm="1" vm="1772">
        <f t="array" aca="1" ref="N905" ca="1">IFERROR(INDEX(_xlfn.ANCHORARRAY($C$3),T_CALC[[#This Row],[DAY]]+1,4),NA())</f>
        <v>1.3934</v>
      </c>
      <c r="O905" cm="1" vm="1807">
        <f t="array" aca="1" ref="O905" ca="1">IFERROR(INDEX(_xlfn.ANCHORARRAY($C$3),T_CALC[[#This Row],[DAY]]+1,5),NA())</f>
        <v>1.3892</v>
      </c>
      <c r="P905" cm="1" vm="1770">
        <f t="array" aca="1" ref="P905" ca="1">IFERROR(INDEX(_xlfn.ANCHORARRAY($C$3),T_CALC[[#This Row],[DAY]]+1,6),NA())</f>
        <v>1.3924000000000001</v>
      </c>
      <c r="Q905" cm="1">
        <f t="array" aca="1" ref="Q905" ca="1">IFERROR(INDEX(_xlfn.ANCHORARRAY($C$3),T_CALC[[#This Row],[DAY]]+1,2),NA())</f>
        <v>0</v>
      </c>
    </row>
    <row r="906" spans="3:17">
      <c r="C906" vm="3491">
        <f ca="1"/>
        <v>44022</v>
      </c>
      <c r="D906">
        <f ca="1"/>
        <v>0</v>
      </c>
      <c r="E906" vm="3286">
        <f ca="1"/>
        <v>1.3918999999999999</v>
      </c>
      <c r="F906" vm="1686">
        <f ca="1"/>
        <v>1.395</v>
      </c>
      <c r="G906" vm="3250">
        <f ca="1"/>
        <v>1.3895999999999999</v>
      </c>
      <c r="H906" vm="1906">
        <f ca="1"/>
        <v>1.3909</v>
      </c>
      <c r="K906">
        <f ca="1">IF(ROW(T_CALC[[#This Row],[DAY]])-ROW(T_CALC[[#Headers],[DAY]])&gt;C_N_TRADING_DAYS,"",ROW(T_CALC[[#This Row],[DAY]])-ROW(T_CALC[[#Headers],[DAY]]))</f>
        <v>903</v>
      </c>
      <c r="L906" cm="1" vm="3491">
        <f t="array" aca="1" ref="L906" ca="1">IFERROR(INDEX(_xlfn.ANCHORARRAY($C$3),T_CALC[[#This Row],[DAY]]+1,1),NA())</f>
        <v>44022</v>
      </c>
      <c r="M906" cm="1" vm="3286">
        <f t="array" aca="1" ref="M906" ca="1">IFERROR(INDEX(_xlfn.ANCHORARRAY($C$3),T_CALC[[#This Row],[DAY]]+1,3),NA())</f>
        <v>1.3918999999999999</v>
      </c>
      <c r="N906" cm="1" vm="1686">
        <f t="array" aca="1" ref="N906" ca="1">IFERROR(INDEX(_xlfn.ANCHORARRAY($C$3),T_CALC[[#This Row],[DAY]]+1,4),NA())</f>
        <v>1.395</v>
      </c>
      <c r="O906" cm="1" vm="3250">
        <f t="array" aca="1" ref="O906" ca="1">IFERROR(INDEX(_xlfn.ANCHORARRAY($C$3),T_CALC[[#This Row],[DAY]]+1,5),NA())</f>
        <v>1.3895999999999999</v>
      </c>
      <c r="P906" cm="1" vm="1906">
        <f t="array" aca="1" ref="P906" ca="1">IFERROR(INDEX(_xlfn.ANCHORARRAY($C$3),T_CALC[[#This Row],[DAY]]+1,6),NA())</f>
        <v>1.3909</v>
      </c>
      <c r="Q906" cm="1">
        <f t="array" aca="1" ref="Q906" ca="1">IFERROR(INDEX(_xlfn.ANCHORARRAY($C$3),T_CALC[[#This Row],[DAY]]+1,2),NA())</f>
        <v>0</v>
      </c>
    </row>
    <row r="907" spans="3:17">
      <c r="C907" vm="3492">
        <f ca="1"/>
        <v>44025</v>
      </c>
      <c r="D907">
        <f ca="1"/>
        <v>0</v>
      </c>
      <c r="E907" vm="1823">
        <f ca="1"/>
        <v>1.3908</v>
      </c>
      <c r="F907" vm="3474">
        <f ca="1"/>
        <v>1.3915</v>
      </c>
      <c r="G907" vm="2849">
        <f ca="1"/>
        <v>1.3871</v>
      </c>
      <c r="H907" vm="1904">
        <f ca="1"/>
        <v>1.3898999999999999</v>
      </c>
      <c r="K907">
        <f ca="1">IF(ROW(T_CALC[[#This Row],[DAY]])-ROW(T_CALC[[#Headers],[DAY]])&gt;C_N_TRADING_DAYS,"",ROW(T_CALC[[#This Row],[DAY]])-ROW(T_CALC[[#Headers],[DAY]]))</f>
        <v>904</v>
      </c>
      <c r="L907" cm="1" vm="3492">
        <f t="array" aca="1" ref="L907" ca="1">IFERROR(INDEX(_xlfn.ANCHORARRAY($C$3),T_CALC[[#This Row],[DAY]]+1,1),NA())</f>
        <v>44025</v>
      </c>
      <c r="M907" cm="1" vm="1823">
        <f t="array" aca="1" ref="M907" ca="1">IFERROR(INDEX(_xlfn.ANCHORARRAY($C$3),T_CALC[[#This Row],[DAY]]+1,3),NA())</f>
        <v>1.3908</v>
      </c>
      <c r="N907" cm="1" vm="3474">
        <f t="array" aca="1" ref="N907" ca="1">IFERROR(INDEX(_xlfn.ANCHORARRAY($C$3),T_CALC[[#This Row],[DAY]]+1,4),NA())</f>
        <v>1.3915</v>
      </c>
      <c r="O907" cm="1" vm="2849">
        <f t="array" aca="1" ref="O907" ca="1">IFERROR(INDEX(_xlfn.ANCHORARRAY($C$3),T_CALC[[#This Row],[DAY]]+1,5),NA())</f>
        <v>1.3871</v>
      </c>
      <c r="P907" cm="1" vm="1904">
        <f t="array" aca="1" ref="P907" ca="1">IFERROR(INDEX(_xlfn.ANCHORARRAY($C$3),T_CALC[[#This Row],[DAY]]+1,6),NA())</f>
        <v>1.3898999999999999</v>
      </c>
      <c r="Q907" cm="1">
        <f t="array" aca="1" ref="Q907" ca="1">IFERROR(INDEX(_xlfn.ANCHORARRAY($C$3),T_CALC[[#This Row],[DAY]]+1,2),NA())</f>
        <v>0</v>
      </c>
    </row>
    <row r="908" spans="3:17">
      <c r="C908" vm="3493">
        <f ca="1"/>
        <v>44026</v>
      </c>
      <c r="D908">
        <f ca="1"/>
        <v>0</v>
      </c>
      <c r="E908" vm="3494">
        <f ca="1"/>
        <v>1.3903000000000001</v>
      </c>
      <c r="F908" vm="3276">
        <f ca="1"/>
        <v>1.3947000000000001</v>
      </c>
      <c r="G908" vm="1807">
        <f ca="1"/>
        <v>1.3892</v>
      </c>
      <c r="H908" vm="3495">
        <f ca="1"/>
        <v>1.3917999999999999</v>
      </c>
      <c r="K908">
        <f ca="1">IF(ROW(T_CALC[[#This Row],[DAY]])-ROW(T_CALC[[#Headers],[DAY]])&gt;C_N_TRADING_DAYS,"",ROW(T_CALC[[#This Row],[DAY]])-ROW(T_CALC[[#Headers],[DAY]]))</f>
        <v>905</v>
      </c>
      <c r="L908" cm="1" vm="3493">
        <f t="array" aca="1" ref="L908" ca="1">IFERROR(INDEX(_xlfn.ANCHORARRAY($C$3),T_CALC[[#This Row],[DAY]]+1,1),NA())</f>
        <v>44026</v>
      </c>
      <c r="M908" cm="1" vm="3494">
        <f t="array" aca="1" ref="M908" ca="1">IFERROR(INDEX(_xlfn.ANCHORARRAY($C$3),T_CALC[[#This Row],[DAY]]+1,3),NA())</f>
        <v>1.3903000000000001</v>
      </c>
      <c r="N908" cm="1" vm="3276">
        <f t="array" aca="1" ref="N908" ca="1">IFERROR(INDEX(_xlfn.ANCHORARRAY($C$3),T_CALC[[#This Row],[DAY]]+1,4),NA())</f>
        <v>1.3947000000000001</v>
      </c>
      <c r="O908" cm="1" vm="1807">
        <f t="array" aca="1" ref="O908" ca="1">IFERROR(INDEX(_xlfn.ANCHORARRAY($C$3),T_CALC[[#This Row],[DAY]]+1,5),NA())</f>
        <v>1.3892</v>
      </c>
      <c r="P908" cm="1" vm="3495">
        <f t="array" aca="1" ref="P908" ca="1">IFERROR(INDEX(_xlfn.ANCHORARRAY($C$3),T_CALC[[#This Row],[DAY]]+1,6),NA())</f>
        <v>1.3917999999999999</v>
      </c>
      <c r="Q908" cm="1">
        <f t="array" aca="1" ref="Q908" ca="1">IFERROR(INDEX(_xlfn.ANCHORARRAY($C$3),T_CALC[[#This Row],[DAY]]+1,2),NA())</f>
        <v>0</v>
      </c>
    </row>
    <row r="909" spans="3:17">
      <c r="C909" vm="3496">
        <f ca="1"/>
        <v>44027</v>
      </c>
      <c r="D909">
        <f ca="1"/>
        <v>0</v>
      </c>
      <c r="E909" vm="1826">
        <f ca="1"/>
        <v>1.3916999999999999</v>
      </c>
      <c r="F909" vm="1770">
        <f ca="1"/>
        <v>1.3924000000000001</v>
      </c>
      <c r="G909" vm="1892">
        <f ca="1"/>
        <v>1.3872</v>
      </c>
      <c r="H909" vm="1909">
        <f ca="1"/>
        <v>1.3888</v>
      </c>
      <c r="K909">
        <f ca="1">IF(ROW(T_CALC[[#This Row],[DAY]])-ROW(T_CALC[[#Headers],[DAY]])&gt;C_N_TRADING_DAYS,"",ROW(T_CALC[[#This Row],[DAY]])-ROW(T_CALC[[#Headers],[DAY]]))</f>
        <v>906</v>
      </c>
      <c r="L909" cm="1" vm="3496">
        <f t="array" aca="1" ref="L909" ca="1">IFERROR(INDEX(_xlfn.ANCHORARRAY($C$3),T_CALC[[#This Row],[DAY]]+1,1),NA())</f>
        <v>44027</v>
      </c>
      <c r="M909" cm="1" vm="1826">
        <f t="array" aca="1" ref="M909" ca="1">IFERROR(INDEX(_xlfn.ANCHORARRAY($C$3),T_CALC[[#This Row],[DAY]]+1,3),NA())</f>
        <v>1.3916999999999999</v>
      </c>
      <c r="N909" cm="1" vm="1770">
        <f t="array" aca="1" ref="N909" ca="1">IFERROR(INDEX(_xlfn.ANCHORARRAY($C$3),T_CALC[[#This Row],[DAY]]+1,4),NA())</f>
        <v>1.3924000000000001</v>
      </c>
      <c r="O909" cm="1" vm="1892">
        <f t="array" aca="1" ref="O909" ca="1">IFERROR(INDEX(_xlfn.ANCHORARRAY($C$3),T_CALC[[#This Row],[DAY]]+1,5),NA())</f>
        <v>1.3872</v>
      </c>
      <c r="P909" cm="1" vm="1909">
        <f t="array" aca="1" ref="P909" ca="1">IFERROR(INDEX(_xlfn.ANCHORARRAY($C$3),T_CALC[[#This Row],[DAY]]+1,6),NA())</f>
        <v>1.3888</v>
      </c>
      <c r="Q909" cm="1">
        <f t="array" aca="1" ref="Q909" ca="1">IFERROR(INDEX(_xlfn.ANCHORARRAY($C$3),T_CALC[[#This Row],[DAY]]+1,2),NA())</f>
        <v>0</v>
      </c>
    </row>
    <row r="910" spans="3:17">
      <c r="C910" vm="3497">
        <f ca="1"/>
        <v>44028</v>
      </c>
      <c r="D910">
        <f ca="1"/>
        <v>0</v>
      </c>
      <c r="E910" vm="3121">
        <f ca="1"/>
        <v>1.3889</v>
      </c>
      <c r="F910" vm="3484">
        <f ca="1"/>
        <v>1.3935999999999999</v>
      </c>
      <c r="G910" vm="3476">
        <f ca="1"/>
        <v>1.3883000000000001</v>
      </c>
      <c r="H910" vm="3498">
        <f ca="1"/>
        <v>1.3920999999999999</v>
      </c>
      <c r="K910">
        <f ca="1">IF(ROW(T_CALC[[#This Row],[DAY]])-ROW(T_CALC[[#Headers],[DAY]])&gt;C_N_TRADING_DAYS,"",ROW(T_CALC[[#This Row],[DAY]])-ROW(T_CALC[[#Headers],[DAY]]))</f>
        <v>907</v>
      </c>
      <c r="L910" cm="1" vm="3497">
        <f t="array" aca="1" ref="L910" ca="1">IFERROR(INDEX(_xlfn.ANCHORARRAY($C$3),T_CALC[[#This Row],[DAY]]+1,1),NA())</f>
        <v>44028</v>
      </c>
      <c r="M910" cm="1" vm="3121">
        <f t="array" aca="1" ref="M910" ca="1">IFERROR(INDEX(_xlfn.ANCHORARRAY($C$3),T_CALC[[#This Row],[DAY]]+1,3),NA())</f>
        <v>1.3889</v>
      </c>
      <c r="N910" cm="1" vm="3484">
        <f t="array" aca="1" ref="N910" ca="1">IFERROR(INDEX(_xlfn.ANCHORARRAY($C$3),T_CALC[[#This Row],[DAY]]+1,4),NA())</f>
        <v>1.3935999999999999</v>
      </c>
      <c r="O910" cm="1" vm="3476">
        <f t="array" aca="1" ref="O910" ca="1">IFERROR(INDEX(_xlfn.ANCHORARRAY($C$3),T_CALC[[#This Row],[DAY]]+1,5),NA())</f>
        <v>1.3883000000000001</v>
      </c>
      <c r="P910" cm="1" vm="3498">
        <f t="array" aca="1" ref="P910" ca="1">IFERROR(INDEX(_xlfn.ANCHORARRAY($C$3),T_CALC[[#This Row],[DAY]]+1,6),NA())</f>
        <v>1.3920999999999999</v>
      </c>
      <c r="Q910" cm="1">
        <f t="array" aca="1" ref="Q910" ca="1">IFERROR(INDEX(_xlfn.ANCHORARRAY($C$3),T_CALC[[#This Row],[DAY]]+1,2),NA())</f>
        <v>0</v>
      </c>
    </row>
    <row r="911" spans="3:17">
      <c r="C911" vm="3499">
        <f ca="1"/>
        <v>44029</v>
      </c>
      <c r="D911">
        <f ca="1"/>
        <v>0</v>
      </c>
      <c r="E911" vm="3248">
        <f ca="1"/>
        <v>1.3922000000000001</v>
      </c>
      <c r="F911" vm="3255">
        <f ca="1"/>
        <v>1.3927</v>
      </c>
      <c r="G911" vm="1807">
        <f ca="1"/>
        <v>1.3892</v>
      </c>
      <c r="H911" vm="1810">
        <f ca="1"/>
        <v>1.3896999999999999</v>
      </c>
      <c r="K911">
        <f ca="1">IF(ROW(T_CALC[[#This Row],[DAY]])-ROW(T_CALC[[#Headers],[DAY]])&gt;C_N_TRADING_DAYS,"",ROW(T_CALC[[#This Row],[DAY]])-ROW(T_CALC[[#Headers],[DAY]]))</f>
        <v>908</v>
      </c>
      <c r="L911" cm="1" vm="3499">
        <f t="array" aca="1" ref="L911" ca="1">IFERROR(INDEX(_xlfn.ANCHORARRAY($C$3),T_CALC[[#This Row],[DAY]]+1,1),NA())</f>
        <v>44029</v>
      </c>
      <c r="M911" cm="1" vm="3248">
        <f t="array" aca="1" ref="M911" ca="1">IFERROR(INDEX(_xlfn.ANCHORARRAY($C$3),T_CALC[[#This Row],[DAY]]+1,3),NA())</f>
        <v>1.3922000000000001</v>
      </c>
      <c r="N911" cm="1" vm="3255">
        <f t="array" aca="1" ref="N911" ca="1">IFERROR(INDEX(_xlfn.ANCHORARRAY($C$3),T_CALC[[#This Row],[DAY]]+1,4),NA())</f>
        <v>1.3927</v>
      </c>
      <c r="O911" cm="1" vm="1807">
        <f t="array" aca="1" ref="O911" ca="1">IFERROR(INDEX(_xlfn.ANCHORARRAY($C$3),T_CALC[[#This Row],[DAY]]+1,5),NA())</f>
        <v>1.3892</v>
      </c>
      <c r="P911" cm="1" vm="1810">
        <f t="array" aca="1" ref="P911" ca="1">IFERROR(INDEX(_xlfn.ANCHORARRAY($C$3),T_CALC[[#This Row],[DAY]]+1,6),NA())</f>
        <v>1.3896999999999999</v>
      </c>
      <c r="Q911" cm="1">
        <f t="array" aca="1" ref="Q911" ca="1">IFERROR(INDEX(_xlfn.ANCHORARRAY($C$3),T_CALC[[#This Row],[DAY]]+1,2),NA())</f>
        <v>0</v>
      </c>
    </row>
    <row r="912" spans="3:17">
      <c r="C912" vm="3500">
        <f ca="1"/>
        <v>44032</v>
      </c>
      <c r="D912">
        <f ca="1"/>
        <v>0</v>
      </c>
      <c r="E912" vm="1904">
        <f ca="1"/>
        <v>1.3898999999999999</v>
      </c>
      <c r="F912" vm="3495">
        <f ca="1"/>
        <v>1.3917999999999999</v>
      </c>
      <c r="G912" vm="3460">
        <f ca="1"/>
        <v>1.3880999999999999</v>
      </c>
      <c r="H912" vm="1902">
        <f ca="1"/>
        <v>1.3887</v>
      </c>
      <c r="K912">
        <f ca="1">IF(ROW(T_CALC[[#This Row],[DAY]])-ROW(T_CALC[[#Headers],[DAY]])&gt;C_N_TRADING_DAYS,"",ROW(T_CALC[[#This Row],[DAY]])-ROW(T_CALC[[#Headers],[DAY]]))</f>
        <v>909</v>
      </c>
      <c r="L912" cm="1" vm="3500">
        <f t="array" aca="1" ref="L912" ca="1">IFERROR(INDEX(_xlfn.ANCHORARRAY($C$3),T_CALC[[#This Row],[DAY]]+1,1),NA())</f>
        <v>44032</v>
      </c>
      <c r="M912" cm="1" vm="1904">
        <f t="array" aca="1" ref="M912" ca="1">IFERROR(INDEX(_xlfn.ANCHORARRAY($C$3),T_CALC[[#This Row],[DAY]]+1,3),NA())</f>
        <v>1.3898999999999999</v>
      </c>
      <c r="N912" cm="1" vm="3495">
        <f t="array" aca="1" ref="N912" ca="1">IFERROR(INDEX(_xlfn.ANCHORARRAY($C$3),T_CALC[[#This Row],[DAY]]+1,4),NA())</f>
        <v>1.3917999999999999</v>
      </c>
      <c r="O912" cm="1" vm="3460">
        <f t="array" aca="1" ref="O912" ca="1">IFERROR(INDEX(_xlfn.ANCHORARRAY($C$3),T_CALC[[#This Row],[DAY]]+1,5),NA())</f>
        <v>1.3880999999999999</v>
      </c>
      <c r="P912" cm="1" vm="1902">
        <f t="array" aca="1" ref="P912" ca="1">IFERROR(INDEX(_xlfn.ANCHORARRAY($C$3),T_CALC[[#This Row],[DAY]]+1,6),NA())</f>
        <v>1.3887</v>
      </c>
      <c r="Q912" cm="1">
        <f t="array" aca="1" ref="Q912" ca="1">IFERROR(INDEX(_xlfn.ANCHORARRAY($C$3),T_CALC[[#This Row],[DAY]]+1,2),NA())</f>
        <v>0</v>
      </c>
    </row>
    <row r="913" spans="3:17">
      <c r="C913" vm="3501">
        <f ca="1"/>
        <v>44033</v>
      </c>
      <c r="D913">
        <f ca="1"/>
        <v>0</v>
      </c>
      <c r="E913" vm="3121">
        <f ca="1"/>
        <v>1.3889</v>
      </c>
      <c r="F913" vm="1775">
        <f ca="1"/>
        <v>1.3914</v>
      </c>
      <c r="G913" vm="1936">
        <f ca="1"/>
        <v>1.3815999999999999</v>
      </c>
      <c r="H913" vm="1889">
        <f ca="1"/>
        <v>1.383</v>
      </c>
      <c r="K913">
        <f ca="1">IF(ROW(T_CALC[[#This Row],[DAY]])-ROW(T_CALC[[#Headers],[DAY]])&gt;C_N_TRADING_DAYS,"",ROW(T_CALC[[#This Row],[DAY]])-ROW(T_CALC[[#Headers],[DAY]]))</f>
        <v>910</v>
      </c>
      <c r="L913" cm="1" vm="3501">
        <f t="array" aca="1" ref="L913" ca="1">IFERROR(INDEX(_xlfn.ANCHORARRAY($C$3),T_CALC[[#This Row],[DAY]]+1,1),NA())</f>
        <v>44033</v>
      </c>
      <c r="M913" cm="1" vm="3121">
        <f t="array" aca="1" ref="M913" ca="1">IFERROR(INDEX(_xlfn.ANCHORARRAY($C$3),T_CALC[[#This Row],[DAY]]+1,3),NA())</f>
        <v>1.3889</v>
      </c>
      <c r="N913" cm="1" vm="1775">
        <f t="array" aca="1" ref="N913" ca="1">IFERROR(INDEX(_xlfn.ANCHORARRAY($C$3),T_CALC[[#This Row],[DAY]]+1,4),NA())</f>
        <v>1.3914</v>
      </c>
      <c r="O913" cm="1" vm="1936">
        <f t="array" aca="1" ref="O913" ca="1">IFERROR(INDEX(_xlfn.ANCHORARRAY($C$3),T_CALC[[#This Row],[DAY]]+1,5),NA())</f>
        <v>1.3815999999999999</v>
      </c>
      <c r="P913" cm="1" vm="1889">
        <f t="array" aca="1" ref="P913" ca="1">IFERROR(INDEX(_xlfn.ANCHORARRAY($C$3),T_CALC[[#This Row],[DAY]]+1,6),NA())</f>
        <v>1.383</v>
      </c>
      <c r="Q913" cm="1">
        <f t="array" aca="1" ref="Q913" ca="1">IFERROR(INDEX(_xlfn.ANCHORARRAY($C$3),T_CALC[[#This Row],[DAY]]+1,2),NA())</f>
        <v>0</v>
      </c>
    </row>
    <row r="914" spans="3:17">
      <c r="C914" vm="3502">
        <f ca="1"/>
        <v>44034</v>
      </c>
      <c r="D914">
        <f ca="1"/>
        <v>0</v>
      </c>
      <c r="E914" vm="1889">
        <f ca="1"/>
        <v>1.383</v>
      </c>
      <c r="F914" vm="1903">
        <f ca="1"/>
        <v>1.3873</v>
      </c>
      <c r="G914" vm="1836">
        <f ca="1"/>
        <v>1.3815</v>
      </c>
      <c r="H914" vm="2863">
        <f ca="1"/>
        <v>1.3853</v>
      </c>
      <c r="K914">
        <f ca="1">IF(ROW(T_CALC[[#This Row],[DAY]])-ROW(T_CALC[[#Headers],[DAY]])&gt;C_N_TRADING_DAYS,"",ROW(T_CALC[[#This Row],[DAY]])-ROW(T_CALC[[#Headers],[DAY]]))</f>
        <v>911</v>
      </c>
      <c r="L914" cm="1" vm="3502">
        <f t="array" aca="1" ref="L914" ca="1">IFERROR(INDEX(_xlfn.ANCHORARRAY($C$3),T_CALC[[#This Row],[DAY]]+1,1),NA())</f>
        <v>44034</v>
      </c>
      <c r="M914" cm="1" vm="1889">
        <f t="array" aca="1" ref="M914" ca="1">IFERROR(INDEX(_xlfn.ANCHORARRAY($C$3),T_CALC[[#This Row],[DAY]]+1,3),NA())</f>
        <v>1.383</v>
      </c>
      <c r="N914" cm="1" vm="1903">
        <f t="array" aca="1" ref="N914" ca="1">IFERROR(INDEX(_xlfn.ANCHORARRAY($C$3),T_CALC[[#This Row],[DAY]]+1,4),NA())</f>
        <v>1.3873</v>
      </c>
      <c r="O914" cm="1" vm="1836">
        <f t="array" aca="1" ref="O914" ca="1">IFERROR(INDEX(_xlfn.ANCHORARRAY($C$3),T_CALC[[#This Row],[DAY]]+1,5),NA())</f>
        <v>1.3815</v>
      </c>
      <c r="P914" cm="1" vm="2863">
        <f t="array" aca="1" ref="P914" ca="1">IFERROR(INDEX(_xlfn.ANCHORARRAY($C$3),T_CALC[[#This Row],[DAY]]+1,6),NA())</f>
        <v>1.3853</v>
      </c>
      <c r="Q914" cm="1">
        <f t="array" aca="1" ref="Q914" ca="1">IFERROR(INDEX(_xlfn.ANCHORARRAY($C$3),T_CALC[[#This Row],[DAY]]+1,2),NA())</f>
        <v>0</v>
      </c>
    </row>
    <row r="915" spans="3:17">
      <c r="C915" vm="3503">
        <f ca="1"/>
        <v>44035</v>
      </c>
      <c r="D915">
        <f ca="1"/>
        <v>0</v>
      </c>
      <c r="E915" vm="1940">
        <f ca="1"/>
        <v>1.3855</v>
      </c>
      <c r="F915" vm="1903">
        <f ca="1"/>
        <v>1.3873</v>
      </c>
      <c r="G915" vm="1860">
        <f ca="1"/>
        <v>1.3819999999999999</v>
      </c>
      <c r="H915" vm="3106">
        <f ca="1"/>
        <v>1.3856999999999999</v>
      </c>
      <c r="K915">
        <f ca="1">IF(ROW(T_CALC[[#This Row],[DAY]])-ROW(T_CALC[[#Headers],[DAY]])&gt;C_N_TRADING_DAYS,"",ROW(T_CALC[[#This Row],[DAY]])-ROW(T_CALC[[#Headers],[DAY]]))</f>
        <v>912</v>
      </c>
      <c r="L915" cm="1" vm="3503">
        <f t="array" aca="1" ref="L915" ca="1">IFERROR(INDEX(_xlfn.ANCHORARRAY($C$3),T_CALC[[#This Row],[DAY]]+1,1),NA())</f>
        <v>44035</v>
      </c>
      <c r="M915" cm="1" vm="1940">
        <f t="array" aca="1" ref="M915" ca="1">IFERROR(INDEX(_xlfn.ANCHORARRAY($C$3),T_CALC[[#This Row],[DAY]]+1,3),NA())</f>
        <v>1.3855</v>
      </c>
      <c r="N915" cm="1" vm="1903">
        <f t="array" aca="1" ref="N915" ca="1">IFERROR(INDEX(_xlfn.ANCHORARRAY($C$3),T_CALC[[#This Row],[DAY]]+1,4),NA())</f>
        <v>1.3873</v>
      </c>
      <c r="O915" cm="1" vm="1860">
        <f t="array" aca="1" ref="O915" ca="1">IFERROR(INDEX(_xlfn.ANCHORARRAY($C$3),T_CALC[[#This Row],[DAY]]+1,5),NA())</f>
        <v>1.3819999999999999</v>
      </c>
      <c r="P915" cm="1" vm="3106">
        <f t="array" aca="1" ref="P915" ca="1">IFERROR(INDEX(_xlfn.ANCHORARRAY($C$3),T_CALC[[#This Row],[DAY]]+1,6),NA())</f>
        <v>1.3856999999999999</v>
      </c>
      <c r="Q915" cm="1">
        <f t="array" aca="1" ref="Q915" ca="1">IFERROR(INDEX(_xlfn.ANCHORARRAY($C$3),T_CALC[[#This Row],[DAY]]+1,2),NA())</f>
        <v>0</v>
      </c>
    </row>
    <row r="916" spans="3:17">
      <c r="C916" vm="3504">
        <f ca="1"/>
        <v>44036</v>
      </c>
      <c r="D916">
        <f ca="1"/>
        <v>0</v>
      </c>
      <c r="E916" vm="1940">
        <f ca="1"/>
        <v>1.3855</v>
      </c>
      <c r="F916" vm="1834">
        <f ca="1"/>
        <v>1.3869</v>
      </c>
      <c r="G916" vm="1832">
        <f ca="1"/>
        <v>1.3816999999999999</v>
      </c>
      <c r="H916" vm="1874">
        <f ca="1"/>
        <v>1.3821000000000001</v>
      </c>
      <c r="K916">
        <f ca="1">IF(ROW(T_CALC[[#This Row],[DAY]])-ROW(T_CALC[[#Headers],[DAY]])&gt;C_N_TRADING_DAYS,"",ROW(T_CALC[[#This Row],[DAY]])-ROW(T_CALC[[#Headers],[DAY]]))</f>
        <v>913</v>
      </c>
      <c r="L916" cm="1" vm="3504">
        <f t="array" aca="1" ref="L916" ca="1">IFERROR(INDEX(_xlfn.ANCHORARRAY($C$3),T_CALC[[#This Row],[DAY]]+1,1),NA())</f>
        <v>44036</v>
      </c>
      <c r="M916" cm="1" vm="1940">
        <f t="array" aca="1" ref="M916" ca="1">IFERROR(INDEX(_xlfn.ANCHORARRAY($C$3),T_CALC[[#This Row],[DAY]]+1,3),NA())</f>
        <v>1.3855</v>
      </c>
      <c r="N916" cm="1" vm="1834">
        <f t="array" aca="1" ref="N916" ca="1">IFERROR(INDEX(_xlfn.ANCHORARRAY($C$3),T_CALC[[#This Row],[DAY]]+1,4),NA())</f>
        <v>1.3869</v>
      </c>
      <c r="O916" cm="1" vm="1832">
        <f t="array" aca="1" ref="O916" ca="1">IFERROR(INDEX(_xlfn.ANCHORARRAY($C$3),T_CALC[[#This Row],[DAY]]+1,5),NA())</f>
        <v>1.3816999999999999</v>
      </c>
      <c r="P916" cm="1" vm="1874">
        <f t="array" aca="1" ref="P916" ca="1">IFERROR(INDEX(_xlfn.ANCHORARRAY($C$3),T_CALC[[#This Row],[DAY]]+1,6),NA())</f>
        <v>1.3821000000000001</v>
      </c>
      <c r="Q916" cm="1">
        <f t="array" aca="1" ref="Q916" ca="1">IFERROR(INDEX(_xlfn.ANCHORARRAY($C$3),T_CALC[[#This Row],[DAY]]+1,2),NA())</f>
        <v>0</v>
      </c>
    </row>
    <row r="917" spans="3:17">
      <c r="C917" vm="3505">
        <f ca="1"/>
        <v>44039</v>
      </c>
      <c r="D917">
        <f ca="1"/>
        <v>0</v>
      </c>
      <c r="E917" vm="1928">
        <f ca="1"/>
        <v>1.3823000000000001</v>
      </c>
      <c r="F917" vm="1827">
        <f ca="1"/>
        <v>1.3836999999999999</v>
      </c>
      <c r="G917" vm="1861">
        <f ca="1"/>
        <v>1.3777999999999999</v>
      </c>
      <c r="H917" vm="1920">
        <f ca="1"/>
        <v>1.3785000000000001</v>
      </c>
      <c r="K917">
        <f ca="1">IF(ROW(T_CALC[[#This Row],[DAY]])-ROW(T_CALC[[#Headers],[DAY]])&gt;C_N_TRADING_DAYS,"",ROW(T_CALC[[#This Row],[DAY]])-ROW(T_CALC[[#Headers],[DAY]]))</f>
        <v>914</v>
      </c>
      <c r="L917" cm="1" vm="3505">
        <f t="array" aca="1" ref="L917" ca="1">IFERROR(INDEX(_xlfn.ANCHORARRAY($C$3),T_CALC[[#This Row],[DAY]]+1,1),NA())</f>
        <v>44039</v>
      </c>
      <c r="M917" cm="1" vm="1928">
        <f t="array" aca="1" ref="M917" ca="1">IFERROR(INDEX(_xlfn.ANCHORARRAY($C$3),T_CALC[[#This Row],[DAY]]+1,3),NA())</f>
        <v>1.3823000000000001</v>
      </c>
      <c r="N917" cm="1" vm="1827">
        <f t="array" aca="1" ref="N917" ca="1">IFERROR(INDEX(_xlfn.ANCHORARRAY($C$3),T_CALC[[#This Row],[DAY]]+1,4),NA())</f>
        <v>1.3836999999999999</v>
      </c>
      <c r="O917" cm="1" vm="1861">
        <f t="array" aca="1" ref="O917" ca="1">IFERROR(INDEX(_xlfn.ANCHORARRAY($C$3),T_CALC[[#This Row],[DAY]]+1,5),NA())</f>
        <v>1.3777999999999999</v>
      </c>
      <c r="P917" cm="1" vm="1920">
        <f t="array" aca="1" ref="P917" ca="1">IFERROR(INDEX(_xlfn.ANCHORARRAY($C$3),T_CALC[[#This Row],[DAY]]+1,6),NA())</f>
        <v>1.3785000000000001</v>
      </c>
      <c r="Q917" cm="1">
        <f t="array" aca="1" ref="Q917" ca="1">IFERROR(INDEX(_xlfn.ANCHORARRAY($C$3),T_CALC[[#This Row],[DAY]]+1,2),NA())</f>
        <v>0</v>
      </c>
    </row>
    <row r="918" spans="3:17">
      <c r="C918" vm="3506">
        <f ca="1"/>
        <v>44040</v>
      </c>
      <c r="D918">
        <f ca="1"/>
        <v>0</v>
      </c>
      <c r="E918" vm="1920">
        <f ca="1"/>
        <v>1.3785000000000001</v>
      </c>
      <c r="F918" vm="1936">
        <f ca="1"/>
        <v>1.3815999999999999</v>
      </c>
      <c r="G918" vm="2835">
        <f ca="1"/>
        <v>1.3754999999999999</v>
      </c>
      <c r="H918" vm="3507">
        <f ca="1"/>
        <v>1.3788</v>
      </c>
      <c r="K918">
        <f ca="1">IF(ROW(T_CALC[[#This Row],[DAY]])-ROW(T_CALC[[#Headers],[DAY]])&gt;C_N_TRADING_DAYS,"",ROW(T_CALC[[#This Row],[DAY]])-ROW(T_CALC[[#Headers],[DAY]]))</f>
        <v>915</v>
      </c>
      <c r="L918" cm="1" vm="3506">
        <f t="array" aca="1" ref="L918" ca="1">IFERROR(INDEX(_xlfn.ANCHORARRAY($C$3),T_CALC[[#This Row],[DAY]]+1,1),NA())</f>
        <v>44040</v>
      </c>
      <c r="M918" cm="1" vm="1920">
        <f t="array" aca="1" ref="M918" ca="1">IFERROR(INDEX(_xlfn.ANCHORARRAY($C$3),T_CALC[[#This Row],[DAY]]+1,3),NA())</f>
        <v>1.3785000000000001</v>
      </c>
      <c r="N918" cm="1" vm="1936">
        <f t="array" aca="1" ref="N918" ca="1">IFERROR(INDEX(_xlfn.ANCHORARRAY($C$3),T_CALC[[#This Row],[DAY]]+1,4),NA())</f>
        <v>1.3815999999999999</v>
      </c>
      <c r="O918" cm="1" vm="2835">
        <f t="array" aca="1" ref="O918" ca="1">IFERROR(INDEX(_xlfn.ANCHORARRAY($C$3),T_CALC[[#This Row],[DAY]]+1,5),NA())</f>
        <v>1.3754999999999999</v>
      </c>
      <c r="P918" cm="1" vm="3507">
        <f t="array" aca="1" ref="P918" ca="1">IFERROR(INDEX(_xlfn.ANCHORARRAY($C$3),T_CALC[[#This Row],[DAY]]+1,6),NA())</f>
        <v>1.3788</v>
      </c>
      <c r="Q918" cm="1">
        <f t="array" aca="1" ref="Q918" ca="1">IFERROR(INDEX(_xlfn.ANCHORARRAY($C$3),T_CALC[[#This Row],[DAY]]+1,2),NA())</f>
        <v>0</v>
      </c>
    </row>
    <row r="919" spans="3:17">
      <c r="C919" vm="3508">
        <f ca="1"/>
        <v>44041</v>
      </c>
      <c r="D919">
        <f ca="1"/>
        <v>0</v>
      </c>
      <c r="E919" vm="2816">
        <f ca="1"/>
        <v>1.379</v>
      </c>
      <c r="F919" vm="1868">
        <f ca="1"/>
        <v>1.3795999999999999</v>
      </c>
      <c r="G919" vm="2731">
        <f ca="1"/>
        <v>1.3728</v>
      </c>
      <c r="H919" vm="1947">
        <f ca="1"/>
        <v>1.3733</v>
      </c>
      <c r="K919">
        <f ca="1">IF(ROW(T_CALC[[#This Row],[DAY]])-ROW(T_CALC[[#Headers],[DAY]])&gt;C_N_TRADING_DAYS,"",ROW(T_CALC[[#This Row],[DAY]])-ROW(T_CALC[[#Headers],[DAY]]))</f>
        <v>916</v>
      </c>
      <c r="L919" cm="1" vm="3508">
        <f t="array" aca="1" ref="L919" ca="1">IFERROR(INDEX(_xlfn.ANCHORARRAY($C$3),T_CALC[[#This Row],[DAY]]+1,1),NA())</f>
        <v>44041</v>
      </c>
      <c r="M919" cm="1" vm="2816">
        <f t="array" aca="1" ref="M919" ca="1">IFERROR(INDEX(_xlfn.ANCHORARRAY($C$3),T_CALC[[#This Row],[DAY]]+1,3),NA())</f>
        <v>1.379</v>
      </c>
      <c r="N919" cm="1" vm="1868">
        <f t="array" aca="1" ref="N919" ca="1">IFERROR(INDEX(_xlfn.ANCHORARRAY($C$3),T_CALC[[#This Row],[DAY]]+1,4),NA())</f>
        <v>1.3795999999999999</v>
      </c>
      <c r="O919" cm="1" vm="2731">
        <f t="array" aca="1" ref="O919" ca="1">IFERROR(INDEX(_xlfn.ANCHORARRAY($C$3),T_CALC[[#This Row],[DAY]]+1,5),NA())</f>
        <v>1.3728</v>
      </c>
      <c r="P919" cm="1" vm="1947">
        <f t="array" aca="1" ref="P919" ca="1">IFERROR(INDEX(_xlfn.ANCHORARRAY($C$3),T_CALC[[#This Row],[DAY]]+1,6),NA())</f>
        <v>1.3733</v>
      </c>
      <c r="Q919" cm="1">
        <f t="array" aca="1" ref="Q919" ca="1">IFERROR(INDEX(_xlfn.ANCHORARRAY($C$3),T_CALC[[#This Row],[DAY]]+1,2),NA())</f>
        <v>0</v>
      </c>
    </row>
    <row r="920" spans="3:17">
      <c r="C920" vm="3509">
        <f ca="1"/>
        <v>44042</v>
      </c>
      <c r="D920">
        <f ca="1"/>
        <v>0</v>
      </c>
      <c r="E920" vm="2777">
        <f ca="1"/>
        <v>1.3734</v>
      </c>
      <c r="F920" vm="2821">
        <f ca="1"/>
        <v>1.3774</v>
      </c>
      <c r="G920" vm="2199">
        <f ca="1"/>
        <v>1.3713</v>
      </c>
      <c r="H920" vm="2782">
        <f ca="1"/>
        <v>1.3717999999999999</v>
      </c>
      <c r="K920">
        <f ca="1">IF(ROW(T_CALC[[#This Row],[DAY]])-ROW(T_CALC[[#Headers],[DAY]])&gt;C_N_TRADING_DAYS,"",ROW(T_CALC[[#This Row],[DAY]])-ROW(T_CALC[[#Headers],[DAY]]))</f>
        <v>917</v>
      </c>
      <c r="L920" cm="1" vm="3509">
        <f t="array" aca="1" ref="L920" ca="1">IFERROR(INDEX(_xlfn.ANCHORARRAY($C$3),T_CALC[[#This Row],[DAY]]+1,1),NA())</f>
        <v>44042</v>
      </c>
      <c r="M920" cm="1" vm="2777">
        <f t="array" aca="1" ref="M920" ca="1">IFERROR(INDEX(_xlfn.ANCHORARRAY($C$3),T_CALC[[#This Row],[DAY]]+1,3),NA())</f>
        <v>1.3734</v>
      </c>
      <c r="N920" cm="1" vm="2821">
        <f t="array" aca="1" ref="N920" ca="1">IFERROR(INDEX(_xlfn.ANCHORARRAY($C$3),T_CALC[[#This Row],[DAY]]+1,4),NA())</f>
        <v>1.3774</v>
      </c>
      <c r="O920" cm="1" vm="2199">
        <f t="array" aca="1" ref="O920" ca="1">IFERROR(INDEX(_xlfn.ANCHORARRAY($C$3),T_CALC[[#This Row],[DAY]]+1,5),NA())</f>
        <v>1.3713</v>
      </c>
      <c r="P920" cm="1" vm="2782">
        <f t="array" aca="1" ref="P920" ca="1">IFERROR(INDEX(_xlfn.ANCHORARRAY($C$3),T_CALC[[#This Row],[DAY]]+1,6),NA())</f>
        <v>1.3717999999999999</v>
      </c>
      <c r="Q920" cm="1">
        <f t="array" aca="1" ref="Q920" ca="1">IFERROR(INDEX(_xlfn.ANCHORARRAY($C$3),T_CALC[[#This Row],[DAY]]+1,2),NA())</f>
        <v>0</v>
      </c>
    </row>
    <row r="921" spans="3:17">
      <c r="C921" vm="3510">
        <f ca="1"/>
        <v>44043</v>
      </c>
      <c r="D921">
        <f ca="1"/>
        <v>0</v>
      </c>
      <c r="E921" vm="2765">
        <f ca="1"/>
        <v>1.3718999999999999</v>
      </c>
      <c r="F921" vm="2769">
        <f ca="1"/>
        <v>1.3758999999999999</v>
      </c>
      <c r="G921" vm="2676">
        <f ca="1"/>
        <v>1.3685</v>
      </c>
      <c r="H921" vm="2755">
        <f ca="1"/>
        <v>1.3743000000000001</v>
      </c>
      <c r="K921">
        <f ca="1">IF(ROW(T_CALC[[#This Row],[DAY]])-ROW(T_CALC[[#Headers],[DAY]])&gt;C_N_TRADING_DAYS,"",ROW(T_CALC[[#This Row],[DAY]])-ROW(T_CALC[[#Headers],[DAY]]))</f>
        <v>918</v>
      </c>
      <c r="L921" cm="1" vm="3510">
        <f t="array" aca="1" ref="L921" ca="1">IFERROR(INDEX(_xlfn.ANCHORARRAY($C$3),T_CALC[[#This Row],[DAY]]+1,1),NA())</f>
        <v>44043</v>
      </c>
      <c r="M921" cm="1" vm="2765">
        <f t="array" aca="1" ref="M921" ca="1">IFERROR(INDEX(_xlfn.ANCHORARRAY($C$3),T_CALC[[#This Row],[DAY]]+1,3),NA())</f>
        <v>1.3718999999999999</v>
      </c>
      <c r="N921" cm="1" vm="2769">
        <f t="array" aca="1" ref="N921" ca="1">IFERROR(INDEX(_xlfn.ANCHORARRAY($C$3),T_CALC[[#This Row],[DAY]]+1,4),NA())</f>
        <v>1.3758999999999999</v>
      </c>
      <c r="O921" cm="1" vm="2676">
        <f t="array" aca="1" ref="O921" ca="1">IFERROR(INDEX(_xlfn.ANCHORARRAY($C$3),T_CALC[[#This Row],[DAY]]+1,5),NA())</f>
        <v>1.3685</v>
      </c>
      <c r="P921" cm="1" vm="2755">
        <f t="array" aca="1" ref="P921" ca="1">IFERROR(INDEX(_xlfn.ANCHORARRAY($C$3),T_CALC[[#This Row],[DAY]]+1,6),NA())</f>
        <v>1.3743000000000001</v>
      </c>
      <c r="Q921" cm="1">
        <f t="array" aca="1" ref="Q921" ca="1">IFERROR(INDEX(_xlfn.ANCHORARRAY($C$3),T_CALC[[#This Row],[DAY]]+1,2),NA())</f>
        <v>0</v>
      </c>
    </row>
    <row r="922" spans="3:17">
      <c r="C922" vm="3511">
        <f ca="1"/>
        <v>44046</v>
      </c>
      <c r="D922">
        <f ca="1"/>
        <v>0</v>
      </c>
      <c r="E922" vm="2753">
        <f ca="1"/>
        <v>1.3738999999999999</v>
      </c>
      <c r="F922" vm="1935">
        <f ca="1"/>
        <v>1.3786</v>
      </c>
      <c r="G922" vm="1948">
        <f ca="1"/>
        <v>1.3735999999999999</v>
      </c>
      <c r="H922" vm="1923">
        <f ca="1"/>
        <v>1.3759999999999999</v>
      </c>
      <c r="K922">
        <f ca="1">IF(ROW(T_CALC[[#This Row],[DAY]])-ROW(T_CALC[[#Headers],[DAY]])&gt;C_N_TRADING_DAYS,"",ROW(T_CALC[[#This Row],[DAY]])-ROW(T_CALC[[#Headers],[DAY]]))</f>
        <v>919</v>
      </c>
      <c r="L922" cm="1" vm="3511">
        <f t="array" aca="1" ref="L922" ca="1">IFERROR(INDEX(_xlfn.ANCHORARRAY($C$3),T_CALC[[#This Row],[DAY]]+1,1),NA())</f>
        <v>44046</v>
      </c>
      <c r="M922" cm="1" vm="2753">
        <f t="array" aca="1" ref="M922" ca="1">IFERROR(INDEX(_xlfn.ANCHORARRAY($C$3),T_CALC[[#This Row],[DAY]]+1,3),NA())</f>
        <v>1.3738999999999999</v>
      </c>
      <c r="N922" cm="1" vm="1935">
        <f t="array" aca="1" ref="N922" ca="1">IFERROR(INDEX(_xlfn.ANCHORARRAY($C$3),T_CALC[[#This Row],[DAY]]+1,4),NA())</f>
        <v>1.3786</v>
      </c>
      <c r="O922" cm="1" vm="1948">
        <f t="array" aca="1" ref="O922" ca="1">IFERROR(INDEX(_xlfn.ANCHORARRAY($C$3),T_CALC[[#This Row],[DAY]]+1,5),NA())</f>
        <v>1.3735999999999999</v>
      </c>
      <c r="P922" cm="1" vm="1923">
        <f t="array" aca="1" ref="P922" ca="1">IFERROR(INDEX(_xlfn.ANCHORARRAY($C$3),T_CALC[[#This Row],[DAY]]+1,6),NA())</f>
        <v>1.3759999999999999</v>
      </c>
      <c r="Q922" cm="1">
        <f t="array" aca="1" ref="Q922" ca="1">IFERROR(INDEX(_xlfn.ANCHORARRAY($C$3),T_CALC[[#This Row],[DAY]]+1,2),NA())</f>
        <v>0</v>
      </c>
    </row>
    <row r="923" spans="3:17">
      <c r="C923" vm="3512">
        <f ca="1"/>
        <v>44047</v>
      </c>
      <c r="D923">
        <f ca="1"/>
        <v>0</v>
      </c>
      <c r="E923" vm="2769">
        <f ca="1"/>
        <v>1.3758999999999999</v>
      </c>
      <c r="F923" vm="1857">
        <f ca="1"/>
        <v>1.3781000000000001</v>
      </c>
      <c r="G923" vm="2856">
        <f ca="1"/>
        <v>1.3725000000000001</v>
      </c>
      <c r="H923" vm="2900">
        <f ca="1"/>
        <v>1.373</v>
      </c>
      <c r="K923">
        <f ca="1">IF(ROW(T_CALC[[#This Row],[DAY]])-ROW(T_CALC[[#Headers],[DAY]])&gt;C_N_TRADING_DAYS,"",ROW(T_CALC[[#This Row],[DAY]])-ROW(T_CALC[[#Headers],[DAY]]))</f>
        <v>920</v>
      </c>
      <c r="L923" cm="1" vm="3512">
        <f t="array" aca="1" ref="L923" ca="1">IFERROR(INDEX(_xlfn.ANCHORARRAY($C$3),T_CALC[[#This Row],[DAY]]+1,1),NA())</f>
        <v>44047</v>
      </c>
      <c r="M923" cm="1" vm="2769">
        <f t="array" aca="1" ref="M923" ca="1">IFERROR(INDEX(_xlfn.ANCHORARRAY($C$3),T_CALC[[#This Row],[DAY]]+1,3),NA())</f>
        <v>1.3758999999999999</v>
      </c>
      <c r="N923" cm="1" vm="1857">
        <f t="array" aca="1" ref="N923" ca="1">IFERROR(INDEX(_xlfn.ANCHORARRAY($C$3),T_CALC[[#This Row],[DAY]]+1,4),NA())</f>
        <v>1.3781000000000001</v>
      </c>
      <c r="O923" cm="1" vm="2856">
        <f t="array" aca="1" ref="O923" ca="1">IFERROR(INDEX(_xlfn.ANCHORARRAY($C$3),T_CALC[[#This Row],[DAY]]+1,5),NA())</f>
        <v>1.3725000000000001</v>
      </c>
      <c r="P923" cm="1" vm="2900">
        <f t="array" aca="1" ref="P923" ca="1">IFERROR(INDEX(_xlfn.ANCHORARRAY($C$3),T_CALC[[#This Row],[DAY]]+1,6),NA())</f>
        <v>1.373</v>
      </c>
      <c r="Q923" cm="1">
        <f t="array" aca="1" ref="Q923" ca="1">IFERROR(INDEX(_xlfn.ANCHORARRAY($C$3),T_CALC[[#This Row],[DAY]]+1,2),NA())</f>
        <v>0</v>
      </c>
    </row>
    <row r="924" spans="3:17">
      <c r="C924" vm="3513">
        <f ca="1"/>
        <v>44048</v>
      </c>
      <c r="D924">
        <f ca="1"/>
        <v>0</v>
      </c>
      <c r="E924" vm="2731">
        <f ca="1"/>
        <v>1.3728</v>
      </c>
      <c r="F924" vm="2729">
        <f ca="1"/>
        <v>1.3736999999999999</v>
      </c>
      <c r="G924" vm="3047">
        <f ca="1"/>
        <v>1.3665</v>
      </c>
      <c r="H924" vm="2793">
        <f ca="1"/>
        <v>1.3694999999999999</v>
      </c>
      <c r="K924">
        <f ca="1">IF(ROW(T_CALC[[#This Row],[DAY]])-ROW(T_CALC[[#Headers],[DAY]])&gt;C_N_TRADING_DAYS,"",ROW(T_CALC[[#This Row],[DAY]])-ROW(T_CALC[[#Headers],[DAY]]))</f>
        <v>921</v>
      </c>
      <c r="L924" cm="1" vm="3513">
        <f t="array" aca="1" ref="L924" ca="1">IFERROR(INDEX(_xlfn.ANCHORARRAY($C$3),T_CALC[[#This Row],[DAY]]+1,1),NA())</f>
        <v>44048</v>
      </c>
      <c r="M924" cm="1" vm="2731">
        <f t="array" aca="1" ref="M924" ca="1">IFERROR(INDEX(_xlfn.ANCHORARRAY($C$3),T_CALC[[#This Row],[DAY]]+1,3),NA())</f>
        <v>1.3728</v>
      </c>
      <c r="N924" cm="1" vm="2729">
        <f t="array" aca="1" ref="N924" ca="1">IFERROR(INDEX(_xlfn.ANCHORARRAY($C$3),T_CALC[[#This Row],[DAY]]+1,4),NA())</f>
        <v>1.3736999999999999</v>
      </c>
      <c r="O924" cm="1" vm="3047">
        <f t="array" aca="1" ref="O924" ca="1">IFERROR(INDEX(_xlfn.ANCHORARRAY($C$3),T_CALC[[#This Row],[DAY]]+1,5),NA())</f>
        <v>1.3665</v>
      </c>
      <c r="P924" cm="1" vm="2793">
        <f t="array" aca="1" ref="P924" ca="1">IFERROR(INDEX(_xlfn.ANCHORARRAY($C$3),T_CALC[[#This Row],[DAY]]+1,6),NA())</f>
        <v>1.3694999999999999</v>
      </c>
      <c r="Q924" cm="1">
        <f t="array" aca="1" ref="Q924" ca="1">IFERROR(INDEX(_xlfn.ANCHORARRAY($C$3),T_CALC[[#This Row],[DAY]]+1,2),NA())</f>
        <v>0</v>
      </c>
    </row>
    <row r="925" spans="3:17">
      <c r="C925" vm="3514">
        <f ca="1"/>
        <v>44049</v>
      </c>
      <c r="D925">
        <f ca="1"/>
        <v>0</v>
      </c>
      <c r="E925" vm="2892">
        <f ca="1"/>
        <v>1.3696999999999999</v>
      </c>
      <c r="F925" vm="2737">
        <f ca="1"/>
        <v>1.3714</v>
      </c>
      <c r="G925" vm="2727">
        <f ca="1"/>
        <v>1.3675999999999999</v>
      </c>
      <c r="H925" vm="2676">
        <f ca="1"/>
        <v>1.3685</v>
      </c>
      <c r="K925">
        <f ca="1">IF(ROW(T_CALC[[#This Row],[DAY]])-ROW(T_CALC[[#Headers],[DAY]])&gt;C_N_TRADING_DAYS,"",ROW(T_CALC[[#This Row],[DAY]])-ROW(T_CALC[[#Headers],[DAY]]))</f>
        <v>922</v>
      </c>
      <c r="L925" cm="1" vm="3514">
        <f t="array" aca="1" ref="L925" ca="1">IFERROR(INDEX(_xlfn.ANCHORARRAY($C$3),T_CALC[[#This Row],[DAY]]+1,1),NA())</f>
        <v>44049</v>
      </c>
      <c r="M925" cm="1" vm="2892">
        <f t="array" aca="1" ref="M925" ca="1">IFERROR(INDEX(_xlfn.ANCHORARRAY($C$3),T_CALC[[#This Row],[DAY]]+1,3),NA())</f>
        <v>1.3696999999999999</v>
      </c>
      <c r="N925" cm="1" vm="2737">
        <f t="array" aca="1" ref="N925" ca="1">IFERROR(INDEX(_xlfn.ANCHORARRAY($C$3),T_CALC[[#This Row],[DAY]]+1,4),NA())</f>
        <v>1.3714</v>
      </c>
      <c r="O925" cm="1" vm="2727">
        <f t="array" aca="1" ref="O925" ca="1">IFERROR(INDEX(_xlfn.ANCHORARRAY($C$3),T_CALC[[#This Row],[DAY]]+1,5),NA())</f>
        <v>1.3675999999999999</v>
      </c>
      <c r="P925" cm="1" vm="2676">
        <f t="array" aca="1" ref="P925" ca="1">IFERROR(INDEX(_xlfn.ANCHORARRAY($C$3),T_CALC[[#This Row],[DAY]]+1,6),NA())</f>
        <v>1.3685</v>
      </c>
      <c r="Q925" cm="1">
        <f t="array" aca="1" ref="Q925" ca="1">IFERROR(INDEX(_xlfn.ANCHORARRAY($C$3),T_CALC[[#This Row],[DAY]]+1,2),NA())</f>
        <v>0</v>
      </c>
    </row>
    <row r="926" spans="3:17">
      <c r="C926" vm="3515">
        <f ca="1"/>
        <v>44050</v>
      </c>
      <c r="D926">
        <f ca="1"/>
        <v>0</v>
      </c>
      <c r="E926" vm="3082">
        <f ca="1"/>
        <v>1.3684000000000001</v>
      </c>
      <c r="F926" vm="2729">
        <f ca="1"/>
        <v>1.3736999999999999</v>
      </c>
      <c r="G926" vm="1968">
        <f ca="1"/>
        <v>1.3681000000000001</v>
      </c>
      <c r="H926" vm="2825">
        <f ca="1"/>
        <v>1.3724000000000001</v>
      </c>
      <c r="K926">
        <f ca="1">IF(ROW(T_CALC[[#This Row],[DAY]])-ROW(T_CALC[[#Headers],[DAY]])&gt;C_N_TRADING_DAYS,"",ROW(T_CALC[[#This Row],[DAY]])-ROW(T_CALC[[#Headers],[DAY]]))</f>
        <v>923</v>
      </c>
      <c r="L926" cm="1" vm="3515">
        <f t="array" aca="1" ref="L926" ca="1">IFERROR(INDEX(_xlfn.ANCHORARRAY($C$3),T_CALC[[#This Row],[DAY]]+1,1),NA())</f>
        <v>44050</v>
      </c>
      <c r="M926" cm="1" vm="3082">
        <f t="array" aca="1" ref="M926" ca="1">IFERROR(INDEX(_xlfn.ANCHORARRAY($C$3),T_CALC[[#This Row],[DAY]]+1,3),NA())</f>
        <v>1.3684000000000001</v>
      </c>
      <c r="N926" cm="1" vm="2729">
        <f t="array" aca="1" ref="N926" ca="1">IFERROR(INDEX(_xlfn.ANCHORARRAY($C$3),T_CALC[[#This Row],[DAY]]+1,4),NA())</f>
        <v>1.3736999999999999</v>
      </c>
      <c r="O926" cm="1" vm="1968">
        <f t="array" aca="1" ref="O926" ca="1">IFERROR(INDEX(_xlfn.ANCHORARRAY($C$3),T_CALC[[#This Row],[DAY]]+1,5),NA())</f>
        <v>1.3681000000000001</v>
      </c>
      <c r="P926" cm="1" vm="2825">
        <f t="array" aca="1" ref="P926" ca="1">IFERROR(INDEX(_xlfn.ANCHORARRAY($C$3),T_CALC[[#This Row],[DAY]]+1,6),NA())</f>
        <v>1.3724000000000001</v>
      </c>
      <c r="Q926" cm="1">
        <f t="array" aca="1" ref="Q926" ca="1">IFERROR(INDEX(_xlfn.ANCHORARRAY($C$3),T_CALC[[#This Row],[DAY]]+1,2),NA())</f>
        <v>0</v>
      </c>
    </row>
    <row r="927" spans="3:17">
      <c r="C927" vm="3516">
        <f ca="1"/>
        <v>44053</v>
      </c>
      <c r="D927">
        <f ca="1"/>
        <v>0</v>
      </c>
      <c r="E927" vm="2873">
        <f ca="1"/>
        <v>1.3722000000000001</v>
      </c>
      <c r="F927" vm="2823">
        <f ca="1"/>
        <v>1.3746</v>
      </c>
      <c r="G927" vm="2718">
        <f ca="1"/>
        <v>1.3712</v>
      </c>
      <c r="H927" vm="1948">
        <f ca="1"/>
        <v>1.3735999999999999</v>
      </c>
      <c r="K927">
        <f ca="1">IF(ROW(T_CALC[[#This Row],[DAY]])-ROW(T_CALC[[#Headers],[DAY]])&gt;C_N_TRADING_DAYS,"",ROW(T_CALC[[#This Row],[DAY]])-ROW(T_CALC[[#Headers],[DAY]]))</f>
        <v>924</v>
      </c>
      <c r="L927" cm="1" vm="3516">
        <f t="array" aca="1" ref="L927" ca="1">IFERROR(INDEX(_xlfn.ANCHORARRAY($C$3),T_CALC[[#This Row],[DAY]]+1,1),NA())</f>
        <v>44053</v>
      </c>
      <c r="M927" cm="1" vm="2873">
        <f t="array" aca="1" ref="M927" ca="1">IFERROR(INDEX(_xlfn.ANCHORARRAY($C$3),T_CALC[[#This Row],[DAY]]+1,3),NA())</f>
        <v>1.3722000000000001</v>
      </c>
      <c r="N927" cm="1" vm="2823">
        <f t="array" aca="1" ref="N927" ca="1">IFERROR(INDEX(_xlfn.ANCHORARRAY($C$3),T_CALC[[#This Row],[DAY]]+1,4),NA())</f>
        <v>1.3746</v>
      </c>
      <c r="O927" cm="1" vm="2718">
        <f t="array" aca="1" ref="O927" ca="1">IFERROR(INDEX(_xlfn.ANCHORARRAY($C$3),T_CALC[[#This Row],[DAY]]+1,5),NA())</f>
        <v>1.3712</v>
      </c>
      <c r="P927" cm="1" vm="1948">
        <f t="array" aca="1" ref="P927" ca="1">IFERROR(INDEX(_xlfn.ANCHORARRAY($C$3),T_CALC[[#This Row],[DAY]]+1,6),NA())</f>
        <v>1.3735999999999999</v>
      </c>
      <c r="Q927" cm="1">
        <f t="array" aca="1" ref="Q927" ca="1">IFERROR(INDEX(_xlfn.ANCHORARRAY($C$3),T_CALC[[#This Row],[DAY]]+1,2),NA())</f>
        <v>0</v>
      </c>
    </row>
    <row r="928" spans="3:17">
      <c r="C928" vm="3517">
        <f ca="1"/>
        <v>44054</v>
      </c>
      <c r="D928">
        <f ca="1"/>
        <v>0</v>
      </c>
      <c r="E928" vm="2767">
        <f ca="1"/>
        <v>1.3732</v>
      </c>
      <c r="F928" vm="2735">
        <f ca="1"/>
        <v>1.3754</v>
      </c>
      <c r="G928" vm="2871">
        <f ca="1"/>
        <v>1.3697999999999999</v>
      </c>
      <c r="H928" vm="2900">
        <f ca="1"/>
        <v>1.373</v>
      </c>
      <c r="K928">
        <f ca="1">IF(ROW(T_CALC[[#This Row],[DAY]])-ROW(T_CALC[[#Headers],[DAY]])&gt;C_N_TRADING_DAYS,"",ROW(T_CALC[[#This Row],[DAY]])-ROW(T_CALC[[#Headers],[DAY]]))</f>
        <v>925</v>
      </c>
      <c r="L928" cm="1" vm="3517">
        <f t="array" aca="1" ref="L928" ca="1">IFERROR(INDEX(_xlfn.ANCHORARRAY($C$3),T_CALC[[#This Row],[DAY]]+1,1),NA())</f>
        <v>44054</v>
      </c>
      <c r="M928" cm="1" vm="2767">
        <f t="array" aca="1" ref="M928" ca="1">IFERROR(INDEX(_xlfn.ANCHORARRAY($C$3),T_CALC[[#This Row],[DAY]]+1,3),NA())</f>
        <v>1.3732</v>
      </c>
      <c r="N928" cm="1" vm="2735">
        <f t="array" aca="1" ref="N928" ca="1">IFERROR(INDEX(_xlfn.ANCHORARRAY($C$3),T_CALC[[#This Row],[DAY]]+1,4),NA())</f>
        <v>1.3754</v>
      </c>
      <c r="O928" cm="1" vm="2871">
        <f t="array" aca="1" ref="O928" ca="1">IFERROR(INDEX(_xlfn.ANCHORARRAY($C$3),T_CALC[[#This Row],[DAY]]+1,5),NA())</f>
        <v>1.3697999999999999</v>
      </c>
      <c r="P928" cm="1" vm="2900">
        <f t="array" aca="1" ref="P928" ca="1">IFERROR(INDEX(_xlfn.ANCHORARRAY($C$3),T_CALC[[#This Row],[DAY]]+1,6),NA())</f>
        <v>1.373</v>
      </c>
      <c r="Q928" cm="1">
        <f t="array" aca="1" ref="Q928" ca="1">IFERROR(INDEX(_xlfn.ANCHORARRAY($C$3),T_CALC[[#This Row],[DAY]]+1,2),NA())</f>
        <v>0</v>
      </c>
    </row>
    <row r="929" spans="3:17">
      <c r="C929" vm="3518">
        <f ca="1"/>
        <v>44055</v>
      </c>
      <c r="D929">
        <f ca="1"/>
        <v>0</v>
      </c>
      <c r="E929" vm="2900">
        <f ca="1"/>
        <v>1.373</v>
      </c>
      <c r="F929" vm="2835">
        <f ca="1"/>
        <v>1.3754999999999999</v>
      </c>
      <c r="G929" vm="1969">
        <f ca="1"/>
        <v>1.3709</v>
      </c>
      <c r="H929" vm="1956">
        <f ca="1"/>
        <v>1.3720000000000001</v>
      </c>
      <c r="K929">
        <f ca="1">IF(ROW(T_CALC[[#This Row],[DAY]])-ROW(T_CALC[[#Headers],[DAY]])&gt;C_N_TRADING_DAYS,"",ROW(T_CALC[[#This Row],[DAY]])-ROW(T_CALC[[#Headers],[DAY]]))</f>
        <v>926</v>
      </c>
      <c r="L929" cm="1" vm="3518">
        <f t="array" aca="1" ref="L929" ca="1">IFERROR(INDEX(_xlfn.ANCHORARRAY($C$3),T_CALC[[#This Row],[DAY]]+1,1),NA())</f>
        <v>44055</v>
      </c>
      <c r="M929" cm="1" vm="2900">
        <f t="array" aca="1" ref="M929" ca="1">IFERROR(INDEX(_xlfn.ANCHORARRAY($C$3),T_CALC[[#This Row],[DAY]]+1,3),NA())</f>
        <v>1.373</v>
      </c>
      <c r="N929" cm="1" vm="2835">
        <f t="array" aca="1" ref="N929" ca="1">IFERROR(INDEX(_xlfn.ANCHORARRAY($C$3),T_CALC[[#This Row],[DAY]]+1,4),NA())</f>
        <v>1.3754999999999999</v>
      </c>
      <c r="O929" cm="1" vm="1969">
        <f t="array" aca="1" ref="O929" ca="1">IFERROR(INDEX(_xlfn.ANCHORARRAY($C$3),T_CALC[[#This Row],[DAY]]+1,5),NA())</f>
        <v>1.3709</v>
      </c>
      <c r="P929" cm="1" vm="1956">
        <f t="array" aca="1" ref="P929" ca="1">IFERROR(INDEX(_xlfn.ANCHORARRAY($C$3),T_CALC[[#This Row],[DAY]]+1,6),NA())</f>
        <v>1.3720000000000001</v>
      </c>
      <c r="Q929" cm="1">
        <f t="array" aca="1" ref="Q929" ca="1">IFERROR(INDEX(_xlfn.ANCHORARRAY($C$3),T_CALC[[#This Row],[DAY]]+1,2),NA())</f>
        <v>0</v>
      </c>
    </row>
    <row r="930" spans="3:17">
      <c r="C930" vm="3519">
        <f ca="1"/>
        <v>44056</v>
      </c>
      <c r="D930">
        <f ca="1"/>
        <v>0</v>
      </c>
      <c r="E930" vm="2903">
        <f ca="1"/>
        <v>1.3721000000000001</v>
      </c>
      <c r="F930" vm="2729">
        <f ca="1"/>
        <v>1.3736999999999999</v>
      </c>
      <c r="G930" vm="2884">
        <f ca="1"/>
        <v>1.3702000000000001</v>
      </c>
      <c r="H930" vm="2829">
        <f ca="1"/>
        <v>1.3723000000000001</v>
      </c>
      <c r="K930">
        <f ca="1">IF(ROW(T_CALC[[#This Row],[DAY]])-ROW(T_CALC[[#Headers],[DAY]])&gt;C_N_TRADING_DAYS,"",ROW(T_CALC[[#This Row],[DAY]])-ROW(T_CALC[[#Headers],[DAY]]))</f>
        <v>927</v>
      </c>
      <c r="L930" cm="1" vm="3519">
        <f t="array" aca="1" ref="L930" ca="1">IFERROR(INDEX(_xlfn.ANCHORARRAY($C$3),T_CALC[[#This Row],[DAY]]+1,1),NA())</f>
        <v>44056</v>
      </c>
      <c r="M930" cm="1" vm="2903">
        <f t="array" aca="1" ref="M930" ca="1">IFERROR(INDEX(_xlfn.ANCHORARRAY($C$3),T_CALC[[#This Row],[DAY]]+1,3),NA())</f>
        <v>1.3721000000000001</v>
      </c>
      <c r="N930" cm="1" vm="2729">
        <f t="array" aca="1" ref="N930" ca="1">IFERROR(INDEX(_xlfn.ANCHORARRAY($C$3),T_CALC[[#This Row],[DAY]]+1,4),NA())</f>
        <v>1.3736999999999999</v>
      </c>
      <c r="O930" cm="1" vm="2884">
        <f t="array" aca="1" ref="O930" ca="1">IFERROR(INDEX(_xlfn.ANCHORARRAY($C$3),T_CALC[[#This Row],[DAY]]+1,5),NA())</f>
        <v>1.3702000000000001</v>
      </c>
      <c r="P930" cm="1" vm="2829">
        <f t="array" aca="1" ref="P930" ca="1">IFERROR(INDEX(_xlfn.ANCHORARRAY($C$3),T_CALC[[#This Row],[DAY]]+1,6),NA())</f>
        <v>1.3723000000000001</v>
      </c>
      <c r="Q930" cm="1">
        <f t="array" aca="1" ref="Q930" ca="1">IFERROR(INDEX(_xlfn.ANCHORARRAY($C$3),T_CALC[[#This Row],[DAY]]+1,2),NA())</f>
        <v>0</v>
      </c>
    </row>
    <row r="931" spans="3:17">
      <c r="C931" vm="3520">
        <f ca="1"/>
        <v>44057</v>
      </c>
      <c r="D931">
        <f ca="1"/>
        <v>0</v>
      </c>
      <c r="E931" vm="2856">
        <f ca="1"/>
        <v>1.3725000000000001</v>
      </c>
      <c r="F931" vm="2875">
        <f ca="1"/>
        <v>1.3741000000000001</v>
      </c>
      <c r="G931" vm="1965">
        <f ca="1"/>
        <v>1.3698999999999999</v>
      </c>
      <c r="H931" vm="1881">
        <f ca="1"/>
        <v>1.3704000000000001</v>
      </c>
      <c r="K931">
        <f ca="1">IF(ROW(T_CALC[[#This Row],[DAY]])-ROW(T_CALC[[#Headers],[DAY]])&gt;C_N_TRADING_DAYS,"",ROW(T_CALC[[#This Row],[DAY]])-ROW(T_CALC[[#Headers],[DAY]]))</f>
        <v>928</v>
      </c>
      <c r="L931" cm="1" vm="3520">
        <f t="array" aca="1" ref="L931" ca="1">IFERROR(INDEX(_xlfn.ANCHORARRAY($C$3),T_CALC[[#This Row],[DAY]]+1,1),NA())</f>
        <v>44057</v>
      </c>
      <c r="M931" cm="1" vm="2856">
        <f t="array" aca="1" ref="M931" ca="1">IFERROR(INDEX(_xlfn.ANCHORARRAY($C$3),T_CALC[[#This Row],[DAY]]+1,3),NA())</f>
        <v>1.3725000000000001</v>
      </c>
      <c r="N931" cm="1" vm="2875">
        <f t="array" aca="1" ref="N931" ca="1">IFERROR(INDEX(_xlfn.ANCHORARRAY($C$3),T_CALC[[#This Row],[DAY]]+1,4),NA())</f>
        <v>1.3741000000000001</v>
      </c>
      <c r="O931" cm="1" vm="1965">
        <f t="array" aca="1" ref="O931" ca="1">IFERROR(INDEX(_xlfn.ANCHORARRAY($C$3),T_CALC[[#This Row],[DAY]]+1,5),NA())</f>
        <v>1.3698999999999999</v>
      </c>
      <c r="P931" cm="1" vm="1881">
        <f t="array" aca="1" ref="P931" ca="1">IFERROR(INDEX(_xlfn.ANCHORARRAY($C$3),T_CALC[[#This Row],[DAY]]+1,6),NA())</f>
        <v>1.3704000000000001</v>
      </c>
      <c r="Q931" cm="1">
        <f t="array" aca="1" ref="Q931" ca="1">IFERROR(INDEX(_xlfn.ANCHORARRAY($C$3),T_CALC[[#This Row],[DAY]]+1,2),NA())</f>
        <v>0</v>
      </c>
    </row>
    <row r="932" spans="3:17">
      <c r="C932" vm="3521">
        <f ca="1"/>
        <v>44060</v>
      </c>
      <c r="D932">
        <f ca="1"/>
        <v>0</v>
      </c>
      <c r="E932" vm="2881">
        <f ca="1"/>
        <v>1.3726</v>
      </c>
      <c r="F932" vm="2748">
        <f ca="1"/>
        <v>1.3727</v>
      </c>
      <c r="G932" vm="2047">
        <f ca="1"/>
        <v>1.3673</v>
      </c>
      <c r="H932" vm="2727">
        <f ca="1"/>
        <v>1.3675999999999999</v>
      </c>
      <c r="K932">
        <f ca="1">IF(ROW(T_CALC[[#This Row],[DAY]])-ROW(T_CALC[[#Headers],[DAY]])&gt;C_N_TRADING_DAYS,"",ROW(T_CALC[[#This Row],[DAY]])-ROW(T_CALC[[#Headers],[DAY]]))</f>
        <v>929</v>
      </c>
      <c r="L932" cm="1" vm="3521">
        <f t="array" aca="1" ref="L932" ca="1">IFERROR(INDEX(_xlfn.ANCHORARRAY($C$3),T_CALC[[#This Row],[DAY]]+1,1),NA())</f>
        <v>44060</v>
      </c>
      <c r="M932" cm="1" vm="2881">
        <f t="array" aca="1" ref="M932" ca="1">IFERROR(INDEX(_xlfn.ANCHORARRAY($C$3),T_CALC[[#This Row],[DAY]]+1,3),NA())</f>
        <v>1.3726</v>
      </c>
      <c r="N932" cm="1" vm="2748">
        <f t="array" aca="1" ref="N932" ca="1">IFERROR(INDEX(_xlfn.ANCHORARRAY($C$3),T_CALC[[#This Row],[DAY]]+1,4),NA())</f>
        <v>1.3727</v>
      </c>
      <c r="O932" cm="1" vm="2047">
        <f t="array" aca="1" ref="O932" ca="1">IFERROR(INDEX(_xlfn.ANCHORARRAY($C$3),T_CALC[[#This Row],[DAY]]+1,5),NA())</f>
        <v>1.3673</v>
      </c>
      <c r="P932" cm="1" vm="2727">
        <f t="array" aca="1" ref="P932" ca="1">IFERROR(INDEX(_xlfn.ANCHORARRAY($C$3),T_CALC[[#This Row],[DAY]]+1,6),NA())</f>
        <v>1.3675999999999999</v>
      </c>
      <c r="Q932" cm="1">
        <f t="array" aca="1" ref="Q932" ca="1">IFERROR(INDEX(_xlfn.ANCHORARRAY($C$3),T_CALC[[#This Row],[DAY]]+1,2),NA())</f>
        <v>0</v>
      </c>
    </row>
    <row r="933" spans="3:17">
      <c r="C933" vm="3522">
        <f ca="1"/>
        <v>44061</v>
      </c>
      <c r="D933">
        <f ca="1"/>
        <v>0</v>
      </c>
      <c r="E933" vm="1973">
        <f ca="1"/>
        <v>1.3674999999999999</v>
      </c>
      <c r="F933" vm="3041">
        <f ca="1"/>
        <v>1.3683000000000001</v>
      </c>
      <c r="G933" vm="2168">
        <f ca="1"/>
        <v>1.3631</v>
      </c>
      <c r="H933" vm="1970">
        <f ca="1"/>
        <v>1.3643000000000001</v>
      </c>
      <c r="K933">
        <f ca="1">IF(ROW(T_CALC[[#This Row],[DAY]])-ROW(T_CALC[[#Headers],[DAY]])&gt;C_N_TRADING_DAYS,"",ROW(T_CALC[[#This Row],[DAY]])-ROW(T_CALC[[#Headers],[DAY]]))</f>
        <v>930</v>
      </c>
      <c r="L933" cm="1" vm="3522">
        <f t="array" aca="1" ref="L933" ca="1">IFERROR(INDEX(_xlfn.ANCHORARRAY($C$3),T_CALC[[#This Row],[DAY]]+1,1),NA())</f>
        <v>44061</v>
      </c>
      <c r="M933" cm="1" vm="1973">
        <f t="array" aca="1" ref="M933" ca="1">IFERROR(INDEX(_xlfn.ANCHORARRAY($C$3),T_CALC[[#This Row],[DAY]]+1,3),NA())</f>
        <v>1.3674999999999999</v>
      </c>
      <c r="N933" cm="1" vm="3041">
        <f t="array" aca="1" ref="N933" ca="1">IFERROR(INDEX(_xlfn.ANCHORARRAY($C$3),T_CALC[[#This Row],[DAY]]+1,4),NA())</f>
        <v>1.3683000000000001</v>
      </c>
      <c r="O933" cm="1" vm="2168">
        <f t="array" aca="1" ref="O933" ca="1">IFERROR(INDEX(_xlfn.ANCHORARRAY($C$3),T_CALC[[#This Row],[DAY]]+1,5),NA())</f>
        <v>1.3631</v>
      </c>
      <c r="P933" cm="1" vm="1970">
        <f t="array" aca="1" ref="P933" ca="1">IFERROR(INDEX(_xlfn.ANCHORARRAY($C$3),T_CALC[[#This Row],[DAY]]+1,6),NA())</f>
        <v>1.3643000000000001</v>
      </c>
      <c r="Q933" cm="1">
        <f t="array" aca="1" ref="Q933" ca="1">IFERROR(INDEX(_xlfn.ANCHORARRAY($C$3),T_CALC[[#This Row],[DAY]]+1,2),NA())</f>
        <v>0</v>
      </c>
    </row>
    <row r="934" spans="3:17">
      <c r="C934" vm="3523">
        <f ca="1"/>
        <v>44062</v>
      </c>
      <c r="D934">
        <f ca="1"/>
        <v>0</v>
      </c>
      <c r="E934" vm="2026">
        <f ca="1"/>
        <v>1.3641000000000001</v>
      </c>
      <c r="F934" vm="2791">
        <f ca="1"/>
        <v>1.3707</v>
      </c>
      <c r="G934" vm="2204">
        <f ca="1"/>
        <v>1.3625</v>
      </c>
      <c r="H934" vm="2884">
        <f ca="1"/>
        <v>1.3702000000000001</v>
      </c>
      <c r="K934">
        <f ca="1">IF(ROW(T_CALC[[#This Row],[DAY]])-ROW(T_CALC[[#Headers],[DAY]])&gt;C_N_TRADING_DAYS,"",ROW(T_CALC[[#This Row],[DAY]])-ROW(T_CALC[[#Headers],[DAY]]))</f>
        <v>931</v>
      </c>
      <c r="L934" cm="1" vm="3523">
        <f t="array" aca="1" ref="L934" ca="1">IFERROR(INDEX(_xlfn.ANCHORARRAY($C$3),T_CALC[[#This Row],[DAY]]+1,1),NA())</f>
        <v>44062</v>
      </c>
      <c r="M934" cm="1" vm="2026">
        <f t="array" aca="1" ref="M934" ca="1">IFERROR(INDEX(_xlfn.ANCHORARRAY($C$3),T_CALC[[#This Row],[DAY]]+1,3),NA())</f>
        <v>1.3641000000000001</v>
      </c>
      <c r="N934" cm="1" vm="2791">
        <f t="array" aca="1" ref="N934" ca="1">IFERROR(INDEX(_xlfn.ANCHORARRAY($C$3),T_CALC[[#This Row],[DAY]]+1,4),NA())</f>
        <v>1.3707</v>
      </c>
      <c r="O934" cm="1" vm="2204">
        <f t="array" aca="1" ref="O934" ca="1">IFERROR(INDEX(_xlfn.ANCHORARRAY($C$3),T_CALC[[#This Row],[DAY]]+1,5),NA())</f>
        <v>1.3625</v>
      </c>
      <c r="P934" cm="1" vm="2884">
        <f t="array" aca="1" ref="P934" ca="1">IFERROR(INDEX(_xlfn.ANCHORARRAY($C$3),T_CALC[[#This Row],[DAY]]+1,6),NA())</f>
        <v>1.3702000000000001</v>
      </c>
      <c r="Q934" cm="1">
        <f t="array" aca="1" ref="Q934" ca="1">IFERROR(INDEX(_xlfn.ANCHORARRAY($C$3),T_CALC[[#This Row],[DAY]]+1,2),NA())</f>
        <v>0</v>
      </c>
    </row>
    <row r="935" spans="3:17">
      <c r="C935" vm="3524">
        <f ca="1"/>
        <v>44063</v>
      </c>
      <c r="D935">
        <f ca="1"/>
        <v>0</v>
      </c>
      <c r="E935" vm="2791">
        <f ca="1"/>
        <v>1.3707</v>
      </c>
      <c r="F935" vm="1953">
        <f ca="1"/>
        <v>1.3711</v>
      </c>
      <c r="G935" vm="3047">
        <f ca="1"/>
        <v>1.3665</v>
      </c>
      <c r="H935" vm="2041">
        <f ca="1"/>
        <v>1.3669</v>
      </c>
      <c r="K935">
        <f ca="1">IF(ROW(T_CALC[[#This Row],[DAY]])-ROW(T_CALC[[#Headers],[DAY]])&gt;C_N_TRADING_DAYS,"",ROW(T_CALC[[#This Row],[DAY]])-ROW(T_CALC[[#Headers],[DAY]]))</f>
        <v>932</v>
      </c>
      <c r="L935" cm="1" vm="3524">
        <f t="array" aca="1" ref="L935" ca="1">IFERROR(INDEX(_xlfn.ANCHORARRAY($C$3),T_CALC[[#This Row],[DAY]]+1,1),NA())</f>
        <v>44063</v>
      </c>
      <c r="M935" cm="1" vm="2791">
        <f t="array" aca="1" ref="M935" ca="1">IFERROR(INDEX(_xlfn.ANCHORARRAY($C$3),T_CALC[[#This Row],[DAY]]+1,3),NA())</f>
        <v>1.3707</v>
      </c>
      <c r="N935" cm="1" vm="1953">
        <f t="array" aca="1" ref="N935" ca="1">IFERROR(INDEX(_xlfn.ANCHORARRAY($C$3),T_CALC[[#This Row],[DAY]]+1,4),NA())</f>
        <v>1.3711</v>
      </c>
      <c r="O935" cm="1" vm="3047">
        <f t="array" aca="1" ref="O935" ca="1">IFERROR(INDEX(_xlfn.ANCHORARRAY($C$3),T_CALC[[#This Row],[DAY]]+1,5),NA())</f>
        <v>1.3665</v>
      </c>
      <c r="P935" cm="1" vm="2041">
        <f t="array" aca="1" ref="P935" ca="1">IFERROR(INDEX(_xlfn.ANCHORARRAY($C$3),T_CALC[[#This Row],[DAY]]+1,6),NA())</f>
        <v>1.3669</v>
      </c>
      <c r="Q935" cm="1">
        <f t="array" aca="1" ref="Q935" ca="1">IFERROR(INDEX(_xlfn.ANCHORARRAY($C$3),T_CALC[[#This Row],[DAY]]+1,2),NA())</f>
        <v>0</v>
      </c>
    </row>
    <row r="936" spans="3:17">
      <c r="C936" vm="3525">
        <f ca="1"/>
        <v>44064</v>
      </c>
      <c r="D936">
        <f ca="1"/>
        <v>0</v>
      </c>
      <c r="E936" vm="2763">
        <f ca="1"/>
        <v>1.3673999999999999</v>
      </c>
      <c r="F936" vm="1886">
        <f ca="1"/>
        <v>1.3734999999999999</v>
      </c>
      <c r="G936" vm="1961">
        <f ca="1"/>
        <v>1.3648</v>
      </c>
      <c r="H936" vm="2791">
        <f ca="1"/>
        <v>1.3707</v>
      </c>
      <c r="K936">
        <f ca="1">IF(ROW(T_CALC[[#This Row],[DAY]])-ROW(T_CALC[[#Headers],[DAY]])&gt;C_N_TRADING_DAYS,"",ROW(T_CALC[[#This Row],[DAY]])-ROW(T_CALC[[#Headers],[DAY]]))</f>
        <v>933</v>
      </c>
      <c r="L936" cm="1" vm="3525">
        <f t="array" aca="1" ref="L936" ca="1">IFERROR(INDEX(_xlfn.ANCHORARRAY($C$3),T_CALC[[#This Row],[DAY]]+1,1),NA())</f>
        <v>44064</v>
      </c>
      <c r="M936" cm="1" vm="2763">
        <f t="array" aca="1" ref="M936" ca="1">IFERROR(INDEX(_xlfn.ANCHORARRAY($C$3),T_CALC[[#This Row],[DAY]]+1,3),NA())</f>
        <v>1.3673999999999999</v>
      </c>
      <c r="N936" cm="1" vm="1886">
        <f t="array" aca="1" ref="N936" ca="1">IFERROR(INDEX(_xlfn.ANCHORARRAY($C$3),T_CALC[[#This Row],[DAY]]+1,4),NA())</f>
        <v>1.3734999999999999</v>
      </c>
      <c r="O936" cm="1" vm="1961">
        <f t="array" aca="1" ref="O936" ca="1">IFERROR(INDEX(_xlfn.ANCHORARRAY($C$3),T_CALC[[#This Row],[DAY]]+1,5),NA())</f>
        <v>1.3648</v>
      </c>
      <c r="P936" cm="1" vm="2791">
        <f t="array" aca="1" ref="P936" ca="1">IFERROR(INDEX(_xlfn.ANCHORARRAY($C$3),T_CALC[[#This Row],[DAY]]+1,6),NA())</f>
        <v>1.3707</v>
      </c>
      <c r="Q936" cm="1">
        <f t="array" aca="1" ref="Q936" ca="1">IFERROR(INDEX(_xlfn.ANCHORARRAY($C$3),T_CALC[[#This Row],[DAY]]+1,2),NA())</f>
        <v>0</v>
      </c>
    </row>
    <row r="937" spans="3:17">
      <c r="C937" vm="3526">
        <f ca="1"/>
        <v>44067</v>
      </c>
      <c r="D937">
        <f ca="1"/>
        <v>0</v>
      </c>
      <c r="E937" vm="2199">
        <f ca="1"/>
        <v>1.3713</v>
      </c>
      <c r="F937" vm="2748">
        <f ca="1"/>
        <v>1.3727</v>
      </c>
      <c r="G937" vm="2045">
        <f ca="1"/>
        <v>1.3671</v>
      </c>
      <c r="H937" vm="2786">
        <f ca="1"/>
        <v>1.3701000000000001</v>
      </c>
      <c r="K937">
        <f ca="1">IF(ROW(T_CALC[[#This Row],[DAY]])-ROW(T_CALC[[#Headers],[DAY]])&gt;C_N_TRADING_DAYS,"",ROW(T_CALC[[#This Row],[DAY]])-ROW(T_CALC[[#Headers],[DAY]]))</f>
        <v>934</v>
      </c>
      <c r="L937" cm="1" vm="3526">
        <f t="array" aca="1" ref="L937" ca="1">IFERROR(INDEX(_xlfn.ANCHORARRAY($C$3),T_CALC[[#This Row],[DAY]]+1,1),NA())</f>
        <v>44067</v>
      </c>
      <c r="M937" cm="1" vm="2199">
        <f t="array" aca="1" ref="M937" ca="1">IFERROR(INDEX(_xlfn.ANCHORARRAY($C$3),T_CALC[[#This Row],[DAY]]+1,3),NA())</f>
        <v>1.3713</v>
      </c>
      <c r="N937" cm="1" vm="2748">
        <f t="array" aca="1" ref="N937" ca="1">IFERROR(INDEX(_xlfn.ANCHORARRAY($C$3),T_CALC[[#This Row],[DAY]]+1,4),NA())</f>
        <v>1.3727</v>
      </c>
      <c r="O937" cm="1" vm="2045">
        <f t="array" aca="1" ref="O937" ca="1">IFERROR(INDEX(_xlfn.ANCHORARRAY($C$3),T_CALC[[#This Row],[DAY]]+1,5),NA())</f>
        <v>1.3671</v>
      </c>
      <c r="P937" cm="1" vm="2786">
        <f t="array" aca="1" ref="P937" ca="1">IFERROR(INDEX(_xlfn.ANCHORARRAY($C$3),T_CALC[[#This Row],[DAY]]+1,6),NA())</f>
        <v>1.3701000000000001</v>
      </c>
      <c r="Q937" cm="1">
        <f t="array" aca="1" ref="Q937" ca="1">IFERROR(INDEX(_xlfn.ANCHORARRAY($C$3),T_CALC[[#This Row],[DAY]]+1,2),NA())</f>
        <v>0</v>
      </c>
    </row>
    <row r="938" spans="3:17">
      <c r="C938" vm="3527">
        <f ca="1"/>
        <v>44068</v>
      </c>
      <c r="D938">
        <f ca="1"/>
        <v>0</v>
      </c>
      <c r="E938" vm="2786">
        <f ca="1"/>
        <v>1.3701000000000001</v>
      </c>
      <c r="F938" vm="2805">
        <f ca="1"/>
        <v>1.371</v>
      </c>
      <c r="G938" vm="1973">
        <f ca="1"/>
        <v>1.3674999999999999</v>
      </c>
      <c r="H938" vm="3155">
        <f ca="1"/>
        <v>1.3677999999999999</v>
      </c>
      <c r="K938">
        <f ca="1">IF(ROW(T_CALC[[#This Row],[DAY]])-ROW(T_CALC[[#Headers],[DAY]])&gt;C_N_TRADING_DAYS,"",ROW(T_CALC[[#This Row],[DAY]])-ROW(T_CALC[[#Headers],[DAY]]))</f>
        <v>935</v>
      </c>
      <c r="L938" cm="1" vm="3527">
        <f t="array" aca="1" ref="L938" ca="1">IFERROR(INDEX(_xlfn.ANCHORARRAY($C$3),T_CALC[[#This Row],[DAY]]+1,1),NA())</f>
        <v>44068</v>
      </c>
      <c r="M938" cm="1" vm="2786">
        <f t="array" aca="1" ref="M938" ca="1">IFERROR(INDEX(_xlfn.ANCHORARRAY($C$3),T_CALC[[#This Row],[DAY]]+1,3),NA())</f>
        <v>1.3701000000000001</v>
      </c>
      <c r="N938" cm="1" vm="2805">
        <f t="array" aca="1" ref="N938" ca="1">IFERROR(INDEX(_xlfn.ANCHORARRAY($C$3),T_CALC[[#This Row],[DAY]]+1,4),NA())</f>
        <v>1.371</v>
      </c>
      <c r="O938" cm="1" vm="1973">
        <f t="array" aca="1" ref="O938" ca="1">IFERROR(INDEX(_xlfn.ANCHORARRAY($C$3),T_CALC[[#This Row],[DAY]]+1,5),NA())</f>
        <v>1.3674999999999999</v>
      </c>
      <c r="P938" cm="1" vm="3155">
        <f t="array" aca="1" ref="P938" ca="1">IFERROR(INDEX(_xlfn.ANCHORARRAY($C$3),T_CALC[[#This Row],[DAY]]+1,6),NA())</f>
        <v>1.3677999999999999</v>
      </c>
      <c r="Q938" cm="1">
        <f t="array" aca="1" ref="Q938" ca="1">IFERROR(INDEX(_xlfn.ANCHORARRAY($C$3),T_CALC[[#This Row],[DAY]]+1,2),NA())</f>
        <v>0</v>
      </c>
    </row>
    <row r="939" spans="3:17">
      <c r="C939" vm="3528">
        <f ca="1"/>
        <v>44069</v>
      </c>
      <c r="D939">
        <f ca="1"/>
        <v>0</v>
      </c>
      <c r="E939" vm="1966">
        <f ca="1"/>
        <v>1.3676999999999999</v>
      </c>
      <c r="F939" vm="2721">
        <f ca="1"/>
        <v>1.3694</v>
      </c>
      <c r="G939" vm="2711">
        <f ca="1"/>
        <v>1.3649</v>
      </c>
      <c r="H939" vm="2166">
        <f ca="1"/>
        <v>1.3654999999999999</v>
      </c>
      <c r="K939">
        <f ca="1">IF(ROW(T_CALC[[#This Row],[DAY]])-ROW(T_CALC[[#Headers],[DAY]])&gt;C_N_TRADING_DAYS,"",ROW(T_CALC[[#This Row],[DAY]])-ROW(T_CALC[[#Headers],[DAY]]))</f>
        <v>936</v>
      </c>
      <c r="L939" cm="1" vm="3528">
        <f t="array" aca="1" ref="L939" ca="1">IFERROR(INDEX(_xlfn.ANCHORARRAY($C$3),T_CALC[[#This Row],[DAY]]+1,1),NA())</f>
        <v>44069</v>
      </c>
      <c r="M939" cm="1" vm="1966">
        <f t="array" aca="1" ref="M939" ca="1">IFERROR(INDEX(_xlfn.ANCHORARRAY($C$3),T_CALC[[#This Row],[DAY]]+1,3),NA())</f>
        <v>1.3676999999999999</v>
      </c>
      <c r="N939" cm="1" vm="2721">
        <f t="array" aca="1" ref="N939" ca="1">IFERROR(INDEX(_xlfn.ANCHORARRAY($C$3),T_CALC[[#This Row],[DAY]]+1,4),NA())</f>
        <v>1.3694</v>
      </c>
      <c r="O939" cm="1" vm="2711">
        <f t="array" aca="1" ref="O939" ca="1">IFERROR(INDEX(_xlfn.ANCHORARRAY($C$3),T_CALC[[#This Row],[DAY]]+1,5),NA())</f>
        <v>1.3649</v>
      </c>
      <c r="P939" cm="1" vm="2166">
        <f t="array" aca="1" ref="P939" ca="1">IFERROR(INDEX(_xlfn.ANCHORARRAY($C$3),T_CALC[[#This Row],[DAY]]+1,6),NA())</f>
        <v>1.3654999999999999</v>
      </c>
      <c r="Q939" cm="1">
        <f t="array" aca="1" ref="Q939" ca="1">IFERROR(INDEX(_xlfn.ANCHORARRAY($C$3),T_CALC[[#This Row],[DAY]]+1,2),NA())</f>
        <v>0</v>
      </c>
    </row>
    <row r="940" spans="3:17">
      <c r="C940" vm="3529">
        <f ca="1"/>
        <v>44070</v>
      </c>
      <c r="D940">
        <f ca="1"/>
        <v>0</v>
      </c>
      <c r="E940" vm="2200">
        <f ca="1"/>
        <v>1.3652</v>
      </c>
      <c r="F940" vm="2680">
        <f ca="1"/>
        <v>1.3687</v>
      </c>
      <c r="G940" vm="2054">
        <f ca="1"/>
        <v>1.3622000000000001</v>
      </c>
      <c r="H940" vm="1972">
        <f ca="1"/>
        <v>1.3655999999999999</v>
      </c>
      <c r="K940">
        <f ca="1">IF(ROW(T_CALC[[#This Row],[DAY]])-ROW(T_CALC[[#Headers],[DAY]])&gt;C_N_TRADING_DAYS,"",ROW(T_CALC[[#This Row],[DAY]])-ROW(T_CALC[[#Headers],[DAY]]))</f>
        <v>937</v>
      </c>
      <c r="L940" cm="1" vm="3529">
        <f t="array" aca="1" ref="L940" ca="1">IFERROR(INDEX(_xlfn.ANCHORARRAY($C$3),T_CALC[[#This Row],[DAY]]+1,1),NA())</f>
        <v>44070</v>
      </c>
      <c r="M940" cm="1" vm="2200">
        <f t="array" aca="1" ref="M940" ca="1">IFERROR(INDEX(_xlfn.ANCHORARRAY($C$3),T_CALC[[#This Row],[DAY]]+1,3),NA())</f>
        <v>1.3652</v>
      </c>
      <c r="N940" cm="1" vm="2680">
        <f t="array" aca="1" ref="N940" ca="1">IFERROR(INDEX(_xlfn.ANCHORARRAY($C$3),T_CALC[[#This Row],[DAY]]+1,4),NA())</f>
        <v>1.3687</v>
      </c>
      <c r="O940" cm="1" vm="2054">
        <f t="array" aca="1" ref="O940" ca="1">IFERROR(INDEX(_xlfn.ANCHORARRAY($C$3),T_CALC[[#This Row],[DAY]]+1,5),NA())</f>
        <v>1.3622000000000001</v>
      </c>
      <c r="P940" cm="1" vm="1972">
        <f t="array" aca="1" ref="P940" ca="1">IFERROR(INDEX(_xlfn.ANCHORARRAY($C$3),T_CALC[[#This Row],[DAY]]+1,6),NA())</f>
        <v>1.3655999999999999</v>
      </c>
      <c r="Q940" cm="1">
        <f t="array" aca="1" ref="Q940" ca="1">IFERROR(INDEX(_xlfn.ANCHORARRAY($C$3),T_CALC[[#This Row],[DAY]]+1,2),NA())</f>
        <v>0</v>
      </c>
    </row>
    <row r="941" spans="3:17">
      <c r="C941" vm="3530">
        <f ca="1"/>
        <v>44071</v>
      </c>
      <c r="D941">
        <f ca="1"/>
        <v>0</v>
      </c>
      <c r="E941" vm="1962">
        <f ca="1"/>
        <v>1.3662000000000001</v>
      </c>
      <c r="F941" vm="2041">
        <f ca="1"/>
        <v>1.3669</v>
      </c>
      <c r="G941" vm="2151">
        <f ca="1"/>
        <v>1.3575999999999999</v>
      </c>
      <c r="H941" vm="2183">
        <f ca="1"/>
        <v>1.3577999999999999</v>
      </c>
      <c r="K941">
        <f ca="1">IF(ROW(T_CALC[[#This Row],[DAY]])-ROW(T_CALC[[#Headers],[DAY]])&gt;C_N_TRADING_DAYS,"",ROW(T_CALC[[#This Row],[DAY]])-ROW(T_CALC[[#Headers],[DAY]]))</f>
        <v>938</v>
      </c>
      <c r="L941" cm="1" vm="3530">
        <f t="array" aca="1" ref="L941" ca="1">IFERROR(INDEX(_xlfn.ANCHORARRAY($C$3),T_CALC[[#This Row],[DAY]]+1,1),NA())</f>
        <v>44071</v>
      </c>
      <c r="M941" cm="1" vm="1962">
        <f t="array" aca="1" ref="M941" ca="1">IFERROR(INDEX(_xlfn.ANCHORARRAY($C$3),T_CALC[[#This Row],[DAY]]+1,3),NA())</f>
        <v>1.3662000000000001</v>
      </c>
      <c r="N941" cm="1" vm="2041">
        <f t="array" aca="1" ref="N941" ca="1">IFERROR(INDEX(_xlfn.ANCHORARRAY($C$3),T_CALC[[#This Row],[DAY]]+1,4),NA())</f>
        <v>1.3669</v>
      </c>
      <c r="O941" cm="1" vm="2151">
        <f t="array" aca="1" ref="O941" ca="1">IFERROR(INDEX(_xlfn.ANCHORARRAY($C$3),T_CALC[[#This Row],[DAY]]+1,5),NA())</f>
        <v>1.3575999999999999</v>
      </c>
      <c r="P941" cm="1" vm="2183">
        <f t="array" aca="1" ref="P941" ca="1">IFERROR(INDEX(_xlfn.ANCHORARRAY($C$3),T_CALC[[#This Row],[DAY]]+1,6),NA())</f>
        <v>1.3577999999999999</v>
      </c>
      <c r="Q941" cm="1">
        <f t="array" aca="1" ref="Q941" ca="1">IFERROR(INDEX(_xlfn.ANCHORARRAY($C$3),T_CALC[[#This Row],[DAY]]+1,2),NA())</f>
        <v>0</v>
      </c>
    </row>
    <row r="942" spans="3:17">
      <c r="C942" vm="3531">
        <f ca="1"/>
        <v>44074</v>
      </c>
      <c r="D942">
        <f ca="1"/>
        <v>0</v>
      </c>
      <c r="E942" vm="2001">
        <f ca="1"/>
        <v>1.3583000000000001</v>
      </c>
      <c r="F942" vm="2032">
        <f ca="1"/>
        <v>1.3612</v>
      </c>
      <c r="G942" vm="2081">
        <f ca="1"/>
        <v>1.3573</v>
      </c>
      <c r="H942" vm="2695">
        <f ca="1"/>
        <v>1.3601000000000001</v>
      </c>
      <c r="K942">
        <f ca="1">IF(ROW(T_CALC[[#This Row],[DAY]])-ROW(T_CALC[[#Headers],[DAY]])&gt;C_N_TRADING_DAYS,"",ROW(T_CALC[[#This Row],[DAY]])-ROW(T_CALC[[#Headers],[DAY]]))</f>
        <v>939</v>
      </c>
      <c r="L942" cm="1" vm="3531">
        <f t="array" aca="1" ref="L942" ca="1">IFERROR(INDEX(_xlfn.ANCHORARRAY($C$3),T_CALC[[#This Row],[DAY]]+1,1),NA())</f>
        <v>44074</v>
      </c>
      <c r="M942" cm="1" vm="2001">
        <f t="array" aca="1" ref="M942" ca="1">IFERROR(INDEX(_xlfn.ANCHORARRAY($C$3),T_CALC[[#This Row],[DAY]]+1,3),NA())</f>
        <v>1.3583000000000001</v>
      </c>
      <c r="N942" cm="1" vm="2032">
        <f t="array" aca="1" ref="N942" ca="1">IFERROR(INDEX(_xlfn.ANCHORARRAY($C$3),T_CALC[[#This Row],[DAY]]+1,4),NA())</f>
        <v>1.3612</v>
      </c>
      <c r="O942" cm="1" vm="2081">
        <f t="array" aca="1" ref="O942" ca="1">IFERROR(INDEX(_xlfn.ANCHORARRAY($C$3),T_CALC[[#This Row],[DAY]]+1,5),NA())</f>
        <v>1.3573</v>
      </c>
      <c r="P942" cm="1" vm="2695">
        <f t="array" aca="1" ref="P942" ca="1">IFERROR(INDEX(_xlfn.ANCHORARRAY($C$3),T_CALC[[#This Row],[DAY]]+1,6),NA())</f>
        <v>1.3601000000000001</v>
      </c>
      <c r="Q942" cm="1">
        <f t="array" aca="1" ref="Q942" ca="1">IFERROR(INDEX(_xlfn.ANCHORARRAY($C$3),T_CALC[[#This Row],[DAY]]+1,2),NA())</f>
        <v>0</v>
      </c>
    </row>
    <row r="943" spans="3:17">
      <c r="C943" vm="3532">
        <f ca="1"/>
        <v>44075</v>
      </c>
      <c r="D943">
        <f ca="1"/>
        <v>0</v>
      </c>
      <c r="E943" vm="2036">
        <f ca="1"/>
        <v>1.3604000000000001</v>
      </c>
      <c r="F943" vm="1980">
        <f ca="1"/>
        <v>1.3617999999999999</v>
      </c>
      <c r="G943" vm="2078">
        <f ca="1"/>
        <v>1.3555999999999999</v>
      </c>
      <c r="H943" vm="2156">
        <f ca="1"/>
        <v>1.3613</v>
      </c>
      <c r="K943">
        <f ca="1">IF(ROW(T_CALC[[#This Row],[DAY]])-ROW(T_CALC[[#Headers],[DAY]])&gt;C_N_TRADING_DAYS,"",ROW(T_CALC[[#This Row],[DAY]])-ROW(T_CALC[[#Headers],[DAY]]))</f>
        <v>940</v>
      </c>
      <c r="L943" cm="1" vm="3532">
        <f t="array" aca="1" ref="L943" ca="1">IFERROR(INDEX(_xlfn.ANCHORARRAY($C$3),T_CALC[[#This Row],[DAY]]+1,1),NA())</f>
        <v>44075</v>
      </c>
      <c r="M943" cm="1" vm="2036">
        <f t="array" aca="1" ref="M943" ca="1">IFERROR(INDEX(_xlfn.ANCHORARRAY($C$3),T_CALC[[#This Row],[DAY]]+1,3),NA())</f>
        <v>1.3604000000000001</v>
      </c>
      <c r="N943" cm="1" vm="1980">
        <f t="array" aca="1" ref="N943" ca="1">IFERROR(INDEX(_xlfn.ANCHORARRAY($C$3),T_CALC[[#This Row],[DAY]]+1,4),NA())</f>
        <v>1.3617999999999999</v>
      </c>
      <c r="O943" cm="1" vm="2078">
        <f t="array" aca="1" ref="O943" ca="1">IFERROR(INDEX(_xlfn.ANCHORARRAY($C$3),T_CALC[[#This Row],[DAY]]+1,5),NA())</f>
        <v>1.3555999999999999</v>
      </c>
      <c r="P943" cm="1" vm="2156">
        <f t="array" aca="1" ref="P943" ca="1">IFERROR(INDEX(_xlfn.ANCHORARRAY($C$3),T_CALC[[#This Row],[DAY]]+1,6),NA())</f>
        <v>1.3613</v>
      </c>
      <c r="Q943" cm="1">
        <f t="array" aca="1" ref="Q943" ca="1">IFERROR(INDEX(_xlfn.ANCHORARRAY($C$3),T_CALC[[#This Row],[DAY]]+1,2),NA())</f>
        <v>0</v>
      </c>
    </row>
    <row r="944" spans="3:17">
      <c r="C944" vm="3533">
        <f ca="1"/>
        <v>44076</v>
      </c>
      <c r="D944">
        <f ca="1"/>
        <v>0</v>
      </c>
      <c r="E944" vm="2156">
        <f ca="1"/>
        <v>1.3613</v>
      </c>
      <c r="F944" vm="1970">
        <f ca="1"/>
        <v>1.3643000000000001</v>
      </c>
      <c r="G944" vm="2013">
        <f ca="1"/>
        <v>1.3588</v>
      </c>
      <c r="H944" vm="2025">
        <f ca="1"/>
        <v>1.3624000000000001</v>
      </c>
      <c r="K944">
        <f ca="1">IF(ROW(T_CALC[[#This Row],[DAY]])-ROW(T_CALC[[#Headers],[DAY]])&gt;C_N_TRADING_DAYS,"",ROW(T_CALC[[#This Row],[DAY]])-ROW(T_CALC[[#Headers],[DAY]]))</f>
        <v>941</v>
      </c>
      <c r="L944" cm="1" vm="3533">
        <f t="array" aca="1" ref="L944" ca="1">IFERROR(INDEX(_xlfn.ANCHORARRAY($C$3),T_CALC[[#This Row],[DAY]]+1,1),NA())</f>
        <v>44076</v>
      </c>
      <c r="M944" cm="1" vm="2156">
        <f t="array" aca="1" ref="M944" ca="1">IFERROR(INDEX(_xlfn.ANCHORARRAY($C$3),T_CALC[[#This Row],[DAY]]+1,3),NA())</f>
        <v>1.3613</v>
      </c>
      <c r="N944" cm="1" vm="1970">
        <f t="array" aca="1" ref="N944" ca="1">IFERROR(INDEX(_xlfn.ANCHORARRAY($C$3),T_CALC[[#This Row],[DAY]]+1,4),NA())</f>
        <v>1.3643000000000001</v>
      </c>
      <c r="O944" cm="1" vm="2013">
        <f t="array" aca="1" ref="O944" ca="1">IFERROR(INDEX(_xlfn.ANCHORARRAY($C$3),T_CALC[[#This Row],[DAY]]+1,5),NA())</f>
        <v>1.3588</v>
      </c>
      <c r="P944" cm="1" vm="2025">
        <f t="array" aca="1" ref="P944" ca="1">IFERROR(INDEX(_xlfn.ANCHORARRAY($C$3),T_CALC[[#This Row],[DAY]]+1,6),NA())</f>
        <v>1.3624000000000001</v>
      </c>
      <c r="Q944" cm="1">
        <f t="array" aca="1" ref="Q944" ca="1">IFERROR(INDEX(_xlfn.ANCHORARRAY($C$3),T_CALC[[#This Row],[DAY]]+1,2),NA())</f>
        <v>0</v>
      </c>
    </row>
    <row r="945" spans="3:17">
      <c r="C945" vm="3534">
        <f ca="1"/>
        <v>44077</v>
      </c>
      <c r="D945">
        <f ca="1"/>
        <v>0</v>
      </c>
      <c r="E945" vm="2025">
        <f ca="1"/>
        <v>1.3624000000000001</v>
      </c>
      <c r="F945" vm="1962">
        <f ca="1"/>
        <v>1.3662000000000001</v>
      </c>
      <c r="G945" vm="2040">
        <f ca="1"/>
        <v>1.3614999999999999</v>
      </c>
      <c r="H945" vm="2150">
        <f ca="1"/>
        <v>1.3646</v>
      </c>
      <c r="K945">
        <f ca="1">IF(ROW(T_CALC[[#This Row],[DAY]])-ROW(T_CALC[[#Headers],[DAY]])&gt;C_N_TRADING_DAYS,"",ROW(T_CALC[[#This Row],[DAY]])-ROW(T_CALC[[#Headers],[DAY]]))</f>
        <v>942</v>
      </c>
      <c r="L945" cm="1" vm="3534">
        <f t="array" aca="1" ref="L945" ca="1">IFERROR(INDEX(_xlfn.ANCHORARRAY($C$3),T_CALC[[#This Row],[DAY]]+1,1),NA())</f>
        <v>44077</v>
      </c>
      <c r="M945" cm="1" vm="2025">
        <f t="array" aca="1" ref="M945" ca="1">IFERROR(INDEX(_xlfn.ANCHORARRAY($C$3),T_CALC[[#This Row],[DAY]]+1,3),NA())</f>
        <v>1.3624000000000001</v>
      </c>
      <c r="N945" cm="1" vm="1962">
        <f t="array" aca="1" ref="N945" ca="1">IFERROR(INDEX(_xlfn.ANCHORARRAY($C$3),T_CALC[[#This Row],[DAY]]+1,4),NA())</f>
        <v>1.3662000000000001</v>
      </c>
      <c r="O945" cm="1" vm="2040">
        <f t="array" aca="1" ref="O945" ca="1">IFERROR(INDEX(_xlfn.ANCHORARRAY($C$3),T_CALC[[#This Row],[DAY]]+1,5),NA())</f>
        <v>1.3614999999999999</v>
      </c>
      <c r="P945" cm="1" vm="2150">
        <f t="array" aca="1" ref="P945" ca="1">IFERROR(INDEX(_xlfn.ANCHORARRAY($C$3),T_CALC[[#This Row],[DAY]]+1,6),NA())</f>
        <v>1.3646</v>
      </c>
      <c r="Q945" cm="1">
        <f t="array" aca="1" ref="Q945" ca="1">IFERROR(INDEX(_xlfn.ANCHORARRAY($C$3),T_CALC[[#This Row],[DAY]]+1,2),NA())</f>
        <v>0</v>
      </c>
    </row>
    <row r="946" spans="3:17">
      <c r="C946" vm="3535">
        <f ca="1"/>
        <v>44078</v>
      </c>
      <c r="D946">
        <f ca="1"/>
        <v>0</v>
      </c>
      <c r="E946" vm="2685">
        <f ca="1"/>
        <v>1.3645</v>
      </c>
      <c r="F946" vm="2680">
        <f ca="1"/>
        <v>1.3687</v>
      </c>
      <c r="G946" vm="2027">
        <f ca="1"/>
        <v>1.3629</v>
      </c>
      <c r="H946" vm="1970">
        <f ca="1"/>
        <v>1.3643000000000001</v>
      </c>
      <c r="K946">
        <f ca="1">IF(ROW(T_CALC[[#This Row],[DAY]])-ROW(T_CALC[[#Headers],[DAY]])&gt;C_N_TRADING_DAYS,"",ROW(T_CALC[[#This Row],[DAY]])-ROW(T_CALC[[#Headers],[DAY]]))</f>
        <v>943</v>
      </c>
      <c r="L946" cm="1" vm="3535">
        <f t="array" aca="1" ref="L946" ca="1">IFERROR(INDEX(_xlfn.ANCHORARRAY($C$3),T_CALC[[#This Row],[DAY]]+1,1),NA())</f>
        <v>44078</v>
      </c>
      <c r="M946" cm="1" vm="2685">
        <f t="array" aca="1" ref="M946" ca="1">IFERROR(INDEX(_xlfn.ANCHORARRAY($C$3),T_CALC[[#This Row],[DAY]]+1,3),NA())</f>
        <v>1.3645</v>
      </c>
      <c r="N946" cm="1" vm="2680">
        <f t="array" aca="1" ref="N946" ca="1">IFERROR(INDEX(_xlfn.ANCHORARRAY($C$3),T_CALC[[#This Row],[DAY]]+1,4),NA())</f>
        <v>1.3687</v>
      </c>
      <c r="O946" cm="1" vm="2027">
        <f t="array" aca="1" ref="O946" ca="1">IFERROR(INDEX(_xlfn.ANCHORARRAY($C$3),T_CALC[[#This Row],[DAY]]+1,5),NA())</f>
        <v>1.3629</v>
      </c>
      <c r="P946" cm="1" vm="1970">
        <f t="array" aca="1" ref="P946" ca="1">IFERROR(INDEX(_xlfn.ANCHORARRAY($C$3),T_CALC[[#This Row],[DAY]]+1,6),NA())</f>
        <v>1.3643000000000001</v>
      </c>
      <c r="Q946" cm="1">
        <f t="array" aca="1" ref="Q946" ca="1">IFERROR(INDEX(_xlfn.ANCHORARRAY($C$3),T_CALC[[#This Row],[DAY]]+1,2),NA())</f>
        <v>0</v>
      </c>
    </row>
    <row r="947" spans="3:17">
      <c r="C947" vm="3536">
        <f ca="1"/>
        <v>44081</v>
      </c>
      <c r="D947">
        <f ca="1"/>
        <v>0</v>
      </c>
      <c r="E947" vm="2702">
        <f ca="1"/>
        <v>1.365</v>
      </c>
      <c r="F947" vm="2198">
        <f ca="1"/>
        <v>1.3672</v>
      </c>
      <c r="G947" vm="2162">
        <f ca="1"/>
        <v>1.3640000000000001</v>
      </c>
      <c r="H947" vm="2210">
        <f ca="1"/>
        <v>1.3658999999999999</v>
      </c>
      <c r="K947">
        <f ca="1">IF(ROW(T_CALC[[#This Row],[DAY]])-ROW(T_CALC[[#Headers],[DAY]])&gt;C_N_TRADING_DAYS,"",ROW(T_CALC[[#This Row],[DAY]])-ROW(T_CALC[[#Headers],[DAY]]))</f>
        <v>944</v>
      </c>
      <c r="L947" cm="1" vm="3536">
        <f t="array" aca="1" ref="L947" ca="1">IFERROR(INDEX(_xlfn.ANCHORARRAY($C$3),T_CALC[[#This Row],[DAY]]+1,1),NA())</f>
        <v>44081</v>
      </c>
      <c r="M947" cm="1" vm="2702">
        <f t="array" aca="1" ref="M947" ca="1">IFERROR(INDEX(_xlfn.ANCHORARRAY($C$3),T_CALC[[#This Row],[DAY]]+1,3),NA())</f>
        <v>1.365</v>
      </c>
      <c r="N947" cm="1" vm="2198">
        <f t="array" aca="1" ref="N947" ca="1">IFERROR(INDEX(_xlfn.ANCHORARRAY($C$3),T_CALC[[#This Row],[DAY]]+1,4),NA())</f>
        <v>1.3672</v>
      </c>
      <c r="O947" cm="1" vm="2162">
        <f t="array" aca="1" ref="O947" ca="1">IFERROR(INDEX(_xlfn.ANCHORARRAY($C$3),T_CALC[[#This Row],[DAY]]+1,5),NA())</f>
        <v>1.3640000000000001</v>
      </c>
      <c r="P947" cm="1" vm="2210">
        <f t="array" aca="1" ref="P947" ca="1">IFERROR(INDEX(_xlfn.ANCHORARRAY($C$3),T_CALC[[#This Row],[DAY]]+1,6),NA())</f>
        <v>1.3658999999999999</v>
      </c>
      <c r="Q947" cm="1">
        <f t="array" aca="1" ref="Q947" ca="1">IFERROR(INDEX(_xlfn.ANCHORARRAY($C$3),T_CALC[[#This Row],[DAY]]+1,2),NA())</f>
        <v>0</v>
      </c>
    </row>
    <row r="948" spans="3:17">
      <c r="C948" vm="3537">
        <f ca="1"/>
        <v>44082</v>
      </c>
      <c r="D948">
        <f ca="1"/>
        <v>0</v>
      </c>
      <c r="E948" vm="2720">
        <f ca="1"/>
        <v>1.3664000000000001</v>
      </c>
      <c r="F948" vm="2782">
        <f ca="1"/>
        <v>1.3717999999999999</v>
      </c>
      <c r="G948" vm="2687">
        <f ca="1"/>
        <v>1.3656999999999999</v>
      </c>
      <c r="H948" vm="2678">
        <f ca="1"/>
        <v>1.3705000000000001</v>
      </c>
      <c r="K948">
        <f ca="1">IF(ROW(T_CALC[[#This Row],[DAY]])-ROW(T_CALC[[#Headers],[DAY]])&gt;C_N_TRADING_DAYS,"",ROW(T_CALC[[#This Row],[DAY]])-ROW(T_CALC[[#Headers],[DAY]]))</f>
        <v>945</v>
      </c>
      <c r="L948" cm="1" vm="3537">
        <f t="array" aca="1" ref="L948" ca="1">IFERROR(INDEX(_xlfn.ANCHORARRAY($C$3),T_CALC[[#This Row],[DAY]]+1,1),NA())</f>
        <v>44082</v>
      </c>
      <c r="M948" cm="1" vm="2720">
        <f t="array" aca="1" ref="M948" ca="1">IFERROR(INDEX(_xlfn.ANCHORARRAY($C$3),T_CALC[[#This Row],[DAY]]+1,3),NA())</f>
        <v>1.3664000000000001</v>
      </c>
      <c r="N948" cm="1" vm="2782">
        <f t="array" aca="1" ref="N948" ca="1">IFERROR(INDEX(_xlfn.ANCHORARRAY($C$3),T_CALC[[#This Row],[DAY]]+1,4),NA())</f>
        <v>1.3717999999999999</v>
      </c>
      <c r="O948" cm="1" vm="2687">
        <f t="array" aca="1" ref="O948" ca="1">IFERROR(INDEX(_xlfn.ANCHORARRAY($C$3),T_CALC[[#This Row],[DAY]]+1,5),NA())</f>
        <v>1.3656999999999999</v>
      </c>
      <c r="P948" cm="1" vm="2678">
        <f t="array" aca="1" ref="P948" ca="1">IFERROR(INDEX(_xlfn.ANCHORARRAY($C$3),T_CALC[[#This Row],[DAY]]+1,6),NA())</f>
        <v>1.3705000000000001</v>
      </c>
      <c r="Q948" cm="1">
        <f t="array" aca="1" ref="Q948" ca="1">IFERROR(INDEX(_xlfn.ANCHORARRAY($C$3),T_CALC[[#This Row],[DAY]]+1,2),NA())</f>
        <v>0</v>
      </c>
    </row>
    <row r="949" spans="3:17">
      <c r="C949" vm="3538">
        <f ca="1"/>
        <v>44083</v>
      </c>
      <c r="D949">
        <f ca="1"/>
        <v>0</v>
      </c>
      <c r="E949" vm="1955">
        <f ca="1"/>
        <v>1.3708</v>
      </c>
      <c r="F949" vm="2765">
        <f ca="1"/>
        <v>1.3718999999999999</v>
      </c>
      <c r="G949" vm="2725">
        <f ca="1"/>
        <v>1.3657999999999999</v>
      </c>
      <c r="H949" vm="1957">
        <f ca="1"/>
        <v>1.3663000000000001</v>
      </c>
      <c r="K949">
        <f ca="1">IF(ROW(T_CALC[[#This Row],[DAY]])-ROW(T_CALC[[#Headers],[DAY]])&gt;C_N_TRADING_DAYS,"",ROW(T_CALC[[#This Row],[DAY]])-ROW(T_CALC[[#Headers],[DAY]]))</f>
        <v>946</v>
      </c>
      <c r="L949" cm="1" vm="3538">
        <f t="array" aca="1" ref="L949" ca="1">IFERROR(INDEX(_xlfn.ANCHORARRAY($C$3),T_CALC[[#This Row],[DAY]]+1,1),NA())</f>
        <v>44083</v>
      </c>
      <c r="M949" cm="1" vm="1955">
        <f t="array" aca="1" ref="M949" ca="1">IFERROR(INDEX(_xlfn.ANCHORARRAY($C$3),T_CALC[[#This Row],[DAY]]+1,3),NA())</f>
        <v>1.3708</v>
      </c>
      <c r="N949" cm="1" vm="2765">
        <f t="array" aca="1" ref="N949" ca="1">IFERROR(INDEX(_xlfn.ANCHORARRAY($C$3),T_CALC[[#This Row],[DAY]]+1,4),NA())</f>
        <v>1.3718999999999999</v>
      </c>
      <c r="O949" cm="1" vm="2725">
        <f t="array" aca="1" ref="O949" ca="1">IFERROR(INDEX(_xlfn.ANCHORARRAY($C$3),T_CALC[[#This Row],[DAY]]+1,5),NA())</f>
        <v>1.3657999999999999</v>
      </c>
      <c r="P949" cm="1" vm="1957">
        <f t="array" aca="1" ref="P949" ca="1">IFERROR(INDEX(_xlfn.ANCHORARRAY($C$3),T_CALC[[#This Row],[DAY]]+1,6),NA())</f>
        <v>1.3663000000000001</v>
      </c>
      <c r="Q949" cm="1">
        <f t="array" aca="1" ref="Q949" ca="1">IFERROR(INDEX(_xlfn.ANCHORARRAY($C$3),T_CALC[[#This Row],[DAY]]+1,2),NA())</f>
        <v>0</v>
      </c>
    </row>
    <row r="950" spans="3:17">
      <c r="C950" vm="3539">
        <f ca="1"/>
        <v>44084</v>
      </c>
      <c r="D950">
        <f ca="1"/>
        <v>0</v>
      </c>
      <c r="E950" vm="2041">
        <f ca="1"/>
        <v>1.3669</v>
      </c>
      <c r="F950" vm="2786">
        <f ca="1"/>
        <v>1.3701000000000001</v>
      </c>
      <c r="G950" vm="2027">
        <f ca="1"/>
        <v>1.3629</v>
      </c>
      <c r="H950" vm="2871">
        <f ca="1"/>
        <v>1.3697999999999999</v>
      </c>
      <c r="K950">
        <f ca="1">IF(ROW(T_CALC[[#This Row],[DAY]])-ROW(T_CALC[[#Headers],[DAY]])&gt;C_N_TRADING_DAYS,"",ROW(T_CALC[[#This Row],[DAY]])-ROW(T_CALC[[#Headers],[DAY]]))</f>
        <v>947</v>
      </c>
      <c r="L950" cm="1" vm="3539">
        <f t="array" aca="1" ref="L950" ca="1">IFERROR(INDEX(_xlfn.ANCHORARRAY($C$3),T_CALC[[#This Row],[DAY]]+1,1),NA())</f>
        <v>44084</v>
      </c>
      <c r="M950" cm="1" vm="2041">
        <f t="array" aca="1" ref="M950" ca="1">IFERROR(INDEX(_xlfn.ANCHORARRAY($C$3),T_CALC[[#This Row],[DAY]]+1,3),NA())</f>
        <v>1.3669</v>
      </c>
      <c r="N950" cm="1" vm="2786">
        <f t="array" aca="1" ref="N950" ca="1">IFERROR(INDEX(_xlfn.ANCHORARRAY($C$3),T_CALC[[#This Row],[DAY]]+1,4),NA())</f>
        <v>1.3701000000000001</v>
      </c>
      <c r="O950" cm="1" vm="2027">
        <f t="array" aca="1" ref="O950" ca="1">IFERROR(INDEX(_xlfn.ANCHORARRAY($C$3),T_CALC[[#This Row],[DAY]]+1,5),NA())</f>
        <v>1.3629</v>
      </c>
      <c r="P950" cm="1" vm="2871">
        <f t="array" aca="1" ref="P950" ca="1">IFERROR(INDEX(_xlfn.ANCHORARRAY($C$3),T_CALC[[#This Row],[DAY]]+1,6),NA())</f>
        <v>1.3697999999999999</v>
      </c>
      <c r="Q950" cm="1">
        <f t="array" aca="1" ref="Q950" ca="1">IFERROR(INDEX(_xlfn.ANCHORARRAY($C$3),T_CALC[[#This Row],[DAY]]+1,2),NA())</f>
        <v>0</v>
      </c>
    </row>
    <row r="951" spans="3:17">
      <c r="C951" vm="3540">
        <f ca="1"/>
        <v>44085</v>
      </c>
      <c r="D951">
        <f ca="1"/>
        <v>0</v>
      </c>
      <c r="E951" vm="2871">
        <f ca="1"/>
        <v>1.3697999999999999</v>
      </c>
      <c r="F951" vm="2784">
        <f ca="1"/>
        <v>1.37</v>
      </c>
      <c r="G951" vm="2165">
        <f ca="1"/>
        <v>1.3653</v>
      </c>
      <c r="H951" vm="1968">
        <f ca="1"/>
        <v>1.3681000000000001</v>
      </c>
      <c r="K951">
        <f ca="1">IF(ROW(T_CALC[[#This Row],[DAY]])-ROW(T_CALC[[#Headers],[DAY]])&gt;C_N_TRADING_DAYS,"",ROW(T_CALC[[#This Row],[DAY]])-ROW(T_CALC[[#Headers],[DAY]]))</f>
        <v>948</v>
      </c>
      <c r="L951" cm="1" vm="3540">
        <f t="array" aca="1" ref="L951" ca="1">IFERROR(INDEX(_xlfn.ANCHORARRAY($C$3),T_CALC[[#This Row],[DAY]]+1,1),NA())</f>
        <v>44085</v>
      </c>
      <c r="M951" cm="1" vm="2871">
        <f t="array" aca="1" ref="M951" ca="1">IFERROR(INDEX(_xlfn.ANCHORARRAY($C$3),T_CALC[[#This Row],[DAY]]+1,3),NA())</f>
        <v>1.3697999999999999</v>
      </c>
      <c r="N951" cm="1" vm="2784">
        <f t="array" aca="1" ref="N951" ca="1">IFERROR(INDEX(_xlfn.ANCHORARRAY($C$3),T_CALC[[#This Row],[DAY]]+1,4),NA())</f>
        <v>1.37</v>
      </c>
      <c r="O951" cm="1" vm="2165">
        <f t="array" aca="1" ref="O951" ca="1">IFERROR(INDEX(_xlfn.ANCHORARRAY($C$3),T_CALC[[#This Row],[DAY]]+1,5),NA())</f>
        <v>1.3653</v>
      </c>
      <c r="P951" cm="1" vm="1968">
        <f t="array" aca="1" ref="P951" ca="1">IFERROR(INDEX(_xlfn.ANCHORARRAY($C$3),T_CALC[[#This Row],[DAY]]+1,6),NA())</f>
        <v>1.3681000000000001</v>
      </c>
      <c r="Q951" cm="1">
        <f t="array" aca="1" ref="Q951" ca="1">IFERROR(INDEX(_xlfn.ANCHORARRAY($C$3),T_CALC[[#This Row],[DAY]]+1,2),NA())</f>
        <v>0</v>
      </c>
    </row>
    <row r="952" spans="3:17">
      <c r="C952" vm="3541">
        <f ca="1"/>
        <v>44088</v>
      </c>
      <c r="D952">
        <f ca="1"/>
        <v>0</v>
      </c>
      <c r="E952" vm="1973">
        <f ca="1"/>
        <v>1.3674999999999999</v>
      </c>
      <c r="F952" vm="2762">
        <f ca="1"/>
        <v>1.3686</v>
      </c>
      <c r="G952" vm="2192">
        <f ca="1"/>
        <v>1.3623000000000001</v>
      </c>
      <c r="H952" vm="1987">
        <f ca="1"/>
        <v>1.3642000000000001</v>
      </c>
      <c r="K952">
        <f ca="1">IF(ROW(T_CALC[[#This Row],[DAY]])-ROW(T_CALC[[#Headers],[DAY]])&gt;C_N_TRADING_DAYS,"",ROW(T_CALC[[#This Row],[DAY]])-ROW(T_CALC[[#Headers],[DAY]]))</f>
        <v>949</v>
      </c>
      <c r="L952" cm="1" vm="3541">
        <f t="array" aca="1" ref="L952" ca="1">IFERROR(INDEX(_xlfn.ANCHORARRAY($C$3),T_CALC[[#This Row],[DAY]]+1,1),NA())</f>
        <v>44088</v>
      </c>
      <c r="M952" cm="1" vm="1973">
        <f t="array" aca="1" ref="M952" ca="1">IFERROR(INDEX(_xlfn.ANCHORARRAY($C$3),T_CALC[[#This Row],[DAY]]+1,3),NA())</f>
        <v>1.3674999999999999</v>
      </c>
      <c r="N952" cm="1" vm="2762">
        <f t="array" aca="1" ref="N952" ca="1">IFERROR(INDEX(_xlfn.ANCHORARRAY($C$3),T_CALC[[#This Row],[DAY]]+1,4),NA())</f>
        <v>1.3686</v>
      </c>
      <c r="O952" cm="1" vm="2192">
        <f t="array" aca="1" ref="O952" ca="1">IFERROR(INDEX(_xlfn.ANCHORARRAY($C$3),T_CALC[[#This Row],[DAY]]+1,5),NA())</f>
        <v>1.3623000000000001</v>
      </c>
      <c r="P952" cm="1" vm="1987">
        <f t="array" aca="1" ref="P952" ca="1">IFERROR(INDEX(_xlfn.ANCHORARRAY($C$3),T_CALC[[#This Row],[DAY]]+1,6),NA())</f>
        <v>1.3642000000000001</v>
      </c>
      <c r="Q952" cm="1">
        <f t="array" aca="1" ref="Q952" ca="1">IFERROR(INDEX(_xlfn.ANCHORARRAY($C$3),T_CALC[[#This Row],[DAY]]+1,2),NA())</f>
        <v>0</v>
      </c>
    </row>
    <row r="953" spans="3:17">
      <c r="C953" vm="3542">
        <f ca="1"/>
        <v>44089</v>
      </c>
      <c r="D953">
        <f ca="1"/>
        <v>0</v>
      </c>
      <c r="E953" vm="2150">
        <f ca="1"/>
        <v>1.3646</v>
      </c>
      <c r="F953" vm="2702">
        <f ca="1"/>
        <v>1.365</v>
      </c>
      <c r="G953" vm="2006">
        <f ca="1"/>
        <v>1.3585</v>
      </c>
      <c r="H953" vm="2076">
        <f ca="1"/>
        <v>1.361</v>
      </c>
      <c r="K953">
        <f ca="1">IF(ROW(T_CALC[[#This Row],[DAY]])-ROW(T_CALC[[#Headers],[DAY]])&gt;C_N_TRADING_DAYS,"",ROW(T_CALC[[#This Row],[DAY]])-ROW(T_CALC[[#Headers],[DAY]]))</f>
        <v>950</v>
      </c>
      <c r="L953" cm="1" vm="3542">
        <f t="array" aca="1" ref="L953" ca="1">IFERROR(INDEX(_xlfn.ANCHORARRAY($C$3),T_CALC[[#This Row],[DAY]]+1,1),NA())</f>
        <v>44089</v>
      </c>
      <c r="M953" cm="1" vm="2150">
        <f t="array" aca="1" ref="M953" ca="1">IFERROR(INDEX(_xlfn.ANCHORARRAY($C$3),T_CALC[[#This Row],[DAY]]+1,3),NA())</f>
        <v>1.3646</v>
      </c>
      <c r="N953" cm="1" vm="2702">
        <f t="array" aca="1" ref="N953" ca="1">IFERROR(INDEX(_xlfn.ANCHORARRAY($C$3),T_CALC[[#This Row],[DAY]]+1,4),NA())</f>
        <v>1.365</v>
      </c>
      <c r="O953" cm="1" vm="2006">
        <f t="array" aca="1" ref="O953" ca="1">IFERROR(INDEX(_xlfn.ANCHORARRAY($C$3),T_CALC[[#This Row],[DAY]]+1,5),NA())</f>
        <v>1.3585</v>
      </c>
      <c r="P953" cm="1" vm="2076">
        <f t="array" aca="1" ref="P953" ca="1">IFERROR(INDEX(_xlfn.ANCHORARRAY($C$3),T_CALC[[#This Row],[DAY]]+1,6),NA())</f>
        <v>1.361</v>
      </c>
      <c r="Q953" cm="1">
        <f t="array" aca="1" ref="Q953" ca="1">IFERROR(INDEX(_xlfn.ANCHORARRAY($C$3),T_CALC[[#This Row],[DAY]]+1,2),NA())</f>
        <v>0</v>
      </c>
    </row>
    <row r="954" spans="3:17">
      <c r="C954" vm="3543">
        <f ca="1"/>
        <v>44090</v>
      </c>
      <c r="D954">
        <f ca="1"/>
        <v>0</v>
      </c>
      <c r="E954" vm="1974">
        <f ca="1"/>
        <v>1.3608</v>
      </c>
      <c r="F954" vm="1975">
        <f ca="1"/>
        <v>1.3621000000000001</v>
      </c>
      <c r="G954" vm="2916">
        <f ca="1"/>
        <v>1.3560000000000001</v>
      </c>
      <c r="H954" vm="2006">
        <f ca="1"/>
        <v>1.3585</v>
      </c>
      <c r="K954">
        <f ca="1">IF(ROW(T_CALC[[#This Row],[DAY]])-ROW(T_CALC[[#Headers],[DAY]])&gt;C_N_TRADING_DAYS,"",ROW(T_CALC[[#This Row],[DAY]])-ROW(T_CALC[[#Headers],[DAY]]))</f>
        <v>951</v>
      </c>
      <c r="L954" cm="1" vm="3543">
        <f t="array" aca="1" ref="L954" ca="1">IFERROR(INDEX(_xlfn.ANCHORARRAY($C$3),T_CALC[[#This Row],[DAY]]+1,1),NA())</f>
        <v>44090</v>
      </c>
      <c r="M954" cm="1" vm="1974">
        <f t="array" aca="1" ref="M954" ca="1">IFERROR(INDEX(_xlfn.ANCHORARRAY($C$3),T_CALC[[#This Row],[DAY]]+1,3),NA())</f>
        <v>1.3608</v>
      </c>
      <c r="N954" cm="1" vm="1975">
        <f t="array" aca="1" ref="N954" ca="1">IFERROR(INDEX(_xlfn.ANCHORARRAY($C$3),T_CALC[[#This Row],[DAY]]+1,4),NA())</f>
        <v>1.3621000000000001</v>
      </c>
      <c r="O954" cm="1" vm="2916">
        <f t="array" aca="1" ref="O954" ca="1">IFERROR(INDEX(_xlfn.ANCHORARRAY($C$3),T_CALC[[#This Row],[DAY]]+1,5),NA())</f>
        <v>1.3560000000000001</v>
      </c>
      <c r="P954" cm="1" vm="2006">
        <f t="array" aca="1" ref="P954" ca="1">IFERROR(INDEX(_xlfn.ANCHORARRAY($C$3),T_CALC[[#This Row],[DAY]]+1,6),NA())</f>
        <v>1.3585</v>
      </c>
      <c r="Q954" cm="1">
        <f t="array" aca="1" ref="Q954" ca="1">IFERROR(INDEX(_xlfn.ANCHORARRAY($C$3),T_CALC[[#This Row],[DAY]]+1,2),NA())</f>
        <v>0</v>
      </c>
    </row>
    <row r="955" spans="3:17">
      <c r="C955" vm="3544">
        <f ca="1"/>
        <v>44091</v>
      </c>
      <c r="D955">
        <f ca="1"/>
        <v>0</v>
      </c>
      <c r="E955" vm="2006">
        <f ca="1"/>
        <v>1.3585</v>
      </c>
      <c r="F955" vm="2027">
        <f ca="1"/>
        <v>1.3629</v>
      </c>
      <c r="G955" vm="2084">
        <f ca="1"/>
        <v>1.3566</v>
      </c>
      <c r="H955" vm="2230">
        <f ca="1"/>
        <v>1.3567</v>
      </c>
      <c r="K955">
        <f ca="1">IF(ROW(T_CALC[[#This Row],[DAY]])-ROW(T_CALC[[#Headers],[DAY]])&gt;C_N_TRADING_DAYS,"",ROW(T_CALC[[#This Row],[DAY]])-ROW(T_CALC[[#Headers],[DAY]]))</f>
        <v>952</v>
      </c>
      <c r="L955" cm="1" vm="3544">
        <f t="array" aca="1" ref="L955" ca="1">IFERROR(INDEX(_xlfn.ANCHORARRAY($C$3),T_CALC[[#This Row],[DAY]]+1,1),NA())</f>
        <v>44091</v>
      </c>
      <c r="M955" cm="1" vm="2006">
        <f t="array" aca="1" ref="M955" ca="1">IFERROR(INDEX(_xlfn.ANCHORARRAY($C$3),T_CALC[[#This Row],[DAY]]+1,3),NA())</f>
        <v>1.3585</v>
      </c>
      <c r="N955" cm="1" vm="2027">
        <f t="array" aca="1" ref="N955" ca="1">IFERROR(INDEX(_xlfn.ANCHORARRAY($C$3),T_CALC[[#This Row],[DAY]]+1,4),NA())</f>
        <v>1.3629</v>
      </c>
      <c r="O955" cm="1" vm="2084">
        <f t="array" aca="1" ref="O955" ca="1">IFERROR(INDEX(_xlfn.ANCHORARRAY($C$3),T_CALC[[#This Row],[DAY]]+1,5),NA())</f>
        <v>1.3566</v>
      </c>
      <c r="P955" cm="1" vm="2230">
        <f t="array" aca="1" ref="P955" ca="1">IFERROR(INDEX(_xlfn.ANCHORARRAY($C$3),T_CALC[[#This Row],[DAY]]+1,6),NA())</f>
        <v>1.3567</v>
      </c>
      <c r="Q955" cm="1">
        <f t="array" aca="1" ref="Q955" ca="1">IFERROR(INDEX(_xlfn.ANCHORARRAY($C$3),T_CALC[[#This Row],[DAY]]+1,2),NA())</f>
        <v>0</v>
      </c>
    </row>
    <row r="956" spans="3:17">
      <c r="C956" vm="3545">
        <f ca="1"/>
        <v>44092</v>
      </c>
      <c r="D956">
        <f ca="1"/>
        <v>0</v>
      </c>
      <c r="E956" vm="2230">
        <f ca="1"/>
        <v>1.3567</v>
      </c>
      <c r="F956" vm="2216">
        <f ca="1"/>
        <v>1.36</v>
      </c>
      <c r="G956" vm="2077">
        <f ca="1"/>
        <v>1.355</v>
      </c>
      <c r="H956" vm="2058">
        <f ca="1"/>
        <v>1.3593999999999999</v>
      </c>
      <c r="K956">
        <f ca="1">IF(ROW(T_CALC[[#This Row],[DAY]])-ROW(T_CALC[[#Headers],[DAY]])&gt;C_N_TRADING_DAYS,"",ROW(T_CALC[[#This Row],[DAY]])-ROW(T_CALC[[#Headers],[DAY]]))</f>
        <v>953</v>
      </c>
      <c r="L956" cm="1" vm="3545">
        <f t="array" aca="1" ref="L956" ca="1">IFERROR(INDEX(_xlfn.ANCHORARRAY($C$3),T_CALC[[#This Row],[DAY]]+1,1),NA())</f>
        <v>44092</v>
      </c>
      <c r="M956" cm="1" vm="2230">
        <f t="array" aca="1" ref="M956" ca="1">IFERROR(INDEX(_xlfn.ANCHORARRAY($C$3),T_CALC[[#This Row],[DAY]]+1,3),NA())</f>
        <v>1.3567</v>
      </c>
      <c r="N956" cm="1" vm="2216">
        <f t="array" aca="1" ref="N956" ca="1">IFERROR(INDEX(_xlfn.ANCHORARRAY($C$3),T_CALC[[#This Row],[DAY]]+1,4),NA())</f>
        <v>1.36</v>
      </c>
      <c r="O956" cm="1" vm="2077">
        <f t="array" aca="1" ref="O956" ca="1">IFERROR(INDEX(_xlfn.ANCHORARRAY($C$3),T_CALC[[#This Row],[DAY]]+1,5),NA())</f>
        <v>1.355</v>
      </c>
      <c r="P956" cm="1" vm="2058">
        <f t="array" aca="1" ref="P956" ca="1">IFERROR(INDEX(_xlfn.ANCHORARRAY($C$3),T_CALC[[#This Row],[DAY]]+1,6),NA())</f>
        <v>1.3593999999999999</v>
      </c>
      <c r="Q956" cm="1">
        <f t="array" aca="1" ref="Q956" ca="1">IFERROR(INDEX(_xlfn.ANCHORARRAY($C$3),T_CALC[[#This Row],[DAY]]+1,2),NA())</f>
        <v>0</v>
      </c>
    </row>
    <row r="957" spans="3:17">
      <c r="C957" vm="3546">
        <f ca="1"/>
        <v>44095</v>
      </c>
      <c r="D957">
        <f ca="1"/>
        <v>0</v>
      </c>
      <c r="E957" vm="2056">
        <f ca="1"/>
        <v>1.3593</v>
      </c>
      <c r="F957" vm="1970">
        <f ca="1"/>
        <v>1.3643000000000001</v>
      </c>
      <c r="G957" vm="2002">
        <f ca="1"/>
        <v>1.3540000000000001</v>
      </c>
      <c r="H957" vm="1984">
        <f ca="1"/>
        <v>1.3620000000000001</v>
      </c>
      <c r="K957">
        <f ca="1">IF(ROW(T_CALC[[#This Row],[DAY]])-ROW(T_CALC[[#Headers],[DAY]])&gt;C_N_TRADING_DAYS,"",ROW(T_CALC[[#This Row],[DAY]])-ROW(T_CALC[[#Headers],[DAY]]))</f>
        <v>954</v>
      </c>
      <c r="L957" cm="1" vm="3546">
        <f t="array" aca="1" ref="L957" ca="1">IFERROR(INDEX(_xlfn.ANCHORARRAY($C$3),T_CALC[[#This Row],[DAY]]+1,1),NA())</f>
        <v>44095</v>
      </c>
      <c r="M957" cm="1" vm="2056">
        <f t="array" aca="1" ref="M957" ca="1">IFERROR(INDEX(_xlfn.ANCHORARRAY($C$3),T_CALC[[#This Row],[DAY]]+1,3),NA())</f>
        <v>1.3593</v>
      </c>
      <c r="N957" cm="1" vm="1970">
        <f t="array" aca="1" ref="N957" ca="1">IFERROR(INDEX(_xlfn.ANCHORARRAY($C$3),T_CALC[[#This Row],[DAY]]+1,4),NA())</f>
        <v>1.3643000000000001</v>
      </c>
      <c r="O957" cm="1" vm="2002">
        <f t="array" aca="1" ref="O957" ca="1">IFERROR(INDEX(_xlfn.ANCHORARRAY($C$3),T_CALC[[#This Row],[DAY]]+1,5),NA())</f>
        <v>1.3540000000000001</v>
      </c>
      <c r="P957" cm="1" vm="1984">
        <f t="array" aca="1" ref="P957" ca="1">IFERROR(INDEX(_xlfn.ANCHORARRAY($C$3),T_CALC[[#This Row],[DAY]]+1,6),NA())</f>
        <v>1.3620000000000001</v>
      </c>
      <c r="Q957" cm="1">
        <f t="array" aca="1" ref="Q957" ca="1">IFERROR(INDEX(_xlfn.ANCHORARRAY($C$3),T_CALC[[#This Row],[DAY]]+1,2),NA())</f>
        <v>0</v>
      </c>
    </row>
    <row r="958" spans="3:17">
      <c r="C958" vm="3547">
        <f ca="1"/>
        <v>44096</v>
      </c>
      <c r="D958">
        <f ca="1"/>
        <v>0</v>
      </c>
      <c r="E958" vm="1984">
        <f ca="1"/>
        <v>1.3620000000000001</v>
      </c>
      <c r="F958" vm="2797">
        <f ca="1"/>
        <v>1.3667</v>
      </c>
      <c r="G958" vm="2018">
        <f ca="1"/>
        <v>1.3606</v>
      </c>
      <c r="H958" vm="2035">
        <f ca="1"/>
        <v>1.3644000000000001</v>
      </c>
      <c r="K958">
        <f ca="1">IF(ROW(T_CALC[[#This Row],[DAY]])-ROW(T_CALC[[#Headers],[DAY]])&gt;C_N_TRADING_DAYS,"",ROW(T_CALC[[#This Row],[DAY]])-ROW(T_CALC[[#Headers],[DAY]]))</f>
        <v>955</v>
      </c>
      <c r="L958" cm="1" vm="3547">
        <f t="array" aca="1" ref="L958" ca="1">IFERROR(INDEX(_xlfn.ANCHORARRAY($C$3),T_CALC[[#This Row],[DAY]]+1,1),NA())</f>
        <v>44096</v>
      </c>
      <c r="M958" cm="1" vm="1984">
        <f t="array" aca="1" ref="M958" ca="1">IFERROR(INDEX(_xlfn.ANCHORARRAY($C$3),T_CALC[[#This Row],[DAY]]+1,3),NA())</f>
        <v>1.3620000000000001</v>
      </c>
      <c r="N958" cm="1" vm="2797">
        <f t="array" aca="1" ref="N958" ca="1">IFERROR(INDEX(_xlfn.ANCHORARRAY($C$3),T_CALC[[#This Row],[DAY]]+1,4),NA())</f>
        <v>1.3667</v>
      </c>
      <c r="O958" cm="1" vm="2018">
        <f t="array" aca="1" ref="O958" ca="1">IFERROR(INDEX(_xlfn.ANCHORARRAY($C$3),T_CALC[[#This Row],[DAY]]+1,5),NA())</f>
        <v>1.3606</v>
      </c>
      <c r="P958" cm="1" vm="2035">
        <f t="array" aca="1" ref="P958" ca="1">IFERROR(INDEX(_xlfn.ANCHORARRAY($C$3),T_CALC[[#This Row],[DAY]]+1,6),NA())</f>
        <v>1.3644000000000001</v>
      </c>
      <c r="Q958" cm="1">
        <f t="array" aca="1" ref="Q958" ca="1">IFERROR(INDEX(_xlfn.ANCHORARRAY($C$3),T_CALC[[#This Row],[DAY]]+1,2),NA())</f>
        <v>0</v>
      </c>
    </row>
    <row r="959" spans="3:17">
      <c r="C959" vm="3548">
        <f ca="1"/>
        <v>44097</v>
      </c>
      <c r="D959">
        <f ca="1"/>
        <v>0</v>
      </c>
      <c r="E959" vm="2035">
        <f ca="1"/>
        <v>1.3644000000000001</v>
      </c>
      <c r="F959" vm="2858">
        <f ca="1"/>
        <v>1.3731</v>
      </c>
      <c r="G959" vm="1987">
        <f ca="1"/>
        <v>1.3642000000000001</v>
      </c>
      <c r="H959" vm="2742">
        <f ca="1"/>
        <v>1.3729</v>
      </c>
      <c r="K959">
        <f ca="1">IF(ROW(T_CALC[[#This Row],[DAY]])-ROW(T_CALC[[#Headers],[DAY]])&gt;C_N_TRADING_DAYS,"",ROW(T_CALC[[#This Row],[DAY]])-ROW(T_CALC[[#Headers],[DAY]]))</f>
        <v>956</v>
      </c>
      <c r="L959" cm="1" vm="3548">
        <f t="array" aca="1" ref="L959" ca="1">IFERROR(INDEX(_xlfn.ANCHORARRAY($C$3),T_CALC[[#This Row],[DAY]]+1,1),NA())</f>
        <v>44097</v>
      </c>
      <c r="M959" cm="1" vm="2035">
        <f t="array" aca="1" ref="M959" ca="1">IFERROR(INDEX(_xlfn.ANCHORARRAY($C$3),T_CALC[[#This Row],[DAY]]+1,3),NA())</f>
        <v>1.3644000000000001</v>
      </c>
      <c r="N959" cm="1" vm="2858">
        <f t="array" aca="1" ref="N959" ca="1">IFERROR(INDEX(_xlfn.ANCHORARRAY($C$3),T_CALC[[#This Row],[DAY]]+1,4),NA())</f>
        <v>1.3731</v>
      </c>
      <c r="O959" cm="1" vm="1987">
        <f t="array" aca="1" ref="O959" ca="1">IFERROR(INDEX(_xlfn.ANCHORARRAY($C$3),T_CALC[[#This Row],[DAY]]+1,5),NA())</f>
        <v>1.3642000000000001</v>
      </c>
      <c r="P959" cm="1" vm="2742">
        <f t="array" aca="1" ref="P959" ca="1">IFERROR(INDEX(_xlfn.ANCHORARRAY($C$3),T_CALC[[#This Row],[DAY]]+1,6),NA())</f>
        <v>1.3729</v>
      </c>
      <c r="Q959" cm="1">
        <f t="array" aca="1" ref="Q959" ca="1">IFERROR(INDEX(_xlfn.ANCHORARRAY($C$3),T_CALC[[#This Row],[DAY]]+1,2),NA())</f>
        <v>0</v>
      </c>
    </row>
    <row r="960" spans="3:17">
      <c r="C960" vm="3549">
        <f ca="1"/>
        <v>44098</v>
      </c>
      <c r="D960">
        <f ca="1"/>
        <v>0</v>
      </c>
      <c r="E960" vm="2731">
        <f ca="1"/>
        <v>1.3728</v>
      </c>
      <c r="F960" vm="1857">
        <f ca="1"/>
        <v>1.3781000000000001</v>
      </c>
      <c r="G960" vm="2791">
        <f ca="1"/>
        <v>1.3707</v>
      </c>
      <c r="H960" vm="2789">
        <f ca="1"/>
        <v>1.3752</v>
      </c>
      <c r="K960">
        <f ca="1">IF(ROW(T_CALC[[#This Row],[DAY]])-ROW(T_CALC[[#Headers],[DAY]])&gt;C_N_TRADING_DAYS,"",ROW(T_CALC[[#This Row],[DAY]])-ROW(T_CALC[[#Headers],[DAY]]))</f>
        <v>957</v>
      </c>
      <c r="L960" cm="1" vm="3549">
        <f t="array" aca="1" ref="L960" ca="1">IFERROR(INDEX(_xlfn.ANCHORARRAY($C$3),T_CALC[[#This Row],[DAY]]+1,1),NA())</f>
        <v>44098</v>
      </c>
      <c r="M960" cm="1" vm="2731">
        <f t="array" aca="1" ref="M960" ca="1">IFERROR(INDEX(_xlfn.ANCHORARRAY($C$3),T_CALC[[#This Row],[DAY]]+1,3),NA())</f>
        <v>1.3728</v>
      </c>
      <c r="N960" cm="1" vm="1857">
        <f t="array" aca="1" ref="N960" ca="1">IFERROR(INDEX(_xlfn.ANCHORARRAY($C$3),T_CALC[[#This Row],[DAY]]+1,4),NA())</f>
        <v>1.3781000000000001</v>
      </c>
      <c r="O960" cm="1" vm="2791">
        <f t="array" aca="1" ref="O960" ca="1">IFERROR(INDEX(_xlfn.ANCHORARRAY($C$3),T_CALC[[#This Row],[DAY]]+1,5),NA())</f>
        <v>1.3707</v>
      </c>
      <c r="P960" cm="1" vm="2789">
        <f t="array" aca="1" ref="P960" ca="1">IFERROR(INDEX(_xlfn.ANCHORARRAY($C$3),T_CALC[[#This Row],[DAY]]+1,6),NA())</f>
        <v>1.3752</v>
      </c>
      <c r="Q960" cm="1">
        <f t="array" aca="1" ref="Q960" ca="1">IFERROR(INDEX(_xlfn.ANCHORARRAY($C$3),T_CALC[[#This Row],[DAY]]+1,2),NA())</f>
        <v>0</v>
      </c>
    </row>
    <row r="961" spans="3:17">
      <c r="C961" vm="3550">
        <f ca="1"/>
        <v>44099</v>
      </c>
      <c r="D961">
        <f ca="1"/>
        <v>0</v>
      </c>
      <c r="E961" vm="1922">
        <f ca="1"/>
        <v>1.375</v>
      </c>
      <c r="F961" vm="1864">
        <f ca="1"/>
        <v>1.3794</v>
      </c>
      <c r="G961" vm="2881">
        <f ca="1"/>
        <v>1.3726</v>
      </c>
      <c r="H961" vm="2834">
        <f ca="1"/>
        <v>1.3771</v>
      </c>
      <c r="K961">
        <f ca="1">IF(ROW(T_CALC[[#This Row],[DAY]])-ROW(T_CALC[[#Headers],[DAY]])&gt;C_N_TRADING_DAYS,"",ROW(T_CALC[[#This Row],[DAY]])-ROW(T_CALC[[#Headers],[DAY]]))</f>
        <v>958</v>
      </c>
      <c r="L961" cm="1" vm="3550">
        <f t="array" aca="1" ref="L961" ca="1">IFERROR(INDEX(_xlfn.ANCHORARRAY($C$3),T_CALC[[#This Row],[DAY]]+1,1),NA())</f>
        <v>44099</v>
      </c>
      <c r="M961" cm="1" vm="1922">
        <f t="array" aca="1" ref="M961" ca="1">IFERROR(INDEX(_xlfn.ANCHORARRAY($C$3),T_CALC[[#This Row],[DAY]]+1,3),NA())</f>
        <v>1.375</v>
      </c>
      <c r="N961" cm="1" vm="1864">
        <f t="array" aca="1" ref="N961" ca="1">IFERROR(INDEX(_xlfn.ANCHORARRAY($C$3),T_CALC[[#This Row],[DAY]]+1,4),NA())</f>
        <v>1.3794</v>
      </c>
      <c r="O961" cm="1" vm="2881">
        <f t="array" aca="1" ref="O961" ca="1">IFERROR(INDEX(_xlfn.ANCHORARRAY($C$3),T_CALC[[#This Row],[DAY]]+1,5),NA())</f>
        <v>1.3726</v>
      </c>
      <c r="P961" cm="1" vm="2834">
        <f t="array" aca="1" ref="P961" ca="1">IFERROR(INDEX(_xlfn.ANCHORARRAY($C$3),T_CALC[[#This Row],[DAY]]+1,6),NA())</f>
        <v>1.3771</v>
      </c>
      <c r="Q961" cm="1">
        <f t="array" aca="1" ref="Q961" ca="1">IFERROR(INDEX(_xlfn.ANCHORARRAY($C$3),T_CALC[[#This Row],[DAY]]+1,2),NA())</f>
        <v>0</v>
      </c>
    </row>
    <row r="962" spans="3:17">
      <c r="C962" vm="3551">
        <f ca="1"/>
        <v>44102</v>
      </c>
      <c r="D962">
        <f ca="1"/>
        <v>0</v>
      </c>
      <c r="E962" vm="1944">
        <f ca="1"/>
        <v>1.3773</v>
      </c>
      <c r="F962" vm="2809">
        <f ca="1"/>
        <v>1.3775999999999999</v>
      </c>
      <c r="G962" vm="2682">
        <f ca="1"/>
        <v>1.3714999999999999</v>
      </c>
      <c r="H962" vm="2903">
        <f ca="1"/>
        <v>1.3721000000000001</v>
      </c>
      <c r="K962">
        <f ca="1">IF(ROW(T_CALC[[#This Row],[DAY]])-ROW(T_CALC[[#Headers],[DAY]])&gt;C_N_TRADING_DAYS,"",ROW(T_CALC[[#This Row],[DAY]])-ROW(T_CALC[[#Headers],[DAY]]))</f>
        <v>959</v>
      </c>
      <c r="L962" cm="1" vm="3551">
        <f t="array" aca="1" ref="L962" ca="1">IFERROR(INDEX(_xlfn.ANCHORARRAY($C$3),T_CALC[[#This Row],[DAY]]+1,1),NA())</f>
        <v>44102</v>
      </c>
      <c r="M962" cm="1" vm="1944">
        <f t="array" aca="1" ref="M962" ca="1">IFERROR(INDEX(_xlfn.ANCHORARRAY($C$3),T_CALC[[#This Row],[DAY]]+1,3),NA())</f>
        <v>1.3773</v>
      </c>
      <c r="N962" cm="1" vm="2809">
        <f t="array" aca="1" ref="N962" ca="1">IFERROR(INDEX(_xlfn.ANCHORARRAY($C$3),T_CALC[[#This Row],[DAY]]+1,4),NA())</f>
        <v>1.3775999999999999</v>
      </c>
      <c r="O962" cm="1" vm="2682">
        <f t="array" aca="1" ref="O962" ca="1">IFERROR(INDEX(_xlfn.ANCHORARRAY($C$3),T_CALC[[#This Row],[DAY]]+1,5),NA())</f>
        <v>1.3714999999999999</v>
      </c>
      <c r="P962" cm="1" vm="2903">
        <f t="array" aca="1" ref="P962" ca="1">IFERROR(INDEX(_xlfn.ANCHORARRAY($C$3),T_CALC[[#This Row],[DAY]]+1,6),NA())</f>
        <v>1.3721000000000001</v>
      </c>
      <c r="Q962" cm="1">
        <f t="array" aca="1" ref="Q962" ca="1">IFERROR(INDEX(_xlfn.ANCHORARRAY($C$3),T_CALC[[#This Row],[DAY]]+1,2),NA())</f>
        <v>0</v>
      </c>
    </row>
    <row r="963" spans="3:17">
      <c r="C963" vm="3552">
        <f ca="1"/>
        <v>44103</v>
      </c>
      <c r="D963">
        <f ca="1"/>
        <v>0</v>
      </c>
      <c r="E963" vm="1956">
        <f ca="1"/>
        <v>1.3720000000000001</v>
      </c>
      <c r="F963" vm="2900">
        <f ca="1"/>
        <v>1.373</v>
      </c>
      <c r="G963" vm="2196">
        <f ca="1"/>
        <v>1.3668</v>
      </c>
      <c r="H963" vm="2676">
        <f ca="1"/>
        <v>1.3685</v>
      </c>
      <c r="K963">
        <f ca="1">IF(ROW(T_CALC[[#This Row],[DAY]])-ROW(T_CALC[[#Headers],[DAY]])&gt;C_N_TRADING_DAYS,"",ROW(T_CALC[[#This Row],[DAY]])-ROW(T_CALC[[#Headers],[DAY]]))</f>
        <v>960</v>
      </c>
      <c r="L963" cm="1" vm="3552">
        <f t="array" aca="1" ref="L963" ca="1">IFERROR(INDEX(_xlfn.ANCHORARRAY($C$3),T_CALC[[#This Row],[DAY]]+1,1),NA())</f>
        <v>44103</v>
      </c>
      <c r="M963" cm="1" vm="1956">
        <f t="array" aca="1" ref="M963" ca="1">IFERROR(INDEX(_xlfn.ANCHORARRAY($C$3),T_CALC[[#This Row],[DAY]]+1,3),NA())</f>
        <v>1.3720000000000001</v>
      </c>
      <c r="N963" cm="1" vm="2900">
        <f t="array" aca="1" ref="N963" ca="1">IFERROR(INDEX(_xlfn.ANCHORARRAY($C$3),T_CALC[[#This Row],[DAY]]+1,4),NA())</f>
        <v>1.373</v>
      </c>
      <c r="O963" cm="1" vm="2196">
        <f t="array" aca="1" ref="O963" ca="1">IFERROR(INDEX(_xlfn.ANCHORARRAY($C$3),T_CALC[[#This Row],[DAY]]+1,5),NA())</f>
        <v>1.3668</v>
      </c>
      <c r="P963" cm="1" vm="2676">
        <f t="array" aca="1" ref="P963" ca="1">IFERROR(INDEX(_xlfn.ANCHORARRAY($C$3),T_CALC[[#This Row],[DAY]]+1,6),NA())</f>
        <v>1.3685</v>
      </c>
      <c r="Q963" cm="1">
        <f t="array" aca="1" ref="Q963" ca="1">IFERROR(INDEX(_xlfn.ANCHORARRAY($C$3),T_CALC[[#This Row],[DAY]]+1,2),NA())</f>
        <v>0</v>
      </c>
    </row>
    <row r="964" spans="3:17">
      <c r="C964" vm="3553">
        <f ca="1"/>
        <v>44104</v>
      </c>
      <c r="D964">
        <f ca="1"/>
        <v>0</v>
      </c>
      <c r="E964" vm="2680">
        <f ca="1"/>
        <v>1.3687</v>
      </c>
      <c r="F964" vm="1969">
        <f ca="1"/>
        <v>1.3709</v>
      </c>
      <c r="G964" vm="2162">
        <f ca="1"/>
        <v>1.3640000000000001</v>
      </c>
      <c r="H964" vm="2200">
        <f ca="1"/>
        <v>1.3652</v>
      </c>
      <c r="K964">
        <f ca="1">IF(ROW(T_CALC[[#This Row],[DAY]])-ROW(T_CALC[[#Headers],[DAY]])&gt;C_N_TRADING_DAYS,"",ROW(T_CALC[[#This Row],[DAY]])-ROW(T_CALC[[#Headers],[DAY]]))</f>
        <v>961</v>
      </c>
      <c r="L964" cm="1" vm="3553">
        <f t="array" aca="1" ref="L964" ca="1">IFERROR(INDEX(_xlfn.ANCHORARRAY($C$3),T_CALC[[#This Row],[DAY]]+1,1),NA())</f>
        <v>44104</v>
      </c>
      <c r="M964" cm="1" vm="2680">
        <f t="array" aca="1" ref="M964" ca="1">IFERROR(INDEX(_xlfn.ANCHORARRAY($C$3),T_CALC[[#This Row],[DAY]]+1,3),NA())</f>
        <v>1.3687</v>
      </c>
      <c r="N964" cm="1" vm="1969">
        <f t="array" aca="1" ref="N964" ca="1">IFERROR(INDEX(_xlfn.ANCHORARRAY($C$3),T_CALC[[#This Row],[DAY]]+1,4),NA())</f>
        <v>1.3709</v>
      </c>
      <c r="O964" cm="1" vm="2162">
        <f t="array" aca="1" ref="O964" ca="1">IFERROR(INDEX(_xlfn.ANCHORARRAY($C$3),T_CALC[[#This Row],[DAY]]+1,5),NA())</f>
        <v>1.3640000000000001</v>
      </c>
      <c r="P964" cm="1" vm="2200">
        <f t="array" aca="1" ref="P964" ca="1">IFERROR(INDEX(_xlfn.ANCHORARRAY($C$3),T_CALC[[#This Row],[DAY]]+1,6),NA())</f>
        <v>1.3652</v>
      </c>
      <c r="Q964" cm="1">
        <f t="array" aca="1" ref="Q964" ca="1">IFERROR(INDEX(_xlfn.ANCHORARRAY($C$3),T_CALC[[#This Row],[DAY]]+1,2),NA())</f>
        <v>0</v>
      </c>
    </row>
    <row r="965" spans="3:17">
      <c r="C965" vm="3554">
        <f ca="1"/>
        <v>44105</v>
      </c>
      <c r="D965">
        <f ca="1"/>
        <v>0</v>
      </c>
      <c r="E965" vm="2208">
        <f ca="1"/>
        <v>1.3651</v>
      </c>
      <c r="F965" vm="1972">
        <f ca="1"/>
        <v>1.3655999999999999</v>
      </c>
      <c r="G965" vm="2032">
        <f ca="1"/>
        <v>1.3612</v>
      </c>
      <c r="H965" vm="2023">
        <f ca="1"/>
        <v>1.3626</v>
      </c>
      <c r="K965">
        <f ca="1">IF(ROW(T_CALC[[#This Row],[DAY]])-ROW(T_CALC[[#Headers],[DAY]])&gt;C_N_TRADING_DAYS,"",ROW(T_CALC[[#This Row],[DAY]])-ROW(T_CALC[[#Headers],[DAY]]))</f>
        <v>962</v>
      </c>
      <c r="L965" cm="1" vm="3554">
        <f t="array" aca="1" ref="L965" ca="1">IFERROR(INDEX(_xlfn.ANCHORARRAY($C$3),T_CALC[[#This Row],[DAY]]+1,1),NA())</f>
        <v>44105</v>
      </c>
      <c r="M965" cm="1" vm="2208">
        <f t="array" aca="1" ref="M965" ca="1">IFERROR(INDEX(_xlfn.ANCHORARRAY($C$3),T_CALC[[#This Row],[DAY]]+1,3),NA())</f>
        <v>1.3651</v>
      </c>
      <c r="N965" cm="1" vm="1972">
        <f t="array" aca="1" ref="N965" ca="1">IFERROR(INDEX(_xlfn.ANCHORARRAY($C$3),T_CALC[[#This Row],[DAY]]+1,4),NA())</f>
        <v>1.3655999999999999</v>
      </c>
      <c r="O965" cm="1" vm="2032">
        <f t="array" aca="1" ref="O965" ca="1">IFERROR(INDEX(_xlfn.ANCHORARRAY($C$3),T_CALC[[#This Row],[DAY]]+1,5),NA())</f>
        <v>1.3612</v>
      </c>
      <c r="P965" cm="1" vm="2023">
        <f t="array" aca="1" ref="P965" ca="1">IFERROR(INDEX(_xlfn.ANCHORARRAY($C$3),T_CALC[[#This Row],[DAY]]+1,6),NA())</f>
        <v>1.3626</v>
      </c>
      <c r="Q965" cm="1">
        <f t="array" aca="1" ref="Q965" ca="1">IFERROR(INDEX(_xlfn.ANCHORARRAY($C$3),T_CALC[[#This Row],[DAY]]+1,2),NA())</f>
        <v>0</v>
      </c>
    </row>
    <row r="966" spans="3:17">
      <c r="C966" vm="3555">
        <f ca="1"/>
        <v>44106</v>
      </c>
      <c r="D966">
        <f ca="1"/>
        <v>0</v>
      </c>
      <c r="E966" vm="2204">
        <f ca="1"/>
        <v>1.3625</v>
      </c>
      <c r="F966" vm="2727">
        <f ca="1"/>
        <v>1.3675999999999999</v>
      </c>
      <c r="G966" vm="2054">
        <f ca="1"/>
        <v>1.3622000000000001</v>
      </c>
      <c r="H966" vm="2021">
        <f ca="1"/>
        <v>1.3637999999999999</v>
      </c>
      <c r="K966">
        <f ca="1">IF(ROW(T_CALC[[#This Row],[DAY]])-ROW(T_CALC[[#Headers],[DAY]])&gt;C_N_TRADING_DAYS,"",ROW(T_CALC[[#This Row],[DAY]])-ROW(T_CALC[[#Headers],[DAY]]))</f>
        <v>963</v>
      </c>
      <c r="L966" cm="1" vm="3555">
        <f t="array" aca="1" ref="L966" ca="1">IFERROR(INDEX(_xlfn.ANCHORARRAY($C$3),T_CALC[[#This Row],[DAY]]+1,1),NA())</f>
        <v>44106</v>
      </c>
      <c r="M966" cm="1" vm="2204">
        <f t="array" aca="1" ref="M966" ca="1">IFERROR(INDEX(_xlfn.ANCHORARRAY($C$3),T_CALC[[#This Row],[DAY]]+1,3),NA())</f>
        <v>1.3625</v>
      </c>
      <c r="N966" cm="1" vm="2727">
        <f t="array" aca="1" ref="N966" ca="1">IFERROR(INDEX(_xlfn.ANCHORARRAY($C$3),T_CALC[[#This Row],[DAY]]+1,4),NA())</f>
        <v>1.3675999999999999</v>
      </c>
      <c r="O966" cm="1" vm="2054">
        <f t="array" aca="1" ref="O966" ca="1">IFERROR(INDEX(_xlfn.ANCHORARRAY($C$3),T_CALC[[#This Row],[DAY]]+1,5),NA())</f>
        <v>1.3622000000000001</v>
      </c>
      <c r="P966" cm="1" vm="2021">
        <f t="array" aca="1" ref="P966" ca="1">IFERROR(INDEX(_xlfn.ANCHORARRAY($C$3),T_CALC[[#This Row],[DAY]]+1,6),NA())</f>
        <v>1.3637999999999999</v>
      </c>
      <c r="Q966" cm="1">
        <f t="array" aca="1" ref="Q966" ca="1">IFERROR(INDEX(_xlfn.ANCHORARRAY($C$3),T_CALC[[#This Row],[DAY]]+1,2),NA())</f>
        <v>0</v>
      </c>
    </row>
    <row r="967" spans="3:17">
      <c r="C967" vm="3556">
        <f ca="1"/>
        <v>44109</v>
      </c>
      <c r="D967">
        <f ca="1"/>
        <v>0</v>
      </c>
      <c r="E967" vm="2021">
        <f ca="1"/>
        <v>1.3637999999999999</v>
      </c>
      <c r="F967" vm="1970">
        <f ca="1"/>
        <v>1.3643000000000001</v>
      </c>
      <c r="G967" vm="2013">
        <f ca="1"/>
        <v>1.3588</v>
      </c>
      <c r="H967" vm="2667">
        <f ca="1"/>
        <v>1.3599000000000001</v>
      </c>
      <c r="K967">
        <f ca="1">IF(ROW(T_CALC[[#This Row],[DAY]])-ROW(T_CALC[[#Headers],[DAY]])&gt;C_N_TRADING_DAYS,"",ROW(T_CALC[[#This Row],[DAY]])-ROW(T_CALC[[#Headers],[DAY]]))</f>
        <v>964</v>
      </c>
      <c r="L967" cm="1" vm="3556">
        <f t="array" aca="1" ref="L967" ca="1">IFERROR(INDEX(_xlfn.ANCHORARRAY($C$3),T_CALC[[#This Row],[DAY]]+1,1),NA())</f>
        <v>44109</v>
      </c>
      <c r="M967" cm="1" vm="2021">
        <f t="array" aca="1" ref="M967" ca="1">IFERROR(INDEX(_xlfn.ANCHORARRAY($C$3),T_CALC[[#This Row],[DAY]]+1,3),NA())</f>
        <v>1.3637999999999999</v>
      </c>
      <c r="N967" cm="1" vm="1970">
        <f t="array" aca="1" ref="N967" ca="1">IFERROR(INDEX(_xlfn.ANCHORARRAY($C$3),T_CALC[[#This Row],[DAY]]+1,4),NA())</f>
        <v>1.3643000000000001</v>
      </c>
      <c r="O967" cm="1" vm="2013">
        <f t="array" aca="1" ref="O967" ca="1">IFERROR(INDEX(_xlfn.ANCHORARRAY($C$3),T_CALC[[#This Row],[DAY]]+1,5),NA())</f>
        <v>1.3588</v>
      </c>
      <c r="P967" cm="1" vm="2667">
        <f t="array" aca="1" ref="P967" ca="1">IFERROR(INDEX(_xlfn.ANCHORARRAY($C$3),T_CALC[[#This Row],[DAY]]+1,6),NA())</f>
        <v>1.3599000000000001</v>
      </c>
      <c r="Q967" cm="1">
        <f t="array" aca="1" ref="Q967" ca="1">IFERROR(INDEX(_xlfn.ANCHORARRAY($C$3),T_CALC[[#This Row],[DAY]]+1,2),NA())</f>
        <v>0</v>
      </c>
    </row>
    <row r="968" spans="3:17">
      <c r="C968" vm="3557">
        <f ca="1"/>
        <v>44110</v>
      </c>
      <c r="D968">
        <f ca="1"/>
        <v>0</v>
      </c>
      <c r="E968" vm="2158">
        <f ca="1"/>
        <v>1.3605</v>
      </c>
      <c r="F968" vm="2050">
        <f ca="1"/>
        <v>1.363</v>
      </c>
      <c r="G968" vm="2075">
        <f ca="1"/>
        <v>1.3581000000000001</v>
      </c>
      <c r="H968" vm="2675">
        <f ca="1"/>
        <v>1.3627</v>
      </c>
      <c r="K968">
        <f ca="1">IF(ROW(T_CALC[[#This Row],[DAY]])-ROW(T_CALC[[#Headers],[DAY]])&gt;C_N_TRADING_DAYS,"",ROW(T_CALC[[#This Row],[DAY]])-ROW(T_CALC[[#Headers],[DAY]]))</f>
        <v>965</v>
      </c>
      <c r="L968" cm="1" vm="3557">
        <f t="array" aca="1" ref="L968" ca="1">IFERROR(INDEX(_xlfn.ANCHORARRAY($C$3),T_CALC[[#This Row],[DAY]]+1,1),NA())</f>
        <v>44110</v>
      </c>
      <c r="M968" cm="1" vm="2158">
        <f t="array" aca="1" ref="M968" ca="1">IFERROR(INDEX(_xlfn.ANCHORARRAY($C$3),T_CALC[[#This Row],[DAY]]+1,3),NA())</f>
        <v>1.3605</v>
      </c>
      <c r="N968" cm="1" vm="2050">
        <f t="array" aca="1" ref="N968" ca="1">IFERROR(INDEX(_xlfn.ANCHORARRAY($C$3),T_CALC[[#This Row],[DAY]]+1,4),NA())</f>
        <v>1.363</v>
      </c>
      <c r="O968" cm="1" vm="2075">
        <f t="array" aca="1" ref="O968" ca="1">IFERROR(INDEX(_xlfn.ANCHORARRAY($C$3),T_CALC[[#This Row],[DAY]]+1,5),NA())</f>
        <v>1.3581000000000001</v>
      </c>
      <c r="P968" cm="1" vm="2675">
        <f t="array" aca="1" ref="P968" ca="1">IFERROR(INDEX(_xlfn.ANCHORARRAY($C$3),T_CALC[[#This Row],[DAY]]+1,6),NA())</f>
        <v>1.3627</v>
      </c>
      <c r="Q968" cm="1">
        <f t="array" aca="1" ref="Q968" ca="1">IFERROR(INDEX(_xlfn.ANCHORARRAY($C$3),T_CALC[[#This Row],[DAY]]+1,2),NA())</f>
        <v>0</v>
      </c>
    </row>
    <row r="969" spans="3:17">
      <c r="C969" vm="3558">
        <f ca="1"/>
        <v>44111</v>
      </c>
      <c r="D969">
        <f ca="1"/>
        <v>0</v>
      </c>
      <c r="E969" vm="2048">
        <f ca="1"/>
        <v>1.3628</v>
      </c>
      <c r="F969" vm="1982">
        <f ca="1"/>
        <v>1.3633</v>
      </c>
      <c r="G969" vm="2075">
        <f ca="1"/>
        <v>1.3581000000000001</v>
      </c>
      <c r="H969" vm="1979">
        <f ca="1"/>
        <v>1.3592</v>
      </c>
      <c r="K969">
        <f ca="1">IF(ROW(T_CALC[[#This Row],[DAY]])-ROW(T_CALC[[#Headers],[DAY]])&gt;C_N_TRADING_DAYS,"",ROW(T_CALC[[#This Row],[DAY]])-ROW(T_CALC[[#Headers],[DAY]]))</f>
        <v>966</v>
      </c>
      <c r="L969" cm="1" vm="3558">
        <f t="array" aca="1" ref="L969" ca="1">IFERROR(INDEX(_xlfn.ANCHORARRAY($C$3),T_CALC[[#This Row],[DAY]]+1,1),NA())</f>
        <v>44111</v>
      </c>
      <c r="M969" cm="1" vm="2048">
        <f t="array" aca="1" ref="M969" ca="1">IFERROR(INDEX(_xlfn.ANCHORARRAY($C$3),T_CALC[[#This Row],[DAY]]+1,3),NA())</f>
        <v>1.3628</v>
      </c>
      <c r="N969" cm="1" vm="1982">
        <f t="array" aca="1" ref="N969" ca="1">IFERROR(INDEX(_xlfn.ANCHORARRAY($C$3),T_CALC[[#This Row],[DAY]]+1,4),NA())</f>
        <v>1.3633</v>
      </c>
      <c r="O969" cm="1" vm="2075">
        <f t="array" aca="1" ref="O969" ca="1">IFERROR(INDEX(_xlfn.ANCHORARRAY($C$3),T_CALC[[#This Row],[DAY]]+1,5),NA())</f>
        <v>1.3581000000000001</v>
      </c>
      <c r="P969" cm="1" vm="1979">
        <f t="array" aca="1" ref="P969" ca="1">IFERROR(INDEX(_xlfn.ANCHORARRAY($C$3),T_CALC[[#This Row],[DAY]]+1,6),NA())</f>
        <v>1.3592</v>
      </c>
      <c r="Q969" cm="1">
        <f t="array" aca="1" ref="Q969" ca="1">IFERROR(INDEX(_xlfn.ANCHORARRAY($C$3),T_CALC[[#This Row],[DAY]]+1,2),NA())</f>
        <v>0</v>
      </c>
    </row>
    <row r="970" spans="3:17">
      <c r="C970" vm="3559">
        <f ca="1"/>
        <v>44112</v>
      </c>
      <c r="D970">
        <f ca="1"/>
        <v>0</v>
      </c>
      <c r="E970" vm="1979">
        <f ca="1"/>
        <v>1.3592</v>
      </c>
      <c r="F970" vm="2036">
        <f ca="1"/>
        <v>1.3604000000000001</v>
      </c>
      <c r="G970" vm="1991">
        <f ca="1"/>
        <v>1.357</v>
      </c>
      <c r="H970" vm="2160">
        <f ca="1"/>
        <v>1.3580000000000001</v>
      </c>
      <c r="K970">
        <f ca="1">IF(ROW(T_CALC[[#This Row],[DAY]])-ROW(T_CALC[[#Headers],[DAY]])&gt;C_N_TRADING_DAYS,"",ROW(T_CALC[[#This Row],[DAY]])-ROW(T_CALC[[#Headers],[DAY]]))</f>
        <v>967</v>
      </c>
      <c r="L970" cm="1" vm="3559">
        <f t="array" aca="1" ref="L970" ca="1">IFERROR(INDEX(_xlfn.ANCHORARRAY($C$3),T_CALC[[#This Row],[DAY]]+1,1),NA())</f>
        <v>44112</v>
      </c>
      <c r="M970" cm="1" vm="1979">
        <f t="array" aca="1" ref="M970" ca="1">IFERROR(INDEX(_xlfn.ANCHORARRAY($C$3),T_CALC[[#This Row],[DAY]]+1,3),NA())</f>
        <v>1.3592</v>
      </c>
      <c r="N970" cm="1" vm="2036">
        <f t="array" aca="1" ref="N970" ca="1">IFERROR(INDEX(_xlfn.ANCHORARRAY($C$3),T_CALC[[#This Row],[DAY]]+1,4),NA())</f>
        <v>1.3604000000000001</v>
      </c>
      <c r="O970" cm="1" vm="1991">
        <f t="array" aca="1" ref="O970" ca="1">IFERROR(INDEX(_xlfn.ANCHORARRAY($C$3),T_CALC[[#This Row],[DAY]]+1,5),NA())</f>
        <v>1.357</v>
      </c>
      <c r="P970" cm="1" vm="2160">
        <f t="array" aca="1" ref="P970" ca="1">IFERROR(INDEX(_xlfn.ANCHORARRAY($C$3),T_CALC[[#This Row],[DAY]]+1,6),NA())</f>
        <v>1.3580000000000001</v>
      </c>
      <c r="Q970" cm="1">
        <f t="array" aca="1" ref="Q970" ca="1">IFERROR(INDEX(_xlfn.ANCHORARRAY($C$3),T_CALC[[#This Row],[DAY]]+1,2),NA())</f>
        <v>0</v>
      </c>
    </row>
    <row r="971" spans="3:17">
      <c r="C971" vm="3560">
        <f ca="1"/>
        <v>44113</v>
      </c>
      <c r="D971">
        <f ca="1"/>
        <v>0</v>
      </c>
      <c r="E971" vm="2231">
        <f ca="1"/>
        <v>1.3579000000000001</v>
      </c>
      <c r="F971" vm="1983">
        <f ca="1"/>
        <v>1.3586</v>
      </c>
      <c r="G971" vm="2066">
        <f ca="1"/>
        <v>1.3524</v>
      </c>
      <c r="H971" vm="2923">
        <f ca="1"/>
        <v>1.3527</v>
      </c>
      <c r="K971">
        <f ca="1">IF(ROW(T_CALC[[#This Row],[DAY]])-ROW(T_CALC[[#Headers],[DAY]])&gt;C_N_TRADING_DAYS,"",ROW(T_CALC[[#This Row],[DAY]])-ROW(T_CALC[[#Headers],[DAY]]))</f>
        <v>968</v>
      </c>
      <c r="L971" cm="1" vm="3560">
        <f t="array" aca="1" ref="L971" ca="1">IFERROR(INDEX(_xlfn.ANCHORARRAY($C$3),T_CALC[[#This Row],[DAY]]+1,1),NA())</f>
        <v>44113</v>
      </c>
      <c r="M971" cm="1" vm="2231">
        <f t="array" aca="1" ref="M971" ca="1">IFERROR(INDEX(_xlfn.ANCHORARRAY($C$3),T_CALC[[#This Row],[DAY]]+1,3),NA())</f>
        <v>1.3579000000000001</v>
      </c>
      <c r="N971" cm="1" vm="1983">
        <f t="array" aca="1" ref="N971" ca="1">IFERROR(INDEX(_xlfn.ANCHORARRAY($C$3),T_CALC[[#This Row],[DAY]]+1,4),NA())</f>
        <v>1.3586</v>
      </c>
      <c r="O971" cm="1" vm="2066">
        <f t="array" aca="1" ref="O971" ca="1">IFERROR(INDEX(_xlfn.ANCHORARRAY($C$3),T_CALC[[#This Row],[DAY]]+1,5),NA())</f>
        <v>1.3524</v>
      </c>
      <c r="P971" cm="1" vm="2923">
        <f t="array" aca="1" ref="P971" ca="1">IFERROR(INDEX(_xlfn.ANCHORARRAY($C$3),T_CALC[[#This Row],[DAY]]+1,6),NA())</f>
        <v>1.3527</v>
      </c>
      <c r="Q971" cm="1">
        <f t="array" aca="1" ref="Q971" ca="1">IFERROR(INDEX(_xlfn.ANCHORARRAY($C$3),T_CALC[[#This Row],[DAY]]+1,2),NA())</f>
        <v>0</v>
      </c>
    </row>
    <row r="972" spans="3:17">
      <c r="C972" vm="3561">
        <f ca="1"/>
        <v>44116</v>
      </c>
      <c r="D972">
        <f ca="1"/>
        <v>0</v>
      </c>
      <c r="E972" vm="1998">
        <f ca="1"/>
        <v>1.3564000000000001</v>
      </c>
      <c r="F972" vm="2231">
        <f ca="1"/>
        <v>1.3579000000000001</v>
      </c>
      <c r="G972" vm="2067">
        <f ca="1"/>
        <v>1.3533999999999999</v>
      </c>
      <c r="H972" vm="1991">
        <f ca="1"/>
        <v>1.357</v>
      </c>
      <c r="K972">
        <f ca="1">IF(ROW(T_CALC[[#This Row],[DAY]])-ROW(T_CALC[[#Headers],[DAY]])&gt;C_N_TRADING_DAYS,"",ROW(T_CALC[[#This Row],[DAY]])-ROW(T_CALC[[#Headers],[DAY]]))</f>
        <v>969</v>
      </c>
      <c r="L972" cm="1" vm="3561">
        <f t="array" aca="1" ref="L972" ca="1">IFERROR(INDEX(_xlfn.ANCHORARRAY($C$3),T_CALC[[#This Row],[DAY]]+1,1),NA())</f>
        <v>44116</v>
      </c>
      <c r="M972" cm="1" vm="1998">
        <f t="array" aca="1" ref="M972" ca="1">IFERROR(INDEX(_xlfn.ANCHORARRAY($C$3),T_CALC[[#This Row],[DAY]]+1,3),NA())</f>
        <v>1.3564000000000001</v>
      </c>
      <c r="N972" cm="1" vm="2231">
        <f t="array" aca="1" ref="N972" ca="1">IFERROR(INDEX(_xlfn.ANCHORARRAY($C$3),T_CALC[[#This Row],[DAY]]+1,4),NA())</f>
        <v>1.3579000000000001</v>
      </c>
      <c r="O972" cm="1" vm="2067">
        <f t="array" aca="1" ref="O972" ca="1">IFERROR(INDEX(_xlfn.ANCHORARRAY($C$3),T_CALC[[#This Row],[DAY]]+1,5),NA())</f>
        <v>1.3533999999999999</v>
      </c>
      <c r="P972" cm="1" vm="1991">
        <f t="array" aca="1" ref="P972" ca="1">IFERROR(INDEX(_xlfn.ANCHORARRAY($C$3),T_CALC[[#This Row],[DAY]]+1,6),NA())</f>
        <v>1.357</v>
      </c>
      <c r="Q972" cm="1">
        <f t="array" aca="1" ref="Q972" ca="1">IFERROR(INDEX(_xlfn.ANCHORARRAY($C$3),T_CALC[[#This Row],[DAY]]+1,2),NA())</f>
        <v>0</v>
      </c>
    </row>
    <row r="973" spans="3:17">
      <c r="C973" vm="3562">
        <f ca="1"/>
        <v>44117</v>
      </c>
      <c r="D973">
        <f ca="1"/>
        <v>0</v>
      </c>
      <c r="E973" vm="1991">
        <f ca="1"/>
        <v>1.357</v>
      </c>
      <c r="F973" vm="2053">
        <f ca="1"/>
        <v>1.3609</v>
      </c>
      <c r="G973" vm="2012">
        <f ca="1"/>
        <v>1.3565</v>
      </c>
      <c r="H973" vm="2202">
        <f ca="1"/>
        <v>1.3597999999999999</v>
      </c>
      <c r="K973">
        <f ca="1">IF(ROW(T_CALC[[#This Row],[DAY]])-ROW(T_CALC[[#Headers],[DAY]])&gt;C_N_TRADING_DAYS,"",ROW(T_CALC[[#This Row],[DAY]])-ROW(T_CALC[[#Headers],[DAY]]))</f>
        <v>970</v>
      </c>
      <c r="L973" cm="1" vm="3562">
        <f t="array" aca="1" ref="L973" ca="1">IFERROR(INDEX(_xlfn.ANCHORARRAY($C$3),T_CALC[[#This Row],[DAY]]+1,1),NA())</f>
        <v>44117</v>
      </c>
      <c r="M973" cm="1" vm="1991">
        <f t="array" aca="1" ref="M973" ca="1">IFERROR(INDEX(_xlfn.ANCHORARRAY($C$3),T_CALC[[#This Row],[DAY]]+1,3),NA())</f>
        <v>1.357</v>
      </c>
      <c r="N973" cm="1" vm="2053">
        <f t="array" aca="1" ref="N973" ca="1">IFERROR(INDEX(_xlfn.ANCHORARRAY($C$3),T_CALC[[#This Row],[DAY]]+1,4),NA())</f>
        <v>1.3609</v>
      </c>
      <c r="O973" cm="1" vm="2012">
        <f t="array" aca="1" ref="O973" ca="1">IFERROR(INDEX(_xlfn.ANCHORARRAY($C$3),T_CALC[[#This Row],[DAY]]+1,5),NA())</f>
        <v>1.3565</v>
      </c>
      <c r="P973" cm="1" vm="2202">
        <f t="array" aca="1" ref="P973" ca="1">IFERROR(INDEX(_xlfn.ANCHORARRAY($C$3),T_CALC[[#This Row],[DAY]]+1,6),NA())</f>
        <v>1.3597999999999999</v>
      </c>
      <c r="Q973" cm="1">
        <f t="array" aca="1" ref="Q973" ca="1">IFERROR(INDEX(_xlfn.ANCHORARRAY($C$3),T_CALC[[#This Row],[DAY]]+1,2),NA())</f>
        <v>0</v>
      </c>
    </row>
    <row r="974" spans="3:17">
      <c r="C974" vm="3563">
        <f ca="1"/>
        <v>44118</v>
      </c>
      <c r="D974">
        <f ca="1"/>
        <v>0</v>
      </c>
      <c r="E974" vm="2194">
        <f ca="1"/>
        <v>1.3602000000000001</v>
      </c>
      <c r="F974" vm="2036">
        <f ca="1"/>
        <v>1.3604000000000001</v>
      </c>
      <c r="G974" vm="1988">
        <f ca="1"/>
        <v>1.3552</v>
      </c>
      <c r="H974" vm="1991">
        <f ca="1"/>
        <v>1.357</v>
      </c>
      <c r="K974">
        <f ca="1">IF(ROW(T_CALC[[#This Row],[DAY]])-ROW(T_CALC[[#Headers],[DAY]])&gt;C_N_TRADING_DAYS,"",ROW(T_CALC[[#This Row],[DAY]])-ROW(T_CALC[[#Headers],[DAY]]))</f>
        <v>971</v>
      </c>
      <c r="L974" cm="1" vm="3563">
        <f t="array" aca="1" ref="L974" ca="1">IFERROR(INDEX(_xlfn.ANCHORARRAY($C$3),T_CALC[[#This Row],[DAY]]+1,1),NA())</f>
        <v>44118</v>
      </c>
      <c r="M974" cm="1" vm="2194">
        <f t="array" aca="1" ref="M974" ca="1">IFERROR(INDEX(_xlfn.ANCHORARRAY($C$3),T_CALC[[#This Row],[DAY]]+1,3),NA())</f>
        <v>1.3602000000000001</v>
      </c>
      <c r="N974" cm="1" vm="2036">
        <f t="array" aca="1" ref="N974" ca="1">IFERROR(INDEX(_xlfn.ANCHORARRAY($C$3),T_CALC[[#This Row],[DAY]]+1,4),NA())</f>
        <v>1.3604000000000001</v>
      </c>
      <c r="O974" cm="1" vm="1988">
        <f t="array" aca="1" ref="O974" ca="1">IFERROR(INDEX(_xlfn.ANCHORARRAY($C$3),T_CALC[[#This Row],[DAY]]+1,5),NA())</f>
        <v>1.3552</v>
      </c>
      <c r="P974" cm="1" vm="1991">
        <f t="array" aca="1" ref="P974" ca="1">IFERROR(INDEX(_xlfn.ANCHORARRAY($C$3),T_CALC[[#This Row],[DAY]]+1,6),NA())</f>
        <v>1.357</v>
      </c>
      <c r="Q974" cm="1">
        <f t="array" aca="1" ref="Q974" ca="1">IFERROR(INDEX(_xlfn.ANCHORARRAY($C$3),T_CALC[[#This Row],[DAY]]+1,2),NA())</f>
        <v>0</v>
      </c>
    </row>
    <row r="975" spans="3:17">
      <c r="C975" vm="3564">
        <f ca="1"/>
        <v>44119</v>
      </c>
      <c r="D975">
        <f ca="1"/>
        <v>0</v>
      </c>
      <c r="E975" vm="1991">
        <f ca="1"/>
        <v>1.357</v>
      </c>
      <c r="F975" vm="2192">
        <f ca="1"/>
        <v>1.3623000000000001</v>
      </c>
      <c r="G975" vm="2084">
        <f ca="1"/>
        <v>1.3566</v>
      </c>
      <c r="H975" vm="2714">
        <f ca="1"/>
        <v>1.3595999999999999</v>
      </c>
      <c r="K975">
        <f ca="1">IF(ROW(T_CALC[[#This Row],[DAY]])-ROW(T_CALC[[#Headers],[DAY]])&gt;C_N_TRADING_DAYS,"",ROW(T_CALC[[#This Row],[DAY]])-ROW(T_CALC[[#Headers],[DAY]]))</f>
        <v>972</v>
      </c>
      <c r="L975" cm="1" vm="3564">
        <f t="array" aca="1" ref="L975" ca="1">IFERROR(INDEX(_xlfn.ANCHORARRAY($C$3),T_CALC[[#This Row],[DAY]]+1,1),NA())</f>
        <v>44119</v>
      </c>
      <c r="M975" cm="1" vm="1991">
        <f t="array" aca="1" ref="M975" ca="1">IFERROR(INDEX(_xlfn.ANCHORARRAY($C$3),T_CALC[[#This Row],[DAY]]+1,3),NA())</f>
        <v>1.357</v>
      </c>
      <c r="N975" cm="1" vm="2192">
        <f t="array" aca="1" ref="N975" ca="1">IFERROR(INDEX(_xlfn.ANCHORARRAY($C$3),T_CALC[[#This Row],[DAY]]+1,4),NA())</f>
        <v>1.3623000000000001</v>
      </c>
      <c r="O975" cm="1" vm="2084">
        <f t="array" aca="1" ref="O975" ca="1">IFERROR(INDEX(_xlfn.ANCHORARRAY($C$3),T_CALC[[#This Row],[DAY]]+1,5),NA())</f>
        <v>1.3566</v>
      </c>
      <c r="P975" cm="1" vm="2714">
        <f t="array" aca="1" ref="P975" ca="1">IFERROR(INDEX(_xlfn.ANCHORARRAY($C$3),T_CALC[[#This Row],[DAY]]+1,6),NA())</f>
        <v>1.3595999999999999</v>
      </c>
      <c r="Q975" cm="1">
        <f t="array" aca="1" ref="Q975" ca="1">IFERROR(INDEX(_xlfn.ANCHORARRAY($C$3),T_CALC[[#This Row],[DAY]]+1,2),NA())</f>
        <v>0</v>
      </c>
    </row>
    <row r="976" spans="3:17">
      <c r="C976" vm="3565">
        <f ca="1"/>
        <v>44120</v>
      </c>
      <c r="D976">
        <f ca="1"/>
        <v>0</v>
      </c>
      <c r="E976" vm="2667">
        <f ca="1"/>
        <v>1.3599000000000001</v>
      </c>
      <c r="F976" vm="1996">
        <f ca="1"/>
        <v>1.3613999999999999</v>
      </c>
      <c r="G976" vm="1989">
        <f ca="1"/>
        <v>1.3571</v>
      </c>
      <c r="H976" vm="2231">
        <f ca="1"/>
        <v>1.3579000000000001</v>
      </c>
      <c r="K976">
        <f ca="1">IF(ROW(T_CALC[[#This Row],[DAY]])-ROW(T_CALC[[#Headers],[DAY]])&gt;C_N_TRADING_DAYS,"",ROW(T_CALC[[#This Row],[DAY]])-ROW(T_CALC[[#Headers],[DAY]]))</f>
        <v>973</v>
      </c>
      <c r="L976" cm="1" vm="3565">
        <f t="array" aca="1" ref="L976" ca="1">IFERROR(INDEX(_xlfn.ANCHORARRAY($C$3),T_CALC[[#This Row],[DAY]]+1,1),NA())</f>
        <v>44120</v>
      </c>
      <c r="M976" cm="1" vm="2667">
        <f t="array" aca="1" ref="M976" ca="1">IFERROR(INDEX(_xlfn.ANCHORARRAY($C$3),T_CALC[[#This Row],[DAY]]+1,3),NA())</f>
        <v>1.3599000000000001</v>
      </c>
      <c r="N976" cm="1" vm="1996">
        <f t="array" aca="1" ref="N976" ca="1">IFERROR(INDEX(_xlfn.ANCHORARRAY($C$3),T_CALC[[#This Row],[DAY]]+1,4),NA())</f>
        <v>1.3613999999999999</v>
      </c>
      <c r="O976" cm="1" vm="1989">
        <f t="array" aca="1" ref="O976" ca="1">IFERROR(INDEX(_xlfn.ANCHORARRAY($C$3),T_CALC[[#This Row],[DAY]]+1,5),NA())</f>
        <v>1.3571</v>
      </c>
      <c r="P976" cm="1" vm="2231">
        <f t="array" aca="1" ref="P976" ca="1">IFERROR(INDEX(_xlfn.ANCHORARRAY($C$3),T_CALC[[#This Row],[DAY]]+1,6),NA())</f>
        <v>1.3579000000000001</v>
      </c>
      <c r="Q976" cm="1">
        <f t="array" aca="1" ref="Q976" ca="1">IFERROR(INDEX(_xlfn.ANCHORARRAY($C$3),T_CALC[[#This Row],[DAY]]+1,2),NA())</f>
        <v>0</v>
      </c>
    </row>
    <row r="977" spans="3:17">
      <c r="C977" vm="3566">
        <f ca="1"/>
        <v>44123</v>
      </c>
      <c r="D977">
        <f ca="1"/>
        <v>0</v>
      </c>
      <c r="E977" vm="2010">
        <f ca="1"/>
        <v>1.3576999999999999</v>
      </c>
      <c r="F977" vm="2083">
        <f ca="1"/>
        <v>1.3584000000000001</v>
      </c>
      <c r="G977" vm="2225">
        <f ca="1"/>
        <v>1.3561000000000001</v>
      </c>
      <c r="H977" vm="2183">
        <f ca="1"/>
        <v>1.3577999999999999</v>
      </c>
      <c r="K977">
        <f ca="1">IF(ROW(T_CALC[[#This Row],[DAY]])-ROW(T_CALC[[#Headers],[DAY]])&gt;C_N_TRADING_DAYS,"",ROW(T_CALC[[#This Row],[DAY]])-ROW(T_CALC[[#Headers],[DAY]]))</f>
        <v>974</v>
      </c>
      <c r="L977" cm="1" vm="3566">
        <f t="array" aca="1" ref="L977" ca="1">IFERROR(INDEX(_xlfn.ANCHORARRAY($C$3),T_CALC[[#This Row],[DAY]]+1,1),NA())</f>
        <v>44123</v>
      </c>
      <c r="M977" cm="1" vm="2010">
        <f t="array" aca="1" ref="M977" ca="1">IFERROR(INDEX(_xlfn.ANCHORARRAY($C$3),T_CALC[[#This Row],[DAY]]+1,3),NA())</f>
        <v>1.3576999999999999</v>
      </c>
      <c r="N977" cm="1" vm="2083">
        <f t="array" aca="1" ref="N977" ca="1">IFERROR(INDEX(_xlfn.ANCHORARRAY($C$3),T_CALC[[#This Row],[DAY]]+1,4),NA())</f>
        <v>1.3584000000000001</v>
      </c>
      <c r="O977" cm="1" vm="2225">
        <f t="array" aca="1" ref="O977" ca="1">IFERROR(INDEX(_xlfn.ANCHORARRAY($C$3),T_CALC[[#This Row],[DAY]]+1,5),NA())</f>
        <v>1.3561000000000001</v>
      </c>
      <c r="P977" cm="1" vm="2183">
        <f t="array" aca="1" ref="P977" ca="1">IFERROR(INDEX(_xlfn.ANCHORARRAY($C$3),T_CALC[[#This Row],[DAY]]+1,6),NA())</f>
        <v>1.3577999999999999</v>
      </c>
      <c r="Q977" cm="1">
        <f t="array" aca="1" ref="Q977" ca="1">IFERROR(INDEX(_xlfn.ANCHORARRAY($C$3),T_CALC[[#This Row],[DAY]]+1,2),NA())</f>
        <v>0</v>
      </c>
    </row>
    <row r="978" spans="3:17">
      <c r="C978" vm="3567">
        <f ca="1"/>
        <v>44124</v>
      </c>
      <c r="D978">
        <f ca="1"/>
        <v>0</v>
      </c>
      <c r="E978" vm="2015">
        <f ca="1"/>
        <v>1.3573999999999999</v>
      </c>
      <c r="F978" vm="2013">
        <f ca="1"/>
        <v>1.3588</v>
      </c>
      <c r="G978" vm="1997">
        <f ca="1"/>
        <v>1.3554999999999999</v>
      </c>
      <c r="H978" vm="2154">
        <f ca="1"/>
        <v>1.3572</v>
      </c>
      <c r="K978">
        <f ca="1">IF(ROW(T_CALC[[#This Row],[DAY]])-ROW(T_CALC[[#Headers],[DAY]])&gt;C_N_TRADING_DAYS,"",ROW(T_CALC[[#This Row],[DAY]])-ROW(T_CALC[[#Headers],[DAY]]))</f>
        <v>975</v>
      </c>
      <c r="L978" cm="1" vm="3567">
        <f t="array" aca="1" ref="L978" ca="1">IFERROR(INDEX(_xlfn.ANCHORARRAY($C$3),T_CALC[[#This Row],[DAY]]+1,1),NA())</f>
        <v>44124</v>
      </c>
      <c r="M978" cm="1" vm="2015">
        <f t="array" aca="1" ref="M978" ca="1">IFERROR(INDEX(_xlfn.ANCHORARRAY($C$3),T_CALC[[#This Row],[DAY]]+1,3),NA())</f>
        <v>1.3573999999999999</v>
      </c>
      <c r="N978" cm="1" vm="2013">
        <f t="array" aca="1" ref="N978" ca="1">IFERROR(INDEX(_xlfn.ANCHORARRAY($C$3),T_CALC[[#This Row],[DAY]]+1,4),NA())</f>
        <v>1.3588</v>
      </c>
      <c r="O978" cm="1" vm="1997">
        <f t="array" aca="1" ref="O978" ca="1">IFERROR(INDEX(_xlfn.ANCHORARRAY($C$3),T_CALC[[#This Row],[DAY]]+1,5),NA())</f>
        <v>1.3554999999999999</v>
      </c>
      <c r="P978" cm="1" vm="2154">
        <f t="array" aca="1" ref="P978" ca="1">IFERROR(INDEX(_xlfn.ANCHORARRAY($C$3),T_CALC[[#This Row],[DAY]]+1,6),NA())</f>
        <v>1.3572</v>
      </c>
      <c r="Q978" cm="1">
        <f t="array" aca="1" ref="Q978" ca="1">IFERROR(INDEX(_xlfn.ANCHORARRAY($C$3),T_CALC[[#This Row],[DAY]]+1,2),NA())</f>
        <v>0</v>
      </c>
    </row>
    <row r="979" spans="3:17">
      <c r="C979" vm="3568">
        <f ca="1"/>
        <v>44125</v>
      </c>
      <c r="D979">
        <f ca="1"/>
        <v>0</v>
      </c>
      <c r="E979" vm="1989">
        <f ca="1"/>
        <v>1.3571</v>
      </c>
      <c r="F979" vm="2081">
        <f ca="1"/>
        <v>1.3573</v>
      </c>
      <c r="G979" vm="2069">
        <f ca="1"/>
        <v>1.353</v>
      </c>
      <c r="H979" vm="2228">
        <f ca="1"/>
        <v>1.3539000000000001</v>
      </c>
      <c r="K979">
        <f ca="1">IF(ROW(T_CALC[[#This Row],[DAY]])-ROW(T_CALC[[#Headers],[DAY]])&gt;C_N_TRADING_DAYS,"",ROW(T_CALC[[#This Row],[DAY]])-ROW(T_CALC[[#Headers],[DAY]]))</f>
        <v>976</v>
      </c>
      <c r="L979" cm="1" vm="3568">
        <f t="array" aca="1" ref="L979" ca="1">IFERROR(INDEX(_xlfn.ANCHORARRAY($C$3),T_CALC[[#This Row],[DAY]]+1,1),NA())</f>
        <v>44125</v>
      </c>
      <c r="M979" cm="1" vm="1989">
        <f t="array" aca="1" ref="M979" ca="1">IFERROR(INDEX(_xlfn.ANCHORARRAY($C$3),T_CALC[[#This Row],[DAY]]+1,3),NA())</f>
        <v>1.3571</v>
      </c>
      <c r="N979" cm="1" vm="2081">
        <f t="array" aca="1" ref="N979" ca="1">IFERROR(INDEX(_xlfn.ANCHORARRAY($C$3),T_CALC[[#This Row],[DAY]]+1,4),NA())</f>
        <v>1.3573</v>
      </c>
      <c r="O979" cm="1" vm="2069">
        <f t="array" aca="1" ref="O979" ca="1">IFERROR(INDEX(_xlfn.ANCHORARRAY($C$3),T_CALC[[#This Row],[DAY]]+1,5),NA())</f>
        <v>1.353</v>
      </c>
      <c r="P979" cm="1" vm="2228">
        <f t="array" aca="1" ref="P979" ca="1">IFERROR(INDEX(_xlfn.ANCHORARRAY($C$3),T_CALC[[#This Row],[DAY]]+1,6),NA())</f>
        <v>1.3539000000000001</v>
      </c>
      <c r="Q979" cm="1">
        <f t="array" aca="1" ref="Q979" ca="1">IFERROR(INDEX(_xlfn.ANCHORARRAY($C$3),T_CALC[[#This Row],[DAY]]+1,2),NA())</f>
        <v>0</v>
      </c>
    </row>
    <row r="980" spans="3:17">
      <c r="C980" vm="3569">
        <f ca="1"/>
        <v>44126</v>
      </c>
      <c r="D980">
        <f ca="1"/>
        <v>0</v>
      </c>
      <c r="E980" vm="2007">
        <f ca="1"/>
        <v>1.3536999999999999</v>
      </c>
      <c r="F980" vm="2151">
        <f ca="1"/>
        <v>1.3575999999999999</v>
      </c>
      <c r="G980" vm="2671">
        <f ca="1"/>
        <v>1.3531</v>
      </c>
      <c r="H980" vm="2065">
        <f ca="1"/>
        <v>1.3568</v>
      </c>
      <c r="K980">
        <f ca="1">IF(ROW(T_CALC[[#This Row],[DAY]])-ROW(T_CALC[[#Headers],[DAY]])&gt;C_N_TRADING_DAYS,"",ROW(T_CALC[[#This Row],[DAY]])-ROW(T_CALC[[#Headers],[DAY]]))</f>
        <v>977</v>
      </c>
      <c r="L980" cm="1" vm="3569">
        <f t="array" aca="1" ref="L980" ca="1">IFERROR(INDEX(_xlfn.ANCHORARRAY($C$3),T_CALC[[#This Row],[DAY]]+1,1),NA())</f>
        <v>44126</v>
      </c>
      <c r="M980" cm="1" vm="2007">
        <f t="array" aca="1" ref="M980" ca="1">IFERROR(INDEX(_xlfn.ANCHORARRAY($C$3),T_CALC[[#This Row],[DAY]]+1,3),NA())</f>
        <v>1.3536999999999999</v>
      </c>
      <c r="N980" cm="1" vm="2151">
        <f t="array" aca="1" ref="N980" ca="1">IFERROR(INDEX(_xlfn.ANCHORARRAY($C$3),T_CALC[[#This Row],[DAY]]+1,4),NA())</f>
        <v>1.3575999999999999</v>
      </c>
      <c r="O980" cm="1" vm="2671">
        <f t="array" aca="1" ref="O980" ca="1">IFERROR(INDEX(_xlfn.ANCHORARRAY($C$3),T_CALC[[#This Row],[DAY]]+1,5),NA())</f>
        <v>1.3531</v>
      </c>
      <c r="P980" cm="1" vm="2065">
        <f t="array" aca="1" ref="P980" ca="1">IFERROR(INDEX(_xlfn.ANCHORARRAY($C$3),T_CALC[[#This Row],[DAY]]+1,6),NA())</f>
        <v>1.3568</v>
      </c>
      <c r="Q980" cm="1">
        <f t="array" aca="1" ref="Q980" ca="1">IFERROR(INDEX(_xlfn.ANCHORARRAY($C$3),T_CALC[[#This Row],[DAY]]+1,2),NA())</f>
        <v>0</v>
      </c>
    </row>
    <row r="981" spans="3:17">
      <c r="C981" vm="3570">
        <f ca="1"/>
        <v>44127</v>
      </c>
      <c r="D981">
        <f ca="1"/>
        <v>0</v>
      </c>
      <c r="E981" vm="2012">
        <f ca="1"/>
        <v>1.3565</v>
      </c>
      <c r="F981" vm="2202">
        <f ca="1"/>
        <v>1.3597999999999999</v>
      </c>
      <c r="G981" vm="2077">
        <f ca="1"/>
        <v>1.355</v>
      </c>
      <c r="H981" vm="2081">
        <f ca="1"/>
        <v>1.3573</v>
      </c>
      <c r="K981">
        <f ca="1">IF(ROW(T_CALC[[#This Row],[DAY]])-ROW(T_CALC[[#Headers],[DAY]])&gt;C_N_TRADING_DAYS,"",ROW(T_CALC[[#This Row],[DAY]])-ROW(T_CALC[[#Headers],[DAY]]))</f>
        <v>978</v>
      </c>
      <c r="L981" cm="1" vm="3570">
        <f t="array" aca="1" ref="L981" ca="1">IFERROR(INDEX(_xlfn.ANCHORARRAY($C$3),T_CALC[[#This Row],[DAY]]+1,1),NA())</f>
        <v>44127</v>
      </c>
      <c r="M981" cm="1" vm="2012">
        <f t="array" aca="1" ref="M981" ca="1">IFERROR(INDEX(_xlfn.ANCHORARRAY($C$3),T_CALC[[#This Row],[DAY]]+1,3),NA())</f>
        <v>1.3565</v>
      </c>
      <c r="N981" cm="1" vm="2202">
        <f t="array" aca="1" ref="N981" ca="1">IFERROR(INDEX(_xlfn.ANCHORARRAY($C$3),T_CALC[[#This Row],[DAY]]+1,4),NA())</f>
        <v>1.3597999999999999</v>
      </c>
      <c r="O981" cm="1" vm="2077">
        <f t="array" aca="1" ref="O981" ca="1">IFERROR(INDEX(_xlfn.ANCHORARRAY($C$3),T_CALC[[#This Row],[DAY]]+1,5),NA())</f>
        <v>1.355</v>
      </c>
      <c r="P981" cm="1" vm="2081">
        <f t="array" aca="1" ref="P981" ca="1">IFERROR(INDEX(_xlfn.ANCHORARRAY($C$3),T_CALC[[#This Row],[DAY]]+1,6),NA())</f>
        <v>1.3573</v>
      </c>
      <c r="Q981" cm="1">
        <f t="array" aca="1" ref="Q981" ca="1">IFERROR(INDEX(_xlfn.ANCHORARRAY($C$3),T_CALC[[#This Row],[DAY]]+1,2),NA())</f>
        <v>0</v>
      </c>
    </row>
    <row r="982" spans="3:17">
      <c r="C982" vm="3571">
        <f ca="1"/>
        <v>44130</v>
      </c>
      <c r="D982">
        <f ca="1"/>
        <v>0</v>
      </c>
      <c r="E982" vm="2151">
        <f ca="1"/>
        <v>1.3575999999999999</v>
      </c>
      <c r="F982" vm="2054">
        <f ca="1"/>
        <v>1.3622000000000001</v>
      </c>
      <c r="G982" vm="2000">
        <f ca="1"/>
        <v>1.3569</v>
      </c>
      <c r="H982" vm="2032">
        <f ca="1"/>
        <v>1.3612</v>
      </c>
      <c r="K982">
        <f ca="1">IF(ROW(T_CALC[[#This Row],[DAY]])-ROW(T_CALC[[#Headers],[DAY]])&gt;C_N_TRADING_DAYS,"",ROW(T_CALC[[#This Row],[DAY]])-ROW(T_CALC[[#Headers],[DAY]]))</f>
        <v>979</v>
      </c>
      <c r="L982" cm="1" vm="3571">
        <f t="array" aca="1" ref="L982" ca="1">IFERROR(INDEX(_xlfn.ANCHORARRAY($C$3),T_CALC[[#This Row],[DAY]]+1,1),NA())</f>
        <v>44130</v>
      </c>
      <c r="M982" cm="1" vm="2151">
        <f t="array" aca="1" ref="M982" ca="1">IFERROR(INDEX(_xlfn.ANCHORARRAY($C$3),T_CALC[[#This Row],[DAY]]+1,3),NA())</f>
        <v>1.3575999999999999</v>
      </c>
      <c r="N982" cm="1" vm="2054">
        <f t="array" aca="1" ref="N982" ca="1">IFERROR(INDEX(_xlfn.ANCHORARRAY($C$3),T_CALC[[#This Row],[DAY]]+1,4),NA())</f>
        <v>1.3622000000000001</v>
      </c>
      <c r="O982" cm="1" vm="2000">
        <f t="array" aca="1" ref="O982" ca="1">IFERROR(INDEX(_xlfn.ANCHORARRAY($C$3),T_CALC[[#This Row],[DAY]]+1,5),NA())</f>
        <v>1.3569</v>
      </c>
      <c r="P982" cm="1" vm="2032">
        <f t="array" aca="1" ref="P982" ca="1">IFERROR(INDEX(_xlfn.ANCHORARRAY($C$3),T_CALC[[#This Row],[DAY]]+1,6),NA())</f>
        <v>1.3612</v>
      </c>
      <c r="Q982" cm="1">
        <f t="array" aca="1" ref="Q982" ca="1">IFERROR(INDEX(_xlfn.ANCHORARRAY($C$3),T_CALC[[#This Row],[DAY]]+1,2),NA())</f>
        <v>0</v>
      </c>
    </row>
    <row r="983" spans="3:17">
      <c r="C983" vm="3572">
        <f ca="1"/>
        <v>44131</v>
      </c>
      <c r="D983">
        <f ca="1"/>
        <v>0</v>
      </c>
      <c r="E983" vm="2032">
        <f ca="1"/>
        <v>1.3612</v>
      </c>
      <c r="F983" vm="2040">
        <f ca="1"/>
        <v>1.3614999999999999</v>
      </c>
      <c r="G983" vm="2183">
        <f ca="1"/>
        <v>1.3577999999999999</v>
      </c>
      <c r="H983" vm="2158">
        <f ca="1"/>
        <v>1.3605</v>
      </c>
      <c r="K983">
        <f ca="1">IF(ROW(T_CALC[[#This Row],[DAY]])-ROW(T_CALC[[#Headers],[DAY]])&gt;C_N_TRADING_DAYS,"",ROW(T_CALC[[#This Row],[DAY]])-ROW(T_CALC[[#Headers],[DAY]]))</f>
        <v>980</v>
      </c>
      <c r="L983" cm="1" vm="3572">
        <f t="array" aca="1" ref="L983" ca="1">IFERROR(INDEX(_xlfn.ANCHORARRAY($C$3),T_CALC[[#This Row],[DAY]]+1,1),NA())</f>
        <v>44131</v>
      </c>
      <c r="M983" cm="1" vm="2032">
        <f t="array" aca="1" ref="M983" ca="1">IFERROR(INDEX(_xlfn.ANCHORARRAY($C$3),T_CALC[[#This Row],[DAY]]+1,3),NA())</f>
        <v>1.3612</v>
      </c>
      <c r="N983" cm="1" vm="2040">
        <f t="array" aca="1" ref="N983" ca="1">IFERROR(INDEX(_xlfn.ANCHORARRAY($C$3),T_CALC[[#This Row],[DAY]]+1,4),NA())</f>
        <v>1.3614999999999999</v>
      </c>
      <c r="O983" cm="1" vm="2183">
        <f t="array" aca="1" ref="O983" ca="1">IFERROR(INDEX(_xlfn.ANCHORARRAY($C$3),T_CALC[[#This Row],[DAY]]+1,5),NA())</f>
        <v>1.3577999999999999</v>
      </c>
      <c r="P983" cm="1" vm="2158">
        <f t="array" aca="1" ref="P983" ca="1">IFERROR(INDEX(_xlfn.ANCHORARRAY($C$3),T_CALC[[#This Row],[DAY]]+1,6),NA())</f>
        <v>1.3605</v>
      </c>
      <c r="Q983" cm="1">
        <f t="array" aca="1" ref="Q983" ca="1">IFERROR(INDEX(_xlfn.ANCHORARRAY($C$3),T_CALC[[#This Row],[DAY]]+1,2),NA())</f>
        <v>0</v>
      </c>
    </row>
    <row r="984" spans="3:17">
      <c r="C984" vm="3573">
        <f ca="1"/>
        <v>44132</v>
      </c>
      <c r="D984">
        <f ca="1"/>
        <v>0</v>
      </c>
      <c r="E984" vm="2158">
        <f ca="1"/>
        <v>1.3605</v>
      </c>
      <c r="F984" vm="2720">
        <f ca="1"/>
        <v>1.3664000000000001</v>
      </c>
      <c r="G984" vm="2083">
        <f ca="1"/>
        <v>1.3584000000000001</v>
      </c>
      <c r="H984" vm="2702">
        <f ca="1"/>
        <v>1.365</v>
      </c>
      <c r="K984">
        <f ca="1">IF(ROW(T_CALC[[#This Row],[DAY]])-ROW(T_CALC[[#Headers],[DAY]])&gt;C_N_TRADING_DAYS,"",ROW(T_CALC[[#This Row],[DAY]])-ROW(T_CALC[[#Headers],[DAY]]))</f>
        <v>981</v>
      </c>
      <c r="L984" cm="1" vm="3573">
        <f t="array" aca="1" ref="L984" ca="1">IFERROR(INDEX(_xlfn.ANCHORARRAY($C$3),T_CALC[[#This Row],[DAY]]+1,1),NA())</f>
        <v>44132</v>
      </c>
      <c r="M984" cm="1" vm="2158">
        <f t="array" aca="1" ref="M984" ca="1">IFERROR(INDEX(_xlfn.ANCHORARRAY($C$3),T_CALC[[#This Row],[DAY]]+1,3),NA())</f>
        <v>1.3605</v>
      </c>
      <c r="N984" cm="1" vm="2720">
        <f t="array" aca="1" ref="N984" ca="1">IFERROR(INDEX(_xlfn.ANCHORARRAY($C$3),T_CALC[[#This Row],[DAY]]+1,4),NA())</f>
        <v>1.3664000000000001</v>
      </c>
      <c r="O984" cm="1" vm="2083">
        <f t="array" aca="1" ref="O984" ca="1">IFERROR(INDEX(_xlfn.ANCHORARRAY($C$3),T_CALC[[#This Row],[DAY]]+1,5),NA())</f>
        <v>1.3584000000000001</v>
      </c>
      <c r="P984" cm="1" vm="2702">
        <f t="array" aca="1" ref="P984" ca="1">IFERROR(INDEX(_xlfn.ANCHORARRAY($C$3),T_CALC[[#This Row],[DAY]]+1,6),NA())</f>
        <v>1.365</v>
      </c>
      <c r="Q984" cm="1">
        <f t="array" aca="1" ref="Q984" ca="1">IFERROR(INDEX(_xlfn.ANCHORARRAY($C$3),T_CALC[[#This Row],[DAY]]+1,2),NA())</f>
        <v>0</v>
      </c>
    </row>
    <row r="985" spans="3:17">
      <c r="C985" vm="3574">
        <f ca="1"/>
        <v>44133</v>
      </c>
      <c r="D985">
        <f ca="1"/>
        <v>0</v>
      </c>
      <c r="E985" vm="2031">
        <f ca="1"/>
        <v>1.3653999999999999</v>
      </c>
      <c r="F985" vm="3041">
        <f ca="1"/>
        <v>1.3683000000000001</v>
      </c>
      <c r="G985" vm="2054">
        <f ca="1"/>
        <v>1.3622000000000001</v>
      </c>
      <c r="H985" vm="2196">
        <f ca="1"/>
        <v>1.3668</v>
      </c>
      <c r="K985">
        <f ca="1">IF(ROW(T_CALC[[#This Row],[DAY]])-ROW(T_CALC[[#Headers],[DAY]])&gt;C_N_TRADING_DAYS,"",ROW(T_CALC[[#This Row],[DAY]])-ROW(T_CALC[[#Headers],[DAY]]))</f>
        <v>982</v>
      </c>
      <c r="L985" cm="1" vm="3574">
        <f t="array" aca="1" ref="L985" ca="1">IFERROR(INDEX(_xlfn.ANCHORARRAY($C$3),T_CALC[[#This Row],[DAY]]+1,1),NA())</f>
        <v>44133</v>
      </c>
      <c r="M985" cm="1" vm="2031">
        <f t="array" aca="1" ref="M985" ca="1">IFERROR(INDEX(_xlfn.ANCHORARRAY($C$3),T_CALC[[#This Row],[DAY]]+1,3),NA())</f>
        <v>1.3653999999999999</v>
      </c>
      <c r="N985" cm="1" vm="3041">
        <f t="array" aca="1" ref="N985" ca="1">IFERROR(INDEX(_xlfn.ANCHORARRAY($C$3),T_CALC[[#This Row],[DAY]]+1,4),NA())</f>
        <v>1.3683000000000001</v>
      </c>
      <c r="O985" cm="1" vm="2054">
        <f t="array" aca="1" ref="O985" ca="1">IFERROR(INDEX(_xlfn.ANCHORARRAY($C$3),T_CALC[[#This Row],[DAY]]+1,5),NA())</f>
        <v>1.3622000000000001</v>
      </c>
      <c r="P985" cm="1" vm="2196">
        <f t="array" aca="1" ref="P985" ca="1">IFERROR(INDEX(_xlfn.ANCHORARRAY($C$3),T_CALC[[#This Row],[DAY]]+1,6),NA())</f>
        <v>1.3668</v>
      </c>
      <c r="Q985" cm="1">
        <f t="array" aca="1" ref="Q985" ca="1">IFERROR(INDEX(_xlfn.ANCHORARRAY($C$3),T_CALC[[#This Row],[DAY]]+1,2),NA())</f>
        <v>0</v>
      </c>
    </row>
    <row r="986" spans="3:17">
      <c r="C986" vm="3575">
        <f ca="1"/>
        <v>44134</v>
      </c>
      <c r="D986">
        <f ca="1"/>
        <v>0</v>
      </c>
      <c r="E986" vm="2196">
        <f ca="1"/>
        <v>1.3668</v>
      </c>
      <c r="F986" vm="2047">
        <f ca="1"/>
        <v>1.3673</v>
      </c>
      <c r="G986" vm="2023">
        <f ca="1"/>
        <v>1.3626</v>
      </c>
      <c r="H986" vm="2705">
        <f ca="1"/>
        <v>1.3660000000000001</v>
      </c>
      <c r="K986">
        <f ca="1">IF(ROW(T_CALC[[#This Row],[DAY]])-ROW(T_CALC[[#Headers],[DAY]])&gt;C_N_TRADING_DAYS,"",ROW(T_CALC[[#This Row],[DAY]])-ROW(T_CALC[[#Headers],[DAY]]))</f>
        <v>983</v>
      </c>
      <c r="L986" cm="1" vm="3575">
        <f t="array" aca="1" ref="L986" ca="1">IFERROR(INDEX(_xlfn.ANCHORARRAY($C$3),T_CALC[[#This Row],[DAY]]+1,1),NA())</f>
        <v>44134</v>
      </c>
      <c r="M986" cm="1" vm="2196">
        <f t="array" aca="1" ref="M986" ca="1">IFERROR(INDEX(_xlfn.ANCHORARRAY($C$3),T_CALC[[#This Row],[DAY]]+1,3),NA())</f>
        <v>1.3668</v>
      </c>
      <c r="N986" cm="1" vm="2047">
        <f t="array" aca="1" ref="N986" ca="1">IFERROR(INDEX(_xlfn.ANCHORARRAY($C$3),T_CALC[[#This Row],[DAY]]+1,4),NA())</f>
        <v>1.3673</v>
      </c>
      <c r="O986" cm="1" vm="2023">
        <f t="array" aca="1" ref="O986" ca="1">IFERROR(INDEX(_xlfn.ANCHORARRAY($C$3),T_CALC[[#This Row],[DAY]]+1,5),NA())</f>
        <v>1.3626</v>
      </c>
      <c r="P986" cm="1" vm="2705">
        <f t="array" aca="1" ref="P986" ca="1">IFERROR(INDEX(_xlfn.ANCHORARRAY($C$3),T_CALC[[#This Row],[DAY]]+1,6),NA())</f>
        <v>1.3660000000000001</v>
      </c>
      <c r="Q986" cm="1">
        <f t="array" aca="1" ref="Q986" ca="1">IFERROR(INDEX(_xlfn.ANCHORARRAY($C$3),T_CALC[[#This Row],[DAY]]+1,2),NA())</f>
        <v>0</v>
      </c>
    </row>
    <row r="987" spans="3:17">
      <c r="C987" vm="3576">
        <f ca="1"/>
        <v>44137</v>
      </c>
      <c r="D987">
        <f ca="1"/>
        <v>0</v>
      </c>
      <c r="E987" vm="2687">
        <f ca="1"/>
        <v>1.3656999999999999</v>
      </c>
      <c r="F987" vm="3082">
        <f ca="1"/>
        <v>1.3684000000000001</v>
      </c>
      <c r="G987" vm="2162">
        <f ca="1"/>
        <v>1.3640000000000001</v>
      </c>
      <c r="H987" vm="2685">
        <f ca="1"/>
        <v>1.3645</v>
      </c>
      <c r="K987">
        <f ca="1">IF(ROW(T_CALC[[#This Row],[DAY]])-ROW(T_CALC[[#Headers],[DAY]])&gt;C_N_TRADING_DAYS,"",ROW(T_CALC[[#This Row],[DAY]])-ROW(T_CALC[[#Headers],[DAY]]))</f>
        <v>984</v>
      </c>
      <c r="L987" cm="1" vm="3576">
        <f t="array" aca="1" ref="L987" ca="1">IFERROR(INDEX(_xlfn.ANCHORARRAY($C$3),T_CALC[[#This Row],[DAY]]+1,1),NA())</f>
        <v>44137</v>
      </c>
      <c r="M987" cm="1" vm="2687">
        <f t="array" aca="1" ref="M987" ca="1">IFERROR(INDEX(_xlfn.ANCHORARRAY($C$3),T_CALC[[#This Row],[DAY]]+1,3),NA())</f>
        <v>1.3656999999999999</v>
      </c>
      <c r="N987" cm="1" vm="3082">
        <f t="array" aca="1" ref="N987" ca="1">IFERROR(INDEX(_xlfn.ANCHORARRAY($C$3),T_CALC[[#This Row],[DAY]]+1,4),NA())</f>
        <v>1.3684000000000001</v>
      </c>
      <c r="O987" cm="1" vm="2162">
        <f t="array" aca="1" ref="O987" ca="1">IFERROR(INDEX(_xlfn.ANCHORARRAY($C$3),T_CALC[[#This Row],[DAY]]+1,5),NA())</f>
        <v>1.3640000000000001</v>
      </c>
      <c r="P987" cm="1" vm="2685">
        <f t="array" aca="1" ref="P987" ca="1">IFERROR(INDEX(_xlfn.ANCHORARRAY($C$3),T_CALC[[#This Row],[DAY]]+1,6),NA())</f>
        <v>1.3645</v>
      </c>
      <c r="Q987" cm="1">
        <f t="array" aca="1" ref="Q987" ca="1">IFERROR(INDEX(_xlfn.ANCHORARRAY($C$3),T_CALC[[#This Row],[DAY]]+1,2),NA())</f>
        <v>0</v>
      </c>
    </row>
    <row r="988" spans="3:17">
      <c r="C988" vm="3577">
        <f ca="1"/>
        <v>44138</v>
      </c>
      <c r="D988">
        <f ca="1"/>
        <v>0</v>
      </c>
      <c r="E988" vm="2150">
        <f ca="1"/>
        <v>1.3646</v>
      </c>
      <c r="F988" vm="2687">
        <f ca="1"/>
        <v>1.3656999999999999</v>
      </c>
      <c r="G988" vm="2221">
        <f ca="1"/>
        <v>1.3589</v>
      </c>
      <c r="H988" vm="2218">
        <f ca="1"/>
        <v>1.3596999999999999</v>
      </c>
      <c r="K988">
        <f ca="1">IF(ROW(T_CALC[[#This Row],[DAY]])-ROW(T_CALC[[#Headers],[DAY]])&gt;C_N_TRADING_DAYS,"",ROW(T_CALC[[#This Row],[DAY]])-ROW(T_CALC[[#Headers],[DAY]]))</f>
        <v>985</v>
      </c>
      <c r="L988" cm="1" vm="3577">
        <f t="array" aca="1" ref="L988" ca="1">IFERROR(INDEX(_xlfn.ANCHORARRAY($C$3),T_CALC[[#This Row],[DAY]]+1,1),NA())</f>
        <v>44138</v>
      </c>
      <c r="M988" cm="1" vm="2150">
        <f t="array" aca="1" ref="M988" ca="1">IFERROR(INDEX(_xlfn.ANCHORARRAY($C$3),T_CALC[[#This Row],[DAY]]+1,3),NA())</f>
        <v>1.3646</v>
      </c>
      <c r="N988" cm="1" vm="2687">
        <f t="array" aca="1" ref="N988" ca="1">IFERROR(INDEX(_xlfn.ANCHORARRAY($C$3),T_CALC[[#This Row],[DAY]]+1,4),NA())</f>
        <v>1.3656999999999999</v>
      </c>
      <c r="O988" cm="1" vm="2221">
        <f t="array" aca="1" ref="O988" ca="1">IFERROR(INDEX(_xlfn.ANCHORARRAY($C$3),T_CALC[[#This Row],[DAY]]+1,5),NA())</f>
        <v>1.3589</v>
      </c>
      <c r="P988" cm="1" vm="2218">
        <f t="array" aca="1" ref="P988" ca="1">IFERROR(INDEX(_xlfn.ANCHORARRAY($C$3),T_CALC[[#This Row],[DAY]]+1,6),NA())</f>
        <v>1.3596999999999999</v>
      </c>
      <c r="Q988" cm="1">
        <f t="array" aca="1" ref="Q988" ca="1">IFERROR(INDEX(_xlfn.ANCHORARRAY($C$3),T_CALC[[#This Row],[DAY]]+1,2),NA())</f>
        <v>0</v>
      </c>
    </row>
    <row r="989" spans="3:17">
      <c r="C989" vm="3578">
        <f ca="1"/>
        <v>44139</v>
      </c>
      <c r="D989">
        <f ca="1"/>
        <v>0</v>
      </c>
      <c r="E989" vm="2158">
        <f ca="1"/>
        <v>1.3605</v>
      </c>
      <c r="F989" vm="2718">
        <f ca="1"/>
        <v>1.3712</v>
      </c>
      <c r="G989" vm="2012">
        <f ca="1"/>
        <v>1.3565</v>
      </c>
      <c r="H989" vm="2008">
        <f ca="1"/>
        <v>1.3574999999999999</v>
      </c>
      <c r="K989">
        <f ca="1">IF(ROW(T_CALC[[#This Row],[DAY]])-ROW(T_CALC[[#Headers],[DAY]])&gt;C_N_TRADING_DAYS,"",ROW(T_CALC[[#This Row],[DAY]])-ROW(T_CALC[[#Headers],[DAY]]))</f>
        <v>986</v>
      </c>
      <c r="L989" cm="1" vm="3578">
        <f t="array" aca="1" ref="L989" ca="1">IFERROR(INDEX(_xlfn.ANCHORARRAY($C$3),T_CALC[[#This Row],[DAY]]+1,1),NA())</f>
        <v>44139</v>
      </c>
      <c r="M989" cm="1" vm="2158">
        <f t="array" aca="1" ref="M989" ca="1">IFERROR(INDEX(_xlfn.ANCHORARRAY($C$3),T_CALC[[#This Row],[DAY]]+1,3),NA())</f>
        <v>1.3605</v>
      </c>
      <c r="N989" cm="1" vm="2718">
        <f t="array" aca="1" ref="N989" ca="1">IFERROR(INDEX(_xlfn.ANCHORARRAY($C$3),T_CALC[[#This Row],[DAY]]+1,4),NA())</f>
        <v>1.3712</v>
      </c>
      <c r="O989" cm="1" vm="2012">
        <f t="array" aca="1" ref="O989" ca="1">IFERROR(INDEX(_xlfn.ANCHORARRAY($C$3),T_CALC[[#This Row],[DAY]]+1,5),NA())</f>
        <v>1.3565</v>
      </c>
      <c r="P989" cm="1" vm="2008">
        <f t="array" aca="1" ref="P989" ca="1">IFERROR(INDEX(_xlfn.ANCHORARRAY($C$3),T_CALC[[#This Row],[DAY]]+1,6),NA())</f>
        <v>1.3574999999999999</v>
      </c>
      <c r="Q989" cm="1">
        <f t="array" aca="1" ref="Q989" ca="1">IFERROR(INDEX(_xlfn.ANCHORARRAY($C$3),T_CALC[[#This Row],[DAY]]+1,2),NA())</f>
        <v>0</v>
      </c>
    </row>
    <row r="990" spans="3:17">
      <c r="C990" vm="3579">
        <f ca="1"/>
        <v>44140</v>
      </c>
      <c r="D990">
        <f ca="1"/>
        <v>0</v>
      </c>
      <c r="E990" vm="2010">
        <f ca="1"/>
        <v>1.3576999999999999</v>
      </c>
      <c r="F990" vm="2020">
        <f ca="1"/>
        <v>1.3603000000000001</v>
      </c>
      <c r="G990" vm="2181">
        <f ca="1"/>
        <v>1.3488</v>
      </c>
      <c r="H990" vm="2126">
        <f ca="1"/>
        <v>1.3495999999999999</v>
      </c>
      <c r="K990">
        <f ca="1">IF(ROW(T_CALC[[#This Row],[DAY]])-ROW(T_CALC[[#Headers],[DAY]])&gt;C_N_TRADING_DAYS,"",ROW(T_CALC[[#This Row],[DAY]])-ROW(T_CALC[[#Headers],[DAY]]))</f>
        <v>987</v>
      </c>
      <c r="L990" cm="1" vm="3579">
        <f t="array" aca="1" ref="L990" ca="1">IFERROR(INDEX(_xlfn.ANCHORARRAY($C$3),T_CALC[[#This Row],[DAY]]+1,1),NA())</f>
        <v>44140</v>
      </c>
      <c r="M990" cm="1" vm="2010">
        <f t="array" aca="1" ref="M990" ca="1">IFERROR(INDEX(_xlfn.ANCHORARRAY($C$3),T_CALC[[#This Row],[DAY]]+1,3),NA())</f>
        <v>1.3576999999999999</v>
      </c>
      <c r="N990" cm="1" vm="2020">
        <f t="array" aca="1" ref="N990" ca="1">IFERROR(INDEX(_xlfn.ANCHORARRAY($C$3),T_CALC[[#This Row],[DAY]]+1,4),NA())</f>
        <v>1.3603000000000001</v>
      </c>
      <c r="O990" cm="1" vm="2181">
        <f t="array" aca="1" ref="O990" ca="1">IFERROR(INDEX(_xlfn.ANCHORARRAY($C$3),T_CALC[[#This Row],[DAY]]+1,5),NA())</f>
        <v>1.3488</v>
      </c>
      <c r="P990" cm="1" vm="2126">
        <f t="array" aca="1" ref="P990" ca="1">IFERROR(INDEX(_xlfn.ANCHORARRAY($C$3),T_CALC[[#This Row],[DAY]]+1,6),NA())</f>
        <v>1.3495999999999999</v>
      </c>
      <c r="Q990" cm="1">
        <f t="array" aca="1" ref="Q990" ca="1">IFERROR(INDEX(_xlfn.ANCHORARRAY($C$3),T_CALC[[#This Row],[DAY]]+1,2),NA())</f>
        <v>0</v>
      </c>
    </row>
    <row r="991" spans="3:17">
      <c r="C991" vm="3580">
        <f ca="1"/>
        <v>44141</v>
      </c>
      <c r="D991">
        <f ca="1"/>
        <v>0</v>
      </c>
      <c r="E991" vm="2922">
        <f ca="1"/>
        <v>1.3492999999999999</v>
      </c>
      <c r="F991" vm="2692">
        <f ca="1"/>
        <v>1.3525</v>
      </c>
      <c r="G991" vm="3219">
        <f ca="1"/>
        <v>1.3463000000000001</v>
      </c>
      <c r="H991" vm="2109">
        <f ca="1"/>
        <v>1.3481000000000001</v>
      </c>
      <c r="K991">
        <f ca="1">IF(ROW(T_CALC[[#This Row],[DAY]])-ROW(T_CALC[[#Headers],[DAY]])&gt;C_N_TRADING_DAYS,"",ROW(T_CALC[[#This Row],[DAY]])-ROW(T_CALC[[#Headers],[DAY]]))</f>
        <v>988</v>
      </c>
      <c r="L991" cm="1" vm="3580">
        <f t="array" aca="1" ref="L991" ca="1">IFERROR(INDEX(_xlfn.ANCHORARRAY($C$3),T_CALC[[#This Row],[DAY]]+1,1),NA())</f>
        <v>44141</v>
      </c>
      <c r="M991" cm="1" vm="2922">
        <f t="array" aca="1" ref="M991" ca="1">IFERROR(INDEX(_xlfn.ANCHORARRAY($C$3),T_CALC[[#This Row],[DAY]]+1,3),NA())</f>
        <v>1.3492999999999999</v>
      </c>
      <c r="N991" cm="1" vm="2692">
        <f t="array" aca="1" ref="N991" ca="1">IFERROR(INDEX(_xlfn.ANCHORARRAY($C$3),T_CALC[[#This Row],[DAY]]+1,4),NA())</f>
        <v>1.3525</v>
      </c>
      <c r="O991" cm="1" vm="3219">
        <f t="array" aca="1" ref="O991" ca="1">IFERROR(INDEX(_xlfn.ANCHORARRAY($C$3),T_CALC[[#This Row],[DAY]]+1,5),NA())</f>
        <v>1.3463000000000001</v>
      </c>
      <c r="P991" cm="1" vm="2109">
        <f t="array" aca="1" ref="P991" ca="1">IFERROR(INDEX(_xlfn.ANCHORARRAY($C$3),T_CALC[[#This Row],[DAY]]+1,6),NA())</f>
        <v>1.3481000000000001</v>
      </c>
      <c r="Q991" cm="1">
        <f t="array" aca="1" ref="Q991" ca="1">IFERROR(INDEX(_xlfn.ANCHORARRAY($C$3),T_CALC[[#This Row],[DAY]]+1,2),NA())</f>
        <v>0</v>
      </c>
    </row>
    <row r="992" spans="3:17">
      <c r="C992" vm="3581">
        <f ca="1"/>
        <v>44144</v>
      </c>
      <c r="D992">
        <f ca="1"/>
        <v>0</v>
      </c>
      <c r="E992" vm="2109">
        <f ca="1"/>
        <v>1.3481000000000001</v>
      </c>
      <c r="F992" vm="3582">
        <f ca="1"/>
        <v>1.3503000000000001</v>
      </c>
      <c r="G992" vm="2295">
        <f ca="1"/>
        <v>1.3407</v>
      </c>
      <c r="H992" vm="2253">
        <f ca="1"/>
        <v>1.3472</v>
      </c>
      <c r="K992">
        <f ca="1">IF(ROW(T_CALC[[#This Row],[DAY]])-ROW(T_CALC[[#Headers],[DAY]])&gt;C_N_TRADING_DAYS,"",ROW(T_CALC[[#This Row],[DAY]])-ROW(T_CALC[[#Headers],[DAY]]))</f>
        <v>989</v>
      </c>
      <c r="L992" cm="1" vm="3581">
        <f t="array" aca="1" ref="L992" ca="1">IFERROR(INDEX(_xlfn.ANCHORARRAY($C$3),T_CALC[[#This Row],[DAY]]+1,1),NA())</f>
        <v>44144</v>
      </c>
      <c r="M992" cm="1" vm="2109">
        <f t="array" aca="1" ref="M992" ca="1">IFERROR(INDEX(_xlfn.ANCHORARRAY($C$3),T_CALC[[#This Row],[DAY]]+1,3),NA())</f>
        <v>1.3481000000000001</v>
      </c>
      <c r="N992" cm="1" vm="3582">
        <f t="array" aca="1" ref="N992" ca="1">IFERROR(INDEX(_xlfn.ANCHORARRAY($C$3),T_CALC[[#This Row],[DAY]]+1,4),NA())</f>
        <v>1.3503000000000001</v>
      </c>
      <c r="O992" cm="1" vm="2295">
        <f t="array" aca="1" ref="O992" ca="1">IFERROR(INDEX(_xlfn.ANCHORARRAY($C$3),T_CALC[[#This Row],[DAY]]+1,5),NA())</f>
        <v>1.3407</v>
      </c>
      <c r="P992" cm="1" vm="2253">
        <f t="array" aca="1" ref="P992" ca="1">IFERROR(INDEX(_xlfn.ANCHORARRAY($C$3),T_CALC[[#This Row],[DAY]]+1,6),NA())</f>
        <v>1.3472</v>
      </c>
      <c r="Q992" cm="1">
        <f t="array" aca="1" ref="Q992" ca="1">IFERROR(INDEX(_xlfn.ANCHORARRAY($C$3),T_CALC[[#This Row],[DAY]]+1,2),NA())</f>
        <v>0</v>
      </c>
    </row>
    <row r="993" spans="3:17">
      <c r="C993" vm="3583">
        <f ca="1"/>
        <v>44145</v>
      </c>
      <c r="D993">
        <f ca="1"/>
        <v>0</v>
      </c>
      <c r="E993" vm="3217">
        <f ca="1"/>
        <v>1.347</v>
      </c>
      <c r="F993" vm="2080">
        <f ca="1"/>
        <v>1.3501000000000001</v>
      </c>
      <c r="G993" vm="2274">
        <f ca="1"/>
        <v>1.3447</v>
      </c>
      <c r="H993" vm="2240">
        <f ca="1"/>
        <v>1.3480000000000001</v>
      </c>
      <c r="K993">
        <f ca="1">IF(ROW(T_CALC[[#This Row],[DAY]])-ROW(T_CALC[[#Headers],[DAY]])&gt;C_N_TRADING_DAYS,"",ROW(T_CALC[[#This Row],[DAY]])-ROW(T_CALC[[#Headers],[DAY]]))</f>
        <v>990</v>
      </c>
      <c r="L993" cm="1" vm="3583">
        <f t="array" aca="1" ref="L993" ca="1">IFERROR(INDEX(_xlfn.ANCHORARRAY($C$3),T_CALC[[#This Row],[DAY]]+1,1),NA())</f>
        <v>44145</v>
      </c>
      <c r="M993" cm="1" vm="3217">
        <f t="array" aca="1" ref="M993" ca="1">IFERROR(INDEX(_xlfn.ANCHORARRAY($C$3),T_CALC[[#This Row],[DAY]]+1,3),NA())</f>
        <v>1.347</v>
      </c>
      <c r="N993" cm="1" vm="2080">
        <f t="array" aca="1" ref="N993" ca="1">IFERROR(INDEX(_xlfn.ANCHORARRAY($C$3),T_CALC[[#This Row],[DAY]]+1,4),NA())</f>
        <v>1.3501000000000001</v>
      </c>
      <c r="O993" cm="1" vm="2274">
        <f t="array" aca="1" ref="O993" ca="1">IFERROR(INDEX(_xlfn.ANCHORARRAY($C$3),T_CALC[[#This Row],[DAY]]+1,5),NA())</f>
        <v>1.3447</v>
      </c>
      <c r="P993" cm="1" vm="2240">
        <f t="array" aca="1" ref="P993" ca="1">IFERROR(INDEX(_xlfn.ANCHORARRAY($C$3),T_CALC[[#This Row],[DAY]]+1,6),NA())</f>
        <v>1.3480000000000001</v>
      </c>
      <c r="Q993" cm="1">
        <f t="array" aca="1" ref="Q993" ca="1">IFERROR(INDEX(_xlfn.ANCHORARRAY($C$3),T_CALC[[#This Row],[DAY]]+1,2),NA())</f>
        <v>0</v>
      </c>
    </row>
    <row r="994" spans="3:17">
      <c r="C994" vm="3584">
        <f ca="1"/>
        <v>44146</v>
      </c>
      <c r="D994">
        <f ca="1"/>
        <v>0</v>
      </c>
      <c r="E994" vm="2109">
        <f ca="1"/>
        <v>1.3481000000000001</v>
      </c>
      <c r="F994" vm="2666">
        <f ca="1"/>
        <v>1.3511</v>
      </c>
      <c r="G994" vm="2143">
        <f ca="1"/>
        <v>1.3452999999999999</v>
      </c>
      <c r="H994" vm="2179">
        <f ca="1"/>
        <v>1.349</v>
      </c>
      <c r="K994">
        <f ca="1">IF(ROW(T_CALC[[#This Row],[DAY]])-ROW(T_CALC[[#Headers],[DAY]])&gt;C_N_TRADING_DAYS,"",ROW(T_CALC[[#This Row],[DAY]])-ROW(T_CALC[[#Headers],[DAY]]))</f>
        <v>991</v>
      </c>
      <c r="L994" cm="1" vm="3584">
        <f t="array" aca="1" ref="L994" ca="1">IFERROR(INDEX(_xlfn.ANCHORARRAY($C$3),T_CALC[[#This Row],[DAY]]+1,1),NA())</f>
        <v>44146</v>
      </c>
      <c r="M994" cm="1" vm="2109">
        <f t="array" aca="1" ref="M994" ca="1">IFERROR(INDEX(_xlfn.ANCHORARRAY($C$3),T_CALC[[#This Row],[DAY]]+1,3),NA())</f>
        <v>1.3481000000000001</v>
      </c>
      <c r="N994" cm="1" vm="2666">
        <f t="array" aca="1" ref="N994" ca="1">IFERROR(INDEX(_xlfn.ANCHORARRAY($C$3),T_CALC[[#This Row],[DAY]]+1,4),NA())</f>
        <v>1.3511</v>
      </c>
      <c r="O994" cm="1" vm="2143">
        <f t="array" aca="1" ref="O994" ca="1">IFERROR(INDEX(_xlfn.ANCHORARRAY($C$3),T_CALC[[#This Row],[DAY]]+1,5),NA())</f>
        <v>1.3452999999999999</v>
      </c>
      <c r="P994" cm="1" vm="2179">
        <f t="array" aca="1" ref="P994" ca="1">IFERROR(INDEX(_xlfn.ANCHORARRAY($C$3),T_CALC[[#This Row],[DAY]]+1,6),NA())</f>
        <v>1.349</v>
      </c>
      <c r="Q994" cm="1">
        <f t="array" aca="1" ref="Q994" ca="1">IFERROR(INDEX(_xlfn.ANCHORARRAY($C$3),T_CALC[[#This Row],[DAY]]+1,2),NA())</f>
        <v>0</v>
      </c>
    </row>
    <row r="995" spans="3:17">
      <c r="C995" vm="3585">
        <f ca="1"/>
        <v>44147</v>
      </c>
      <c r="D995">
        <f ca="1"/>
        <v>0</v>
      </c>
      <c r="E995" vm="2954">
        <f ca="1"/>
        <v>1.3491</v>
      </c>
      <c r="F995" vm="2666">
        <f ca="1"/>
        <v>1.3511</v>
      </c>
      <c r="G995" vm="2242">
        <f ca="1"/>
        <v>1.3474999999999999</v>
      </c>
      <c r="H995" vm="3586">
        <f ca="1"/>
        <v>1.3492</v>
      </c>
      <c r="K995">
        <f ca="1">IF(ROW(T_CALC[[#This Row],[DAY]])-ROW(T_CALC[[#Headers],[DAY]])&gt;C_N_TRADING_DAYS,"",ROW(T_CALC[[#This Row],[DAY]])-ROW(T_CALC[[#Headers],[DAY]]))</f>
        <v>992</v>
      </c>
      <c r="L995" cm="1" vm="3585">
        <f t="array" aca="1" ref="L995" ca="1">IFERROR(INDEX(_xlfn.ANCHORARRAY($C$3),T_CALC[[#This Row],[DAY]]+1,1),NA())</f>
        <v>44147</v>
      </c>
      <c r="M995" cm="1" vm="2954">
        <f t="array" aca="1" ref="M995" ca="1">IFERROR(INDEX(_xlfn.ANCHORARRAY($C$3),T_CALC[[#This Row],[DAY]]+1,3),NA())</f>
        <v>1.3491</v>
      </c>
      <c r="N995" cm="1" vm="2666">
        <f t="array" aca="1" ref="N995" ca="1">IFERROR(INDEX(_xlfn.ANCHORARRAY($C$3),T_CALC[[#This Row],[DAY]]+1,4),NA())</f>
        <v>1.3511</v>
      </c>
      <c r="O995" cm="1" vm="2242">
        <f t="array" aca="1" ref="O995" ca="1">IFERROR(INDEX(_xlfn.ANCHORARRAY($C$3),T_CALC[[#This Row],[DAY]]+1,5),NA())</f>
        <v>1.3474999999999999</v>
      </c>
      <c r="P995" cm="1" vm="3586">
        <f t="array" aca="1" ref="P995" ca="1">IFERROR(INDEX(_xlfn.ANCHORARRAY($C$3),T_CALC[[#This Row],[DAY]]+1,6),NA())</f>
        <v>1.3492</v>
      </c>
      <c r="Q995" cm="1">
        <f t="array" aca="1" ref="Q995" ca="1">IFERROR(INDEX(_xlfn.ANCHORARRAY($C$3),T_CALC[[#This Row],[DAY]]+1,2),NA())</f>
        <v>0</v>
      </c>
    </row>
    <row r="996" spans="3:17">
      <c r="C996" vm="3587">
        <f ca="1"/>
        <v>44148</v>
      </c>
      <c r="D996">
        <f ca="1"/>
        <v>0</v>
      </c>
      <c r="E996" vm="2179">
        <f ca="1"/>
        <v>1.349</v>
      </c>
      <c r="F996" vm="2071">
        <f ca="1"/>
        <v>1.3502000000000001</v>
      </c>
      <c r="G996" vm="2104">
        <f ca="1"/>
        <v>1.3469</v>
      </c>
      <c r="H996" vm="2257">
        <f ca="1"/>
        <v>1.3471</v>
      </c>
      <c r="K996">
        <f ca="1">IF(ROW(T_CALC[[#This Row],[DAY]])-ROW(T_CALC[[#Headers],[DAY]])&gt;C_N_TRADING_DAYS,"",ROW(T_CALC[[#This Row],[DAY]])-ROW(T_CALC[[#Headers],[DAY]]))</f>
        <v>993</v>
      </c>
      <c r="L996" cm="1" vm="3587">
        <f t="array" aca="1" ref="L996" ca="1">IFERROR(INDEX(_xlfn.ANCHORARRAY($C$3),T_CALC[[#This Row],[DAY]]+1,1),NA())</f>
        <v>44148</v>
      </c>
      <c r="M996" cm="1" vm="2179">
        <f t="array" aca="1" ref="M996" ca="1">IFERROR(INDEX(_xlfn.ANCHORARRAY($C$3),T_CALC[[#This Row],[DAY]]+1,3),NA())</f>
        <v>1.349</v>
      </c>
      <c r="N996" cm="1" vm="2071">
        <f t="array" aca="1" ref="N996" ca="1">IFERROR(INDEX(_xlfn.ANCHORARRAY($C$3),T_CALC[[#This Row],[DAY]]+1,4),NA())</f>
        <v>1.3502000000000001</v>
      </c>
      <c r="O996" cm="1" vm="2104">
        <f t="array" aca="1" ref="O996" ca="1">IFERROR(INDEX(_xlfn.ANCHORARRAY($C$3),T_CALC[[#This Row],[DAY]]+1,5),NA())</f>
        <v>1.3469</v>
      </c>
      <c r="P996" cm="1" vm="2257">
        <f t="array" aca="1" ref="P996" ca="1">IFERROR(INDEX(_xlfn.ANCHORARRAY($C$3),T_CALC[[#This Row],[DAY]]+1,6),NA())</f>
        <v>1.3471</v>
      </c>
      <c r="Q996" cm="1">
        <f t="array" aca="1" ref="Q996" ca="1">IFERROR(INDEX(_xlfn.ANCHORARRAY($C$3),T_CALC[[#This Row],[DAY]]+1,2),NA())</f>
        <v>0</v>
      </c>
    </row>
    <row r="997" spans="3:17">
      <c r="C997" vm="3588">
        <f ca="1"/>
        <v>44151</v>
      </c>
      <c r="D997">
        <f ca="1"/>
        <v>0</v>
      </c>
      <c r="E997" vm="2104">
        <f ca="1"/>
        <v>1.3469</v>
      </c>
      <c r="F997" vm="2981">
        <f ca="1"/>
        <v>1.3478000000000001</v>
      </c>
      <c r="G997" vm="3216">
        <f ca="1"/>
        <v>1.3440000000000001</v>
      </c>
      <c r="H997" vm="2141">
        <f ca="1"/>
        <v>1.3453999999999999</v>
      </c>
      <c r="K997">
        <f ca="1">IF(ROW(T_CALC[[#This Row],[DAY]])-ROW(T_CALC[[#Headers],[DAY]])&gt;C_N_TRADING_DAYS,"",ROW(T_CALC[[#This Row],[DAY]])-ROW(T_CALC[[#Headers],[DAY]]))</f>
        <v>994</v>
      </c>
      <c r="L997" cm="1" vm="3588">
        <f t="array" aca="1" ref="L997" ca="1">IFERROR(INDEX(_xlfn.ANCHORARRAY($C$3),T_CALC[[#This Row],[DAY]]+1,1),NA())</f>
        <v>44151</v>
      </c>
      <c r="M997" cm="1" vm="2104">
        <f t="array" aca="1" ref="M997" ca="1">IFERROR(INDEX(_xlfn.ANCHORARRAY($C$3),T_CALC[[#This Row],[DAY]]+1,3),NA())</f>
        <v>1.3469</v>
      </c>
      <c r="N997" cm="1" vm="2981">
        <f t="array" aca="1" ref="N997" ca="1">IFERROR(INDEX(_xlfn.ANCHORARRAY($C$3),T_CALC[[#This Row],[DAY]]+1,4),NA())</f>
        <v>1.3478000000000001</v>
      </c>
      <c r="O997" cm="1" vm="3216">
        <f t="array" aca="1" ref="O997" ca="1">IFERROR(INDEX(_xlfn.ANCHORARRAY($C$3),T_CALC[[#This Row],[DAY]]+1,5),NA())</f>
        <v>1.3440000000000001</v>
      </c>
      <c r="P997" cm="1" vm="2141">
        <f t="array" aca="1" ref="P997" ca="1">IFERROR(INDEX(_xlfn.ANCHORARRAY($C$3),T_CALC[[#This Row],[DAY]]+1,6),NA())</f>
        <v>1.3453999999999999</v>
      </c>
      <c r="Q997" cm="1">
        <f t="array" aca="1" ref="Q997" ca="1">IFERROR(INDEX(_xlfn.ANCHORARRAY($C$3),T_CALC[[#This Row],[DAY]]+1,2),NA())</f>
        <v>0</v>
      </c>
    </row>
    <row r="998" spans="3:17">
      <c r="C998" vm="3589">
        <f ca="1"/>
        <v>44152</v>
      </c>
      <c r="D998">
        <f ca="1"/>
        <v>0</v>
      </c>
      <c r="E998" vm="2235">
        <f ca="1"/>
        <v>1.3452</v>
      </c>
      <c r="F998" vm="2248">
        <f ca="1"/>
        <v>1.3456999999999999</v>
      </c>
      <c r="G998" vm="2101">
        <f ca="1"/>
        <v>1.3419000000000001</v>
      </c>
      <c r="H998" vm="2287">
        <f ca="1"/>
        <v>1.3427</v>
      </c>
      <c r="K998">
        <f ca="1">IF(ROW(T_CALC[[#This Row],[DAY]])-ROW(T_CALC[[#Headers],[DAY]])&gt;C_N_TRADING_DAYS,"",ROW(T_CALC[[#This Row],[DAY]])-ROW(T_CALC[[#Headers],[DAY]]))</f>
        <v>995</v>
      </c>
      <c r="L998" cm="1" vm="3589">
        <f t="array" aca="1" ref="L998" ca="1">IFERROR(INDEX(_xlfn.ANCHORARRAY($C$3),T_CALC[[#This Row],[DAY]]+1,1),NA())</f>
        <v>44152</v>
      </c>
      <c r="M998" cm="1" vm="2235">
        <f t="array" aca="1" ref="M998" ca="1">IFERROR(INDEX(_xlfn.ANCHORARRAY($C$3),T_CALC[[#This Row],[DAY]]+1,3),NA())</f>
        <v>1.3452</v>
      </c>
      <c r="N998" cm="1" vm="2248">
        <f t="array" aca="1" ref="N998" ca="1">IFERROR(INDEX(_xlfn.ANCHORARRAY($C$3),T_CALC[[#This Row],[DAY]]+1,4),NA())</f>
        <v>1.3456999999999999</v>
      </c>
      <c r="O998" cm="1" vm="2101">
        <f t="array" aca="1" ref="O998" ca="1">IFERROR(INDEX(_xlfn.ANCHORARRAY($C$3),T_CALC[[#This Row],[DAY]]+1,5),NA())</f>
        <v>1.3419000000000001</v>
      </c>
      <c r="P998" cm="1" vm="2287">
        <f t="array" aca="1" ref="P998" ca="1">IFERROR(INDEX(_xlfn.ANCHORARRAY($C$3),T_CALC[[#This Row],[DAY]]+1,6),NA())</f>
        <v>1.3427</v>
      </c>
      <c r="Q998" cm="1">
        <f t="array" aca="1" ref="Q998" ca="1">IFERROR(INDEX(_xlfn.ANCHORARRAY($C$3),T_CALC[[#This Row],[DAY]]+1,2),NA())</f>
        <v>0</v>
      </c>
    </row>
    <row r="999" spans="3:17">
      <c r="C999" vm="3590">
        <f ca="1"/>
        <v>44153</v>
      </c>
      <c r="D999">
        <f ca="1"/>
        <v>0</v>
      </c>
      <c r="E999" vm="2287">
        <f ca="1"/>
        <v>1.3427</v>
      </c>
      <c r="F999" vm="2243">
        <f ca="1"/>
        <v>1.3434999999999999</v>
      </c>
      <c r="G999" vm="3591">
        <f ca="1"/>
        <v>1.3398000000000001</v>
      </c>
      <c r="H999" vm="2101">
        <f ca="1"/>
        <v>1.3419000000000001</v>
      </c>
      <c r="K999">
        <f ca="1">IF(ROW(T_CALC[[#This Row],[DAY]])-ROW(T_CALC[[#Headers],[DAY]])&gt;C_N_TRADING_DAYS,"",ROW(T_CALC[[#This Row],[DAY]])-ROW(T_CALC[[#Headers],[DAY]]))</f>
        <v>996</v>
      </c>
      <c r="L999" cm="1" vm="3590">
        <f t="array" aca="1" ref="L999" ca="1">IFERROR(INDEX(_xlfn.ANCHORARRAY($C$3),T_CALC[[#This Row],[DAY]]+1,1),NA())</f>
        <v>44153</v>
      </c>
      <c r="M999" cm="1" vm="2287">
        <f t="array" aca="1" ref="M999" ca="1">IFERROR(INDEX(_xlfn.ANCHORARRAY($C$3),T_CALC[[#This Row],[DAY]]+1,3),NA())</f>
        <v>1.3427</v>
      </c>
      <c r="N999" cm="1" vm="2243">
        <f t="array" aca="1" ref="N999" ca="1">IFERROR(INDEX(_xlfn.ANCHORARRAY($C$3),T_CALC[[#This Row],[DAY]]+1,4),NA())</f>
        <v>1.3434999999999999</v>
      </c>
      <c r="O999" cm="1" vm="3591">
        <f t="array" aca="1" ref="O999" ca="1">IFERROR(INDEX(_xlfn.ANCHORARRAY($C$3),T_CALC[[#This Row],[DAY]]+1,5),NA())</f>
        <v>1.3398000000000001</v>
      </c>
      <c r="P999" cm="1" vm="2101">
        <f t="array" aca="1" ref="P999" ca="1">IFERROR(INDEX(_xlfn.ANCHORARRAY($C$3),T_CALC[[#This Row],[DAY]]+1,6),NA())</f>
        <v>1.3419000000000001</v>
      </c>
      <c r="Q999" cm="1">
        <f t="array" aca="1" ref="Q999" ca="1">IFERROR(INDEX(_xlfn.ANCHORARRAY($C$3),T_CALC[[#This Row],[DAY]]+1,2),NA())</f>
        <v>0</v>
      </c>
    </row>
    <row r="1000" spans="3:17">
      <c r="C1000" vm="3592">
        <f ca="1"/>
        <v>44154</v>
      </c>
      <c r="D1000">
        <f ca="1"/>
        <v>0</v>
      </c>
      <c r="E1000" vm="2122">
        <f ca="1"/>
        <v>1.3420000000000001</v>
      </c>
      <c r="F1000" vm="2253">
        <f ca="1"/>
        <v>1.3472</v>
      </c>
      <c r="G1000" vm="3593">
        <f ca="1"/>
        <v>1.3418000000000001</v>
      </c>
      <c r="H1000" vm="2234">
        <f ca="1"/>
        <v>1.3445</v>
      </c>
      <c r="K1000">
        <f ca="1">IF(ROW(T_CALC[[#This Row],[DAY]])-ROW(T_CALC[[#Headers],[DAY]])&gt;C_N_TRADING_DAYS,"",ROW(T_CALC[[#This Row],[DAY]])-ROW(T_CALC[[#Headers],[DAY]]))</f>
        <v>997</v>
      </c>
      <c r="L1000" cm="1" vm="3592">
        <f t="array" aca="1" ref="L1000" ca="1">IFERROR(INDEX(_xlfn.ANCHORARRAY($C$3),T_CALC[[#This Row],[DAY]]+1,1),NA())</f>
        <v>44154</v>
      </c>
      <c r="M1000" cm="1" vm="2122">
        <f t="array" aca="1" ref="M1000" ca="1">IFERROR(INDEX(_xlfn.ANCHORARRAY($C$3),T_CALC[[#This Row],[DAY]]+1,3),NA())</f>
        <v>1.3420000000000001</v>
      </c>
      <c r="N1000" cm="1" vm="2253">
        <f t="array" aca="1" ref="N1000" ca="1">IFERROR(INDEX(_xlfn.ANCHORARRAY($C$3),T_CALC[[#This Row],[DAY]]+1,4),NA())</f>
        <v>1.3472</v>
      </c>
      <c r="O1000" cm="1" vm="3593">
        <f t="array" aca="1" ref="O1000" ca="1">IFERROR(INDEX(_xlfn.ANCHORARRAY($C$3),T_CALC[[#This Row],[DAY]]+1,5),NA())</f>
        <v>1.3418000000000001</v>
      </c>
      <c r="P1000" cm="1" vm="2234">
        <f t="array" aca="1" ref="P1000" ca="1">IFERROR(INDEX(_xlfn.ANCHORARRAY($C$3),T_CALC[[#This Row],[DAY]]+1,6),NA())</f>
        <v>1.3445</v>
      </c>
      <c r="Q1000" cm="1">
        <f t="array" aca="1" ref="Q1000" ca="1">IFERROR(INDEX(_xlfn.ANCHORARRAY($C$3),T_CALC[[#This Row],[DAY]]+1,2),NA())</f>
        <v>0</v>
      </c>
    </row>
    <row r="1001" spans="3:17">
      <c r="C1001" vm="3594">
        <f ca="1"/>
        <v>44155</v>
      </c>
      <c r="D1001">
        <f ca="1"/>
        <v>0</v>
      </c>
      <c r="E1001" vm="2234">
        <f ca="1"/>
        <v>1.3445</v>
      </c>
      <c r="F1001" vm="2239">
        <f ca="1"/>
        <v>1.3454999999999999</v>
      </c>
      <c r="G1001" vm="2627">
        <f ca="1"/>
        <v>1.3423</v>
      </c>
      <c r="H1001" vm="2284">
        <f ca="1"/>
        <v>1.3431</v>
      </c>
      <c r="K1001">
        <f ca="1">IF(ROW(T_CALC[[#This Row],[DAY]])-ROW(T_CALC[[#Headers],[DAY]])&gt;C_N_TRADING_DAYS,"",ROW(T_CALC[[#This Row],[DAY]])-ROW(T_CALC[[#Headers],[DAY]]))</f>
        <v>998</v>
      </c>
      <c r="L1001" cm="1" vm="3594">
        <f t="array" aca="1" ref="L1001" ca="1">IFERROR(INDEX(_xlfn.ANCHORARRAY($C$3),T_CALC[[#This Row],[DAY]]+1,1),NA())</f>
        <v>44155</v>
      </c>
      <c r="M1001" cm="1" vm="2234">
        <f t="array" aca="1" ref="M1001" ca="1">IFERROR(INDEX(_xlfn.ANCHORARRAY($C$3),T_CALC[[#This Row],[DAY]]+1,3),NA())</f>
        <v>1.3445</v>
      </c>
      <c r="N1001" cm="1" vm="2239">
        <f t="array" aca="1" ref="N1001" ca="1">IFERROR(INDEX(_xlfn.ANCHORARRAY($C$3),T_CALC[[#This Row],[DAY]]+1,4),NA())</f>
        <v>1.3454999999999999</v>
      </c>
      <c r="O1001" cm="1" vm="2627">
        <f t="array" aca="1" ref="O1001" ca="1">IFERROR(INDEX(_xlfn.ANCHORARRAY($C$3),T_CALC[[#This Row],[DAY]]+1,5),NA())</f>
        <v>1.3423</v>
      </c>
      <c r="P1001" cm="1" vm="2284">
        <f t="array" aca="1" ref="P1001" ca="1">IFERROR(INDEX(_xlfn.ANCHORARRAY($C$3),T_CALC[[#This Row],[DAY]]+1,6),NA())</f>
        <v>1.3431</v>
      </c>
      <c r="Q1001" cm="1">
        <f t="array" aca="1" ref="Q1001" ca="1">IFERROR(INDEX(_xlfn.ANCHORARRAY($C$3),T_CALC[[#This Row],[DAY]]+1,2),NA())</f>
        <v>0</v>
      </c>
    </row>
    <row r="1002" spans="3:17">
      <c r="C1002" vm="3595">
        <f ca="1"/>
        <v>44158</v>
      </c>
      <c r="D1002">
        <f ca="1"/>
        <v>0</v>
      </c>
      <c r="E1002" vm="2246">
        <f ca="1"/>
        <v>1.3435999999999999</v>
      </c>
      <c r="F1002" vm="2108">
        <f ca="1"/>
        <v>1.3465</v>
      </c>
      <c r="G1002" vm="2597">
        <f ca="1"/>
        <v>1.34</v>
      </c>
      <c r="H1002" vm="2115">
        <f ca="1"/>
        <v>1.3433999999999999</v>
      </c>
      <c r="K1002">
        <f ca="1">IF(ROW(T_CALC[[#This Row],[DAY]])-ROW(T_CALC[[#Headers],[DAY]])&gt;C_N_TRADING_DAYS,"",ROW(T_CALC[[#This Row],[DAY]])-ROW(T_CALC[[#Headers],[DAY]]))</f>
        <v>999</v>
      </c>
      <c r="L1002" cm="1" vm="3595">
        <f t="array" aca="1" ref="L1002" ca="1">IFERROR(INDEX(_xlfn.ANCHORARRAY($C$3),T_CALC[[#This Row],[DAY]]+1,1),NA())</f>
        <v>44158</v>
      </c>
      <c r="M1002" cm="1" vm="2246">
        <f t="array" aca="1" ref="M1002" ca="1">IFERROR(INDEX(_xlfn.ANCHORARRAY($C$3),T_CALC[[#This Row],[DAY]]+1,3),NA())</f>
        <v>1.3435999999999999</v>
      </c>
      <c r="N1002" cm="1" vm="2108">
        <f t="array" aca="1" ref="N1002" ca="1">IFERROR(INDEX(_xlfn.ANCHORARRAY($C$3),T_CALC[[#This Row],[DAY]]+1,4),NA())</f>
        <v>1.3465</v>
      </c>
      <c r="O1002" cm="1" vm="2597">
        <f t="array" aca="1" ref="O1002" ca="1">IFERROR(INDEX(_xlfn.ANCHORARRAY($C$3),T_CALC[[#This Row],[DAY]]+1,5),NA())</f>
        <v>1.34</v>
      </c>
      <c r="P1002" cm="1" vm="2115">
        <f t="array" aca="1" ref="P1002" ca="1">IFERROR(INDEX(_xlfn.ANCHORARRAY($C$3),T_CALC[[#This Row],[DAY]]+1,6),NA())</f>
        <v>1.3433999999999999</v>
      </c>
      <c r="Q1002" cm="1">
        <f t="array" aca="1" ref="Q1002" ca="1">IFERROR(INDEX(_xlfn.ANCHORARRAY($C$3),T_CALC[[#This Row],[DAY]]+1,2),NA())</f>
        <v>0</v>
      </c>
    </row>
    <row r="1003" spans="3:17">
      <c r="C1003" vm="3596">
        <f ca="1"/>
        <v>44159</v>
      </c>
      <c r="D1003">
        <f ca="1"/>
        <v>0</v>
      </c>
      <c r="E1003" vm="2246">
        <f ca="1"/>
        <v>1.3435999999999999</v>
      </c>
      <c r="F1003" vm="2125">
        <f ca="1"/>
        <v>1.3451</v>
      </c>
      <c r="G1003" vm="3597">
        <f ca="1"/>
        <v>1.3411999999999999</v>
      </c>
      <c r="H1003" vm="2122">
        <f ca="1"/>
        <v>1.3420000000000001</v>
      </c>
      <c r="K1003">
        <f ca="1">IF(ROW(T_CALC[[#This Row],[DAY]])-ROW(T_CALC[[#Headers],[DAY]])&gt;C_N_TRADING_DAYS,"",ROW(T_CALC[[#This Row],[DAY]])-ROW(T_CALC[[#Headers],[DAY]]))</f>
        <v>1000</v>
      </c>
      <c r="L1003" cm="1" vm="3596">
        <f t="array" aca="1" ref="L1003" ca="1">IFERROR(INDEX(_xlfn.ANCHORARRAY($C$3),T_CALC[[#This Row],[DAY]]+1,1),NA())</f>
        <v>44159</v>
      </c>
      <c r="M1003" cm="1" vm="2246">
        <f t="array" aca="1" ref="M1003" ca="1">IFERROR(INDEX(_xlfn.ANCHORARRAY($C$3),T_CALC[[#This Row],[DAY]]+1,3),NA())</f>
        <v>1.3435999999999999</v>
      </c>
      <c r="N1003" cm="1" vm="2125">
        <f t="array" aca="1" ref="N1003" ca="1">IFERROR(INDEX(_xlfn.ANCHORARRAY($C$3),T_CALC[[#This Row],[DAY]]+1,4),NA())</f>
        <v>1.3451</v>
      </c>
      <c r="O1003" cm="1" vm="3597">
        <f t="array" aca="1" ref="O1003" ca="1">IFERROR(INDEX(_xlfn.ANCHORARRAY($C$3),T_CALC[[#This Row],[DAY]]+1,5),NA())</f>
        <v>1.3411999999999999</v>
      </c>
      <c r="P1003" cm="1" vm="2122">
        <f t="array" aca="1" ref="P1003" ca="1">IFERROR(INDEX(_xlfn.ANCHORARRAY($C$3),T_CALC[[#This Row],[DAY]]+1,6),NA())</f>
        <v>1.3420000000000001</v>
      </c>
      <c r="Q1003" cm="1">
        <f t="array" aca="1" ref="Q1003" ca="1">IFERROR(INDEX(_xlfn.ANCHORARRAY($C$3),T_CALC[[#This Row],[DAY]]+1,2),NA())</f>
        <v>0</v>
      </c>
    </row>
    <row r="1004" spans="3:17">
      <c r="C1004" vm="3598">
        <f ca="1"/>
        <v>44160</v>
      </c>
      <c r="D1004">
        <f ca="1"/>
        <v>0</v>
      </c>
      <c r="E1004" vm="2101">
        <f ca="1"/>
        <v>1.3419000000000001</v>
      </c>
      <c r="F1004" vm="2243">
        <f ca="1"/>
        <v>1.3434999999999999</v>
      </c>
      <c r="G1004" vm="2619">
        <f ca="1"/>
        <v>1.339</v>
      </c>
      <c r="H1004" vm="2294">
        <f ca="1"/>
        <v>1.3396999999999999</v>
      </c>
      <c r="K1004">
        <f ca="1">IF(ROW(T_CALC[[#This Row],[DAY]])-ROW(T_CALC[[#Headers],[DAY]])&gt;C_N_TRADING_DAYS,"",ROW(T_CALC[[#This Row],[DAY]])-ROW(T_CALC[[#Headers],[DAY]]))</f>
        <v>1001</v>
      </c>
      <c r="L1004" cm="1" vm="3598">
        <f t="array" aca="1" ref="L1004" ca="1">IFERROR(INDEX(_xlfn.ANCHORARRAY($C$3),T_CALC[[#This Row],[DAY]]+1,1),NA())</f>
        <v>44160</v>
      </c>
      <c r="M1004" cm="1" vm="2101">
        <f t="array" aca="1" ref="M1004" ca="1">IFERROR(INDEX(_xlfn.ANCHORARRAY($C$3),T_CALC[[#This Row],[DAY]]+1,3),NA())</f>
        <v>1.3419000000000001</v>
      </c>
      <c r="N1004" cm="1" vm="2243">
        <f t="array" aca="1" ref="N1004" ca="1">IFERROR(INDEX(_xlfn.ANCHORARRAY($C$3),T_CALC[[#This Row],[DAY]]+1,4),NA())</f>
        <v>1.3434999999999999</v>
      </c>
      <c r="O1004" cm="1" vm="2619">
        <f t="array" aca="1" ref="O1004" ca="1">IFERROR(INDEX(_xlfn.ANCHORARRAY($C$3),T_CALC[[#This Row],[DAY]]+1,5),NA())</f>
        <v>1.339</v>
      </c>
      <c r="P1004" cm="1" vm="2294">
        <f t="array" aca="1" ref="P1004" ca="1">IFERROR(INDEX(_xlfn.ANCHORARRAY($C$3),T_CALC[[#This Row],[DAY]]+1,6),NA())</f>
        <v>1.3396999999999999</v>
      </c>
      <c r="Q1004" cm="1">
        <f t="array" aca="1" ref="Q1004" ca="1">IFERROR(INDEX(_xlfn.ANCHORARRAY($C$3),T_CALC[[#This Row],[DAY]]+1,2),NA())</f>
        <v>0</v>
      </c>
    </row>
    <row r="1005" spans="3:17">
      <c r="C1005" vm="3599">
        <f ca="1"/>
        <v>44161</v>
      </c>
      <c r="D1005">
        <f ca="1"/>
        <v>0</v>
      </c>
      <c r="E1005" vm="2658">
        <f ca="1"/>
        <v>1.3393999999999999</v>
      </c>
      <c r="F1005" vm="2613">
        <f ca="1"/>
        <v>1.3402000000000001</v>
      </c>
      <c r="G1005" vm="2622">
        <f ca="1"/>
        <v>1.3379000000000001</v>
      </c>
      <c r="H1005" vm="2604">
        <f ca="1"/>
        <v>1.3385</v>
      </c>
      <c r="K1005">
        <f ca="1">IF(ROW(T_CALC[[#This Row],[DAY]])-ROW(T_CALC[[#Headers],[DAY]])&gt;C_N_TRADING_DAYS,"",ROW(T_CALC[[#This Row],[DAY]])-ROW(T_CALC[[#Headers],[DAY]]))</f>
        <v>1002</v>
      </c>
      <c r="L1005" cm="1" vm="3599">
        <f t="array" aca="1" ref="L1005" ca="1">IFERROR(INDEX(_xlfn.ANCHORARRAY($C$3),T_CALC[[#This Row],[DAY]]+1,1),NA())</f>
        <v>44161</v>
      </c>
      <c r="M1005" cm="1" vm="2658">
        <f t="array" aca="1" ref="M1005" ca="1">IFERROR(INDEX(_xlfn.ANCHORARRAY($C$3),T_CALC[[#This Row],[DAY]]+1,3),NA())</f>
        <v>1.3393999999999999</v>
      </c>
      <c r="N1005" cm="1" vm="2613">
        <f t="array" aca="1" ref="N1005" ca="1">IFERROR(INDEX(_xlfn.ANCHORARRAY($C$3),T_CALC[[#This Row],[DAY]]+1,4),NA())</f>
        <v>1.3402000000000001</v>
      </c>
      <c r="O1005" cm="1" vm="2622">
        <f t="array" aca="1" ref="O1005" ca="1">IFERROR(INDEX(_xlfn.ANCHORARRAY($C$3),T_CALC[[#This Row],[DAY]]+1,5),NA())</f>
        <v>1.3379000000000001</v>
      </c>
      <c r="P1005" cm="1" vm="2604">
        <f t="array" aca="1" ref="P1005" ca="1">IFERROR(INDEX(_xlfn.ANCHORARRAY($C$3),T_CALC[[#This Row],[DAY]]+1,6),NA())</f>
        <v>1.3385</v>
      </c>
      <c r="Q1005" cm="1">
        <f t="array" aca="1" ref="Q1005" ca="1">IFERROR(INDEX(_xlfn.ANCHORARRAY($C$3),T_CALC[[#This Row],[DAY]]+1,2),NA())</f>
        <v>0</v>
      </c>
    </row>
    <row r="1006" spans="3:17">
      <c r="C1006" vm="3600">
        <f ca="1"/>
        <v>44162</v>
      </c>
      <c r="D1006">
        <f ca="1"/>
        <v>0</v>
      </c>
      <c r="E1006" vm="2604">
        <f ca="1"/>
        <v>1.3385</v>
      </c>
      <c r="F1006" vm="2621">
        <f ca="1"/>
        <v>1.3389</v>
      </c>
      <c r="G1006" vm="2300">
        <f ca="1"/>
        <v>1.3372999999999999</v>
      </c>
      <c r="H1006" vm="3601">
        <f ca="1"/>
        <v>1.3384</v>
      </c>
      <c r="K1006">
        <f ca="1">IF(ROW(T_CALC[[#This Row],[DAY]])-ROW(T_CALC[[#Headers],[DAY]])&gt;C_N_TRADING_DAYS,"",ROW(T_CALC[[#This Row],[DAY]])-ROW(T_CALC[[#Headers],[DAY]]))</f>
        <v>1003</v>
      </c>
      <c r="L1006" cm="1" vm="3600">
        <f t="array" aca="1" ref="L1006" ca="1">IFERROR(INDEX(_xlfn.ANCHORARRAY($C$3),T_CALC[[#This Row],[DAY]]+1,1),NA())</f>
        <v>44162</v>
      </c>
      <c r="M1006" cm="1" vm="2604">
        <f t="array" aca="1" ref="M1006" ca="1">IFERROR(INDEX(_xlfn.ANCHORARRAY($C$3),T_CALC[[#This Row],[DAY]]+1,3),NA())</f>
        <v>1.3385</v>
      </c>
      <c r="N1006" cm="1" vm="2621">
        <f t="array" aca="1" ref="N1006" ca="1">IFERROR(INDEX(_xlfn.ANCHORARRAY($C$3),T_CALC[[#This Row],[DAY]]+1,4),NA())</f>
        <v>1.3389</v>
      </c>
      <c r="O1006" cm="1" vm="2300">
        <f t="array" aca="1" ref="O1006" ca="1">IFERROR(INDEX(_xlfn.ANCHORARRAY($C$3),T_CALC[[#This Row],[DAY]]+1,5),NA())</f>
        <v>1.3372999999999999</v>
      </c>
      <c r="P1006" cm="1" vm="3601">
        <f t="array" aca="1" ref="P1006" ca="1">IFERROR(INDEX(_xlfn.ANCHORARRAY($C$3),T_CALC[[#This Row],[DAY]]+1,6),NA())</f>
        <v>1.3384</v>
      </c>
      <c r="Q1006" cm="1">
        <f t="array" aca="1" ref="Q1006" ca="1">IFERROR(INDEX(_xlfn.ANCHORARRAY($C$3),T_CALC[[#This Row],[DAY]]+1,2),NA())</f>
        <v>0</v>
      </c>
    </row>
    <row r="1007" spans="3:17">
      <c r="C1007" vm="3602">
        <f ca="1"/>
        <v>44165</v>
      </c>
      <c r="D1007">
        <f ca="1"/>
        <v>0</v>
      </c>
      <c r="E1007" vm="3603">
        <f ca="1"/>
        <v>1.3386</v>
      </c>
      <c r="F1007" vm="2596">
        <f ca="1"/>
        <v>1.3415999999999999</v>
      </c>
      <c r="G1007" vm="2324">
        <f ca="1"/>
        <v>1.3367</v>
      </c>
      <c r="H1007" vm="2618">
        <f ca="1"/>
        <v>1.3413999999999999</v>
      </c>
      <c r="K1007">
        <f ca="1">IF(ROW(T_CALC[[#This Row],[DAY]])-ROW(T_CALC[[#Headers],[DAY]])&gt;C_N_TRADING_DAYS,"",ROW(T_CALC[[#This Row],[DAY]])-ROW(T_CALC[[#Headers],[DAY]]))</f>
        <v>1004</v>
      </c>
      <c r="L1007" cm="1" vm="3602">
        <f t="array" aca="1" ref="L1007" ca="1">IFERROR(INDEX(_xlfn.ANCHORARRAY($C$3),T_CALC[[#This Row],[DAY]]+1,1),NA())</f>
        <v>44165</v>
      </c>
      <c r="M1007" cm="1" vm="3603">
        <f t="array" aca="1" ref="M1007" ca="1">IFERROR(INDEX(_xlfn.ANCHORARRAY($C$3),T_CALC[[#This Row],[DAY]]+1,3),NA())</f>
        <v>1.3386</v>
      </c>
      <c r="N1007" cm="1" vm="2596">
        <f t="array" aca="1" ref="N1007" ca="1">IFERROR(INDEX(_xlfn.ANCHORARRAY($C$3),T_CALC[[#This Row],[DAY]]+1,4),NA())</f>
        <v>1.3415999999999999</v>
      </c>
      <c r="O1007" cm="1" vm="2324">
        <f t="array" aca="1" ref="O1007" ca="1">IFERROR(INDEX(_xlfn.ANCHORARRAY($C$3),T_CALC[[#This Row],[DAY]]+1,5),NA())</f>
        <v>1.3367</v>
      </c>
      <c r="P1007" cm="1" vm="2618">
        <f t="array" aca="1" ref="P1007" ca="1">IFERROR(INDEX(_xlfn.ANCHORARRAY($C$3),T_CALC[[#This Row],[DAY]]+1,6),NA())</f>
        <v>1.3413999999999999</v>
      </c>
      <c r="Q1007" cm="1">
        <f t="array" aca="1" ref="Q1007" ca="1">IFERROR(INDEX(_xlfn.ANCHORARRAY($C$3),T_CALC[[#This Row],[DAY]]+1,2),NA())</f>
        <v>0</v>
      </c>
    </row>
    <row r="1008" spans="3:17">
      <c r="C1008" vm="3604">
        <f ca="1"/>
        <v>44166</v>
      </c>
      <c r="D1008">
        <f ca="1"/>
        <v>0</v>
      </c>
      <c r="E1008" vm="2251">
        <f ca="1"/>
        <v>1.3414999999999999</v>
      </c>
      <c r="F1008" vm="2596">
        <f ca="1"/>
        <v>1.3415999999999999</v>
      </c>
      <c r="G1008" vm="2329">
        <f ca="1"/>
        <v>1.3369</v>
      </c>
      <c r="H1008" vm="2650">
        <f ca="1"/>
        <v>1.3371</v>
      </c>
      <c r="K1008">
        <f ca="1">IF(ROW(T_CALC[[#This Row],[DAY]])-ROW(T_CALC[[#Headers],[DAY]])&gt;C_N_TRADING_DAYS,"",ROW(T_CALC[[#This Row],[DAY]])-ROW(T_CALC[[#Headers],[DAY]]))</f>
        <v>1005</v>
      </c>
      <c r="L1008" cm="1" vm="3604">
        <f t="array" aca="1" ref="L1008" ca="1">IFERROR(INDEX(_xlfn.ANCHORARRAY($C$3),T_CALC[[#This Row],[DAY]]+1,1),NA())</f>
        <v>44166</v>
      </c>
      <c r="M1008" cm="1" vm="2251">
        <f t="array" aca="1" ref="M1008" ca="1">IFERROR(INDEX(_xlfn.ANCHORARRAY($C$3),T_CALC[[#This Row],[DAY]]+1,3),NA())</f>
        <v>1.3414999999999999</v>
      </c>
      <c r="N1008" cm="1" vm="2596">
        <f t="array" aca="1" ref="N1008" ca="1">IFERROR(INDEX(_xlfn.ANCHORARRAY($C$3),T_CALC[[#This Row],[DAY]]+1,4),NA())</f>
        <v>1.3415999999999999</v>
      </c>
      <c r="O1008" cm="1" vm="2329">
        <f t="array" aca="1" ref="O1008" ca="1">IFERROR(INDEX(_xlfn.ANCHORARRAY($C$3),T_CALC[[#This Row],[DAY]]+1,5),NA())</f>
        <v>1.3369</v>
      </c>
      <c r="P1008" cm="1" vm="2650">
        <f t="array" aca="1" ref="P1008" ca="1">IFERROR(INDEX(_xlfn.ANCHORARRAY($C$3),T_CALC[[#This Row],[DAY]]+1,6),NA())</f>
        <v>1.3371</v>
      </c>
      <c r="Q1008" cm="1">
        <f t="array" aca="1" ref="Q1008" ca="1">IFERROR(INDEX(_xlfn.ANCHORARRAY($C$3),T_CALC[[#This Row],[DAY]]+1,2),NA())</f>
        <v>0</v>
      </c>
    </row>
    <row r="1009" spans="3:17">
      <c r="C1009" vm="3605">
        <f ca="1"/>
        <v>44167</v>
      </c>
      <c r="D1009">
        <f ca="1"/>
        <v>0</v>
      </c>
      <c r="E1009" vm="2602">
        <f ca="1"/>
        <v>1.3371999999999999</v>
      </c>
      <c r="F1009" vm="3593">
        <f ca="1"/>
        <v>1.3418000000000001</v>
      </c>
      <c r="G1009" vm="2590">
        <f ca="1"/>
        <v>1.3359000000000001</v>
      </c>
      <c r="H1009" vm="2300">
        <f ca="1"/>
        <v>1.3372999999999999</v>
      </c>
      <c r="K1009">
        <f ca="1">IF(ROW(T_CALC[[#This Row],[DAY]])-ROW(T_CALC[[#Headers],[DAY]])&gt;C_N_TRADING_DAYS,"",ROW(T_CALC[[#This Row],[DAY]])-ROW(T_CALC[[#Headers],[DAY]]))</f>
        <v>1006</v>
      </c>
      <c r="L1009" cm="1" vm="3605">
        <f t="array" aca="1" ref="L1009" ca="1">IFERROR(INDEX(_xlfn.ANCHORARRAY($C$3),T_CALC[[#This Row],[DAY]]+1,1),NA())</f>
        <v>44167</v>
      </c>
      <c r="M1009" cm="1" vm="2602">
        <f t="array" aca="1" ref="M1009" ca="1">IFERROR(INDEX(_xlfn.ANCHORARRAY($C$3),T_CALC[[#This Row],[DAY]]+1,3),NA())</f>
        <v>1.3371999999999999</v>
      </c>
      <c r="N1009" cm="1" vm="3593">
        <f t="array" aca="1" ref="N1009" ca="1">IFERROR(INDEX(_xlfn.ANCHORARRAY($C$3),T_CALC[[#This Row],[DAY]]+1,4),NA())</f>
        <v>1.3418000000000001</v>
      </c>
      <c r="O1009" cm="1" vm="2590">
        <f t="array" aca="1" ref="O1009" ca="1">IFERROR(INDEX(_xlfn.ANCHORARRAY($C$3),T_CALC[[#This Row],[DAY]]+1,5),NA())</f>
        <v>1.3359000000000001</v>
      </c>
      <c r="P1009" cm="1" vm="2300">
        <f t="array" aca="1" ref="P1009" ca="1">IFERROR(INDEX(_xlfn.ANCHORARRAY($C$3),T_CALC[[#This Row],[DAY]]+1,6),NA())</f>
        <v>1.3372999999999999</v>
      </c>
      <c r="Q1009" cm="1">
        <f t="array" aca="1" ref="Q1009" ca="1">IFERROR(INDEX(_xlfn.ANCHORARRAY($C$3),T_CALC[[#This Row],[DAY]]+1,2),NA())</f>
        <v>0</v>
      </c>
    </row>
    <row r="1010" spans="3:17">
      <c r="C1010" vm="3606">
        <f ca="1"/>
        <v>44168</v>
      </c>
      <c r="D1010">
        <f ca="1"/>
        <v>0</v>
      </c>
      <c r="E1010" vm="2650">
        <f ca="1"/>
        <v>1.3371</v>
      </c>
      <c r="F1010" vm="2619">
        <f ca="1"/>
        <v>1.339</v>
      </c>
      <c r="G1010" vm="3607">
        <f ca="1"/>
        <v>1.3319000000000001</v>
      </c>
      <c r="H1010" vm="2659">
        <f ca="1"/>
        <v>1.3338000000000001</v>
      </c>
      <c r="K1010">
        <f ca="1">IF(ROW(T_CALC[[#This Row],[DAY]])-ROW(T_CALC[[#Headers],[DAY]])&gt;C_N_TRADING_DAYS,"",ROW(T_CALC[[#This Row],[DAY]])-ROW(T_CALC[[#Headers],[DAY]]))</f>
        <v>1007</v>
      </c>
      <c r="L1010" cm="1" vm="3606">
        <f t="array" aca="1" ref="L1010" ca="1">IFERROR(INDEX(_xlfn.ANCHORARRAY($C$3),T_CALC[[#This Row],[DAY]]+1,1),NA())</f>
        <v>44168</v>
      </c>
      <c r="M1010" cm="1" vm="2650">
        <f t="array" aca="1" ref="M1010" ca="1">IFERROR(INDEX(_xlfn.ANCHORARRAY($C$3),T_CALC[[#This Row],[DAY]]+1,3),NA())</f>
        <v>1.3371</v>
      </c>
      <c r="N1010" cm="1" vm="2619">
        <f t="array" aca="1" ref="N1010" ca="1">IFERROR(INDEX(_xlfn.ANCHORARRAY($C$3),T_CALC[[#This Row],[DAY]]+1,4),NA())</f>
        <v>1.339</v>
      </c>
      <c r="O1010" cm="1" vm="3607">
        <f t="array" aca="1" ref="O1010" ca="1">IFERROR(INDEX(_xlfn.ANCHORARRAY($C$3),T_CALC[[#This Row],[DAY]]+1,5),NA())</f>
        <v>1.3319000000000001</v>
      </c>
      <c r="P1010" cm="1" vm="2659">
        <f t="array" aca="1" ref="P1010" ca="1">IFERROR(INDEX(_xlfn.ANCHORARRAY($C$3),T_CALC[[#This Row],[DAY]]+1,6),NA())</f>
        <v>1.3338000000000001</v>
      </c>
      <c r="Q1010" cm="1">
        <f t="array" aca="1" ref="Q1010" ca="1">IFERROR(INDEX(_xlfn.ANCHORARRAY($C$3),T_CALC[[#This Row],[DAY]]+1,2),NA())</f>
        <v>0</v>
      </c>
    </row>
    <row r="1011" spans="3:17">
      <c r="C1011" vm="3608">
        <f ca="1"/>
        <v>44169</v>
      </c>
      <c r="D1011">
        <f ca="1"/>
        <v>0</v>
      </c>
      <c r="E1011" vm="2659">
        <f ca="1"/>
        <v>1.3338000000000001</v>
      </c>
      <c r="F1011" vm="2586">
        <f ca="1"/>
        <v>1.3361000000000001</v>
      </c>
      <c r="G1011" vm="2307">
        <f ca="1"/>
        <v>1.3309</v>
      </c>
      <c r="H1011" vm="3609">
        <f ca="1"/>
        <v>1.3351999999999999</v>
      </c>
      <c r="K1011">
        <f ca="1">IF(ROW(T_CALC[[#This Row],[DAY]])-ROW(T_CALC[[#Headers],[DAY]])&gt;C_N_TRADING_DAYS,"",ROW(T_CALC[[#This Row],[DAY]])-ROW(T_CALC[[#Headers],[DAY]]))</f>
        <v>1008</v>
      </c>
      <c r="L1011" cm="1" vm="3608">
        <f t="array" aca="1" ref="L1011" ca="1">IFERROR(INDEX(_xlfn.ANCHORARRAY($C$3),T_CALC[[#This Row],[DAY]]+1,1),NA())</f>
        <v>44169</v>
      </c>
      <c r="M1011" cm="1" vm="2659">
        <f t="array" aca="1" ref="M1011" ca="1">IFERROR(INDEX(_xlfn.ANCHORARRAY($C$3),T_CALC[[#This Row],[DAY]]+1,3),NA())</f>
        <v>1.3338000000000001</v>
      </c>
      <c r="N1011" cm="1" vm="2586">
        <f t="array" aca="1" ref="N1011" ca="1">IFERROR(INDEX(_xlfn.ANCHORARRAY($C$3),T_CALC[[#This Row],[DAY]]+1,4),NA())</f>
        <v>1.3361000000000001</v>
      </c>
      <c r="O1011" cm="1" vm="2307">
        <f t="array" aca="1" ref="O1011" ca="1">IFERROR(INDEX(_xlfn.ANCHORARRAY($C$3),T_CALC[[#This Row],[DAY]]+1,5),NA())</f>
        <v>1.3309</v>
      </c>
      <c r="P1011" cm="1" vm="3609">
        <f t="array" aca="1" ref="P1011" ca="1">IFERROR(INDEX(_xlfn.ANCHORARRAY($C$3),T_CALC[[#This Row],[DAY]]+1,6),NA())</f>
        <v>1.3351999999999999</v>
      </c>
      <c r="Q1011" cm="1">
        <f t="array" aca="1" ref="Q1011" ca="1">IFERROR(INDEX(_xlfn.ANCHORARRAY($C$3),T_CALC[[#This Row],[DAY]]+1,2),NA())</f>
        <v>0</v>
      </c>
    </row>
    <row r="1012" spans="3:17">
      <c r="C1012" vm="3610">
        <f ca="1"/>
        <v>44172</v>
      </c>
      <c r="D1012">
        <f ca="1"/>
        <v>0</v>
      </c>
      <c r="E1012" vm="3609">
        <f ca="1"/>
        <v>1.3351999999999999</v>
      </c>
      <c r="F1012" vm="2096">
        <f ca="1"/>
        <v>1.3399000000000001</v>
      </c>
      <c r="G1012" vm="2646">
        <f ca="1"/>
        <v>1.3326</v>
      </c>
      <c r="H1012" vm="2584">
        <f ca="1"/>
        <v>1.3362000000000001</v>
      </c>
      <c r="K1012">
        <f ca="1">IF(ROW(T_CALC[[#This Row],[DAY]])-ROW(T_CALC[[#Headers],[DAY]])&gt;C_N_TRADING_DAYS,"",ROW(T_CALC[[#This Row],[DAY]])-ROW(T_CALC[[#Headers],[DAY]]))</f>
        <v>1009</v>
      </c>
      <c r="L1012" cm="1" vm="3610">
        <f t="array" aca="1" ref="L1012" ca="1">IFERROR(INDEX(_xlfn.ANCHORARRAY($C$3),T_CALC[[#This Row],[DAY]]+1,1),NA())</f>
        <v>44172</v>
      </c>
      <c r="M1012" cm="1" vm="3609">
        <f t="array" aca="1" ref="M1012" ca="1">IFERROR(INDEX(_xlfn.ANCHORARRAY($C$3),T_CALC[[#This Row],[DAY]]+1,3),NA())</f>
        <v>1.3351999999999999</v>
      </c>
      <c r="N1012" cm="1" vm="2096">
        <f t="array" aca="1" ref="N1012" ca="1">IFERROR(INDEX(_xlfn.ANCHORARRAY($C$3),T_CALC[[#This Row],[DAY]]+1,4),NA())</f>
        <v>1.3399000000000001</v>
      </c>
      <c r="O1012" cm="1" vm="2646">
        <f t="array" aca="1" ref="O1012" ca="1">IFERROR(INDEX(_xlfn.ANCHORARRAY($C$3),T_CALC[[#This Row],[DAY]]+1,5),NA())</f>
        <v>1.3326</v>
      </c>
      <c r="P1012" cm="1" vm="2584">
        <f t="array" aca="1" ref="P1012" ca="1">IFERROR(INDEX(_xlfn.ANCHORARRAY($C$3),T_CALC[[#This Row],[DAY]]+1,6),NA())</f>
        <v>1.3362000000000001</v>
      </c>
      <c r="Q1012" cm="1">
        <f t="array" aca="1" ref="Q1012" ca="1">IFERROR(INDEX(_xlfn.ANCHORARRAY($C$3),T_CALC[[#This Row],[DAY]]+1,2),NA())</f>
        <v>0</v>
      </c>
    </row>
    <row r="1013" spans="3:17">
      <c r="C1013" vm="3611">
        <f ca="1"/>
        <v>44173</v>
      </c>
      <c r="D1013">
        <f ca="1"/>
        <v>0</v>
      </c>
      <c r="E1013" vm="2642">
        <f ca="1"/>
        <v>1.3363</v>
      </c>
      <c r="F1013" vm="3612">
        <f ca="1"/>
        <v>1.3387</v>
      </c>
      <c r="G1013" vm="2643">
        <f ca="1"/>
        <v>1.3346</v>
      </c>
      <c r="H1013" vm="2297">
        <f ca="1"/>
        <v>1.3374999999999999</v>
      </c>
      <c r="K1013">
        <f ca="1">IF(ROW(T_CALC[[#This Row],[DAY]])-ROW(T_CALC[[#Headers],[DAY]])&gt;C_N_TRADING_DAYS,"",ROW(T_CALC[[#This Row],[DAY]])-ROW(T_CALC[[#Headers],[DAY]]))</f>
        <v>1010</v>
      </c>
      <c r="L1013" cm="1" vm="3611">
        <f t="array" aca="1" ref="L1013" ca="1">IFERROR(INDEX(_xlfn.ANCHORARRAY($C$3),T_CALC[[#This Row],[DAY]]+1,1),NA())</f>
        <v>44173</v>
      </c>
      <c r="M1013" cm="1" vm="2642">
        <f t="array" aca="1" ref="M1013" ca="1">IFERROR(INDEX(_xlfn.ANCHORARRAY($C$3),T_CALC[[#This Row],[DAY]]+1,3),NA())</f>
        <v>1.3363</v>
      </c>
      <c r="N1013" cm="1" vm="3612">
        <f t="array" aca="1" ref="N1013" ca="1">IFERROR(INDEX(_xlfn.ANCHORARRAY($C$3),T_CALC[[#This Row],[DAY]]+1,4),NA())</f>
        <v>1.3387</v>
      </c>
      <c r="O1013" cm="1" vm="2643">
        <f t="array" aca="1" ref="O1013" ca="1">IFERROR(INDEX(_xlfn.ANCHORARRAY($C$3),T_CALC[[#This Row],[DAY]]+1,5),NA())</f>
        <v>1.3346</v>
      </c>
      <c r="P1013" cm="1" vm="2297">
        <f t="array" aca="1" ref="P1013" ca="1">IFERROR(INDEX(_xlfn.ANCHORARRAY($C$3),T_CALC[[#This Row],[DAY]]+1,6),NA())</f>
        <v>1.3374999999999999</v>
      </c>
      <c r="Q1013" cm="1">
        <f t="array" aca="1" ref="Q1013" ca="1">IFERROR(INDEX(_xlfn.ANCHORARRAY($C$3),T_CALC[[#This Row],[DAY]]+1,2),NA())</f>
        <v>0</v>
      </c>
    </row>
    <row r="1014" spans="3:17">
      <c r="C1014" vm="3613">
        <f ca="1"/>
        <v>44174</v>
      </c>
      <c r="D1014">
        <f ca="1"/>
        <v>0</v>
      </c>
      <c r="E1014" vm="2297">
        <f ca="1"/>
        <v>1.3374999999999999</v>
      </c>
      <c r="F1014" vm="2658">
        <f ca="1"/>
        <v>1.3393999999999999</v>
      </c>
      <c r="G1014" vm="3614">
        <f ca="1"/>
        <v>1.3333999999999999</v>
      </c>
      <c r="H1014" vm="2583">
        <f ca="1"/>
        <v>1.337</v>
      </c>
      <c r="K1014">
        <f ca="1">IF(ROW(T_CALC[[#This Row],[DAY]])-ROW(T_CALC[[#Headers],[DAY]])&gt;C_N_TRADING_DAYS,"",ROW(T_CALC[[#This Row],[DAY]])-ROW(T_CALC[[#Headers],[DAY]]))</f>
        <v>1011</v>
      </c>
      <c r="L1014" cm="1" vm="3613">
        <f t="array" aca="1" ref="L1014" ca="1">IFERROR(INDEX(_xlfn.ANCHORARRAY($C$3),T_CALC[[#This Row],[DAY]]+1,1),NA())</f>
        <v>44174</v>
      </c>
      <c r="M1014" cm="1" vm="2297">
        <f t="array" aca="1" ref="M1014" ca="1">IFERROR(INDEX(_xlfn.ANCHORARRAY($C$3),T_CALC[[#This Row],[DAY]]+1,3),NA())</f>
        <v>1.3374999999999999</v>
      </c>
      <c r="N1014" cm="1" vm="2658">
        <f t="array" aca="1" ref="N1014" ca="1">IFERROR(INDEX(_xlfn.ANCHORARRAY($C$3),T_CALC[[#This Row],[DAY]]+1,4),NA())</f>
        <v>1.3393999999999999</v>
      </c>
      <c r="O1014" cm="1" vm="3614">
        <f t="array" aca="1" ref="O1014" ca="1">IFERROR(INDEX(_xlfn.ANCHORARRAY($C$3),T_CALC[[#This Row],[DAY]]+1,5),NA())</f>
        <v>1.3333999999999999</v>
      </c>
      <c r="P1014" cm="1" vm="2583">
        <f t="array" aca="1" ref="P1014" ca="1">IFERROR(INDEX(_xlfn.ANCHORARRAY($C$3),T_CALC[[#This Row],[DAY]]+1,6),NA())</f>
        <v>1.337</v>
      </c>
      <c r="Q1014" cm="1">
        <f t="array" aca="1" ref="Q1014" ca="1">IFERROR(INDEX(_xlfn.ANCHORARRAY($C$3),T_CALC[[#This Row],[DAY]]+1,2),NA())</f>
        <v>0</v>
      </c>
    </row>
    <row r="1015" spans="3:17">
      <c r="C1015" vm="3615">
        <f ca="1"/>
        <v>44175</v>
      </c>
      <c r="D1015">
        <f ca="1"/>
        <v>0</v>
      </c>
      <c r="E1015" vm="2583">
        <f ca="1"/>
        <v>1.337</v>
      </c>
      <c r="F1015" vm="3612">
        <f ca="1"/>
        <v>1.3387</v>
      </c>
      <c r="G1015" vm="3616">
        <f ca="1"/>
        <v>1.3341000000000001</v>
      </c>
      <c r="H1015" vm="3609">
        <f ca="1"/>
        <v>1.3351999999999999</v>
      </c>
      <c r="K1015">
        <f ca="1">IF(ROW(T_CALC[[#This Row],[DAY]])-ROW(T_CALC[[#Headers],[DAY]])&gt;C_N_TRADING_DAYS,"",ROW(T_CALC[[#This Row],[DAY]])-ROW(T_CALC[[#Headers],[DAY]]))</f>
        <v>1012</v>
      </c>
      <c r="L1015" cm="1" vm="3615">
        <f t="array" aca="1" ref="L1015" ca="1">IFERROR(INDEX(_xlfn.ANCHORARRAY($C$3),T_CALC[[#This Row],[DAY]]+1,1),NA())</f>
        <v>44175</v>
      </c>
      <c r="M1015" cm="1" vm="2583">
        <f t="array" aca="1" ref="M1015" ca="1">IFERROR(INDEX(_xlfn.ANCHORARRAY($C$3),T_CALC[[#This Row],[DAY]]+1,3),NA())</f>
        <v>1.337</v>
      </c>
      <c r="N1015" cm="1" vm="3612">
        <f t="array" aca="1" ref="N1015" ca="1">IFERROR(INDEX(_xlfn.ANCHORARRAY($C$3),T_CALC[[#This Row],[DAY]]+1,4),NA())</f>
        <v>1.3387</v>
      </c>
      <c r="O1015" cm="1" vm="3616">
        <f t="array" aca="1" ref="O1015" ca="1">IFERROR(INDEX(_xlfn.ANCHORARRAY($C$3),T_CALC[[#This Row],[DAY]]+1,5),NA())</f>
        <v>1.3341000000000001</v>
      </c>
      <c r="P1015" cm="1" vm="3609">
        <f t="array" aca="1" ref="P1015" ca="1">IFERROR(INDEX(_xlfn.ANCHORARRAY($C$3),T_CALC[[#This Row],[DAY]]+1,6),NA())</f>
        <v>1.3351999999999999</v>
      </c>
      <c r="Q1015" cm="1">
        <f t="array" aca="1" ref="Q1015" ca="1">IFERROR(INDEX(_xlfn.ANCHORARRAY($C$3),T_CALC[[#This Row],[DAY]]+1,2),NA())</f>
        <v>0</v>
      </c>
    </row>
    <row r="1016" spans="3:17">
      <c r="C1016" vm="3617">
        <f ca="1"/>
        <v>44176</v>
      </c>
      <c r="D1016">
        <f ca="1"/>
        <v>0</v>
      </c>
      <c r="E1016" vm="3609">
        <f ca="1"/>
        <v>1.3351999999999999</v>
      </c>
      <c r="F1016" vm="2622">
        <f ca="1"/>
        <v>1.3379000000000001</v>
      </c>
      <c r="G1016" vm="3618">
        <f ca="1"/>
        <v>1.3324</v>
      </c>
      <c r="H1016" vm="2642">
        <f ca="1"/>
        <v>1.3363</v>
      </c>
      <c r="K1016">
        <f ca="1">IF(ROW(T_CALC[[#This Row],[DAY]])-ROW(T_CALC[[#Headers],[DAY]])&gt;C_N_TRADING_DAYS,"",ROW(T_CALC[[#This Row],[DAY]])-ROW(T_CALC[[#Headers],[DAY]]))</f>
        <v>1013</v>
      </c>
      <c r="L1016" cm="1" vm="3617">
        <f t="array" aca="1" ref="L1016" ca="1">IFERROR(INDEX(_xlfn.ANCHORARRAY($C$3),T_CALC[[#This Row],[DAY]]+1,1),NA())</f>
        <v>44176</v>
      </c>
      <c r="M1016" cm="1" vm="3609">
        <f t="array" aca="1" ref="M1016" ca="1">IFERROR(INDEX(_xlfn.ANCHORARRAY($C$3),T_CALC[[#This Row],[DAY]]+1,3),NA())</f>
        <v>1.3351999999999999</v>
      </c>
      <c r="N1016" cm="1" vm="2622">
        <f t="array" aca="1" ref="N1016" ca="1">IFERROR(INDEX(_xlfn.ANCHORARRAY($C$3),T_CALC[[#This Row],[DAY]]+1,4),NA())</f>
        <v>1.3379000000000001</v>
      </c>
      <c r="O1016" cm="1" vm="3618">
        <f t="array" aca="1" ref="O1016" ca="1">IFERROR(INDEX(_xlfn.ANCHORARRAY($C$3),T_CALC[[#This Row],[DAY]]+1,5),NA())</f>
        <v>1.3324</v>
      </c>
      <c r="P1016" cm="1" vm="2642">
        <f t="array" aca="1" ref="P1016" ca="1">IFERROR(INDEX(_xlfn.ANCHORARRAY($C$3),T_CALC[[#This Row],[DAY]]+1,6),NA())</f>
        <v>1.3363</v>
      </c>
      <c r="Q1016" cm="1">
        <f t="array" aca="1" ref="Q1016" ca="1">IFERROR(INDEX(_xlfn.ANCHORARRAY($C$3),T_CALC[[#This Row],[DAY]]+1,2),NA())</f>
        <v>0</v>
      </c>
    </row>
    <row r="1017" spans="3:17">
      <c r="C1017" vm="3619">
        <f ca="1"/>
        <v>44179</v>
      </c>
      <c r="D1017">
        <f ca="1"/>
        <v>0</v>
      </c>
      <c r="E1017" vm="2586">
        <f ca="1"/>
        <v>1.3361000000000001</v>
      </c>
      <c r="F1017" vm="2296">
        <f ca="1"/>
        <v>1.3366</v>
      </c>
      <c r="G1017" vm="3620">
        <f ca="1"/>
        <v>1.3312999999999999</v>
      </c>
      <c r="H1017" vm="2643">
        <f ca="1"/>
        <v>1.3346</v>
      </c>
      <c r="K1017">
        <f ca="1">IF(ROW(T_CALC[[#This Row],[DAY]])-ROW(T_CALC[[#Headers],[DAY]])&gt;C_N_TRADING_DAYS,"",ROW(T_CALC[[#This Row],[DAY]])-ROW(T_CALC[[#Headers],[DAY]]))</f>
        <v>1014</v>
      </c>
      <c r="L1017" cm="1" vm="3619">
        <f t="array" aca="1" ref="L1017" ca="1">IFERROR(INDEX(_xlfn.ANCHORARRAY($C$3),T_CALC[[#This Row],[DAY]]+1,1),NA())</f>
        <v>44179</v>
      </c>
      <c r="M1017" cm="1" vm="2586">
        <f t="array" aca="1" ref="M1017" ca="1">IFERROR(INDEX(_xlfn.ANCHORARRAY($C$3),T_CALC[[#This Row],[DAY]]+1,3),NA())</f>
        <v>1.3361000000000001</v>
      </c>
      <c r="N1017" cm="1" vm="2296">
        <f t="array" aca="1" ref="N1017" ca="1">IFERROR(INDEX(_xlfn.ANCHORARRAY($C$3),T_CALC[[#This Row],[DAY]]+1,4),NA())</f>
        <v>1.3366</v>
      </c>
      <c r="O1017" cm="1" vm="3620">
        <f t="array" aca="1" ref="O1017" ca="1">IFERROR(INDEX(_xlfn.ANCHORARRAY($C$3),T_CALC[[#This Row],[DAY]]+1,5),NA())</f>
        <v>1.3312999999999999</v>
      </c>
      <c r="P1017" cm="1" vm="2643">
        <f t="array" aca="1" ref="P1017" ca="1">IFERROR(INDEX(_xlfn.ANCHORARRAY($C$3),T_CALC[[#This Row],[DAY]]+1,6),NA())</f>
        <v>1.3346</v>
      </c>
      <c r="Q1017" cm="1">
        <f t="array" aca="1" ref="Q1017" ca="1">IFERROR(INDEX(_xlfn.ANCHORARRAY($C$3),T_CALC[[#This Row],[DAY]]+1,2),NA())</f>
        <v>0</v>
      </c>
    </row>
    <row r="1018" spans="3:17">
      <c r="C1018" vm="3621">
        <f ca="1"/>
        <v>44180</v>
      </c>
      <c r="D1018">
        <f ca="1"/>
        <v>0</v>
      </c>
      <c r="E1018" vm="2326">
        <f ca="1"/>
        <v>1.3351</v>
      </c>
      <c r="F1018" vm="3622">
        <f ca="1"/>
        <v>1.3364</v>
      </c>
      <c r="G1018" vm="2419">
        <f ca="1"/>
        <v>1.3310999999999999</v>
      </c>
      <c r="H1018" vm="2321">
        <f ca="1"/>
        <v>1.3321000000000001</v>
      </c>
      <c r="K1018">
        <f ca="1">IF(ROW(T_CALC[[#This Row],[DAY]])-ROW(T_CALC[[#Headers],[DAY]])&gt;C_N_TRADING_DAYS,"",ROW(T_CALC[[#This Row],[DAY]])-ROW(T_CALC[[#Headers],[DAY]]))</f>
        <v>1015</v>
      </c>
      <c r="L1018" cm="1" vm="3621">
        <f t="array" aca="1" ref="L1018" ca="1">IFERROR(INDEX(_xlfn.ANCHORARRAY($C$3),T_CALC[[#This Row],[DAY]]+1,1),NA())</f>
        <v>44180</v>
      </c>
      <c r="M1018" cm="1" vm="2326">
        <f t="array" aca="1" ref="M1018" ca="1">IFERROR(INDEX(_xlfn.ANCHORARRAY($C$3),T_CALC[[#This Row],[DAY]]+1,3),NA())</f>
        <v>1.3351</v>
      </c>
      <c r="N1018" cm="1" vm="3622">
        <f t="array" aca="1" ref="N1018" ca="1">IFERROR(INDEX(_xlfn.ANCHORARRAY($C$3),T_CALC[[#This Row],[DAY]]+1,4),NA())</f>
        <v>1.3364</v>
      </c>
      <c r="O1018" cm="1" vm="2419">
        <f t="array" aca="1" ref="O1018" ca="1">IFERROR(INDEX(_xlfn.ANCHORARRAY($C$3),T_CALC[[#This Row],[DAY]]+1,5),NA())</f>
        <v>1.3310999999999999</v>
      </c>
      <c r="P1018" cm="1" vm="2321">
        <f t="array" aca="1" ref="P1018" ca="1">IFERROR(INDEX(_xlfn.ANCHORARRAY($C$3),T_CALC[[#This Row],[DAY]]+1,6),NA())</f>
        <v>1.3321000000000001</v>
      </c>
      <c r="Q1018" cm="1">
        <f t="array" aca="1" ref="Q1018" ca="1">IFERROR(INDEX(_xlfn.ANCHORARRAY($C$3),T_CALC[[#This Row],[DAY]]+1,2),NA())</f>
        <v>0</v>
      </c>
    </row>
    <row r="1019" spans="3:17">
      <c r="C1019" vm="3623">
        <f ca="1"/>
        <v>44181</v>
      </c>
      <c r="D1019">
        <f ca="1"/>
        <v>0</v>
      </c>
      <c r="E1019" vm="2321">
        <f ca="1"/>
        <v>1.3321000000000001</v>
      </c>
      <c r="F1019" vm="2648">
        <f ca="1"/>
        <v>1.3335999999999999</v>
      </c>
      <c r="G1019" vm="3624">
        <f ca="1"/>
        <v>1.3281000000000001</v>
      </c>
      <c r="H1019" vm="2305">
        <f ca="1"/>
        <v>1.3289</v>
      </c>
      <c r="K1019">
        <f ca="1">IF(ROW(T_CALC[[#This Row],[DAY]])-ROW(T_CALC[[#Headers],[DAY]])&gt;C_N_TRADING_DAYS,"",ROW(T_CALC[[#This Row],[DAY]])-ROW(T_CALC[[#Headers],[DAY]]))</f>
        <v>1016</v>
      </c>
      <c r="L1019" cm="1" vm="3623">
        <f t="array" aca="1" ref="L1019" ca="1">IFERROR(INDEX(_xlfn.ANCHORARRAY($C$3),T_CALC[[#This Row],[DAY]]+1,1),NA())</f>
        <v>44181</v>
      </c>
      <c r="M1019" cm="1" vm="2321">
        <f t="array" aca="1" ref="M1019" ca="1">IFERROR(INDEX(_xlfn.ANCHORARRAY($C$3),T_CALC[[#This Row],[DAY]]+1,3),NA())</f>
        <v>1.3321000000000001</v>
      </c>
      <c r="N1019" cm="1" vm="2648">
        <f t="array" aca="1" ref="N1019" ca="1">IFERROR(INDEX(_xlfn.ANCHORARRAY($C$3),T_CALC[[#This Row],[DAY]]+1,4),NA())</f>
        <v>1.3335999999999999</v>
      </c>
      <c r="O1019" cm="1" vm="3624">
        <f t="array" aca="1" ref="O1019" ca="1">IFERROR(INDEX(_xlfn.ANCHORARRAY($C$3),T_CALC[[#This Row],[DAY]]+1,5),NA())</f>
        <v>1.3281000000000001</v>
      </c>
      <c r="P1019" cm="1" vm="2305">
        <f t="array" aca="1" ref="P1019" ca="1">IFERROR(INDEX(_xlfn.ANCHORARRAY($C$3),T_CALC[[#This Row],[DAY]]+1,6),NA())</f>
        <v>1.3289</v>
      </c>
      <c r="Q1019" cm="1">
        <f t="array" aca="1" ref="Q1019" ca="1">IFERROR(INDEX(_xlfn.ANCHORARRAY($C$3),T_CALC[[#This Row],[DAY]]+1,2),NA())</f>
        <v>0</v>
      </c>
    </row>
    <row r="1020" spans="3:17">
      <c r="C1020" vm="3625">
        <f ca="1"/>
        <v>44182</v>
      </c>
      <c r="D1020">
        <f ca="1"/>
        <v>0</v>
      </c>
      <c r="E1020" vm="2305">
        <f ca="1"/>
        <v>1.3289</v>
      </c>
      <c r="F1020" vm="3626">
        <f ca="1"/>
        <v>1.33</v>
      </c>
      <c r="G1020" vm="2352">
        <f ca="1"/>
        <v>1.3244</v>
      </c>
      <c r="H1020" vm="2320">
        <f ca="1"/>
        <v>1.3252999999999999</v>
      </c>
      <c r="K1020">
        <f ca="1">IF(ROW(T_CALC[[#This Row],[DAY]])-ROW(T_CALC[[#Headers],[DAY]])&gt;C_N_TRADING_DAYS,"",ROW(T_CALC[[#This Row],[DAY]])-ROW(T_CALC[[#Headers],[DAY]]))</f>
        <v>1017</v>
      </c>
      <c r="L1020" cm="1" vm="3625">
        <f t="array" aca="1" ref="L1020" ca="1">IFERROR(INDEX(_xlfn.ANCHORARRAY($C$3),T_CALC[[#This Row],[DAY]]+1,1),NA())</f>
        <v>44182</v>
      </c>
      <c r="M1020" cm="1" vm="2305">
        <f t="array" aca="1" ref="M1020" ca="1">IFERROR(INDEX(_xlfn.ANCHORARRAY($C$3),T_CALC[[#This Row],[DAY]]+1,3),NA())</f>
        <v>1.3289</v>
      </c>
      <c r="N1020" cm="1" vm="3626">
        <f t="array" aca="1" ref="N1020" ca="1">IFERROR(INDEX(_xlfn.ANCHORARRAY($C$3),T_CALC[[#This Row],[DAY]]+1,4),NA())</f>
        <v>1.33</v>
      </c>
      <c r="O1020" cm="1" vm="2352">
        <f t="array" aca="1" ref="O1020" ca="1">IFERROR(INDEX(_xlfn.ANCHORARRAY($C$3),T_CALC[[#This Row],[DAY]]+1,5),NA())</f>
        <v>1.3244</v>
      </c>
      <c r="P1020" cm="1" vm="2320">
        <f t="array" aca="1" ref="P1020" ca="1">IFERROR(INDEX(_xlfn.ANCHORARRAY($C$3),T_CALC[[#This Row],[DAY]]+1,6),NA())</f>
        <v>1.3252999999999999</v>
      </c>
      <c r="Q1020" cm="1">
        <f t="array" aca="1" ref="Q1020" ca="1">IFERROR(INDEX(_xlfn.ANCHORARRAY($C$3),T_CALC[[#This Row],[DAY]]+1,2),NA())</f>
        <v>0</v>
      </c>
    </row>
    <row r="1021" spans="3:17">
      <c r="C1021" vm="3627">
        <f ca="1"/>
        <v>44183</v>
      </c>
      <c r="D1021">
        <f ca="1"/>
        <v>0</v>
      </c>
      <c r="E1021" vm="2316">
        <f ca="1"/>
        <v>1.3261000000000001</v>
      </c>
      <c r="F1021" vm="3628">
        <f ca="1"/>
        <v>1.3297000000000001</v>
      </c>
      <c r="G1021" vm="2339">
        <f ca="1"/>
        <v>1.3250999999999999</v>
      </c>
      <c r="H1021" vm="3629">
        <f ca="1"/>
        <v>1.3269</v>
      </c>
      <c r="K1021">
        <f ca="1">IF(ROW(T_CALC[[#This Row],[DAY]])-ROW(T_CALC[[#Headers],[DAY]])&gt;C_N_TRADING_DAYS,"",ROW(T_CALC[[#This Row],[DAY]])-ROW(T_CALC[[#Headers],[DAY]]))</f>
        <v>1018</v>
      </c>
      <c r="L1021" cm="1" vm="3627">
        <f t="array" aca="1" ref="L1021" ca="1">IFERROR(INDEX(_xlfn.ANCHORARRAY($C$3),T_CALC[[#This Row],[DAY]]+1,1),NA())</f>
        <v>44183</v>
      </c>
      <c r="M1021" cm="1" vm="2316">
        <f t="array" aca="1" ref="M1021" ca="1">IFERROR(INDEX(_xlfn.ANCHORARRAY($C$3),T_CALC[[#This Row],[DAY]]+1,3),NA())</f>
        <v>1.3261000000000001</v>
      </c>
      <c r="N1021" cm="1" vm="3628">
        <f t="array" aca="1" ref="N1021" ca="1">IFERROR(INDEX(_xlfn.ANCHORARRAY($C$3),T_CALC[[#This Row],[DAY]]+1,4),NA())</f>
        <v>1.3297000000000001</v>
      </c>
      <c r="O1021" cm="1" vm="2339">
        <f t="array" aca="1" ref="O1021" ca="1">IFERROR(INDEX(_xlfn.ANCHORARRAY($C$3),T_CALC[[#This Row],[DAY]]+1,5),NA())</f>
        <v>1.3250999999999999</v>
      </c>
      <c r="P1021" cm="1" vm="3629">
        <f t="array" aca="1" ref="P1021" ca="1">IFERROR(INDEX(_xlfn.ANCHORARRAY($C$3),T_CALC[[#This Row],[DAY]]+1,6),NA())</f>
        <v>1.3269</v>
      </c>
      <c r="Q1021" cm="1">
        <f t="array" aca="1" ref="Q1021" ca="1">IFERROR(INDEX(_xlfn.ANCHORARRAY($C$3),T_CALC[[#This Row],[DAY]]+1,2),NA())</f>
        <v>0</v>
      </c>
    </row>
    <row r="1022" spans="3:17">
      <c r="C1022" vm="3630">
        <f ca="1"/>
        <v>44186</v>
      </c>
      <c r="D1022">
        <f ca="1"/>
        <v>0</v>
      </c>
      <c r="E1022" vm="3629">
        <f ca="1"/>
        <v>1.3269</v>
      </c>
      <c r="F1022" vm="3631">
        <f ca="1"/>
        <v>1.3403</v>
      </c>
      <c r="G1022" vm="3629">
        <f ca="1"/>
        <v>1.3269</v>
      </c>
      <c r="H1022" vm="2323">
        <f ca="1"/>
        <v>1.3323</v>
      </c>
      <c r="K1022">
        <f ca="1">IF(ROW(T_CALC[[#This Row],[DAY]])-ROW(T_CALC[[#Headers],[DAY]])&gt;C_N_TRADING_DAYS,"",ROW(T_CALC[[#This Row],[DAY]])-ROW(T_CALC[[#Headers],[DAY]]))</f>
        <v>1019</v>
      </c>
      <c r="L1022" cm="1" vm="3630">
        <f t="array" aca="1" ref="L1022" ca="1">IFERROR(INDEX(_xlfn.ANCHORARRAY($C$3),T_CALC[[#This Row],[DAY]]+1,1),NA())</f>
        <v>44186</v>
      </c>
      <c r="M1022" cm="1" vm="3629">
        <f t="array" aca="1" ref="M1022" ca="1">IFERROR(INDEX(_xlfn.ANCHORARRAY($C$3),T_CALC[[#This Row],[DAY]]+1,3),NA())</f>
        <v>1.3269</v>
      </c>
      <c r="N1022" cm="1" vm="3631">
        <f t="array" aca="1" ref="N1022" ca="1">IFERROR(INDEX(_xlfn.ANCHORARRAY($C$3),T_CALC[[#This Row],[DAY]]+1,4),NA())</f>
        <v>1.3403</v>
      </c>
      <c r="O1022" cm="1" vm="3629">
        <f t="array" aca="1" ref="O1022" ca="1">IFERROR(INDEX(_xlfn.ANCHORARRAY($C$3),T_CALC[[#This Row],[DAY]]+1,5),NA())</f>
        <v>1.3269</v>
      </c>
      <c r="P1022" cm="1" vm="2323">
        <f t="array" aca="1" ref="P1022" ca="1">IFERROR(INDEX(_xlfn.ANCHORARRAY($C$3),T_CALC[[#This Row],[DAY]]+1,6),NA())</f>
        <v>1.3323</v>
      </c>
      <c r="Q1022" cm="1">
        <f t="array" aca="1" ref="Q1022" ca="1">IFERROR(INDEX(_xlfn.ANCHORARRAY($C$3),T_CALC[[#This Row],[DAY]]+1,2),NA())</f>
        <v>0</v>
      </c>
    </row>
    <row r="1023" spans="3:17">
      <c r="C1023" vm="3632">
        <f ca="1"/>
        <v>44187</v>
      </c>
      <c r="D1023">
        <f ca="1"/>
        <v>0</v>
      </c>
      <c r="E1023" vm="3633">
        <f ca="1"/>
        <v>1.3322000000000001</v>
      </c>
      <c r="F1023" vm="2656">
        <f ca="1"/>
        <v>1.3375999999999999</v>
      </c>
      <c r="G1023" vm="2419">
        <f ca="1"/>
        <v>1.3310999999999999</v>
      </c>
      <c r="H1023" vm="2590">
        <f ca="1"/>
        <v>1.3359000000000001</v>
      </c>
      <c r="K1023">
        <f ca="1">IF(ROW(T_CALC[[#This Row],[DAY]])-ROW(T_CALC[[#Headers],[DAY]])&gt;C_N_TRADING_DAYS,"",ROW(T_CALC[[#This Row],[DAY]])-ROW(T_CALC[[#Headers],[DAY]]))</f>
        <v>1020</v>
      </c>
      <c r="L1023" cm="1" vm="3632">
        <f t="array" aca="1" ref="L1023" ca="1">IFERROR(INDEX(_xlfn.ANCHORARRAY($C$3),T_CALC[[#This Row],[DAY]]+1,1),NA())</f>
        <v>44187</v>
      </c>
      <c r="M1023" cm="1" vm="3633">
        <f t="array" aca="1" ref="M1023" ca="1">IFERROR(INDEX(_xlfn.ANCHORARRAY($C$3),T_CALC[[#This Row],[DAY]]+1,3),NA())</f>
        <v>1.3322000000000001</v>
      </c>
      <c r="N1023" cm="1" vm="2656">
        <f t="array" aca="1" ref="N1023" ca="1">IFERROR(INDEX(_xlfn.ANCHORARRAY($C$3),T_CALC[[#This Row],[DAY]]+1,4),NA())</f>
        <v>1.3375999999999999</v>
      </c>
      <c r="O1023" cm="1" vm="2419">
        <f t="array" aca="1" ref="O1023" ca="1">IFERROR(INDEX(_xlfn.ANCHORARRAY($C$3),T_CALC[[#This Row],[DAY]]+1,5),NA())</f>
        <v>1.3310999999999999</v>
      </c>
      <c r="P1023" cm="1" vm="2590">
        <f t="array" aca="1" ref="P1023" ca="1">IFERROR(INDEX(_xlfn.ANCHORARRAY($C$3),T_CALC[[#This Row],[DAY]]+1,6),NA())</f>
        <v>1.3359000000000001</v>
      </c>
      <c r="Q1023" cm="1">
        <f t="array" aca="1" ref="Q1023" ca="1">IFERROR(INDEX(_xlfn.ANCHORARRAY($C$3),T_CALC[[#This Row],[DAY]]+1,2),NA())</f>
        <v>0</v>
      </c>
    </row>
    <row r="1024" spans="3:17">
      <c r="C1024" vm="3634">
        <f ca="1"/>
        <v>44188</v>
      </c>
      <c r="D1024">
        <f ca="1"/>
        <v>0</v>
      </c>
      <c r="E1024" vm="2594">
        <f ca="1"/>
        <v>1.3354999999999999</v>
      </c>
      <c r="F1024" vm="2296">
        <f ca="1"/>
        <v>1.3366</v>
      </c>
      <c r="G1024" vm="2305">
        <f ca="1"/>
        <v>1.3289</v>
      </c>
      <c r="H1024" vm="2337">
        <f ca="1"/>
        <v>1.3301000000000001</v>
      </c>
      <c r="K1024">
        <f ca="1">IF(ROW(T_CALC[[#This Row],[DAY]])-ROW(T_CALC[[#Headers],[DAY]])&gt;C_N_TRADING_DAYS,"",ROW(T_CALC[[#This Row],[DAY]])-ROW(T_CALC[[#Headers],[DAY]]))</f>
        <v>1021</v>
      </c>
      <c r="L1024" cm="1" vm="3634">
        <f t="array" aca="1" ref="L1024" ca="1">IFERROR(INDEX(_xlfn.ANCHORARRAY($C$3),T_CALC[[#This Row],[DAY]]+1,1),NA())</f>
        <v>44188</v>
      </c>
      <c r="M1024" cm="1" vm="2594">
        <f t="array" aca="1" ref="M1024" ca="1">IFERROR(INDEX(_xlfn.ANCHORARRAY($C$3),T_CALC[[#This Row],[DAY]]+1,3),NA())</f>
        <v>1.3354999999999999</v>
      </c>
      <c r="N1024" cm="1" vm="2296">
        <f t="array" aca="1" ref="N1024" ca="1">IFERROR(INDEX(_xlfn.ANCHORARRAY($C$3),T_CALC[[#This Row],[DAY]]+1,4),NA())</f>
        <v>1.3366</v>
      </c>
      <c r="O1024" cm="1" vm="2305">
        <f t="array" aca="1" ref="O1024" ca="1">IFERROR(INDEX(_xlfn.ANCHORARRAY($C$3),T_CALC[[#This Row],[DAY]]+1,5),NA())</f>
        <v>1.3289</v>
      </c>
      <c r="P1024" cm="1" vm="2337">
        <f t="array" aca="1" ref="P1024" ca="1">IFERROR(INDEX(_xlfn.ANCHORARRAY($C$3),T_CALC[[#This Row],[DAY]]+1,6),NA())</f>
        <v>1.3301000000000001</v>
      </c>
      <c r="Q1024" cm="1">
        <f t="array" aca="1" ref="Q1024" ca="1">IFERROR(INDEX(_xlfn.ANCHORARRAY($C$3),T_CALC[[#This Row],[DAY]]+1,2),NA())</f>
        <v>0</v>
      </c>
    </row>
    <row r="1025" spans="3:17">
      <c r="C1025" vm="3635">
        <f ca="1"/>
        <v>44189</v>
      </c>
      <c r="D1025">
        <f ca="1"/>
        <v>0</v>
      </c>
      <c r="E1025" vm="3636">
        <f ca="1"/>
        <v>1.3299000000000001</v>
      </c>
      <c r="F1025" vm="3637">
        <f ca="1"/>
        <v>1.3320000000000001</v>
      </c>
      <c r="G1025" vm="2421">
        <f ca="1"/>
        <v>1.3274999999999999</v>
      </c>
      <c r="H1025" vm="2305">
        <f ca="1"/>
        <v>1.3289</v>
      </c>
      <c r="K1025">
        <f ca="1">IF(ROW(T_CALC[[#This Row],[DAY]])-ROW(T_CALC[[#Headers],[DAY]])&gt;C_N_TRADING_DAYS,"",ROW(T_CALC[[#This Row],[DAY]])-ROW(T_CALC[[#Headers],[DAY]]))</f>
        <v>1022</v>
      </c>
      <c r="L1025" cm="1" vm="3635">
        <f t="array" aca="1" ref="L1025" ca="1">IFERROR(INDEX(_xlfn.ANCHORARRAY($C$3),T_CALC[[#This Row],[DAY]]+1,1),NA())</f>
        <v>44189</v>
      </c>
      <c r="M1025" cm="1" vm="3636">
        <f t="array" aca="1" ref="M1025" ca="1">IFERROR(INDEX(_xlfn.ANCHORARRAY($C$3),T_CALC[[#This Row],[DAY]]+1,3),NA())</f>
        <v>1.3299000000000001</v>
      </c>
      <c r="N1025" cm="1" vm="3637">
        <f t="array" aca="1" ref="N1025" ca="1">IFERROR(INDEX(_xlfn.ANCHORARRAY($C$3),T_CALC[[#This Row],[DAY]]+1,4),NA())</f>
        <v>1.3320000000000001</v>
      </c>
      <c r="O1025" cm="1" vm="2421">
        <f t="array" aca="1" ref="O1025" ca="1">IFERROR(INDEX(_xlfn.ANCHORARRAY($C$3),T_CALC[[#This Row],[DAY]]+1,5),NA())</f>
        <v>1.3274999999999999</v>
      </c>
      <c r="P1025" cm="1" vm="2305">
        <f t="array" aca="1" ref="P1025" ca="1">IFERROR(INDEX(_xlfn.ANCHORARRAY($C$3),T_CALC[[#This Row],[DAY]]+1,6),NA())</f>
        <v>1.3289</v>
      </c>
      <c r="Q1025" cm="1">
        <f t="array" aca="1" ref="Q1025" ca="1">IFERROR(INDEX(_xlfn.ANCHORARRAY($C$3),T_CALC[[#This Row],[DAY]]+1,2),NA())</f>
        <v>0</v>
      </c>
    </row>
    <row r="1026" spans="3:17">
      <c r="C1026" vm="3638">
        <f ca="1"/>
        <v>44190</v>
      </c>
      <c r="D1026">
        <f ca="1"/>
        <v>0</v>
      </c>
      <c r="E1026" vm="3639">
        <f ca="1"/>
        <v>1.3288</v>
      </c>
      <c r="F1026" vm="3640">
        <f ca="1"/>
        <v>1.3298000000000001</v>
      </c>
      <c r="G1026" vm="2573">
        <f ca="1"/>
        <v>1.3277000000000001</v>
      </c>
      <c r="H1026" vm="2573">
        <f ca="1"/>
        <v>1.3277000000000001</v>
      </c>
      <c r="K1026">
        <f ca="1">IF(ROW(T_CALC[[#This Row],[DAY]])-ROW(T_CALC[[#Headers],[DAY]])&gt;C_N_TRADING_DAYS,"",ROW(T_CALC[[#This Row],[DAY]])-ROW(T_CALC[[#Headers],[DAY]]))</f>
        <v>1023</v>
      </c>
      <c r="L1026" cm="1" vm="3638">
        <f t="array" aca="1" ref="L1026" ca="1">IFERROR(INDEX(_xlfn.ANCHORARRAY($C$3),T_CALC[[#This Row],[DAY]]+1,1),NA())</f>
        <v>44190</v>
      </c>
      <c r="M1026" cm="1" vm="3639">
        <f t="array" aca="1" ref="M1026" ca="1">IFERROR(INDEX(_xlfn.ANCHORARRAY($C$3),T_CALC[[#This Row],[DAY]]+1,3),NA())</f>
        <v>1.3288</v>
      </c>
      <c r="N1026" cm="1" vm="3640">
        <f t="array" aca="1" ref="N1026" ca="1">IFERROR(INDEX(_xlfn.ANCHORARRAY($C$3),T_CALC[[#This Row],[DAY]]+1,4),NA())</f>
        <v>1.3298000000000001</v>
      </c>
      <c r="O1026" cm="1" vm="2573">
        <f t="array" aca="1" ref="O1026" ca="1">IFERROR(INDEX(_xlfn.ANCHORARRAY($C$3),T_CALC[[#This Row],[DAY]]+1,5),NA())</f>
        <v>1.3277000000000001</v>
      </c>
      <c r="P1026" cm="1" vm="2573">
        <f t="array" aca="1" ref="P1026" ca="1">IFERROR(INDEX(_xlfn.ANCHORARRAY($C$3),T_CALC[[#This Row],[DAY]]+1,6),NA())</f>
        <v>1.3277000000000001</v>
      </c>
      <c r="Q1026" cm="1">
        <f t="array" aca="1" ref="Q1026" ca="1">IFERROR(INDEX(_xlfn.ANCHORARRAY($C$3),T_CALC[[#This Row],[DAY]]+1,2),NA())</f>
        <v>0</v>
      </c>
    </row>
    <row r="1027" spans="3:17">
      <c r="C1027" vm="3641">
        <f ca="1"/>
        <v>44193</v>
      </c>
      <c r="D1027">
        <f ca="1"/>
        <v>0</v>
      </c>
      <c r="E1027" vm="2422">
        <f ca="1"/>
        <v>1.3293999999999999</v>
      </c>
      <c r="F1027" vm="2419">
        <f ca="1"/>
        <v>1.3310999999999999</v>
      </c>
      <c r="G1027" vm="3642">
        <f ca="1"/>
        <v>1.3267</v>
      </c>
      <c r="H1027" vm="3636">
        <f ca="1"/>
        <v>1.3299000000000001</v>
      </c>
      <c r="K1027">
        <f ca="1">IF(ROW(T_CALC[[#This Row],[DAY]])-ROW(T_CALC[[#Headers],[DAY]])&gt;C_N_TRADING_DAYS,"",ROW(T_CALC[[#This Row],[DAY]])-ROW(T_CALC[[#Headers],[DAY]]))</f>
        <v>1024</v>
      </c>
      <c r="L1027" cm="1" vm="3641">
        <f t="array" aca="1" ref="L1027" ca="1">IFERROR(INDEX(_xlfn.ANCHORARRAY($C$3),T_CALC[[#This Row],[DAY]]+1,1),NA())</f>
        <v>44193</v>
      </c>
      <c r="M1027" cm="1" vm="2422">
        <f t="array" aca="1" ref="M1027" ca="1">IFERROR(INDEX(_xlfn.ANCHORARRAY($C$3),T_CALC[[#This Row],[DAY]]+1,3),NA())</f>
        <v>1.3293999999999999</v>
      </c>
      <c r="N1027" cm="1" vm="2419">
        <f t="array" aca="1" ref="N1027" ca="1">IFERROR(INDEX(_xlfn.ANCHORARRAY($C$3),T_CALC[[#This Row],[DAY]]+1,4),NA())</f>
        <v>1.3310999999999999</v>
      </c>
      <c r="O1027" cm="1" vm="3642">
        <f t="array" aca="1" ref="O1027" ca="1">IFERROR(INDEX(_xlfn.ANCHORARRAY($C$3),T_CALC[[#This Row],[DAY]]+1,5),NA())</f>
        <v>1.3267</v>
      </c>
      <c r="P1027" cm="1" vm="3636">
        <f t="array" aca="1" ref="P1027" ca="1">IFERROR(INDEX(_xlfn.ANCHORARRAY($C$3),T_CALC[[#This Row],[DAY]]+1,6),NA())</f>
        <v>1.3299000000000001</v>
      </c>
      <c r="Q1027" cm="1">
        <f t="array" aca="1" ref="Q1027" ca="1">IFERROR(INDEX(_xlfn.ANCHORARRAY($C$3),T_CALC[[#This Row],[DAY]]+1,2),NA())</f>
        <v>0</v>
      </c>
    </row>
    <row r="1028" spans="3:17">
      <c r="C1028" vm="3643">
        <f ca="1"/>
        <v>44194</v>
      </c>
      <c r="D1028">
        <f ca="1"/>
        <v>0</v>
      </c>
      <c r="E1028" vm="3636">
        <f ca="1"/>
        <v>1.3299000000000001</v>
      </c>
      <c r="F1028" vm="2417">
        <f ca="1"/>
        <v>1.331</v>
      </c>
      <c r="G1028" vm="3644">
        <f ca="1"/>
        <v>1.3266</v>
      </c>
      <c r="H1028" vm="3629">
        <f ca="1"/>
        <v>1.3269</v>
      </c>
      <c r="K1028">
        <f ca="1">IF(ROW(T_CALC[[#This Row],[DAY]])-ROW(T_CALC[[#Headers],[DAY]])&gt;C_N_TRADING_DAYS,"",ROW(T_CALC[[#This Row],[DAY]])-ROW(T_CALC[[#Headers],[DAY]]))</f>
        <v>1025</v>
      </c>
      <c r="L1028" cm="1" vm="3643">
        <f t="array" aca="1" ref="L1028" ca="1">IFERROR(INDEX(_xlfn.ANCHORARRAY($C$3),T_CALC[[#This Row],[DAY]]+1,1),NA())</f>
        <v>44194</v>
      </c>
      <c r="M1028" cm="1" vm="3636">
        <f t="array" aca="1" ref="M1028" ca="1">IFERROR(INDEX(_xlfn.ANCHORARRAY($C$3),T_CALC[[#This Row],[DAY]]+1,3),NA())</f>
        <v>1.3299000000000001</v>
      </c>
      <c r="N1028" cm="1" vm="2417">
        <f t="array" aca="1" ref="N1028" ca="1">IFERROR(INDEX(_xlfn.ANCHORARRAY($C$3),T_CALC[[#This Row],[DAY]]+1,4),NA())</f>
        <v>1.331</v>
      </c>
      <c r="O1028" cm="1" vm="3644">
        <f t="array" aca="1" ref="O1028" ca="1">IFERROR(INDEX(_xlfn.ANCHORARRAY($C$3),T_CALC[[#This Row],[DAY]]+1,5),NA())</f>
        <v>1.3266</v>
      </c>
      <c r="P1028" cm="1" vm="3629">
        <f t="array" aca="1" ref="P1028" ca="1">IFERROR(INDEX(_xlfn.ANCHORARRAY($C$3),T_CALC[[#This Row],[DAY]]+1,6),NA())</f>
        <v>1.3269</v>
      </c>
      <c r="Q1028" cm="1">
        <f t="array" aca="1" ref="Q1028" ca="1">IFERROR(INDEX(_xlfn.ANCHORARRAY($C$3),T_CALC[[#This Row],[DAY]]+1,2),NA())</f>
        <v>0</v>
      </c>
    </row>
    <row r="1029" spans="3:17">
      <c r="C1029" vm="3645">
        <f ca="1"/>
        <v>44195</v>
      </c>
      <c r="D1029">
        <f ca="1"/>
        <v>0</v>
      </c>
      <c r="E1029" vm="2318">
        <f ca="1"/>
        <v>1.327</v>
      </c>
      <c r="F1029" vm="3646">
        <f ca="1"/>
        <v>1.3271999999999999</v>
      </c>
      <c r="G1029" vm="2473">
        <f ca="1"/>
        <v>1.3220000000000001</v>
      </c>
      <c r="H1029" vm="2416">
        <f ca="1"/>
        <v>1.3229</v>
      </c>
      <c r="K1029">
        <f ca="1">IF(ROW(T_CALC[[#This Row],[DAY]])-ROW(T_CALC[[#Headers],[DAY]])&gt;C_N_TRADING_DAYS,"",ROW(T_CALC[[#This Row],[DAY]])-ROW(T_CALC[[#Headers],[DAY]]))</f>
        <v>1026</v>
      </c>
      <c r="L1029" cm="1" vm="3645">
        <f t="array" aca="1" ref="L1029" ca="1">IFERROR(INDEX(_xlfn.ANCHORARRAY($C$3),T_CALC[[#This Row],[DAY]]+1,1),NA())</f>
        <v>44195</v>
      </c>
      <c r="M1029" cm="1" vm="2318">
        <f t="array" aca="1" ref="M1029" ca="1">IFERROR(INDEX(_xlfn.ANCHORARRAY($C$3),T_CALC[[#This Row],[DAY]]+1,3),NA())</f>
        <v>1.327</v>
      </c>
      <c r="N1029" cm="1" vm="3646">
        <f t="array" aca="1" ref="N1029" ca="1">IFERROR(INDEX(_xlfn.ANCHORARRAY($C$3),T_CALC[[#This Row],[DAY]]+1,4),NA())</f>
        <v>1.3271999999999999</v>
      </c>
      <c r="O1029" cm="1" vm="2473">
        <f t="array" aca="1" ref="O1029" ca="1">IFERROR(INDEX(_xlfn.ANCHORARRAY($C$3),T_CALC[[#This Row],[DAY]]+1,5),NA())</f>
        <v>1.3220000000000001</v>
      </c>
      <c r="P1029" cm="1" vm="2416">
        <f t="array" aca="1" ref="P1029" ca="1">IFERROR(INDEX(_xlfn.ANCHORARRAY($C$3),T_CALC[[#This Row],[DAY]]+1,6),NA())</f>
        <v>1.3229</v>
      </c>
      <c r="Q1029" cm="1">
        <f t="array" aca="1" ref="Q1029" ca="1">IFERROR(INDEX(_xlfn.ANCHORARRAY($C$3),T_CALC[[#This Row],[DAY]]+1,2),NA())</f>
        <v>0</v>
      </c>
    </row>
    <row r="1030" spans="3:17">
      <c r="C1030" vm="3647">
        <f ca="1"/>
        <v>44196</v>
      </c>
      <c r="D1030">
        <f ca="1"/>
        <v>0</v>
      </c>
      <c r="E1030" vm="2426">
        <f ca="1"/>
        <v>1.3228</v>
      </c>
      <c r="F1030" vm="2455">
        <f ca="1"/>
        <v>1.3232999999999999</v>
      </c>
      <c r="G1030" vm="2446">
        <f ca="1"/>
        <v>1.32</v>
      </c>
      <c r="H1030" vm="3648">
        <f ca="1"/>
        <v>1.3209</v>
      </c>
      <c r="K1030">
        <f ca="1">IF(ROW(T_CALC[[#This Row],[DAY]])-ROW(T_CALC[[#Headers],[DAY]])&gt;C_N_TRADING_DAYS,"",ROW(T_CALC[[#This Row],[DAY]])-ROW(T_CALC[[#Headers],[DAY]]))</f>
        <v>1027</v>
      </c>
      <c r="L1030" cm="1" vm="3647">
        <f t="array" aca="1" ref="L1030" ca="1">IFERROR(INDEX(_xlfn.ANCHORARRAY($C$3),T_CALC[[#This Row],[DAY]]+1,1),NA())</f>
        <v>44196</v>
      </c>
      <c r="M1030" cm="1" vm="2426">
        <f t="array" aca="1" ref="M1030" ca="1">IFERROR(INDEX(_xlfn.ANCHORARRAY($C$3),T_CALC[[#This Row],[DAY]]+1,3),NA())</f>
        <v>1.3228</v>
      </c>
      <c r="N1030" cm="1" vm="2455">
        <f t="array" aca="1" ref="N1030" ca="1">IFERROR(INDEX(_xlfn.ANCHORARRAY($C$3),T_CALC[[#This Row],[DAY]]+1,4),NA())</f>
        <v>1.3232999999999999</v>
      </c>
      <c r="O1030" cm="1" vm="2446">
        <f t="array" aca="1" ref="O1030" ca="1">IFERROR(INDEX(_xlfn.ANCHORARRAY($C$3),T_CALC[[#This Row],[DAY]]+1,5),NA())</f>
        <v>1.32</v>
      </c>
      <c r="P1030" cm="1" vm="3648">
        <f t="array" aca="1" ref="P1030" ca="1">IFERROR(INDEX(_xlfn.ANCHORARRAY($C$3),T_CALC[[#This Row],[DAY]]+1,6),NA())</f>
        <v>1.3209</v>
      </c>
      <c r="Q1030" cm="1">
        <f t="array" aca="1" ref="Q1030" ca="1">IFERROR(INDEX(_xlfn.ANCHORARRAY($C$3),T_CALC[[#This Row],[DAY]]+1,2),NA())</f>
        <v>0</v>
      </c>
    </row>
    <row r="1031" spans="3:17">
      <c r="C1031" vm="3649">
        <f ca="1"/>
        <v>44197</v>
      </c>
      <c r="D1031">
        <f ca="1"/>
        <v>0</v>
      </c>
      <c r="E1031" vm="3648">
        <f ca="1"/>
        <v>1.3209</v>
      </c>
      <c r="F1031" vm="3650">
        <f ca="1"/>
        <v>1.3218000000000001</v>
      </c>
      <c r="G1031" vm="3648">
        <f ca="1"/>
        <v>1.3209</v>
      </c>
      <c r="H1031" vm="3650">
        <f ca="1"/>
        <v>1.3218000000000001</v>
      </c>
      <c r="K1031">
        <f ca="1">IF(ROW(T_CALC[[#This Row],[DAY]])-ROW(T_CALC[[#Headers],[DAY]])&gt;C_N_TRADING_DAYS,"",ROW(T_CALC[[#This Row],[DAY]])-ROW(T_CALC[[#Headers],[DAY]]))</f>
        <v>1028</v>
      </c>
      <c r="L1031" cm="1" vm="3649">
        <f t="array" aca="1" ref="L1031" ca="1">IFERROR(INDEX(_xlfn.ANCHORARRAY($C$3),T_CALC[[#This Row],[DAY]]+1,1),NA())</f>
        <v>44197</v>
      </c>
      <c r="M1031" cm="1" vm="3648">
        <f t="array" aca="1" ref="M1031" ca="1">IFERROR(INDEX(_xlfn.ANCHORARRAY($C$3),T_CALC[[#This Row],[DAY]]+1,3),NA())</f>
        <v>1.3209</v>
      </c>
      <c r="N1031" cm="1" vm="3650">
        <f t="array" aca="1" ref="N1031" ca="1">IFERROR(INDEX(_xlfn.ANCHORARRAY($C$3),T_CALC[[#This Row],[DAY]]+1,4),NA())</f>
        <v>1.3218000000000001</v>
      </c>
      <c r="O1031" cm="1" vm="3648">
        <f t="array" aca="1" ref="O1031" ca="1">IFERROR(INDEX(_xlfn.ANCHORARRAY($C$3),T_CALC[[#This Row],[DAY]]+1,5),NA())</f>
        <v>1.3209</v>
      </c>
      <c r="P1031" cm="1" vm="3650">
        <f t="array" aca="1" ref="P1031" ca="1">IFERROR(INDEX(_xlfn.ANCHORARRAY($C$3),T_CALC[[#This Row],[DAY]]+1,6),NA())</f>
        <v>1.3218000000000001</v>
      </c>
      <c r="Q1031" cm="1">
        <f t="array" aca="1" ref="Q1031" ca="1">IFERROR(INDEX(_xlfn.ANCHORARRAY($C$3),T_CALC[[#This Row],[DAY]]+1,2),NA())</f>
        <v>0</v>
      </c>
    </row>
    <row r="1032" spans="3:17">
      <c r="C1032" vm="3651">
        <f ca="1"/>
        <v>44200</v>
      </c>
      <c r="D1032">
        <f ca="1"/>
        <v>0</v>
      </c>
      <c r="E1032" vm="2361">
        <f ca="1"/>
        <v>1.3223</v>
      </c>
      <c r="F1032" vm="2474">
        <f ca="1"/>
        <v>1.3227</v>
      </c>
      <c r="G1032" vm="2486">
        <f ca="1"/>
        <v>1.3160000000000001</v>
      </c>
      <c r="H1032" vm="2349">
        <f ca="1"/>
        <v>1.3204</v>
      </c>
      <c r="K1032">
        <f ca="1">IF(ROW(T_CALC[[#This Row],[DAY]])-ROW(T_CALC[[#Headers],[DAY]])&gt;C_N_TRADING_DAYS,"",ROW(T_CALC[[#This Row],[DAY]])-ROW(T_CALC[[#Headers],[DAY]]))</f>
        <v>1029</v>
      </c>
      <c r="L1032" cm="1" vm="3651">
        <f t="array" aca="1" ref="L1032" ca="1">IFERROR(INDEX(_xlfn.ANCHORARRAY($C$3),T_CALC[[#This Row],[DAY]]+1,1),NA())</f>
        <v>44200</v>
      </c>
      <c r="M1032" cm="1" vm="2361">
        <f t="array" aca="1" ref="M1032" ca="1">IFERROR(INDEX(_xlfn.ANCHORARRAY($C$3),T_CALC[[#This Row],[DAY]]+1,3),NA())</f>
        <v>1.3223</v>
      </c>
      <c r="N1032" cm="1" vm="2474">
        <f t="array" aca="1" ref="N1032" ca="1">IFERROR(INDEX(_xlfn.ANCHORARRAY($C$3),T_CALC[[#This Row],[DAY]]+1,4),NA())</f>
        <v>1.3227</v>
      </c>
      <c r="O1032" cm="1" vm="2486">
        <f t="array" aca="1" ref="O1032" ca="1">IFERROR(INDEX(_xlfn.ANCHORARRAY($C$3),T_CALC[[#This Row],[DAY]]+1,5),NA())</f>
        <v>1.3160000000000001</v>
      </c>
      <c r="P1032" cm="1" vm="2349">
        <f t="array" aca="1" ref="P1032" ca="1">IFERROR(INDEX(_xlfn.ANCHORARRAY($C$3),T_CALC[[#This Row],[DAY]]+1,6),NA())</f>
        <v>1.3204</v>
      </c>
      <c r="Q1032" cm="1">
        <f t="array" aca="1" ref="Q1032" ca="1">IFERROR(INDEX(_xlfn.ANCHORARRAY($C$3),T_CALC[[#This Row],[DAY]]+1,2),NA())</f>
        <v>0</v>
      </c>
    </row>
    <row r="1033" spans="3:17">
      <c r="C1033" vm="3652">
        <f ca="1"/>
        <v>44201</v>
      </c>
      <c r="D1033">
        <f ca="1"/>
        <v>0</v>
      </c>
      <c r="E1033" vm="2349">
        <f ca="1"/>
        <v>1.3204</v>
      </c>
      <c r="F1033" vm="2343">
        <f ca="1"/>
        <v>1.3207</v>
      </c>
      <c r="G1033" vm="2368">
        <f ca="1"/>
        <v>1.3169</v>
      </c>
      <c r="H1033" vm="2371">
        <f ca="1"/>
        <v>1.3176000000000001</v>
      </c>
      <c r="K1033">
        <f ca="1">IF(ROW(T_CALC[[#This Row],[DAY]])-ROW(T_CALC[[#Headers],[DAY]])&gt;C_N_TRADING_DAYS,"",ROW(T_CALC[[#This Row],[DAY]])-ROW(T_CALC[[#Headers],[DAY]]))</f>
        <v>1030</v>
      </c>
      <c r="L1033" cm="1" vm="3652">
        <f t="array" aca="1" ref="L1033" ca="1">IFERROR(INDEX(_xlfn.ANCHORARRAY($C$3),T_CALC[[#This Row],[DAY]]+1,1),NA())</f>
        <v>44201</v>
      </c>
      <c r="M1033" cm="1" vm="2349">
        <f t="array" aca="1" ref="M1033" ca="1">IFERROR(INDEX(_xlfn.ANCHORARRAY($C$3),T_CALC[[#This Row],[DAY]]+1,3),NA())</f>
        <v>1.3204</v>
      </c>
      <c r="N1033" cm="1" vm="2343">
        <f t="array" aca="1" ref="N1033" ca="1">IFERROR(INDEX(_xlfn.ANCHORARRAY($C$3),T_CALC[[#This Row],[DAY]]+1,4),NA())</f>
        <v>1.3207</v>
      </c>
      <c r="O1033" cm="1" vm="2368">
        <f t="array" aca="1" ref="O1033" ca="1">IFERROR(INDEX(_xlfn.ANCHORARRAY($C$3),T_CALC[[#This Row],[DAY]]+1,5),NA())</f>
        <v>1.3169</v>
      </c>
      <c r="P1033" cm="1" vm="2371">
        <f t="array" aca="1" ref="P1033" ca="1">IFERROR(INDEX(_xlfn.ANCHORARRAY($C$3),T_CALC[[#This Row],[DAY]]+1,6),NA())</f>
        <v>1.3176000000000001</v>
      </c>
      <c r="Q1033" cm="1">
        <f t="array" aca="1" ref="Q1033" ca="1">IFERROR(INDEX(_xlfn.ANCHORARRAY($C$3),T_CALC[[#This Row],[DAY]]+1,2),NA())</f>
        <v>0</v>
      </c>
    </row>
    <row r="1034" spans="3:17">
      <c r="C1034" vm="3653">
        <f ca="1"/>
        <v>44202</v>
      </c>
      <c r="D1034">
        <f ca="1"/>
        <v>0</v>
      </c>
      <c r="E1034" vm="3654">
        <f ca="1"/>
        <v>1.3174999999999999</v>
      </c>
      <c r="F1034" vm="3655">
        <f ca="1"/>
        <v>1.3210999999999999</v>
      </c>
      <c r="G1034" vm="2407">
        <f ca="1"/>
        <v>1.3154999999999999</v>
      </c>
      <c r="H1034" vm="2371">
        <f ca="1"/>
        <v>1.3176000000000001</v>
      </c>
      <c r="K1034">
        <f ca="1">IF(ROW(T_CALC[[#This Row],[DAY]])-ROW(T_CALC[[#Headers],[DAY]])&gt;C_N_TRADING_DAYS,"",ROW(T_CALC[[#This Row],[DAY]])-ROW(T_CALC[[#Headers],[DAY]]))</f>
        <v>1031</v>
      </c>
      <c r="L1034" cm="1" vm="3653">
        <f t="array" aca="1" ref="L1034" ca="1">IFERROR(INDEX(_xlfn.ANCHORARRAY($C$3),T_CALC[[#This Row],[DAY]]+1,1),NA())</f>
        <v>44202</v>
      </c>
      <c r="M1034" cm="1" vm="3654">
        <f t="array" aca="1" ref="M1034" ca="1">IFERROR(INDEX(_xlfn.ANCHORARRAY($C$3),T_CALC[[#This Row],[DAY]]+1,3),NA())</f>
        <v>1.3174999999999999</v>
      </c>
      <c r="N1034" cm="1" vm="3655">
        <f t="array" aca="1" ref="N1034" ca="1">IFERROR(INDEX(_xlfn.ANCHORARRAY($C$3),T_CALC[[#This Row],[DAY]]+1,4),NA())</f>
        <v>1.3210999999999999</v>
      </c>
      <c r="O1034" cm="1" vm="2407">
        <f t="array" aca="1" ref="O1034" ca="1">IFERROR(INDEX(_xlfn.ANCHORARRAY($C$3),T_CALC[[#This Row],[DAY]]+1,5),NA())</f>
        <v>1.3154999999999999</v>
      </c>
      <c r="P1034" cm="1" vm="2371">
        <f t="array" aca="1" ref="P1034" ca="1">IFERROR(INDEX(_xlfn.ANCHORARRAY($C$3),T_CALC[[#This Row],[DAY]]+1,6),NA())</f>
        <v>1.3176000000000001</v>
      </c>
      <c r="Q1034" cm="1">
        <f t="array" aca="1" ref="Q1034" ca="1">IFERROR(INDEX(_xlfn.ANCHORARRAY($C$3),T_CALC[[#This Row],[DAY]]+1,2),NA())</f>
        <v>0</v>
      </c>
    </row>
    <row r="1035" spans="3:17">
      <c r="C1035" vm="3656">
        <f ca="1"/>
        <v>44203</v>
      </c>
      <c r="D1035">
        <f ca="1"/>
        <v>0</v>
      </c>
      <c r="E1035" vm="2513">
        <f ca="1"/>
        <v>1.3177000000000001</v>
      </c>
      <c r="F1035" vm="2304">
        <f ca="1"/>
        <v>1.3270999999999999</v>
      </c>
      <c r="G1035" vm="2493">
        <f ca="1"/>
        <v>1.3167</v>
      </c>
      <c r="H1035" vm="2470">
        <f ca="1"/>
        <v>1.3246</v>
      </c>
      <c r="K1035">
        <f ca="1">IF(ROW(T_CALC[[#This Row],[DAY]])-ROW(T_CALC[[#Headers],[DAY]])&gt;C_N_TRADING_DAYS,"",ROW(T_CALC[[#This Row],[DAY]])-ROW(T_CALC[[#Headers],[DAY]]))</f>
        <v>1032</v>
      </c>
      <c r="L1035" cm="1" vm="3656">
        <f t="array" aca="1" ref="L1035" ca="1">IFERROR(INDEX(_xlfn.ANCHORARRAY($C$3),T_CALC[[#This Row],[DAY]]+1,1),NA())</f>
        <v>44203</v>
      </c>
      <c r="M1035" cm="1" vm="2513">
        <f t="array" aca="1" ref="M1035" ca="1">IFERROR(INDEX(_xlfn.ANCHORARRAY($C$3),T_CALC[[#This Row],[DAY]]+1,3),NA())</f>
        <v>1.3177000000000001</v>
      </c>
      <c r="N1035" cm="1" vm="2304">
        <f t="array" aca="1" ref="N1035" ca="1">IFERROR(INDEX(_xlfn.ANCHORARRAY($C$3),T_CALC[[#This Row],[DAY]]+1,4),NA())</f>
        <v>1.3270999999999999</v>
      </c>
      <c r="O1035" cm="1" vm="2493">
        <f t="array" aca="1" ref="O1035" ca="1">IFERROR(INDEX(_xlfn.ANCHORARRAY($C$3),T_CALC[[#This Row],[DAY]]+1,5),NA())</f>
        <v>1.3167</v>
      </c>
      <c r="P1035" cm="1" vm="2470">
        <f t="array" aca="1" ref="P1035" ca="1">IFERROR(INDEX(_xlfn.ANCHORARRAY($C$3),T_CALC[[#This Row],[DAY]]+1,6),NA())</f>
        <v>1.3246</v>
      </c>
      <c r="Q1035" cm="1">
        <f t="array" aca="1" ref="Q1035" ca="1">IFERROR(INDEX(_xlfn.ANCHORARRAY($C$3),T_CALC[[#This Row],[DAY]]+1,2),NA())</f>
        <v>0</v>
      </c>
    </row>
    <row r="1036" spans="3:17">
      <c r="C1036" vm="3657">
        <f ca="1"/>
        <v>44204</v>
      </c>
      <c r="D1036">
        <f ca="1"/>
        <v>0</v>
      </c>
      <c r="E1036" vm="2346">
        <f ca="1"/>
        <v>1.3248</v>
      </c>
      <c r="F1036" vm="3658">
        <f ca="1"/>
        <v>1.3286</v>
      </c>
      <c r="G1036" vm="3659">
        <f ca="1"/>
        <v>1.3212999999999999</v>
      </c>
      <c r="H1036" vm="2415">
        <f ca="1"/>
        <v>1.3249</v>
      </c>
      <c r="K1036">
        <f ca="1">IF(ROW(T_CALC[[#This Row],[DAY]])-ROW(T_CALC[[#Headers],[DAY]])&gt;C_N_TRADING_DAYS,"",ROW(T_CALC[[#This Row],[DAY]])-ROW(T_CALC[[#Headers],[DAY]]))</f>
        <v>1033</v>
      </c>
      <c r="L1036" cm="1" vm="3657">
        <f t="array" aca="1" ref="L1036" ca="1">IFERROR(INDEX(_xlfn.ANCHORARRAY($C$3),T_CALC[[#This Row],[DAY]]+1,1),NA())</f>
        <v>44204</v>
      </c>
      <c r="M1036" cm="1" vm="2346">
        <f t="array" aca="1" ref="M1036" ca="1">IFERROR(INDEX(_xlfn.ANCHORARRAY($C$3),T_CALC[[#This Row],[DAY]]+1,3),NA())</f>
        <v>1.3248</v>
      </c>
      <c r="N1036" cm="1" vm="3658">
        <f t="array" aca="1" ref="N1036" ca="1">IFERROR(INDEX(_xlfn.ANCHORARRAY($C$3),T_CALC[[#This Row],[DAY]]+1,4),NA())</f>
        <v>1.3286</v>
      </c>
      <c r="O1036" cm="1" vm="3659">
        <f t="array" aca="1" ref="O1036" ca="1">IFERROR(INDEX(_xlfn.ANCHORARRAY($C$3),T_CALC[[#This Row],[DAY]]+1,5),NA())</f>
        <v>1.3212999999999999</v>
      </c>
      <c r="P1036" cm="1" vm="2415">
        <f t="array" aca="1" ref="P1036" ca="1">IFERROR(INDEX(_xlfn.ANCHORARRAY($C$3),T_CALC[[#This Row],[DAY]]+1,6),NA())</f>
        <v>1.3249</v>
      </c>
      <c r="Q1036" cm="1">
        <f t="array" aca="1" ref="Q1036" ca="1">IFERROR(INDEX(_xlfn.ANCHORARRAY($C$3),T_CALC[[#This Row],[DAY]]+1,2),NA())</f>
        <v>0</v>
      </c>
    </row>
    <row r="1037" spans="3:17">
      <c r="C1037" vm="3660">
        <f ca="1"/>
        <v>44207</v>
      </c>
      <c r="D1037">
        <f ca="1"/>
        <v>0</v>
      </c>
      <c r="E1037" vm="2415">
        <f ca="1"/>
        <v>1.3249</v>
      </c>
      <c r="F1037" vm="2323">
        <f ca="1"/>
        <v>1.3323</v>
      </c>
      <c r="G1037" vm="2415">
        <f ca="1"/>
        <v>1.3249</v>
      </c>
      <c r="H1037" vm="3661">
        <f ca="1"/>
        <v>1.3307</v>
      </c>
      <c r="K1037">
        <f ca="1">IF(ROW(T_CALC[[#This Row],[DAY]])-ROW(T_CALC[[#Headers],[DAY]])&gt;C_N_TRADING_DAYS,"",ROW(T_CALC[[#This Row],[DAY]])-ROW(T_CALC[[#Headers],[DAY]]))</f>
        <v>1034</v>
      </c>
      <c r="L1037" cm="1" vm="3660">
        <f t="array" aca="1" ref="L1037" ca="1">IFERROR(INDEX(_xlfn.ANCHORARRAY($C$3),T_CALC[[#This Row],[DAY]]+1,1),NA())</f>
        <v>44207</v>
      </c>
      <c r="M1037" cm="1" vm="2415">
        <f t="array" aca="1" ref="M1037" ca="1">IFERROR(INDEX(_xlfn.ANCHORARRAY($C$3),T_CALC[[#This Row],[DAY]]+1,3),NA())</f>
        <v>1.3249</v>
      </c>
      <c r="N1037" cm="1" vm="2323">
        <f t="array" aca="1" ref="N1037" ca="1">IFERROR(INDEX(_xlfn.ANCHORARRAY($C$3),T_CALC[[#This Row],[DAY]]+1,4),NA())</f>
        <v>1.3323</v>
      </c>
      <c r="O1037" cm="1" vm="2415">
        <f t="array" aca="1" ref="O1037" ca="1">IFERROR(INDEX(_xlfn.ANCHORARRAY($C$3),T_CALC[[#This Row],[DAY]]+1,5),NA())</f>
        <v>1.3249</v>
      </c>
      <c r="P1037" cm="1" vm="3661">
        <f t="array" aca="1" ref="P1037" ca="1">IFERROR(INDEX(_xlfn.ANCHORARRAY($C$3),T_CALC[[#This Row],[DAY]]+1,6),NA())</f>
        <v>1.3307</v>
      </c>
      <c r="Q1037" cm="1">
        <f t="array" aca="1" ref="Q1037" ca="1">IFERROR(INDEX(_xlfn.ANCHORARRAY($C$3),T_CALC[[#This Row],[DAY]]+1,2),NA())</f>
        <v>0</v>
      </c>
    </row>
    <row r="1038" spans="3:17">
      <c r="C1038" vm="3662">
        <f ca="1"/>
        <v>44208</v>
      </c>
      <c r="D1038">
        <f ca="1"/>
        <v>0</v>
      </c>
      <c r="E1038" vm="2417">
        <f ca="1"/>
        <v>1.331</v>
      </c>
      <c r="F1038" vm="3637">
        <f ca="1"/>
        <v>1.3320000000000001</v>
      </c>
      <c r="G1038" vm="2426">
        <f ca="1"/>
        <v>1.3228</v>
      </c>
      <c r="H1038" vm="2476">
        <f ca="1"/>
        <v>1.323</v>
      </c>
      <c r="K1038">
        <f ca="1">IF(ROW(T_CALC[[#This Row],[DAY]])-ROW(T_CALC[[#Headers],[DAY]])&gt;C_N_TRADING_DAYS,"",ROW(T_CALC[[#This Row],[DAY]])-ROW(T_CALC[[#Headers],[DAY]]))</f>
        <v>1035</v>
      </c>
      <c r="L1038" cm="1" vm="3662">
        <f t="array" aca="1" ref="L1038" ca="1">IFERROR(INDEX(_xlfn.ANCHORARRAY($C$3),T_CALC[[#This Row],[DAY]]+1,1),NA())</f>
        <v>44208</v>
      </c>
      <c r="M1038" cm="1" vm="2417">
        <f t="array" aca="1" ref="M1038" ca="1">IFERROR(INDEX(_xlfn.ANCHORARRAY($C$3),T_CALC[[#This Row],[DAY]]+1,3),NA())</f>
        <v>1.331</v>
      </c>
      <c r="N1038" cm="1" vm="3637">
        <f t="array" aca="1" ref="N1038" ca="1">IFERROR(INDEX(_xlfn.ANCHORARRAY($C$3),T_CALC[[#This Row],[DAY]]+1,4),NA())</f>
        <v>1.3320000000000001</v>
      </c>
      <c r="O1038" cm="1" vm="2426">
        <f t="array" aca="1" ref="O1038" ca="1">IFERROR(INDEX(_xlfn.ANCHORARRAY($C$3),T_CALC[[#This Row],[DAY]]+1,5),NA())</f>
        <v>1.3228</v>
      </c>
      <c r="P1038" cm="1" vm="2476">
        <f t="array" aca="1" ref="P1038" ca="1">IFERROR(INDEX(_xlfn.ANCHORARRAY($C$3),T_CALC[[#This Row],[DAY]]+1,6),NA())</f>
        <v>1.323</v>
      </c>
      <c r="Q1038" cm="1">
        <f t="array" aca="1" ref="Q1038" ca="1">IFERROR(INDEX(_xlfn.ANCHORARRAY($C$3),T_CALC[[#This Row],[DAY]]+1,2),NA())</f>
        <v>0</v>
      </c>
    </row>
    <row r="1039" spans="3:17">
      <c r="C1039" vm="3663">
        <f ca="1"/>
        <v>44209</v>
      </c>
      <c r="D1039">
        <f ca="1"/>
        <v>0</v>
      </c>
      <c r="E1039" vm="2416">
        <f ca="1"/>
        <v>1.3229</v>
      </c>
      <c r="F1039" vm="2355">
        <f ca="1"/>
        <v>1.3272999999999999</v>
      </c>
      <c r="G1039" vm="2357">
        <f ca="1"/>
        <v>1.3213999999999999</v>
      </c>
      <c r="H1039" vm="2312">
        <f ca="1"/>
        <v>1.3265</v>
      </c>
      <c r="K1039">
        <f ca="1">IF(ROW(T_CALC[[#This Row],[DAY]])-ROW(T_CALC[[#Headers],[DAY]])&gt;C_N_TRADING_DAYS,"",ROW(T_CALC[[#This Row],[DAY]])-ROW(T_CALC[[#Headers],[DAY]]))</f>
        <v>1036</v>
      </c>
      <c r="L1039" cm="1" vm="3663">
        <f t="array" aca="1" ref="L1039" ca="1">IFERROR(INDEX(_xlfn.ANCHORARRAY($C$3),T_CALC[[#This Row],[DAY]]+1,1),NA())</f>
        <v>44209</v>
      </c>
      <c r="M1039" cm="1" vm="2416">
        <f t="array" aca="1" ref="M1039" ca="1">IFERROR(INDEX(_xlfn.ANCHORARRAY($C$3),T_CALC[[#This Row],[DAY]]+1,3),NA())</f>
        <v>1.3229</v>
      </c>
      <c r="N1039" cm="1" vm="2355">
        <f t="array" aca="1" ref="N1039" ca="1">IFERROR(INDEX(_xlfn.ANCHORARRAY($C$3),T_CALC[[#This Row],[DAY]]+1,4),NA())</f>
        <v>1.3272999999999999</v>
      </c>
      <c r="O1039" cm="1" vm="2357">
        <f t="array" aca="1" ref="O1039" ca="1">IFERROR(INDEX(_xlfn.ANCHORARRAY($C$3),T_CALC[[#This Row],[DAY]]+1,5),NA())</f>
        <v>1.3213999999999999</v>
      </c>
      <c r="P1039" cm="1" vm="2312">
        <f t="array" aca="1" ref="P1039" ca="1">IFERROR(INDEX(_xlfn.ANCHORARRAY($C$3),T_CALC[[#This Row],[DAY]]+1,6),NA())</f>
        <v>1.3265</v>
      </c>
      <c r="Q1039" cm="1">
        <f t="array" aca="1" ref="Q1039" ca="1">IFERROR(INDEX(_xlfn.ANCHORARRAY($C$3),T_CALC[[#This Row],[DAY]]+1,2),NA())</f>
        <v>0</v>
      </c>
    </row>
    <row r="1040" spans="3:17">
      <c r="C1040" vm="3664">
        <f ca="1"/>
        <v>44210</v>
      </c>
      <c r="D1040">
        <f ca="1"/>
        <v>0</v>
      </c>
      <c r="E1040" vm="3642">
        <f ca="1"/>
        <v>1.3267</v>
      </c>
      <c r="F1040" vm="2314">
        <f ca="1"/>
        <v>1.3282</v>
      </c>
      <c r="G1040" vm="2476">
        <f ca="1"/>
        <v>1.323</v>
      </c>
      <c r="H1040" vm="2470">
        <f ca="1"/>
        <v>1.3246</v>
      </c>
      <c r="K1040">
        <f ca="1">IF(ROW(T_CALC[[#This Row],[DAY]])-ROW(T_CALC[[#Headers],[DAY]])&gt;C_N_TRADING_DAYS,"",ROW(T_CALC[[#This Row],[DAY]])-ROW(T_CALC[[#Headers],[DAY]]))</f>
        <v>1037</v>
      </c>
      <c r="L1040" cm="1" vm="3664">
        <f t="array" aca="1" ref="L1040" ca="1">IFERROR(INDEX(_xlfn.ANCHORARRAY($C$3),T_CALC[[#This Row],[DAY]]+1,1),NA())</f>
        <v>44210</v>
      </c>
      <c r="M1040" cm="1" vm="3642">
        <f t="array" aca="1" ref="M1040" ca="1">IFERROR(INDEX(_xlfn.ANCHORARRAY($C$3),T_CALC[[#This Row],[DAY]]+1,3),NA())</f>
        <v>1.3267</v>
      </c>
      <c r="N1040" cm="1" vm="2314">
        <f t="array" aca="1" ref="N1040" ca="1">IFERROR(INDEX(_xlfn.ANCHORARRAY($C$3),T_CALC[[#This Row],[DAY]]+1,4),NA())</f>
        <v>1.3282</v>
      </c>
      <c r="O1040" cm="1" vm="2476">
        <f t="array" aca="1" ref="O1040" ca="1">IFERROR(INDEX(_xlfn.ANCHORARRAY($C$3),T_CALC[[#This Row],[DAY]]+1,5),NA())</f>
        <v>1.323</v>
      </c>
      <c r="P1040" cm="1" vm="2470">
        <f t="array" aca="1" ref="P1040" ca="1">IFERROR(INDEX(_xlfn.ANCHORARRAY($C$3),T_CALC[[#This Row],[DAY]]+1,6),NA())</f>
        <v>1.3246</v>
      </c>
      <c r="Q1040" cm="1">
        <f t="array" aca="1" ref="Q1040" ca="1">IFERROR(INDEX(_xlfn.ANCHORARRAY($C$3),T_CALC[[#This Row],[DAY]]+1,2),NA())</f>
        <v>0</v>
      </c>
    </row>
    <row r="1041" spans="3:17">
      <c r="C1041" vm="3665">
        <f ca="1"/>
        <v>44211</v>
      </c>
      <c r="D1041">
        <f ca="1"/>
        <v>0</v>
      </c>
      <c r="E1041" vm="2465">
        <f ca="1"/>
        <v>1.3242</v>
      </c>
      <c r="F1041" vm="2419">
        <f ca="1"/>
        <v>1.3310999999999999</v>
      </c>
      <c r="G1041" vm="3666">
        <f ca="1"/>
        <v>1.3231999999999999</v>
      </c>
      <c r="H1041" vm="3628">
        <f ca="1"/>
        <v>1.3297000000000001</v>
      </c>
      <c r="K1041">
        <f ca="1">IF(ROW(T_CALC[[#This Row],[DAY]])-ROW(T_CALC[[#Headers],[DAY]])&gt;C_N_TRADING_DAYS,"",ROW(T_CALC[[#This Row],[DAY]])-ROW(T_CALC[[#Headers],[DAY]]))</f>
        <v>1038</v>
      </c>
      <c r="L1041" cm="1" vm="3665">
        <f t="array" aca="1" ref="L1041" ca="1">IFERROR(INDEX(_xlfn.ANCHORARRAY($C$3),T_CALC[[#This Row],[DAY]]+1,1),NA())</f>
        <v>44211</v>
      </c>
      <c r="M1041" cm="1" vm="2465">
        <f t="array" aca="1" ref="M1041" ca="1">IFERROR(INDEX(_xlfn.ANCHORARRAY($C$3),T_CALC[[#This Row],[DAY]]+1,3),NA())</f>
        <v>1.3242</v>
      </c>
      <c r="N1041" cm="1" vm="2419">
        <f t="array" aca="1" ref="N1041" ca="1">IFERROR(INDEX(_xlfn.ANCHORARRAY($C$3),T_CALC[[#This Row],[DAY]]+1,4),NA())</f>
        <v>1.3310999999999999</v>
      </c>
      <c r="O1041" cm="1" vm="3666">
        <f t="array" aca="1" ref="O1041" ca="1">IFERROR(INDEX(_xlfn.ANCHORARRAY($C$3),T_CALC[[#This Row],[DAY]]+1,5),NA())</f>
        <v>1.3231999999999999</v>
      </c>
      <c r="P1041" cm="1" vm="3628">
        <f t="array" aca="1" ref="P1041" ca="1">IFERROR(INDEX(_xlfn.ANCHORARRAY($C$3),T_CALC[[#This Row],[DAY]]+1,6),NA())</f>
        <v>1.3297000000000001</v>
      </c>
      <c r="Q1041" cm="1">
        <f t="array" aca="1" ref="Q1041" ca="1">IFERROR(INDEX(_xlfn.ANCHORARRAY($C$3),T_CALC[[#This Row],[DAY]]+1,2),NA())</f>
        <v>0</v>
      </c>
    </row>
    <row r="1042" spans="3:17">
      <c r="C1042" vm="3667">
        <f ca="1"/>
        <v>44214</v>
      </c>
      <c r="D1042">
        <f ca="1"/>
        <v>0</v>
      </c>
      <c r="E1042" vm="2587">
        <f ca="1"/>
        <v>1.3292999999999999</v>
      </c>
      <c r="F1042" vm="3668">
        <f ca="1"/>
        <v>1.3334999999999999</v>
      </c>
      <c r="G1042" vm="3669">
        <f ca="1"/>
        <v>1.329</v>
      </c>
      <c r="H1042" vm="2307">
        <f ca="1"/>
        <v>1.3309</v>
      </c>
      <c r="K1042">
        <f ca="1">IF(ROW(T_CALC[[#This Row],[DAY]])-ROW(T_CALC[[#Headers],[DAY]])&gt;C_N_TRADING_DAYS,"",ROW(T_CALC[[#This Row],[DAY]])-ROW(T_CALC[[#Headers],[DAY]]))</f>
        <v>1039</v>
      </c>
      <c r="L1042" cm="1" vm="3667">
        <f t="array" aca="1" ref="L1042" ca="1">IFERROR(INDEX(_xlfn.ANCHORARRAY($C$3),T_CALC[[#This Row],[DAY]]+1,1),NA())</f>
        <v>44214</v>
      </c>
      <c r="M1042" cm="1" vm="2587">
        <f t="array" aca="1" ref="M1042" ca="1">IFERROR(INDEX(_xlfn.ANCHORARRAY($C$3),T_CALC[[#This Row],[DAY]]+1,3),NA())</f>
        <v>1.3292999999999999</v>
      </c>
      <c r="N1042" cm="1" vm="3668">
        <f t="array" aca="1" ref="N1042" ca="1">IFERROR(INDEX(_xlfn.ANCHORARRAY($C$3),T_CALC[[#This Row],[DAY]]+1,4),NA())</f>
        <v>1.3334999999999999</v>
      </c>
      <c r="O1042" cm="1" vm="3669">
        <f t="array" aca="1" ref="O1042" ca="1">IFERROR(INDEX(_xlfn.ANCHORARRAY($C$3),T_CALC[[#This Row],[DAY]]+1,5),NA())</f>
        <v>1.329</v>
      </c>
      <c r="P1042" cm="1" vm="2307">
        <f t="array" aca="1" ref="P1042" ca="1">IFERROR(INDEX(_xlfn.ANCHORARRAY($C$3),T_CALC[[#This Row],[DAY]]+1,6),NA())</f>
        <v>1.3309</v>
      </c>
      <c r="Q1042" cm="1">
        <f t="array" aca="1" ref="Q1042" ca="1">IFERROR(INDEX(_xlfn.ANCHORARRAY($C$3),T_CALC[[#This Row],[DAY]]+1,2),NA())</f>
        <v>0</v>
      </c>
    </row>
    <row r="1043" spans="3:17">
      <c r="C1043" vm="3670">
        <f ca="1"/>
        <v>44215</v>
      </c>
      <c r="D1043">
        <f ca="1"/>
        <v>0</v>
      </c>
      <c r="E1043" vm="3661">
        <f ca="1"/>
        <v>1.3307</v>
      </c>
      <c r="F1043" vm="3671">
        <f ca="1"/>
        <v>1.3317000000000001</v>
      </c>
      <c r="G1043" vm="2308">
        <f ca="1"/>
        <v>1.3275999999999999</v>
      </c>
      <c r="H1043" vm="2572">
        <f ca="1"/>
        <v>1.3287</v>
      </c>
      <c r="K1043">
        <f ca="1">IF(ROW(T_CALC[[#This Row],[DAY]])-ROW(T_CALC[[#Headers],[DAY]])&gt;C_N_TRADING_DAYS,"",ROW(T_CALC[[#This Row],[DAY]])-ROW(T_CALC[[#Headers],[DAY]]))</f>
        <v>1040</v>
      </c>
      <c r="L1043" cm="1" vm="3670">
        <f t="array" aca="1" ref="L1043" ca="1">IFERROR(INDEX(_xlfn.ANCHORARRAY($C$3),T_CALC[[#This Row],[DAY]]+1,1),NA())</f>
        <v>44215</v>
      </c>
      <c r="M1043" cm="1" vm="3661">
        <f t="array" aca="1" ref="M1043" ca="1">IFERROR(INDEX(_xlfn.ANCHORARRAY($C$3),T_CALC[[#This Row],[DAY]]+1,3),NA())</f>
        <v>1.3307</v>
      </c>
      <c r="N1043" cm="1" vm="3671">
        <f t="array" aca="1" ref="N1043" ca="1">IFERROR(INDEX(_xlfn.ANCHORARRAY($C$3),T_CALC[[#This Row],[DAY]]+1,4),NA())</f>
        <v>1.3317000000000001</v>
      </c>
      <c r="O1043" cm="1" vm="2308">
        <f t="array" aca="1" ref="O1043" ca="1">IFERROR(INDEX(_xlfn.ANCHORARRAY($C$3),T_CALC[[#This Row],[DAY]]+1,5),NA())</f>
        <v>1.3275999999999999</v>
      </c>
      <c r="P1043" cm="1" vm="2572">
        <f t="array" aca="1" ref="P1043" ca="1">IFERROR(INDEX(_xlfn.ANCHORARRAY($C$3),T_CALC[[#This Row],[DAY]]+1,6),NA())</f>
        <v>1.3287</v>
      </c>
      <c r="Q1043" cm="1">
        <f t="array" aca="1" ref="Q1043" ca="1">IFERROR(INDEX(_xlfn.ANCHORARRAY($C$3),T_CALC[[#This Row],[DAY]]+1,2),NA())</f>
        <v>0</v>
      </c>
    </row>
    <row r="1044" spans="3:17">
      <c r="C1044" vm="3672">
        <f ca="1"/>
        <v>44216</v>
      </c>
      <c r="D1044">
        <f ca="1"/>
        <v>0</v>
      </c>
      <c r="E1044" vm="2587">
        <f ca="1"/>
        <v>1.3292999999999999</v>
      </c>
      <c r="F1044" vm="2587">
        <f ca="1"/>
        <v>1.3292999999999999</v>
      </c>
      <c r="G1044" vm="2354">
        <f ca="1"/>
        <v>1.3243</v>
      </c>
      <c r="H1044" vm="2472">
        <f ca="1"/>
        <v>1.3245</v>
      </c>
      <c r="K1044">
        <f ca="1">IF(ROW(T_CALC[[#This Row],[DAY]])-ROW(T_CALC[[#Headers],[DAY]])&gt;C_N_TRADING_DAYS,"",ROW(T_CALC[[#This Row],[DAY]])-ROW(T_CALC[[#Headers],[DAY]]))</f>
        <v>1041</v>
      </c>
      <c r="L1044" cm="1" vm="3672">
        <f t="array" aca="1" ref="L1044" ca="1">IFERROR(INDEX(_xlfn.ANCHORARRAY($C$3),T_CALC[[#This Row],[DAY]]+1,1),NA())</f>
        <v>44216</v>
      </c>
      <c r="M1044" cm="1" vm="2587">
        <f t="array" aca="1" ref="M1044" ca="1">IFERROR(INDEX(_xlfn.ANCHORARRAY($C$3),T_CALC[[#This Row],[DAY]]+1,3),NA())</f>
        <v>1.3292999999999999</v>
      </c>
      <c r="N1044" cm="1" vm="2587">
        <f t="array" aca="1" ref="N1044" ca="1">IFERROR(INDEX(_xlfn.ANCHORARRAY($C$3),T_CALC[[#This Row],[DAY]]+1,4),NA())</f>
        <v>1.3292999999999999</v>
      </c>
      <c r="O1044" cm="1" vm="2354">
        <f t="array" aca="1" ref="O1044" ca="1">IFERROR(INDEX(_xlfn.ANCHORARRAY($C$3),T_CALC[[#This Row],[DAY]]+1,5),NA())</f>
        <v>1.3243</v>
      </c>
      <c r="P1044" cm="1" vm="2472">
        <f t="array" aca="1" ref="P1044" ca="1">IFERROR(INDEX(_xlfn.ANCHORARRAY($C$3),T_CALC[[#This Row],[DAY]]+1,6),NA())</f>
        <v>1.3245</v>
      </c>
      <c r="Q1044" cm="1">
        <f t="array" aca="1" ref="Q1044" ca="1">IFERROR(INDEX(_xlfn.ANCHORARRAY($C$3),T_CALC[[#This Row],[DAY]]+1,2),NA())</f>
        <v>0</v>
      </c>
    </row>
    <row r="1045" spans="3:17">
      <c r="C1045" vm="3673">
        <f ca="1"/>
        <v>44217</v>
      </c>
      <c r="D1045">
        <f ca="1"/>
        <v>0</v>
      </c>
      <c r="E1045" vm="2472">
        <f ca="1"/>
        <v>1.3245</v>
      </c>
      <c r="F1045" vm="3674">
        <f ca="1"/>
        <v>1.3260000000000001</v>
      </c>
      <c r="G1045" vm="2469">
        <f ca="1"/>
        <v>1.3217000000000001</v>
      </c>
      <c r="H1045" vm="2473">
        <f ca="1"/>
        <v>1.3220000000000001</v>
      </c>
      <c r="K1045">
        <f ca="1">IF(ROW(T_CALC[[#This Row],[DAY]])-ROW(T_CALC[[#Headers],[DAY]])&gt;C_N_TRADING_DAYS,"",ROW(T_CALC[[#This Row],[DAY]])-ROW(T_CALC[[#Headers],[DAY]]))</f>
        <v>1042</v>
      </c>
      <c r="L1045" cm="1" vm="3673">
        <f t="array" aca="1" ref="L1045" ca="1">IFERROR(INDEX(_xlfn.ANCHORARRAY($C$3),T_CALC[[#This Row],[DAY]]+1,1),NA())</f>
        <v>44217</v>
      </c>
      <c r="M1045" cm="1" vm="2472">
        <f t="array" aca="1" ref="M1045" ca="1">IFERROR(INDEX(_xlfn.ANCHORARRAY($C$3),T_CALC[[#This Row],[DAY]]+1,3),NA())</f>
        <v>1.3245</v>
      </c>
      <c r="N1045" cm="1" vm="3674">
        <f t="array" aca="1" ref="N1045" ca="1">IFERROR(INDEX(_xlfn.ANCHORARRAY($C$3),T_CALC[[#This Row],[DAY]]+1,4),NA())</f>
        <v>1.3260000000000001</v>
      </c>
      <c r="O1045" cm="1" vm="2469">
        <f t="array" aca="1" ref="O1045" ca="1">IFERROR(INDEX(_xlfn.ANCHORARRAY($C$3),T_CALC[[#This Row],[DAY]]+1,5),NA())</f>
        <v>1.3217000000000001</v>
      </c>
      <c r="P1045" cm="1" vm="2473">
        <f t="array" aca="1" ref="P1045" ca="1">IFERROR(INDEX(_xlfn.ANCHORARRAY($C$3),T_CALC[[#This Row],[DAY]]+1,6),NA())</f>
        <v>1.3220000000000001</v>
      </c>
      <c r="Q1045" cm="1">
        <f t="array" aca="1" ref="Q1045" ca="1">IFERROR(INDEX(_xlfn.ANCHORARRAY($C$3),T_CALC[[#This Row],[DAY]]+1,2),NA())</f>
        <v>0</v>
      </c>
    </row>
    <row r="1046" spans="3:17">
      <c r="C1046" vm="3675">
        <f ca="1"/>
        <v>44218</v>
      </c>
      <c r="D1046">
        <f ca="1"/>
        <v>0</v>
      </c>
      <c r="E1046" vm="2474">
        <f ca="1"/>
        <v>1.3227</v>
      </c>
      <c r="F1046" vm="3639">
        <f ca="1"/>
        <v>1.3288</v>
      </c>
      <c r="G1046" vm="2473">
        <f ca="1"/>
        <v>1.3220000000000001</v>
      </c>
      <c r="H1046" vm="2571">
        <f ca="1"/>
        <v>1.3283</v>
      </c>
      <c r="K1046">
        <f ca="1">IF(ROW(T_CALC[[#This Row],[DAY]])-ROW(T_CALC[[#Headers],[DAY]])&gt;C_N_TRADING_DAYS,"",ROW(T_CALC[[#This Row],[DAY]])-ROW(T_CALC[[#Headers],[DAY]]))</f>
        <v>1043</v>
      </c>
      <c r="L1046" cm="1" vm="3675">
        <f t="array" aca="1" ref="L1046" ca="1">IFERROR(INDEX(_xlfn.ANCHORARRAY($C$3),T_CALC[[#This Row],[DAY]]+1,1),NA())</f>
        <v>44218</v>
      </c>
      <c r="M1046" cm="1" vm="2474">
        <f t="array" aca="1" ref="M1046" ca="1">IFERROR(INDEX(_xlfn.ANCHORARRAY($C$3),T_CALC[[#This Row],[DAY]]+1,3),NA())</f>
        <v>1.3227</v>
      </c>
      <c r="N1046" cm="1" vm="3639">
        <f t="array" aca="1" ref="N1046" ca="1">IFERROR(INDEX(_xlfn.ANCHORARRAY($C$3),T_CALC[[#This Row],[DAY]]+1,4),NA())</f>
        <v>1.3288</v>
      </c>
      <c r="O1046" cm="1" vm="2473">
        <f t="array" aca="1" ref="O1046" ca="1">IFERROR(INDEX(_xlfn.ANCHORARRAY($C$3),T_CALC[[#This Row],[DAY]]+1,5),NA())</f>
        <v>1.3220000000000001</v>
      </c>
      <c r="P1046" cm="1" vm="2571">
        <f t="array" aca="1" ref="P1046" ca="1">IFERROR(INDEX(_xlfn.ANCHORARRAY($C$3),T_CALC[[#This Row],[DAY]]+1,6),NA())</f>
        <v>1.3283</v>
      </c>
      <c r="Q1046" cm="1">
        <f t="array" aca="1" ref="Q1046" ca="1">IFERROR(INDEX(_xlfn.ANCHORARRAY($C$3),T_CALC[[#This Row],[DAY]]+1,2),NA())</f>
        <v>0</v>
      </c>
    </row>
    <row r="1047" spans="3:17">
      <c r="C1047" vm="10">
        <f ca="1"/>
        <v>44221</v>
      </c>
      <c r="D1047">
        <f ca="1"/>
        <v>0</v>
      </c>
      <c r="E1047" vm="2304">
        <f ca="1"/>
        <v>1.3270999999999999</v>
      </c>
      <c r="F1047" vm="2569">
        <f ca="1"/>
        <v>1.3295999999999999</v>
      </c>
      <c r="G1047" vm="2346">
        <f ca="1"/>
        <v>1.3248</v>
      </c>
      <c r="H1047" vm="2304">
        <f ca="1"/>
        <v>1.3270999999999999</v>
      </c>
      <c r="K1047">
        <f ca="1">IF(ROW(T_CALC[[#This Row],[DAY]])-ROW(T_CALC[[#Headers],[DAY]])&gt;C_N_TRADING_DAYS,"",ROW(T_CALC[[#This Row],[DAY]])-ROW(T_CALC[[#Headers],[DAY]]))</f>
        <v>1044</v>
      </c>
      <c r="L1047" cm="1" vm="10">
        <f t="array" aca="1" ref="L1047" ca="1">IFERROR(INDEX(_xlfn.ANCHORARRAY($C$3),T_CALC[[#This Row],[DAY]]+1,1),NA())</f>
        <v>44221</v>
      </c>
      <c r="M1047" cm="1" vm="2304">
        <f t="array" aca="1" ref="M1047" ca="1">IFERROR(INDEX(_xlfn.ANCHORARRAY($C$3),T_CALC[[#This Row],[DAY]]+1,3),NA())</f>
        <v>1.3270999999999999</v>
      </c>
      <c r="N1047" cm="1" vm="2569">
        <f t="array" aca="1" ref="N1047" ca="1">IFERROR(INDEX(_xlfn.ANCHORARRAY($C$3),T_CALC[[#This Row],[DAY]]+1,4),NA())</f>
        <v>1.3295999999999999</v>
      </c>
      <c r="O1047" cm="1" vm="2346">
        <f t="array" aca="1" ref="O1047" ca="1">IFERROR(INDEX(_xlfn.ANCHORARRAY($C$3),T_CALC[[#This Row],[DAY]]+1,5),NA())</f>
        <v>1.3248</v>
      </c>
      <c r="P1047" cm="1" vm="2304">
        <f t="array" aca="1" ref="P1047" ca="1">IFERROR(INDEX(_xlfn.ANCHORARRAY($C$3),T_CALC[[#This Row],[DAY]]+1,6),NA())</f>
        <v>1.3270999999999999</v>
      </c>
      <c r="Q1047" cm="1">
        <f t="array" aca="1" ref="Q1047" ca="1">IFERROR(INDEX(_xlfn.ANCHORARRAY($C$3),T_CALC[[#This Row],[DAY]]+1,2),NA())</f>
        <v>0</v>
      </c>
    </row>
    <row r="1048" spans="3:17">
      <c r="C1048" vm="3676">
        <f ca="1"/>
        <v>44222</v>
      </c>
      <c r="D1048">
        <f ca="1"/>
        <v>0</v>
      </c>
      <c r="E1048" vm="2304">
        <f ca="1"/>
        <v>1.3270999999999999</v>
      </c>
      <c r="F1048" vm="3626">
        <f ca="1"/>
        <v>1.33</v>
      </c>
      <c r="G1048" vm="3677">
        <f ca="1"/>
        <v>1.3238000000000001</v>
      </c>
      <c r="H1048" vm="2470">
        <f ca="1"/>
        <v>1.3246</v>
      </c>
      <c r="K1048">
        <f ca="1">IF(ROW(T_CALC[[#This Row],[DAY]])-ROW(T_CALC[[#Headers],[DAY]])&gt;C_N_TRADING_DAYS,"",ROW(T_CALC[[#This Row],[DAY]])-ROW(T_CALC[[#Headers],[DAY]]))</f>
        <v>1045</v>
      </c>
      <c r="L1048" cm="1" vm="3676">
        <f t="array" aca="1" ref="L1048" ca="1">IFERROR(INDEX(_xlfn.ANCHORARRAY($C$3),T_CALC[[#This Row],[DAY]]+1,1),NA())</f>
        <v>44222</v>
      </c>
      <c r="M1048" cm="1" vm="2304">
        <f t="array" aca="1" ref="M1048" ca="1">IFERROR(INDEX(_xlfn.ANCHORARRAY($C$3),T_CALC[[#This Row],[DAY]]+1,3),NA())</f>
        <v>1.3270999999999999</v>
      </c>
      <c r="N1048" cm="1" vm="3626">
        <f t="array" aca="1" ref="N1048" ca="1">IFERROR(INDEX(_xlfn.ANCHORARRAY($C$3),T_CALC[[#This Row],[DAY]]+1,4),NA())</f>
        <v>1.33</v>
      </c>
      <c r="O1048" cm="1" vm="3677">
        <f t="array" aca="1" ref="O1048" ca="1">IFERROR(INDEX(_xlfn.ANCHORARRAY($C$3),T_CALC[[#This Row],[DAY]]+1,5),NA())</f>
        <v>1.3238000000000001</v>
      </c>
      <c r="P1048" cm="1" vm="2470">
        <f t="array" aca="1" ref="P1048" ca="1">IFERROR(INDEX(_xlfn.ANCHORARRAY($C$3),T_CALC[[#This Row],[DAY]]+1,6),NA())</f>
        <v>1.3246</v>
      </c>
      <c r="Q1048" cm="1">
        <f t="array" aca="1" ref="Q1048" ca="1">IFERROR(INDEX(_xlfn.ANCHORARRAY($C$3),T_CALC[[#This Row],[DAY]]+1,2),NA())</f>
        <v>0</v>
      </c>
    </row>
    <row r="1049" spans="3:17">
      <c r="C1049" vm="11">
        <f ca="1"/>
        <v>44223</v>
      </c>
      <c r="D1049">
        <f ca="1"/>
        <v>0</v>
      </c>
      <c r="E1049" vm="2472">
        <f ca="1"/>
        <v>1.3245</v>
      </c>
      <c r="F1049" vm="3678">
        <f ca="1"/>
        <v>1.3314999999999999</v>
      </c>
      <c r="G1049" vm="3679">
        <f ca="1"/>
        <v>1.3236000000000001</v>
      </c>
      <c r="H1049" vm="3658">
        <f ca="1"/>
        <v>1.3286</v>
      </c>
      <c r="K1049">
        <f ca="1">IF(ROW(T_CALC[[#This Row],[DAY]])-ROW(T_CALC[[#Headers],[DAY]])&gt;C_N_TRADING_DAYS,"",ROW(T_CALC[[#This Row],[DAY]])-ROW(T_CALC[[#Headers],[DAY]]))</f>
        <v>1046</v>
      </c>
      <c r="L1049" cm="1" vm="11">
        <f t="array" aca="1" ref="L1049" ca="1">IFERROR(INDEX(_xlfn.ANCHORARRAY($C$3),T_CALC[[#This Row],[DAY]]+1,1),NA())</f>
        <v>44223</v>
      </c>
      <c r="M1049" cm="1" vm="2472">
        <f t="array" aca="1" ref="M1049" ca="1">IFERROR(INDEX(_xlfn.ANCHORARRAY($C$3),T_CALC[[#This Row],[DAY]]+1,3),NA())</f>
        <v>1.3245</v>
      </c>
      <c r="N1049" cm="1" vm="3678">
        <f t="array" aca="1" ref="N1049" ca="1">IFERROR(INDEX(_xlfn.ANCHORARRAY($C$3),T_CALC[[#This Row],[DAY]]+1,4),NA())</f>
        <v>1.3314999999999999</v>
      </c>
      <c r="O1049" cm="1" vm="3679">
        <f t="array" aca="1" ref="O1049" ca="1">IFERROR(INDEX(_xlfn.ANCHORARRAY($C$3),T_CALC[[#This Row],[DAY]]+1,5),NA())</f>
        <v>1.3236000000000001</v>
      </c>
      <c r="P1049" cm="1" vm="3658">
        <f t="array" aca="1" ref="P1049" ca="1">IFERROR(INDEX(_xlfn.ANCHORARRAY($C$3),T_CALC[[#This Row],[DAY]]+1,6),NA())</f>
        <v>1.3286</v>
      </c>
      <c r="Q1049" cm="1">
        <f t="array" aca="1" ref="Q1049" ca="1">IFERROR(INDEX(_xlfn.ANCHORARRAY($C$3),T_CALC[[#This Row],[DAY]]+1,2),NA())</f>
        <v>0</v>
      </c>
    </row>
    <row r="1050" spans="3:17">
      <c r="C1050" vm="12">
        <f ca="1"/>
        <v>44224</v>
      </c>
      <c r="D1050">
        <f ca="1"/>
        <v>0</v>
      </c>
      <c r="E1050" vm="2572">
        <f ca="1"/>
        <v>1.3287</v>
      </c>
      <c r="F1050" vm="2331">
        <f ca="1"/>
        <v>1.3340000000000001</v>
      </c>
      <c r="G1050" vm="3629">
        <f ca="1"/>
        <v>1.3269</v>
      </c>
      <c r="H1050" vm="2305">
        <f ca="1"/>
        <v>1.3289</v>
      </c>
      <c r="K1050">
        <f ca="1">IF(ROW(T_CALC[[#This Row],[DAY]])-ROW(T_CALC[[#Headers],[DAY]])&gt;C_N_TRADING_DAYS,"",ROW(T_CALC[[#This Row],[DAY]])-ROW(T_CALC[[#Headers],[DAY]]))</f>
        <v>1047</v>
      </c>
      <c r="L1050" cm="1" vm="12">
        <f t="array" aca="1" ref="L1050" ca="1">IFERROR(INDEX(_xlfn.ANCHORARRAY($C$3),T_CALC[[#This Row],[DAY]]+1,1),NA())</f>
        <v>44224</v>
      </c>
      <c r="M1050" cm="1" vm="2572">
        <f t="array" aca="1" ref="M1050" ca="1">IFERROR(INDEX(_xlfn.ANCHORARRAY($C$3),T_CALC[[#This Row],[DAY]]+1,3),NA())</f>
        <v>1.3287</v>
      </c>
      <c r="N1050" cm="1" vm="2331">
        <f t="array" aca="1" ref="N1050" ca="1">IFERROR(INDEX(_xlfn.ANCHORARRAY($C$3),T_CALC[[#This Row],[DAY]]+1,4),NA())</f>
        <v>1.3340000000000001</v>
      </c>
      <c r="O1050" cm="1" vm="3629">
        <f t="array" aca="1" ref="O1050" ca="1">IFERROR(INDEX(_xlfn.ANCHORARRAY($C$3),T_CALC[[#This Row],[DAY]]+1,5),NA())</f>
        <v>1.3269</v>
      </c>
      <c r="P1050" cm="1" vm="2305">
        <f t="array" aca="1" ref="P1050" ca="1">IFERROR(INDEX(_xlfn.ANCHORARRAY($C$3),T_CALC[[#This Row],[DAY]]+1,6),NA())</f>
        <v>1.3289</v>
      </c>
      <c r="Q1050" cm="1">
        <f t="array" aca="1" ref="Q1050" ca="1">IFERROR(INDEX(_xlfn.ANCHORARRAY($C$3),T_CALC[[#This Row],[DAY]]+1,2),NA())</f>
        <v>0</v>
      </c>
    </row>
    <row r="1051" spans="3:17">
      <c r="C1051" vm="13">
        <f ca="1"/>
        <v>44225</v>
      </c>
      <c r="D1051">
        <f ca="1"/>
        <v>0</v>
      </c>
      <c r="E1051" vm="3639">
        <f ca="1"/>
        <v>1.3288</v>
      </c>
      <c r="F1051" vm="2321">
        <f ca="1"/>
        <v>1.3321000000000001</v>
      </c>
      <c r="G1051" vm="3674">
        <f ca="1"/>
        <v>1.3260000000000001</v>
      </c>
      <c r="H1051" vm="3639">
        <f ca="1"/>
        <v>1.3288</v>
      </c>
      <c r="K1051">
        <f ca="1">IF(ROW(T_CALC[[#This Row],[DAY]])-ROW(T_CALC[[#Headers],[DAY]])&gt;C_N_TRADING_DAYS,"",ROW(T_CALC[[#This Row],[DAY]])-ROW(T_CALC[[#Headers],[DAY]]))</f>
        <v>1048</v>
      </c>
      <c r="L1051" cm="1" vm="13">
        <f t="array" aca="1" ref="L1051" ca="1">IFERROR(INDEX(_xlfn.ANCHORARRAY($C$3),T_CALC[[#This Row],[DAY]]+1,1),NA())</f>
        <v>44225</v>
      </c>
      <c r="M1051" cm="1" vm="3639">
        <f t="array" aca="1" ref="M1051" ca="1">IFERROR(INDEX(_xlfn.ANCHORARRAY($C$3),T_CALC[[#This Row],[DAY]]+1,3),NA())</f>
        <v>1.3288</v>
      </c>
      <c r="N1051" cm="1" vm="2321">
        <f t="array" aca="1" ref="N1051" ca="1">IFERROR(INDEX(_xlfn.ANCHORARRAY($C$3),T_CALC[[#This Row],[DAY]]+1,4),NA())</f>
        <v>1.3321000000000001</v>
      </c>
      <c r="O1051" cm="1" vm="3674">
        <f t="array" aca="1" ref="O1051" ca="1">IFERROR(INDEX(_xlfn.ANCHORARRAY($C$3),T_CALC[[#This Row],[DAY]]+1,5),NA())</f>
        <v>1.3260000000000001</v>
      </c>
      <c r="P1051" cm="1" vm="3639">
        <f t="array" aca="1" ref="P1051" ca="1">IFERROR(INDEX(_xlfn.ANCHORARRAY($C$3),T_CALC[[#This Row],[DAY]]+1,6),NA())</f>
        <v>1.3288</v>
      </c>
      <c r="Q1051" cm="1">
        <f t="array" aca="1" ref="Q1051" ca="1">IFERROR(INDEX(_xlfn.ANCHORARRAY($C$3),T_CALC[[#This Row],[DAY]]+1,2),NA())</f>
        <v>0</v>
      </c>
    </row>
    <row r="1052" spans="3:17">
      <c r="C1052" vm="14">
        <f ca="1"/>
        <v>44228</v>
      </c>
      <c r="D1052">
        <f ca="1"/>
        <v>0</v>
      </c>
      <c r="E1052" vm="2591">
        <f ca="1"/>
        <v>1.3285</v>
      </c>
      <c r="F1052" vm="2319">
        <f ca="1"/>
        <v>1.333</v>
      </c>
      <c r="G1052" vm="2314">
        <f ca="1"/>
        <v>1.3282</v>
      </c>
      <c r="H1052" vm="2646">
        <f ca="1"/>
        <v>1.3326</v>
      </c>
      <c r="K1052">
        <f ca="1">IF(ROW(T_CALC[[#This Row],[DAY]])-ROW(T_CALC[[#Headers],[DAY]])&gt;C_N_TRADING_DAYS,"",ROW(T_CALC[[#This Row],[DAY]])-ROW(T_CALC[[#Headers],[DAY]]))</f>
        <v>1049</v>
      </c>
      <c r="L1052" cm="1" vm="14">
        <f t="array" aca="1" ref="L1052" ca="1">IFERROR(INDEX(_xlfn.ANCHORARRAY($C$3),T_CALC[[#This Row],[DAY]]+1,1),NA())</f>
        <v>44228</v>
      </c>
      <c r="M1052" cm="1" vm="2591">
        <f t="array" aca="1" ref="M1052" ca="1">IFERROR(INDEX(_xlfn.ANCHORARRAY($C$3),T_CALC[[#This Row],[DAY]]+1,3),NA())</f>
        <v>1.3285</v>
      </c>
      <c r="N1052" cm="1" vm="2319">
        <f t="array" aca="1" ref="N1052" ca="1">IFERROR(INDEX(_xlfn.ANCHORARRAY($C$3),T_CALC[[#This Row],[DAY]]+1,4),NA())</f>
        <v>1.333</v>
      </c>
      <c r="O1052" cm="1" vm="2314">
        <f t="array" aca="1" ref="O1052" ca="1">IFERROR(INDEX(_xlfn.ANCHORARRAY($C$3),T_CALC[[#This Row],[DAY]]+1,5),NA())</f>
        <v>1.3282</v>
      </c>
      <c r="P1052" cm="1" vm="2646">
        <f t="array" aca="1" ref="P1052" ca="1">IFERROR(INDEX(_xlfn.ANCHORARRAY($C$3),T_CALC[[#This Row],[DAY]]+1,6),NA())</f>
        <v>1.3326</v>
      </c>
      <c r="Q1052" cm="1">
        <f t="array" aca="1" ref="Q1052" ca="1">IFERROR(INDEX(_xlfn.ANCHORARRAY($C$3),T_CALC[[#This Row],[DAY]]+1,2),NA())</f>
        <v>0</v>
      </c>
    </row>
    <row r="1053" spans="3:17">
      <c r="C1053" vm="15">
        <f ca="1"/>
        <v>44229</v>
      </c>
      <c r="D1053">
        <f ca="1"/>
        <v>0</v>
      </c>
      <c r="E1053" vm="2651">
        <f ca="1"/>
        <v>1.3325</v>
      </c>
      <c r="F1053" vm="3616">
        <f ca="1"/>
        <v>1.3341000000000001</v>
      </c>
      <c r="G1053" vm="3628">
        <f ca="1"/>
        <v>1.3297000000000001</v>
      </c>
      <c r="H1053" vm="3618">
        <f ca="1"/>
        <v>1.3324</v>
      </c>
      <c r="K1053">
        <f ca="1">IF(ROW(T_CALC[[#This Row],[DAY]])-ROW(T_CALC[[#Headers],[DAY]])&gt;C_N_TRADING_DAYS,"",ROW(T_CALC[[#This Row],[DAY]])-ROW(T_CALC[[#Headers],[DAY]]))</f>
        <v>1050</v>
      </c>
      <c r="L1053" cm="1" vm="15">
        <f t="array" aca="1" ref="L1053" ca="1">IFERROR(INDEX(_xlfn.ANCHORARRAY($C$3),T_CALC[[#This Row],[DAY]]+1,1),NA())</f>
        <v>44229</v>
      </c>
      <c r="M1053" cm="1" vm="2651">
        <f t="array" aca="1" ref="M1053" ca="1">IFERROR(INDEX(_xlfn.ANCHORARRAY($C$3),T_CALC[[#This Row],[DAY]]+1,3),NA())</f>
        <v>1.3325</v>
      </c>
      <c r="N1053" cm="1" vm="3616">
        <f t="array" aca="1" ref="N1053" ca="1">IFERROR(INDEX(_xlfn.ANCHORARRAY($C$3),T_CALC[[#This Row],[DAY]]+1,4),NA())</f>
        <v>1.3341000000000001</v>
      </c>
      <c r="O1053" cm="1" vm="3628">
        <f t="array" aca="1" ref="O1053" ca="1">IFERROR(INDEX(_xlfn.ANCHORARRAY($C$3),T_CALC[[#This Row],[DAY]]+1,5),NA())</f>
        <v>1.3297000000000001</v>
      </c>
      <c r="P1053" cm="1" vm="3618">
        <f t="array" aca="1" ref="P1053" ca="1">IFERROR(INDEX(_xlfn.ANCHORARRAY($C$3),T_CALC[[#This Row],[DAY]]+1,6),NA())</f>
        <v>1.3324</v>
      </c>
      <c r="Q1053" cm="1">
        <f t="array" aca="1" ref="Q1053" ca="1">IFERROR(INDEX(_xlfn.ANCHORARRAY($C$3),T_CALC[[#This Row],[DAY]]+1,2),NA())</f>
        <v>0</v>
      </c>
    </row>
    <row r="1054" spans="3:17">
      <c r="C1054" vm="16">
        <f ca="1"/>
        <v>44230</v>
      </c>
      <c r="D1054">
        <f ca="1"/>
        <v>0</v>
      </c>
      <c r="E1054" vm="2651">
        <f ca="1"/>
        <v>1.3325</v>
      </c>
      <c r="F1054" vm="2331">
        <f ca="1"/>
        <v>1.3340000000000001</v>
      </c>
      <c r="G1054" vm="2330">
        <f ca="1"/>
        <v>1.3303</v>
      </c>
      <c r="H1054" vm="2646">
        <f ca="1"/>
        <v>1.3326</v>
      </c>
      <c r="K1054">
        <f ca="1">IF(ROW(T_CALC[[#This Row],[DAY]])-ROW(T_CALC[[#Headers],[DAY]])&gt;C_N_TRADING_DAYS,"",ROW(T_CALC[[#This Row],[DAY]])-ROW(T_CALC[[#Headers],[DAY]]))</f>
        <v>1051</v>
      </c>
      <c r="L1054" cm="1" vm="16">
        <f t="array" aca="1" ref="L1054" ca="1">IFERROR(INDEX(_xlfn.ANCHORARRAY($C$3),T_CALC[[#This Row],[DAY]]+1,1),NA())</f>
        <v>44230</v>
      </c>
      <c r="M1054" cm="1" vm="2651">
        <f t="array" aca="1" ref="M1054" ca="1">IFERROR(INDEX(_xlfn.ANCHORARRAY($C$3),T_CALC[[#This Row],[DAY]]+1,3),NA())</f>
        <v>1.3325</v>
      </c>
      <c r="N1054" cm="1" vm="2331">
        <f t="array" aca="1" ref="N1054" ca="1">IFERROR(INDEX(_xlfn.ANCHORARRAY($C$3),T_CALC[[#This Row],[DAY]]+1,4),NA())</f>
        <v>1.3340000000000001</v>
      </c>
      <c r="O1054" cm="1" vm="2330">
        <f t="array" aca="1" ref="O1054" ca="1">IFERROR(INDEX(_xlfn.ANCHORARRAY($C$3),T_CALC[[#This Row],[DAY]]+1,5),NA())</f>
        <v>1.3303</v>
      </c>
      <c r="P1054" cm="1" vm="2646">
        <f t="array" aca="1" ref="P1054" ca="1">IFERROR(INDEX(_xlfn.ANCHORARRAY($C$3),T_CALC[[#This Row],[DAY]]+1,6),NA())</f>
        <v>1.3326</v>
      </c>
      <c r="Q1054" cm="1">
        <f t="array" aca="1" ref="Q1054" ca="1">IFERROR(INDEX(_xlfn.ANCHORARRAY($C$3),T_CALC[[#This Row],[DAY]]+1,2),NA())</f>
        <v>0</v>
      </c>
    </row>
    <row r="1055" spans="3:17">
      <c r="C1055" vm="17">
        <f ca="1"/>
        <v>44231</v>
      </c>
      <c r="D1055">
        <f ca="1"/>
        <v>0</v>
      </c>
      <c r="E1055" vm="2653">
        <f ca="1"/>
        <v>1.3327</v>
      </c>
      <c r="F1055" vm="2291">
        <f ca="1"/>
        <v>1.3382000000000001</v>
      </c>
      <c r="G1055" vm="3678">
        <f ca="1"/>
        <v>1.3314999999999999</v>
      </c>
      <c r="H1055" vm="2302">
        <f ca="1"/>
        <v>1.3368</v>
      </c>
      <c r="K1055">
        <f ca="1">IF(ROW(T_CALC[[#This Row],[DAY]])-ROW(T_CALC[[#Headers],[DAY]])&gt;C_N_TRADING_DAYS,"",ROW(T_CALC[[#This Row],[DAY]])-ROW(T_CALC[[#Headers],[DAY]]))</f>
        <v>1052</v>
      </c>
      <c r="L1055" cm="1" vm="17">
        <f t="array" aca="1" ref="L1055" ca="1">IFERROR(INDEX(_xlfn.ANCHORARRAY($C$3),T_CALC[[#This Row],[DAY]]+1,1),NA())</f>
        <v>44231</v>
      </c>
      <c r="M1055" cm="1" vm="2653">
        <f t="array" aca="1" ref="M1055" ca="1">IFERROR(INDEX(_xlfn.ANCHORARRAY($C$3),T_CALC[[#This Row],[DAY]]+1,3),NA())</f>
        <v>1.3327</v>
      </c>
      <c r="N1055" cm="1" vm="2291">
        <f t="array" aca="1" ref="N1055" ca="1">IFERROR(INDEX(_xlfn.ANCHORARRAY($C$3),T_CALC[[#This Row],[DAY]]+1,4),NA())</f>
        <v>1.3382000000000001</v>
      </c>
      <c r="O1055" cm="1" vm="3678">
        <f t="array" aca="1" ref="O1055" ca="1">IFERROR(INDEX(_xlfn.ANCHORARRAY($C$3),T_CALC[[#This Row],[DAY]]+1,5),NA())</f>
        <v>1.3314999999999999</v>
      </c>
      <c r="P1055" cm="1" vm="2302">
        <f t="array" aca="1" ref="P1055" ca="1">IFERROR(INDEX(_xlfn.ANCHORARRAY($C$3),T_CALC[[#This Row],[DAY]]+1,6),NA())</f>
        <v>1.3368</v>
      </c>
      <c r="Q1055" cm="1">
        <f t="array" aca="1" ref="Q1055" ca="1">IFERROR(INDEX(_xlfn.ANCHORARRAY($C$3),T_CALC[[#This Row],[DAY]]+1,2),NA())</f>
        <v>0</v>
      </c>
    </row>
    <row r="1056" spans="3:17">
      <c r="C1056" vm="18">
        <f ca="1"/>
        <v>44232</v>
      </c>
      <c r="D1056">
        <f ca="1"/>
        <v>0</v>
      </c>
      <c r="E1056" vm="2640">
        <f ca="1"/>
        <v>1.3365</v>
      </c>
      <c r="F1056" vm="2621">
        <f ca="1"/>
        <v>1.3389</v>
      </c>
      <c r="G1056" vm="3680">
        <f ca="1"/>
        <v>1.3331</v>
      </c>
      <c r="H1056" vm="2580">
        <f ca="1"/>
        <v>1.3343</v>
      </c>
      <c r="K1056">
        <f ca="1">IF(ROW(T_CALC[[#This Row],[DAY]])-ROW(T_CALC[[#Headers],[DAY]])&gt;C_N_TRADING_DAYS,"",ROW(T_CALC[[#This Row],[DAY]])-ROW(T_CALC[[#Headers],[DAY]]))</f>
        <v>1053</v>
      </c>
      <c r="L1056" cm="1" vm="18">
        <f t="array" aca="1" ref="L1056" ca="1">IFERROR(INDEX(_xlfn.ANCHORARRAY($C$3),T_CALC[[#This Row],[DAY]]+1,1),NA())</f>
        <v>44232</v>
      </c>
      <c r="M1056" cm="1" vm="2640">
        <f t="array" aca="1" ref="M1056" ca="1">IFERROR(INDEX(_xlfn.ANCHORARRAY($C$3),T_CALC[[#This Row],[DAY]]+1,3),NA())</f>
        <v>1.3365</v>
      </c>
      <c r="N1056" cm="1" vm="2621">
        <f t="array" aca="1" ref="N1056" ca="1">IFERROR(INDEX(_xlfn.ANCHORARRAY($C$3),T_CALC[[#This Row],[DAY]]+1,4),NA())</f>
        <v>1.3389</v>
      </c>
      <c r="O1056" cm="1" vm="3680">
        <f t="array" aca="1" ref="O1056" ca="1">IFERROR(INDEX(_xlfn.ANCHORARRAY($C$3),T_CALC[[#This Row],[DAY]]+1,5),NA())</f>
        <v>1.3331</v>
      </c>
      <c r="P1056" cm="1" vm="2580">
        <f t="array" aca="1" ref="P1056" ca="1">IFERROR(INDEX(_xlfn.ANCHORARRAY($C$3),T_CALC[[#This Row],[DAY]]+1,6),NA())</f>
        <v>1.3343</v>
      </c>
      <c r="Q1056" cm="1">
        <f t="array" aca="1" ref="Q1056" ca="1">IFERROR(INDEX(_xlfn.ANCHORARRAY($C$3),T_CALC[[#This Row],[DAY]]+1,2),NA())</f>
        <v>0</v>
      </c>
    </row>
    <row r="1057" spans="3:17">
      <c r="C1057" vm="19">
        <f ca="1"/>
        <v>44235</v>
      </c>
      <c r="D1057">
        <f ca="1"/>
        <v>0</v>
      </c>
      <c r="E1057" vm="3681">
        <f ca="1"/>
        <v>1.3348</v>
      </c>
      <c r="F1057" vm="2640">
        <f ca="1"/>
        <v>1.3365</v>
      </c>
      <c r="G1057" vm="3637">
        <f ca="1"/>
        <v>1.3320000000000001</v>
      </c>
      <c r="H1057" vm="2639">
        <f ca="1"/>
        <v>1.3328</v>
      </c>
      <c r="K1057">
        <f ca="1">IF(ROW(T_CALC[[#This Row],[DAY]])-ROW(T_CALC[[#Headers],[DAY]])&gt;C_N_TRADING_DAYS,"",ROW(T_CALC[[#This Row],[DAY]])-ROW(T_CALC[[#Headers],[DAY]]))</f>
        <v>1054</v>
      </c>
      <c r="L1057" cm="1" vm="19">
        <f t="array" aca="1" ref="L1057" ca="1">IFERROR(INDEX(_xlfn.ANCHORARRAY($C$3),T_CALC[[#This Row],[DAY]]+1,1),NA())</f>
        <v>44235</v>
      </c>
      <c r="M1057" cm="1" vm="3681">
        <f t="array" aca="1" ref="M1057" ca="1">IFERROR(INDEX(_xlfn.ANCHORARRAY($C$3),T_CALC[[#This Row],[DAY]]+1,3),NA())</f>
        <v>1.3348</v>
      </c>
      <c r="N1057" cm="1" vm="2640">
        <f t="array" aca="1" ref="N1057" ca="1">IFERROR(INDEX(_xlfn.ANCHORARRAY($C$3),T_CALC[[#This Row],[DAY]]+1,4),NA())</f>
        <v>1.3365</v>
      </c>
      <c r="O1057" cm="1" vm="3637">
        <f t="array" aca="1" ref="O1057" ca="1">IFERROR(INDEX(_xlfn.ANCHORARRAY($C$3),T_CALC[[#This Row],[DAY]]+1,5),NA())</f>
        <v>1.3320000000000001</v>
      </c>
      <c r="P1057" cm="1" vm="2639">
        <f t="array" aca="1" ref="P1057" ca="1">IFERROR(INDEX(_xlfn.ANCHORARRAY($C$3),T_CALC[[#This Row],[DAY]]+1,6),NA())</f>
        <v>1.3328</v>
      </c>
      <c r="Q1057" cm="1">
        <f t="array" aca="1" ref="Q1057" ca="1">IFERROR(INDEX(_xlfn.ANCHORARRAY($C$3),T_CALC[[#This Row],[DAY]]+1,2),NA())</f>
        <v>0</v>
      </c>
    </row>
    <row r="1058" spans="3:17">
      <c r="C1058" vm="20">
        <f ca="1"/>
        <v>44236</v>
      </c>
      <c r="D1058">
        <f ca="1"/>
        <v>0</v>
      </c>
      <c r="E1058" vm="2651">
        <f ca="1"/>
        <v>1.3325</v>
      </c>
      <c r="F1058" vm="2319">
        <f ca="1"/>
        <v>1.333</v>
      </c>
      <c r="G1058" vm="2350">
        <f ca="1"/>
        <v>1.3253999999999999</v>
      </c>
      <c r="H1058" vm="2578">
        <f ca="1"/>
        <v>1.3258000000000001</v>
      </c>
      <c r="K1058">
        <f ca="1">IF(ROW(T_CALC[[#This Row],[DAY]])-ROW(T_CALC[[#Headers],[DAY]])&gt;C_N_TRADING_DAYS,"",ROW(T_CALC[[#This Row],[DAY]])-ROW(T_CALC[[#Headers],[DAY]]))</f>
        <v>1055</v>
      </c>
      <c r="L1058" cm="1" vm="20">
        <f t="array" aca="1" ref="L1058" ca="1">IFERROR(INDEX(_xlfn.ANCHORARRAY($C$3),T_CALC[[#This Row],[DAY]]+1,1),NA())</f>
        <v>44236</v>
      </c>
      <c r="M1058" cm="1" vm="2651">
        <f t="array" aca="1" ref="M1058" ca="1">IFERROR(INDEX(_xlfn.ANCHORARRAY($C$3),T_CALC[[#This Row],[DAY]]+1,3),NA())</f>
        <v>1.3325</v>
      </c>
      <c r="N1058" cm="1" vm="2319">
        <f t="array" aca="1" ref="N1058" ca="1">IFERROR(INDEX(_xlfn.ANCHORARRAY($C$3),T_CALC[[#This Row],[DAY]]+1,4),NA())</f>
        <v>1.333</v>
      </c>
      <c r="O1058" cm="1" vm="2350">
        <f t="array" aca="1" ref="O1058" ca="1">IFERROR(INDEX(_xlfn.ANCHORARRAY($C$3),T_CALC[[#This Row],[DAY]]+1,5),NA())</f>
        <v>1.3253999999999999</v>
      </c>
      <c r="P1058" cm="1" vm="2578">
        <f t="array" aca="1" ref="P1058" ca="1">IFERROR(INDEX(_xlfn.ANCHORARRAY($C$3),T_CALC[[#This Row],[DAY]]+1,6),NA())</f>
        <v>1.3258000000000001</v>
      </c>
      <c r="Q1058" cm="1">
        <f t="array" aca="1" ref="Q1058" ca="1">IFERROR(INDEX(_xlfn.ANCHORARRAY($C$3),T_CALC[[#This Row],[DAY]]+1,2),NA())</f>
        <v>0</v>
      </c>
    </row>
    <row r="1059" spans="3:17">
      <c r="C1059" vm="21">
        <f ca="1"/>
        <v>44237</v>
      </c>
      <c r="D1059">
        <f ca="1"/>
        <v>0</v>
      </c>
      <c r="E1059" vm="2566">
        <f ca="1"/>
        <v>1.3262</v>
      </c>
      <c r="F1059" vm="2304">
        <f ca="1"/>
        <v>1.3270999999999999</v>
      </c>
      <c r="G1059" vm="3666">
        <f ca="1"/>
        <v>1.3231999999999999</v>
      </c>
      <c r="H1059" vm="2468">
        <f ca="1"/>
        <v>1.3264</v>
      </c>
      <c r="K1059">
        <f ca="1">IF(ROW(T_CALC[[#This Row],[DAY]])-ROW(T_CALC[[#Headers],[DAY]])&gt;C_N_TRADING_DAYS,"",ROW(T_CALC[[#This Row],[DAY]])-ROW(T_CALC[[#Headers],[DAY]]))</f>
        <v>1056</v>
      </c>
      <c r="L1059" cm="1" vm="21">
        <f t="array" aca="1" ref="L1059" ca="1">IFERROR(INDEX(_xlfn.ANCHORARRAY($C$3),T_CALC[[#This Row],[DAY]]+1,1),NA())</f>
        <v>44237</v>
      </c>
      <c r="M1059" cm="1" vm="2566">
        <f t="array" aca="1" ref="M1059" ca="1">IFERROR(INDEX(_xlfn.ANCHORARRAY($C$3),T_CALC[[#This Row],[DAY]]+1,3),NA())</f>
        <v>1.3262</v>
      </c>
      <c r="N1059" cm="1" vm="2304">
        <f t="array" aca="1" ref="N1059" ca="1">IFERROR(INDEX(_xlfn.ANCHORARRAY($C$3),T_CALC[[#This Row],[DAY]]+1,4),NA())</f>
        <v>1.3270999999999999</v>
      </c>
      <c r="O1059" cm="1" vm="3666">
        <f t="array" aca="1" ref="O1059" ca="1">IFERROR(INDEX(_xlfn.ANCHORARRAY($C$3),T_CALC[[#This Row],[DAY]]+1,5),NA())</f>
        <v>1.3231999999999999</v>
      </c>
      <c r="P1059" cm="1" vm="2468">
        <f t="array" aca="1" ref="P1059" ca="1">IFERROR(INDEX(_xlfn.ANCHORARRAY($C$3),T_CALC[[#This Row],[DAY]]+1,6),NA())</f>
        <v>1.3264</v>
      </c>
      <c r="Q1059" cm="1">
        <f t="array" aca="1" ref="Q1059" ca="1">IFERROR(INDEX(_xlfn.ANCHORARRAY($C$3),T_CALC[[#This Row],[DAY]]+1,2),NA())</f>
        <v>0</v>
      </c>
    </row>
    <row r="1060" spans="3:17">
      <c r="C1060" vm="22">
        <f ca="1"/>
        <v>44238</v>
      </c>
      <c r="D1060">
        <f ca="1"/>
        <v>0</v>
      </c>
      <c r="E1060" vm="3682">
        <f ca="1"/>
        <v>1.3263</v>
      </c>
      <c r="F1060" vm="2355">
        <f ca="1"/>
        <v>1.3272999999999999</v>
      </c>
      <c r="G1060" vm="3683">
        <f ca="1"/>
        <v>1.3230999999999999</v>
      </c>
      <c r="H1060" vm="2338">
        <f ca="1"/>
        <v>1.3247</v>
      </c>
      <c r="K1060">
        <f ca="1">IF(ROW(T_CALC[[#This Row],[DAY]])-ROW(T_CALC[[#Headers],[DAY]])&gt;C_N_TRADING_DAYS,"",ROW(T_CALC[[#This Row],[DAY]])-ROW(T_CALC[[#Headers],[DAY]]))</f>
        <v>1057</v>
      </c>
      <c r="L1060" cm="1" vm="22">
        <f t="array" aca="1" ref="L1060" ca="1">IFERROR(INDEX(_xlfn.ANCHORARRAY($C$3),T_CALC[[#This Row],[DAY]]+1,1),NA())</f>
        <v>44238</v>
      </c>
      <c r="M1060" cm="1" vm="3682">
        <f t="array" aca="1" ref="M1060" ca="1">IFERROR(INDEX(_xlfn.ANCHORARRAY($C$3),T_CALC[[#This Row],[DAY]]+1,3),NA())</f>
        <v>1.3263</v>
      </c>
      <c r="N1060" cm="1" vm="2355">
        <f t="array" aca="1" ref="N1060" ca="1">IFERROR(INDEX(_xlfn.ANCHORARRAY($C$3),T_CALC[[#This Row],[DAY]]+1,4),NA())</f>
        <v>1.3272999999999999</v>
      </c>
      <c r="O1060" cm="1" vm="3683">
        <f t="array" aca="1" ref="O1060" ca="1">IFERROR(INDEX(_xlfn.ANCHORARRAY($C$3),T_CALC[[#This Row],[DAY]]+1,5),NA())</f>
        <v>1.3230999999999999</v>
      </c>
      <c r="P1060" cm="1" vm="2338">
        <f t="array" aca="1" ref="P1060" ca="1">IFERROR(INDEX(_xlfn.ANCHORARRAY($C$3),T_CALC[[#This Row],[DAY]]+1,6),NA())</f>
        <v>1.3247</v>
      </c>
      <c r="Q1060" cm="1">
        <f t="array" aca="1" ref="Q1060" ca="1">IFERROR(INDEX(_xlfn.ANCHORARRAY($C$3),T_CALC[[#This Row],[DAY]]+1,2),NA())</f>
        <v>0</v>
      </c>
    </row>
    <row r="1061" spans="3:17">
      <c r="C1061" vm="23">
        <f ca="1"/>
        <v>44239</v>
      </c>
      <c r="D1061">
        <f ca="1"/>
        <v>0</v>
      </c>
      <c r="E1061" vm="2472">
        <f ca="1"/>
        <v>1.3245</v>
      </c>
      <c r="F1061" vm="3624">
        <f ca="1"/>
        <v>1.3281000000000001</v>
      </c>
      <c r="G1061" vm="2410">
        <f ca="1"/>
        <v>1.3237000000000001</v>
      </c>
      <c r="H1061" vm="2470">
        <f ca="1"/>
        <v>1.3246</v>
      </c>
      <c r="K1061">
        <f ca="1">IF(ROW(T_CALC[[#This Row],[DAY]])-ROW(T_CALC[[#Headers],[DAY]])&gt;C_N_TRADING_DAYS,"",ROW(T_CALC[[#This Row],[DAY]])-ROW(T_CALC[[#Headers],[DAY]]))</f>
        <v>1058</v>
      </c>
      <c r="L1061" cm="1" vm="23">
        <f t="array" aca="1" ref="L1061" ca="1">IFERROR(INDEX(_xlfn.ANCHORARRAY($C$3),T_CALC[[#This Row],[DAY]]+1,1),NA())</f>
        <v>44239</v>
      </c>
      <c r="M1061" cm="1" vm="2472">
        <f t="array" aca="1" ref="M1061" ca="1">IFERROR(INDEX(_xlfn.ANCHORARRAY($C$3),T_CALC[[#This Row],[DAY]]+1,3),NA())</f>
        <v>1.3245</v>
      </c>
      <c r="N1061" cm="1" vm="3624">
        <f t="array" aca="1" ref="N1061" ca="1">IFERROR(INDEX(_xlfn.ANCHORARRAY($C$3),T_CALC[[#This Row],[DAY]]+1,4),NA())</f>
        <v>1.3281000000000001</v>
      </c>
      <c r="O1061" cm="1" vm="2410">
        <f t="array" aca="1" ref="O1061" ca="1">IFERROR(INDEX(_xlfn.ANCHORARRAY($C$3),T_CALC[[#This Row],[DAY]]+1,5),NA())</f>
        <v>1.3237000000000001</v>
      </c>
      <c r="P1061" cm="1" vm="2470">
        <f t="array" aca="1" ref="P1061" ca="1">IFERROR(INDEX(_xlfn.ANCHORARRAY($C$3),T_CALC[[#This Row],[DAY]]+1,6),NA())</f>
        <v>1.3246</v>
      </c>
      <c r="Q1061" cm="1">
        <f t="array" aca="1" ref="Q1061" ca="1">IFERROR(INDEX(_xlfn.ANCHORARRAY($C$3),T_CALC[[#This Row],[DAY]]+1,2),NA())</f>
        <v>0</v>
      </c>
    </row>
    <row r="1062" spans="3:17">
      <c r="C1062" vm="24">
        <f ca="1"/>
        <v>44242</v>
      </c>
      <c r="D1062">
        <f ca="1"/>
        <v>0</v>
      </c>
      <c r="E1062" vm="2465">
        <f ca="1"/>
        <v>1.3242</v>
      </c>
      <c r="F1062" vm="2566">
        <f ca="1"/>
        <v>1.3262</v>
      </c>
      <c r="G1062" vm="2406">
        <f ca="1"/>
        <v>1.3219000000000001</v>
      </c>
      <c r="H1062" vm="2474">
        <f ca="1"/>
        <v>1.3227</v>
      </c>
      <c r="K1062">
        <f ca="1">IF(ROW(T_CALC[[#This Row],[DAY]])-ROW(T_CALC[[#Headers],[DAY]])&gt;C_N_TRADING_DAYS,"",ROW(T_CALC[[#This Row],[DAY]])-ROW(T_CALC[[#Headers],[DAY]]))</f>
        <v>1059</v>
      </c>
      <c r="L1062" cm="1" vm="24">
        <f t="array" aca="1" ref="L1062" ca="1">IFERROR(INDEX(_xlfn.ANCHORARRAY($C$3),T_CALC[[#This Row],[DAY]]+1,1),NA())</f>
        <v>44242</v>
      </c>
      <c r="M1062" cm="1" vm="2465">
        <f t="array" aca="1" ref="M1062" ca="1">IFERROR(INDEX(_xlfn.ANCHORARRAY($C$3),T_CALC[[#This Row],[DAY]]+1,3),NA())</f>
        <v>1.3242</v>
      </c>
      <c r="N1062" cm="1" vm="2566">
        <f t="array" aca="1" ref="N1062" ca="1">IFERROR(INDEX(_xlfn.ANCHORARRAY($C$3),T_CALC[[#This Row],[DAY]]+1,4),NA())</f>
        <v>1.3262</v>
      </c>
      <c r="O1062" cm="1" vm="2406">
        <f t="array" aca="1" ref="O1062" ca="1">IFERROR(INDEX(_xlfn.ANCHORARRAY($C$3),T_CALC[[#This Row],[DAY]]+1,5),NA())</f>
        <v>1.3219000000000001</v>
      </c>
      <c r="P1062" cm="1" vm="2474">
        <f t="array" aca="1" ref="P1062" ca="1">IFERROR(INDEX(_xlfn.ANCHORARRAY($C$3),T_CALC[[#This Row],[DAY]]+1,6),NA())</f>
        <v>1.3227</v>
      </c>
      <c r="Q1062" cm="1">
        <f t="array" aca="1" ref="Q1062" ca="1">IFERROR(INDEX(_xlfn.ANCHORARRAY($C$3),T_CALC[[#This Row],[DAY]]+1,2),NA())</f>
        <v>0</v>
      </c>
    </row>
    <row r="1063" spans="3:17">
      <c r="C1063" vm="25">
        <f ca="1"/>
        <v>44243</v>
      </c>
      <c r="D1063">
        <f ca="1"/>
        <v>0</v>
      </c>
      <c r="E1063" vm="2341">
        <f ca="1"/>
        <v>1.3226</v>
      </c>
      <c r="F1063" vm="2575">
        <f ca="1"/>
        <v>1.3278000000000001</v>
      </c>
      <c r="G1063" vm="2343">
        <f ca="1"/>
        <v>1.3207</v>
      </c>
      <c r="H1063" vm="2355">
        <f ca="1"/>
        <v>1.3272999999999999</v>
      </c>
      <c r="K1063">
        <f ca="1">IF(ROW(T_CALC[[#This Row],[DAY]])-ROW(T_CALC[[#Headers],[DAY]])&gt;C_N_TRADING_DAYS,"",ROW(T_CALC[[#This Row],[DAY]])-ROW(T_CALC[[#Headers],[DAY]]))</f>
        <v>1060</v>
      </c>
      <c r="L1063" cm="1" vm="25">
        <f t="array" aca="1" ref="L1063" ca="1">IFERROR(INDEX(_xlfn.ANCHORARRAY($C$3),T_CALC[[#This Row],[DAY]]+1,1),NA())</f>
        <v>44243</v>
      </c>
      <c r="M1063" cm="1" vm="2341">
        <f t="array" aca="1" ref="M1063" ca="1">IFERROR(INDEX(_xlfn.ANCHORARRAY($C$3),T_CALC[[#This Row],[DAY]]+1,3),NA())</f>
        <v>1.3226</v>
      </c>
      <c r="N1063" cm="1" vm="2575">
        <f t="array" aca="1" ref="N1063" ca="1">IFERROR(INDEX(_xlfn.ANCHORARRAY($C$3),T_CALC[[#This Row],[DAY]]+1,4),NA())</f>
        <v>1.3278000000000001</v>
      </c>
      <c r="O1063" cm="1" vm="2343">
        <f t="array" aca="1" ref="O1063" ca="1">IFERROR(INDEX(_xlfn.ANCHORARRAY($C$3),T_CALC[[#This Row],[DAY]]+1,5),NA())</f>
        <v>1.3207</v>
      </c>
      <c r="P1063" cm="1" vm="2355">
        <f t="array" aca="1" ref="P1063" ca="1">IFERROR(INDEX(_xlfn.ANCHORARRAY($C$3),T_CALC[[#This Row],[DAY]]+1,6),NA())</f>
        <v>1.3272999999999999</v>
      </c>
      <c r="Q1063" cm="1">
        <f t="array" aca="1" ref="Q1063" ca="1">IFERROR(INDEX(_xlfn.ANCHORARRAY($C$3),T_CALC[[#This Row],[DAY]]+1,2),NA())</f>
        <v>0</v>
      </c>
    </row>
    <row r="1064" spans="3:17">
      <c r="C1064" vm="26">
        <f ca="1"/>
        <v>44244</v>
      </c>
      <c r="D1064">
        <f ca="1"/>
        <v>0</v>
      </c>
      <c r="E1064" vm="2355">
        <f ca="1"/>
        <v>1.3272999999999999</v>
      </c>
      <c r="F1064" vm="2417">
        <f ca="1"/>
        <v>1.331</v>
      </c>
      <c r="G1064" vm="2312">
        <f ca="1"/>
        <v>1.3265</v>
      </c>
      <c r="H1064" vm="2334">
        <f ca="1"/>
        <v>1.3284</v>
      </c>
      <c r="K1064">
        <f ca="1">IF(ROW(T_CALC[[#This Row],[DAY]])-ROW(T_CALC[[#Headers],[DAY]])&gt;C_N_TRADING_DAYS,"",ROW(T_CALC[[#This Row],[DAY]])-ROW(T_CALC[[#Headers],[DAY]]))</f>
        <v>1061</v>
      </c>
      <c r="L1064" cm="1" vm="26">
        <f t="array" aca="1" ref="L1064" ca="1">IFERROR(INDEX(_xlfn.ANCHORARRAY($C$3),T_CALC[[#This Row],[DAY]]+1,1),NA())</f>
        <v>44244</v>
      </c>
      <c r="M1064" cm="1" vm="2355">
        <f t="array" aca="1" ref="M1064" ca="1">IFERROR(INDEX(_xlfn.ANCHORARRAY($C$3),T_CALC[[#This Row],[DAY]]+1,3),NA())</f>
        <v>1.3272999999999999</v>
      </c>
      <c r="N1064" cm="1" vm="2417">
        <f t="array" aca="1" ref="N1064" ca="1">IFERROR(INDEX(_xlfn.ANCHORARRAY($C$3),T_CALC[[#This Row],[DAY]]+1,4),NA())</f>
        <v>1.331</v>
      </c>
      <c r="O1064" cm="1" vm="2312">
        <f t="array" aca="1" ref="O1064" ca="1">IFERROR(INDEX(_xlfn.ANCHORARRAY($C$3),T_CALC[[#This Row],[DAY]]+1,5),NA())</f>
        <v>1.3265</v>
      </c>
      <c r="P1064" cm="1" vm="2334">
        <f t="array" aca="1" ref="P1064" ca="1">IFERROR(INDEX(_xlfn.ANCHORARRAY($C$3),T_CALC[[#This Row],[DAY]]+1,6),NA())</f>
        <v>1.3284</v>
      </c>
      <c r="Q1064" cm="1">
        <f t="array" aca="1" ref="Q1064" ca="1">IFERROR(INDEX(_xlfn.ANCHORARRAY($C$3),T_CALC[[#This Row],[DAY]]+1,2),NA())</f>
        <v>0</v>
      </c>
    </row>
    <row r="1065" spans="3:17">
      <c r="C1065" vm="27">
        <f ca="1"/>
        <v>44245</v>
      </c>
      <c r="D1065">
        <f ca="1"/>
        <v>0</v>
      </c>
      <c r="E1065" vm="2314">
        <f ca="1"/>
        <v>1.3282</v>
      </c>
      <c r="F1065" vm="2569">
        <f ca="1"/>
        <v>1.3295999999999999</v>
      </c>
      <c r="G1065" vm="2578">
        <f ca="1"/>
        <v>1.3258000000000001</v>
      </c>
      <c r="H1065" vm="3674">
        <f ca="1"/>
        <v>1.3260000000000001</v>
      </c>
      <c r="K1065">
        <f ca="1">IF(ROW(T_CALC[[#This Row],[DAY]])-ROW(T_CALC[[#Headers],[DAY]])&gt;C_N_TRADING_DAYS,"",ROW(T_CALC[[#This Row],[DAY]])-ROW(T_CALC[[#Headers],[DAY]]))</f>
        <v>1062</v>
      </c>
      <c r="L1065" cm="1" vm="27">
        <f t="array" aca="1" ref="L1065" ca="1">IFERROR(INDEX(_xlfn.ANCHORARRAY($C$3),T_CALC[[#This Row],[DAY]]+1,1),NA())</f>
        <v>44245</v>
      </c>
      <c r="M1065" cm="1" vm="2314">
        <f t="array" aca="1" ref="M1065" ca="1">IFERROR(INDEX(_xlfn.ANCHORARRAY($C$3),T_CALC[[#This Row],[DAY]]+1,3),NA())</f>
        <v>1.3282</v>
      </c>
      <c r="N1065" cm="1" vm="2569">
        <f t="array" aca="1" ref="N1065" ca="1">IFERROR(INDEX(_xlfn.ANCHORARRAY($C$3),T_CALC[[#This Row],[DAY]]+1,4),NA())</f>
        <v>1.3295999999999999</v>
      </c>
      <c r="O1065" cm="1" vm="2578">
        <f t="array" aca="1" ref="O1065" ca="1">IFERROR(INDEX(_xlfn.ANCHORARRAY($C$3),T_CALC[[#This Row],[DAY]]+1,5),NA())</f>
        <v>1.3258000000000001</v>
      </c>
      <c r="P1065" cm="1" vm="3674">
        <f t="array" aca="1" ref="P1065" ca="1">IFERROR(INDEX(_xlfn.ANCHORARRAY($C$3),T_CALC[[#This Row],[DAY]]+1,6),NA())</f>
        <v>1.3260000000000001</v>
      </c>
      <c r="Q1065" cm="1">
        <f t="array" aca="1" ref="Q1065" ca="1">IFERROR(INDEX(_xlfn.ANCHORARRAY($C$3),T_CALC[[#This Row],[DAY]]+1,2),NA())</f>
        <v>0</v>
      </c>
    </row>
    <row r="1066" spans="3:17">
      <c r="C1066" vm="28">
        <f ca="1"/>
        <v>44246</v>
      </c>
      <c r="D1066">
        <f ca="1"/>
        <v>0</v>
      </c>
      <c r="E1066" vm="2566">
        <f ca="1"/>
        <v>1.3262</v>
      </c>
      <c r="F1066" vm="2334">
        <f ca="1"/>
        <v>1.3284</v>
      </c>
      <c r="G1066" vm="2424">
        <f ca="1"/>
        <v>1.3225</v>
      </c>
      <c r="H1066" vm="2465">
        <f ca="1"/>
        <v>1.3242</v>
      </c>
      <c r="K1066">
        <f ca="1">IF(ROW(T_CALC[[#This Row],[DAY]])-ROW(T_CALC[[#Headers],[DAY]])&gt;C_N_TRADING_DAYS,"",ROW(T_CALC[[#This Row],[DAY]])-ROW(T_CALC[[#Headers],[DAY]]))</f>
        <v>1063</v>
      </c>
      <c r="L1066" cm="1" vm="28">
        <f t="array" aca="1" ref="L1066" ca="1">IFERROR(INDEX(_xlfn.ANCHORARRAY($C$3),T_CALC[[#This Row],[DAY]]+1,1),NA())</f>
        <v>44246</v>
      </c>
      <c r="M1066" cm="1" vm="2566">
        <f t="array" aca="1" ref="M1066" ca="1">IFERROR(INDEX(_xlfn.ANCHORARRAY($C$3),T_CALC[[#This Row],[DAY]]+1,3),NA())</f>
        <v>1.3262</v>
      </c>
      <c r="N1066" cm="1" vm="2334">
        <f t="array" aca="1" ref="N1066" ca="1">IFERROR(INDEX(_xlfn.ANCHORARRAY($C$3),T_CALC[[#This Row],[DAY]]+1,4),NA())</f>
        <v>1.3284</v>
      </c>
      <c r="O1066" cm="1" vm="2424">
        <f t="array" aca="1" ref="O1066" ca="1">IFERROR(INDEX(_xlfn.ANCHORARRAY($C$3),T_CALC[[#This Row],[DAY]]+1,5),NA())</f>
        <v>1.3225</v>
      </c>
      <c r="P1066" cm="1" vm="2465">
        <f t="array" aca="1" ref="P1066" ca="1">IFERROR(INDEX(_xlfn.ANCHORARRAY($C$3),T_CALC[[#This Row],[DAY]]+1,6),NA())</f>
        <v>1.3242</v>
      </c>
      <c r="Q1066" cm="1">
        <f t="array" aca="1" ref="Q1066" ca="1">IFERROR(INDEX(_xlfn.ANCHORARRAY($C$3),T_CALC[[#This Row],[DAY]]+1,2),NA())</f>
        <v>0</v>
      </c>
    </row>
    <row r="1067" spans="3:17">
      <c r="C1067" vm="29">
        <f ca="1"/>
        <v>44249</v>
      </c>
      <c r="D1067">
        <f ca="1"/>
        <v>0</v>
      </c>
      <c r="E1067" vm="3684">
        <f ca="1"/>
        <v>1.3240000000000001</v>
      </c>
      <c r="F1067" vm="2316">
        <f ca="1"/>
        <v>1.3261000000000001</v>
      </c>
      <c r="G1067" vm="2366">
        <f ca="1"/>
        <v>1.3208</v>
      </c>
      <c r="H1067" vm="3659">
        <f ca="1"/>
        <v>1.3212999999999999</v>
      </c>
      <c r="K1067">
        <f ca="1">IF(ROW(T_CALC[[#This Row],[DAY]])-ROW(T_CALC[[#Headers],[DAY]])&gt;C_N_TRADING_DAYS,"",ROW(T_CALC[[#This Row],[DAY]])-ROW(T_CALC[[#Headers],[DAY]]))</f>
        <v>1064</v>
      </c>
      <c r="L1067" cm="1" vm="29">
        <f t="array" aca="1" ref="L1067" ca="1">IFERROR(INDEX(_xlfn.ANCHORARRAY($C$3),T_CALC[[#This Row],[DAY]]+1,1),NA())</f>
        <v>44249</v>
      </c>
      <c r="M1067" cm="1" vm="3684">
        <f t="array" aca="1" ref="M1067" ca="1">IFERROR(INDEX(_xlfn.ANCHORARRAY($C$3),T_CALC[[#This Row],[DAY]]+1,3),NA())</f>
        <v>1.3240000000000001</v>
      </c>
      <c r="N1067" cm="1" vm="2316">
        <f t="array" aca="1" ref="N1067" ca="1">IFERROR(INDEX(_xlfn.ANCHORARRAY($C$3),T_CALC[[#This Row],[DAY]]+1,4),NA())</f>
        <v>1.3261000000000001</v>
      </c>
      <c r="O1067" cm="1" vm="2366">
        <f t="array" aca="1" ref="O1067" ca="1">IFERROR(INDEX(_xlfn.ANCHORARRAY($C$3),T_CALC[[#This Row],[DAY]]+1,5),NA())</f>
        <v>1.3208</v>
      </c>
      <c r="P1067" cm="1" vm="3659">
        <f t="array" aca="1" ref="P1067" ca="1">IFERROR(INDEX(_xlfn.ANCHORARRAY($C$3),T_CALC[[#This Row],[DAY]]+1,6),NA())</f>
        <v>1.3212999999999999</v>
      </c>
      <c r="Q1067" cm="1">
        <f t="array" aca="1" ref="Q1067" ca="1">IFERROR(INDEX(_xlfn.ANCHORARRAY($C$3),T_CALC[[#This Row],[DAY]]+1,2),NA())</f>
        <v>0</v>
      </c>
    </row>
    <row r="1068" spans="3:17">
      <c r="C1068" vm="30">
        <f ca="1"/>
        <v>44250</v>
      </c>
      <c r="D1068">
        <f ca="1"/>
        <v>0</v>
      </c>
      <c r="E1068" vm="2408">
        <f ca="1"/>
        <v>1.3214999999999999</v>
      </c>
      <c r="F1068" vm="2473">
        <f ca="1"/>
        <v>1.3220000000000001</v>
      </c>
      <c r="G1068" vm="2448">
        <f ca="1"/>
        <v>1.319</v>
      </c>
      <c r="H1068" vm="2446">
        <f ca="1"/>
        <v>1.32</v>
      </c>
      <c r="K1068">
        <f ca="1">IF(ROW(T_CALC[[#This Row],[DAY]])-ROW(T_CALC[[#Headers],[DAY]])&gt;C_N_TRADING_DAYS,"",ROW(T_CALC[[#This Row],[DAY]])-ROW(T_CALC[[#Headers],[DAY]]))</f>
        <v>1065</v>
      </c>
      <c r="L1068" cm="1" vm="30">
        <f t="array" aca="1" ref="L1068" ca="1">IFERROR(INDEX(_xlfn.ANCHORARRAY($C$3),T_CALC[[#This Row],[DAY]]+1,1),NA())</f>
        <v>44250</v>
      </c>
      <c r="M1068" cm="1" vm="2408">
        <f t="array" aca="1" ref="M1068" ca="1">IFERROR(INDEX(_xlfn.ANCHORARRAY($C$3),T_CALC[[#This Row],[DAY]]+1,3),NA())</f>
        <v>1.3214999999999999</v>
      </c>
      <c r="N1068" cm="1" vm="2473">
        <f t="array" aca="1" ref="N1068" ca="1">IFERROR(INDEX(_xlfn.ANCHORARRAY($C$3),T_CALC[[#This Row],[DAY]]+1,4),NA())</f>
        <v>1.3220000000000001</v>
      </c>
      <c r="O1068" cm="1" vm="2448">
        <f t="array" aca="1" ref="O1068" ca="1">IFERROR(INDEX(_xlfn.ANCHORARRAY($C$3),T_CALC[[#This Row],[DAY]]+1,5),NA())</f>
        <v>1.319</v>
      </c>
      <c r="P1068" cm="1" vm="2446">
        <f t="array" aca="1" ref="P1068" ca="1">IFERROR(INDEX(_xlfn.ANCHORARRAY($C$3),T_CALC[[#This Row],[DAY]]+1,6),NA())</f>
        <v>1.32</v>
      </c>
      <c r="Q1068" cm="1">
        <f t="array" aca="1" ref="Q1068" ca="1">IFERROR(INDEX(_xlfn.ANCHORARRAY($C$3),T_CALC[[#This Row],[DAY]]+1,2),NA())</f>
        <v>0</v>
      </c>
    </row>
    <row r="1069" spans="3:17">
      <c r="C1069" vm="31">
        <f ca="1"/>
        <v>44251</v>
      </c>
      <c r="D1069">
        <f ca="1"/>
        <v>0</v>
      </c>
      <c r="E1069" vm="3685">
        <f ca="1"/>
        <v>1.3203</v>
      </c>
      <c r="F1069" vm="3683">
        <f ca="1"/>
        <v>1.3230999999999999</v>
      </c>
      <c r="G1069" vm="2513">
        <f ca="1"/>
        <v>1.3177000000000001</v>
      </c>
      <c r="H1069" vm="2347">
        <f ca="1"/>
        <v>1.3192999999999999</v>
      </c>
      <c r="K1069">
        <f ca="1">IF(ROW(T_CALC[[#This Row],[DAY]])-ROW(T_CALC[[#Headers],[DAY]])&gt;C_N_TRADING_DAYS,"",ROW(T_CALC[[#This Row],[DAY]])-ROW(T_CALC[[#Headers],[DAY]]))</f>
        <v>1066</v>
      </c>
      <c r="L1069" cm="1" vm="31">
        <f t="array" aca="1" ref="L1069" ca="1">IFERROR(INDEX(_xlfn.ANCHORARRAY($C$3),T_CALC[[#This Row],[DAY]]+1,1),NA())</f>
        <v>44251</v>
      </c>
      <c r="M1069" cm="1" vm="3685">
        <f t="array" aca="1" ref="M1069" ca="1">IFERROR(INDEX(_xlfn.ANCHORARRAY($C$3),T_CALC[[#This Row],[DAY]]+1,3),NA())</f>
        <v>1.3203</v>
      </c>
      <c r="N1069" cm="1" vm="3683">
        <f t="array" aca="1" ref="N1069" ca="1">IFERROR(INDEX(_xlfn.ANCHORARRAY($C$3),T_CALC[[#This Row],[DAY]]+1,4),NA())</f>
        <v>1.3230999999999999</v>
      </c>
      <c r="O1069" cm="1" vm="2513">
        <f t="array" aca="1" ref="O1069" ca="1">IFERROR(INDEX(_xlfn.ANCHORARRAY($C$3),T_CALC[[#This Row],[DAY]]+1,5),NA())</f>
        <v>1.3177000000000001</v>
      </c>
      <c r="P1069" cm="1" vm="2347">
        <f t="array" aca="1" ref="P1069" ca="1">IFERROR(INDEX(_xlfn.ANCHORARRAY($C$3),T_CALC[[#This Row],[DAY]]+1,6),NA())</f>
        <v>1.3192999999999999</v>
      </c>
      <c r="Q1069" cm="1">
        <f t="array" aca="1" ref="Q1069" ca="1">IFERROR(INDEX(_xlfn.ANCHORARRAY($C$3),T_CALC[[#This Row],[DAY]]+1,2),NA())</f>
        <v>0</v>
      </c>
    </row>
    <row r="1070" spans="3:17">
      <c r="C1070" vm="32">
        <f ca="1"/>
        <v>44252</v>
      </c>
      <c r="D1070">
        <f ca="1"/>
        <v>0</v>
      </c>
      <c r="E1070" vm="2347">
        <f ca="1"/>
        <v>1.3192999999999999</v>
      </c>
      <c r="F1070" vm="3686">
        <f ca="1"/>
        <v>1.3268</v>
      </c>
      <c r="G1070" vm="2486">
        <f ca="1"/>
        <v>1.3160000000000001</v>
      </c>
      <c r="H1070" vm="2427">
        <f ca="1"/>
        <v>1.3251999999999999</v>
      </c>
      <c r="K1070">
        <f ca="1">IF(ROW(T_CALC[[#This Row],[DAY]])-ROW(T_CALC[[#Headers],[DAY]])&gt;C_N_TRADING_DAYS,"",ROW(T_CALC[[#This Row],[DAY]])-ROW(T_CALC[[#Headers],[DAY]]))</f>
        <v>1067</v>
      </c>
      <c r="L1070" cm="1" vm="32">
        <f t="array" aca="1" ref="L1070" ca="1">IFERROR(INDEX(_xlfn.ANCHORARRAY($C$3),T_CALC[[#This Row],[DAY]]+1,1),NA())</f>
        <v>44252</v>
      </c>
      <c r="M1070" cm="1" vm="2347">
        <f t="array" aca="1" ref="M1070" ca="1">IFERROR(INDEX(_xlfn.ANCHORARRAY($C$3),T_CALC[[#This Row],[DAY]]+1,3),NA())</f>
        <v>1.3192999999999999</v>
      </c>
      <c r="N1070" cm="1" vm="3686">
        <f t="array" aca="1" ref="N1070" ca="1">IFERROR(INDEX(_xlfn.ANCHORARRAY($C$3),T_CALC[[#This Row],[DAY]]+1,4),NA())</f>
        <v>1.3268</v>
      </c>
      <c r="O1070" cm="1" vm="2486">
        <f t="array" aca="1" ref="O1070" ca="1">IFERROR(INDEX(_xlfn.ANCHORARRAY($C$3),T_CALC[[#This Row],[DAY]]+1,5),NA())</f>
        <v>1.3160000000000001</v>
      </c>
      <c r="P1070" cm="1" vm="2427">
        <f t="array" aca="1" ref="P1070" ca="1">IFERROR(INDEX(_xlfn.ANCHORARRAY($C$3),T_CALC[[#This Row],[DAY]]+1,6),NA())</f>
        <v>1.3251999999999999</v>
      </c>
      <c r="Q1070" cm="1">
        <f t="array" aca="1" ref="Q1070" ca="1">IFERROR(INDEX(_xlfn.ANCHORARRAY($C$3),T_CALC[[#This Row],[DAY]]+1,2),NA())</f>
        <v>0</v>
      </c>
    </row>
    <row r="1071" spans="3:17">
      <c r="C1071" vm="33">
        <f ca="1"/>
        <v>44253</v>
      </c>
      <c r="D1071">
        <f ca="1"/>
        <v>0</v>
      </c>
      <c r="E1071" vm="2320">
        <f ca="1"/>
        <v>1.3252999999999999</v>
      </c>
      <c r="F1071" vm="2648">
        <f ca="1"/>
        <v>1.3335999999999999</v>
      </c>
      <c r="G1071" vm="2467">
        <f ca="1"/>
        <v>1.3241000000000001</v>
      </c>
      <c r="H1071" vm="3678">
        <f ca="1"/>
        <v>1.3314999999999999</v>
      </c>
      <c r="K1071">
        <f ca="1">IF(ROW(T_CALC[[#This Row],[DAY]])-ROW(T_CALC[[#Headers],[DAY]])&gt;C_N_TRADING_DAYS,"",ROW(T_CALC[[#This Row],[DAY]])-ROW(T_CALC[[#Headers],[DAY]]))</f>
        <v>1068</v>
      </c>
      <c r="L1071" cm="1" vm="33">
        <f t="array" aca="1" ref="L1071" ca="1">IFERROR(INDEX(_xlfn.ANCHORARRAY($C$3),T_CALC[[#This Row],[DAY]]+1,1),NA())</f>
        <v>44253</v>
      </c>
      <c r="M1071" cm="1" vm="2320">
        <f t="array" aca="1" ref="M1071" ca="1">IFERROR(INDEX(_xlfn.ANCHORARRAY($C$3),T_CALC[[#This Row],[DAY]]+1,3),NA())</f>
        <v>1.3252999999999999</v>
      </c>
      <c r="N1071" cm="1" vm="2648">
        <f t="array" aca="1" ref="N1071" ca="1">IFERROR(INDEX(_xlfn.ANCHORARRAY($C$3),T_CALC[[#This Row],[DAY]]+1,4),NA())</f>
        <v>1.3335999999999999</v>
      </c>
      <c r="O1071" cm="1" vm="2467">
        <f t="array" aca="1" ref="O1071" ca="1">IFERROR(INDEX(_xlfn.ANCHORARRAY($C$3),T_CALC[[#This Row],[DAY]]+1,5),NA())</f>
        <v>1.3241000000000001</v>
      </c>
      <c r="P1071" cm="1" vm="3678">
        <f t="array" aca="1" ref="P1071" ca="1">IFERROR(INDEX(_xlfn.ANCHORARRAY($C$3),T_CALC[[#This Row],[DAY]]+1,6),NA())</f>
        <v>1.3314999999999999</v>
      </c>
      <c r="Q1071" cm="1">
        <f t="array" aca="1" ref="Q1071" ca="1">IFERROR(INDEX(_xlfn.ANCHORARRAY($C$3),T_CALC[[#This Row],[DAY]]+1,2),NA())</f>
        <v>0</v>
      </c>
    </row>
    <row r="1072" spans="3:17">
      <c r="C1072" vm="34">
        <f ca="1"/>
        <v>44256</v>
      </c>
      <c r="D1072">
        <f ca="1"/>
        <v>0</v>
      </c>
      <c r="E1072" vm="3671">
        <f ca="1"/>
        <v>1.3317000000000001</v>
      </c>
      <c r="F1072" vm="2653">
        <f ca="1"/>
        <v>1.3327</v>
      </c>
      <c r="G1072" vm="2312">
        <f ca="1"/>
        <v>1.3265</v>
      </c>
      <c r="H1072" vm="2308">
        <f ca="1"/>
        <v>1.3275999999999999</v>
      </c>
      <c r="K1072">
        <f ca="1">IF(ROW(T_CALC[[#This Row],[DAY]])-ROW(T_CALC[[#Headers],[DAY]])&gt;C_N_TRADING_DAYS,"",ROW(T_CALC[[#This Row],[DAY]])-ROW(T_CALC[[#Headers],[DAY]]))</f>
        <v>1069</v>
      </c>
      <c r="L1072" cm="1" vm="34">
        <f t="array" aca="1" ref="L1072" ca="1">IFERROR(INDEX(_xlfn.ANCHORARRAY($C$3),T_CALC[[#This Row],[DAY]]+1,1),NA())</f>
        <v>44256</v>
      </c>
      <c r="M1072" cm="1" vm="3671">
        <f t="array" aca="1" ref="M1072" ca="1">IFERROR(INDEX(_xlfn.ANCHORARRAY($C$3),T_CALC[[#This Row],[DAY]]+1,3),NA())</f>
        <v>1.3317000000000001</v>
      </c>
      <c r="N1072" cm="1" vm="2653">
        <f t="array" aca="1" ref="N1072" ca="1">IFERROR(INDEX(_xlfn.ANCHORARRAY($C$3),T_CALC[[#This Row],[DAY]]+1,4),NA())</f>
        <v>1.3327</v>
      </c>
      <c r="O1072" cm="1" vm="2312">
        <f t="array" aca="1" ref="O1072" ca="1">IFERROR(INDEX(_xlfn.ANCHORARRAY($C$3),T_CALC[[#This Row],[DAY]]+1,5),NA())</f>
        <v>1.3265</v>
      </c>
      <c r="P1072" cm="1" vm="2308">
        <f t="array" aca="1" ref="P1072" ca="1">IFERROR(INDEX(_xlfn.ANCHORARRAY($C$3),T_CALC[[#This Row],[DAY]]+1,6),NA())</f>
        <v>1.3275999999999999</v>
      </c>
      <c r="Q1072" cm="1">
        <f t="array" aca="1" ref="Q1072" ca="1">IFERROR(INDEX(_xlfn.ANCHORARRAY($C$3),T_CALC[[#This Row],[DAY]]+1,2),NA())</f>
        <v>0</v>
      </c>
    </row>
    <row r="1073" spans="3:17">
      <c r="C1073" vm="35">
        <f ca="1"/>
        <v>44257</v>
      </c>
      <c r="D1073">
        <f ca="1"/>
        <v>0</v>
      </c>
      <c r="E1073" vm="3687">
        <f ca="1"/>
        <v>1.3279000000000001</v>
      </c>
      <c r="F1073" vm="2659">
        <f ca="1"/>
        <v>1.3338000000000001</v>
      </c>
      <c r="G1073" vm="3686">
        <f ca="1"/>
        <v>1.3268</v>
      </c>
      <c r="H1073" vm="2337">
        <f ca="1"/>
        <v>1.3301000000000001</v>
      </c>
      <c r="K1073">
        <f ca="1">IF(ROW(T_CALC[[#This Row],[DAY]])-ROW(T_CALC[[#Headers],[DAY]])&gt;C_N_TRADING_DAYS,"",ROW(T_CALC[[#This Row],[DAY]])-ROW(T_CALC[[#Headers],[DAY]]))</f>
        <v>1070</v>
      </c>
      <c r="L1073" cm="1" vm="35">
        <f t="array" aca="1" ref="L1073" ca="1">IFERROR(INDEX(_xlfn.ANCHORARRAY($C$3),T_CALC[[#This Row],[DAY]]+1,1),NA())</f>
        <v>44257</v>
      </c>
      <c r="M1073" cm="1" vm="3687">
        <f t="array" aca="1" ref="M1073" ca="1">IFERROR(INDEX(_xlfn.ANCHORARRAY($C$3),T_CALC[[#This Row],[DAY]]+1,3),NA())</f>
        <v>1.3279000000000001</v>
      </c>
      <c r="N1073" cm="1" vm="2659">
        <f t="array" aca="1" ref="N1073" ca="1">IFERROR(INDEX(_xlfn.ANCHORARRAY($C$3),T_CALC[[#This Row],[DAY]]+1,4),NA())</f>
        <v>1.3338000000000001</v>
      </c>
      <c r="O1073" cm="1" vm="3686">
        <f t="array" aca="1" ref="O1073" ca="1">IFERROR(INDEX(_xlfn.ANCHORARRAY($C$3),T_CALC[[#This Row],[DAY]]+1,5),NA())</f>
        <v>1.3268</v>
      </c>
      <c r="P1073" cm="1" vm="2337">
        <f t="array" aca="1" ref="P1073" ca="1">IFERROR(INDEX(_xlfn.ANCHORARRAY($C$3),T_CALC[[#This Row],[DAY]]+1,6),NA())</f>
        <v>1.3301000000000001</v>
      </c>
      <c r="Q1073" cm="1">
        <f t="array" aca="1" ref="Q1073" ca="1">IFERROR(INDEX(_xlfn.ANCHORARRAY($C$3),T_CALC[[#This Row],[DAY]]+1,2),NA())</f>
        <v>0</v>
      </c>
    </row>
    <row r="1074" spans="3:17">
      <c r="C1074" vm="36">
        <f ca="1"/>
        <v>44258</v>
      </c>
      <c r="D1074">
        <f ca="1"/>
        <v>0</v>
      </c>
      <c r="E1074" vm="2337">
        <f ca="1"/>
        <v>1.3301000000000001</v>
      </c>
      <c r="F1074" vm="2639">
        <f ca="1"/>
        <v>1.3328</v>
      </c>
      <c r="G1074" vm="3687">
        <f ca="1"/>
        <v>1.3279000000000001</v>
      </c>
      <c r="H1074" vm="2323">
        <f ca="1"/>
        <v>1.3323</v>
      </c>
      <c r="K1074">
        <f ca="1">IF(ROW(T_CALC[[#This Row],[DAY]])-ROW(T_CALC[[#Headers],[DAY]])&gt;C_N_TRADING_DAYS,"",ROW(T_CALC[[#This Row],[DAY]])-ROW(T_CALC[[#Headers],[DAY]]))</f>
        <v>1071</v>
      </c>
      <c r="L1074" cm="1" vm="36">
        <f t="array" aca="1" ref="L1074" ca="1">IFERROR(INDEX(_xlfn.ANCHORARRAY($C$3),T_CALC[[#This Row],[DAY]]+1,1),NA())</f>
        <v>44258</v>
      </c>
      <c r="M1074" cm="1" vm="2337">
        <f t="array" aca="1" ref="M1074" ca="1">IFERROR(INDEX(_xlfn.ANCHORARRAY($C$3),T_CALC[[#This Row],[DAY]]+1,3),NA())</f>
        <v>1.3301000000000001</v>
      </c>
      <c r="N1074" cm="1" vm="2639">
        <f t="array" aca="1" ref="N1074" ca="1">IFERROR(INDEX(_xlfn.ANCHORARRAY($C$3),T_CALC[[#This Row],[DAY]]+1,4),NA())</f>
        <v>1.3328</v>
      </c>
      <c r="O1074" cm="1" vm="3687">
        <f t="array" aca="1" ref="O1074" ca="1">IFERROR(INDEX(_xlfn.ANCHORARRAY($C$3),T_CALC[[#This Row],[DAY]]+1,5),NA())</f>
        <v>1.3279000000000001</v>
      </c>
      <c r="P1074" cm="1" vm="2323">
        <f t="array" aca="1" ref="P1074" ca="1">IFERROR(INDEX(_xlfn.ANCHORARRAY($C$3),T_CALC[[#This Row],[DAY]]+1,6),NA())</f>
        <v>1.3323</v>
      </c>
      <c r="Q1074" cm="1">
        <f t="array" aca="1" ref="Q1074" ca="1">IFERROR(INDEX(_xlfn.ANCHORARRAY($C$3),T_CALC[[#This Row],[DAY]]+1,2),NA())</f>
        <v>0</v>
      </c>
    </row>
    <row r="1075" spans="3:17">
      <c r="C1075" vm="37">
        <f ca="1"/>
        <v>44259</v>
      </c>
      <c r="D1075">
        <f ca="1"/>
        <v>0</v>
      </c>
      <c r="E1075" vm="3618">
        <f ca="1"/>
        <v>1.3324</v>
      </c>
      <c r="F1075" vm="3688">
        <f ca="1"/>
        <v>1.3378000000000001</v>
      </c>
      <c r="G1075" vm="3636">
        <f ca="1"/>
        <v>1.3299000000000001</v>
      </c>
      <c r="H1075" vm="2602">
        <f ca="1"/>
        <v>1.3371999999999999</v>
      </c>
      <c r="K1075">
        <f ca="1">IF(ROW(T_CALC[[#This Row],[DAY]])-ROW(T_CALC[[#Headers],[DAY]])&gt;C_N_TRADING_DAYS,"",ROW(T_CALC[[#This Row],[DAY]])-ROW(T_CALC[[#Headers],[DAY]]))</f>
        <v>1072</v>
      </c>
      <c r="L1075" cm="1" vm="37">
        <f t="array" aca="1" ref="L1075" ca="1">IFERROR(INDEX(_xlfn.ANCHORARRAY($C$3),T_CALC[[#This Row],[DAY]]+1,1),NA())</f>
        <v>44259</v>
      </c>
      <c r="M1075" cm="1" vm="3618">
        <f t="array" aca="1" ref="M1075" ca="1">IFERROR(INDEX(_xlfn.ANCHORARRAY($C$3),T_CALC[[#This Row],[DAY]]+1,3),NA())</f>
        <v>1.3324</v>
      </c>
      <c r="N1075" cm="1" vm="3688">
        <f t="array" aca="1" ref="N1075" ca="1">IFERROR(INDEX(_xlfn.ANCHORARRAY($C$3),T_CALC[[#This Row],[DAY]]+1,4),NA())</f>
        <v>1.3378000000000001</v>
      </c>
      <c r="O1075" cm="1" vm="3636">
        <f t="array" aca="1" ref="O1075" ca="1">IFERROR(INDEX(_xlfn.ANCHORARRAY($C$3),T_CALC[[#This Row],[DAY]]+1,5),NA())</f>
        <v>1.3299000000000001</v>
      </c>
      <c r="P1075" cm="1" vm="2602">
        <f t="array" aca="1" ref="P1075" ca="1">IFERROR(INDEX(_xlfn.ANCHORARRAY($C$3),T_CALC[[#This Row],[DAY]]+1,6),NA())</f>
        <v>1.3371999999999999</v>
      </c>
      <c r="Q1075" cm="1">
        <f t="array" aca="1" ref="Q1075" ca="1">IFERROR(INDEX(_xlfn.ANCHORARRAY($C$3),T_CALC[[#This Row],[DAY]]+1,2),NA())</f>
        <v>0</v>
      </c>
    </row>
    <row r="1076" spans="3:17">
      <c r="C1076" vm="38">
        <f ca="1"/>
        <v>44260</v>
      </c>
      <c r="D1076">
        <f ca="1"/>
        <v>0</v>
      </c>
      <c r="E1076" vm="2650">
        <f ca="1"/>
        <v>1.3371</v>
      </c>
      <c r="F1076" vm="2289">
        <f ca="1"/>
        <v>1.3444</v>
      </c>
      <c r="G1076" vm="2586">
        <f ca="1"/>
        <v>1.3361000000000001</v>
      </c>
      <c r="H1076" vm="2122">
        <f ca="1"/>
        <v>1.3420000000000001</v>
      </c>
      <c r="K1076">
        <f ca="1">IF(ROW(T_CALC[[#This Row],[DAY]])-ROW(T_CALC[[#Headers],[DAY]])&gt;C_N_TRADING_DAYS,"",ROW(T_CALC[[#This Row],[DAY]])-ROW(T_CALC[[#Headers],[DAY]]))</f>
        <v>1073</v>
      </c>
      <c r="L1076" cm="1" vm="38">
        <f t="array" aca="1" ref="L1076" ca="1">IFERROR(INDEX(_xlfn.ANCHORARRAY($C$3),T_CALC[[#This Row],[DAY]]+1,1),NA())</f>
        <v>44260</v>
      </c>
      <c r="M1076" cm="1" vm="2650">
        <f t="array" aca="1" ref="M1076" ca="1">IFERROR(INDEX(_xlfn.ANCHORARRAY($C$3),T_CALC[[#This Row],[DAY]]+1,3),NA())</f>
        <v>1.3371</v>
      </c>
      <c r="N1076" cm="1" vm="2289">
        <f t="array" aca="1" ref="N1076" ca="1">IFERROR(INDEX(_xlfn.ANCHORARRAY($C$3),T_CALC[[#This Row],[DAY]]+1,4),NA())</f>
        <v>1.3444</v>
      </c>
      <c r="O1076" cm="1" vm="2586">
        <f t="array" aca="1" ref="O1076" ca="1">IFERROR(INDEX(_xlfn.ANCHORARRAY($C$3),T_CALC[[#This Row],[DAY]]+1,5),NA())</f>
        <v>1.3361000000000001</v>
      </c>
      <c r="P1076" cm="1" vm="2122">
        <f t="array" aca="1" ref="P1076" ca="1">IFERROR(INDEX(_xlfn.ANCHORARRAY($C$3),T_CALC[[#This Row],[DAY]]+1,6),NA())</f>
        <v>1.3420000000000001</v>
      </c>
      <c r="Q1076" cm="1">
        <f t="array" aca="1" ref="Q1076" ca="1">IFERROR(INDEX(_xlfn.ANCHORARRAY($C$3),T_CALC[[#This Row],[DAY]]+1,2),NA())</f>
        <v>0</v>
      </c>
    </row>
    <row r="1077" spans="3:17">
      <c r="C1077" vm="39">
        <f ca="1"/>
        <v>44263</v>
      </c>
      <c r="D1077">
        <f ca="1"/>
        <v>0</v>
      </c>
      <c r="E1077" vm="2122">
        <f ca="1"/>
        <v>1.3420000000000001</v>
      </c>
      <c r="F1077" vm="2263">
        <f ca="1"/>
        <v>1.3513999999999999</v>
      </c>
      <c r="G1077" vm="2095">
        <f ca="1"/>
        <v>1.3391</v>
      </c>
      <c r="H1077" vm="2267">
        <f ca="1"/>
        <v>1.3498000000000001</v>
      </c>
      <c r="K1077">
        <f ca="1">IF(ROW(T_CALC[[#This Row],[DAY]])-ROW(T_CALC[[#Headers],[DAY]])&gt;C_N_TRADING_DAYS,"",ROW(T_CALC[[#This Row],[DAY]])-ROW(T_CALC[[#Headers],[DAY]]))</f>
        <v>1074</v>
      </c>
      <c r="L1077" cm="1" vm="39">
        <f t="array" aca="1" ref="L1077" ca="1">IFERROR(INDEX(_xlfn.ANCHORARRAY($C$3),T_CALC[[#This Row],[DAY]]+1,1),NA())</f>
        <v>44263</v>
      </c>
      <c r="M1077" cm="1" vm="2122">
        <f t="array" aca="1" ref="M1077" ca="1">IFERROR(INDEX(_xlfn.ANCHORARRAY($C$3),T_CALC[[#This Row],[DAY]]+1,3),NA())</f>
        <v>1.3420000000000001</v>
      </c>
      <c r="N1077" cm="1" vm="2263">
        <f t="array" aca="1" ref="N1077" ca="1">IFERROR(INDEX(_xlfn.ANCHORARRAY($C$3),T_CALC[[#This Row],[DAY]]+1,4),NA())</f>
        <v>1.3513999999999999</v>
      </c>
      <c r="O1077" cm="1" vm="2095">
        <f t="array" aca="1" ref="O1077" ca="1">IFERROR(INDEX(_xlfn.ANCHORARRAY($C$3),T_CALC[[#This Row],[DAY]]+1,5),NA())</f>
        <v>1.3391</v>
      </c>
      <c r="P1077" cm="1" vm="2267">
        <f t="array" aca="1" ref="P1077" ca="1">IFERROR(INDEX(_xlfn.ANCHORARRAY($C$3),T_CALC[[#This Row],[DAY]]+1,6),NA())</f>
        <v>1.3498000000000001</v>
      </c>
      <c r="Q1077" cm="1">
        <f t="array" aca="1" ref="Q1077" ca="1">IFERROR(INDEX(_xlfn.ANCHORARRAY($C$3),T_CALC[[#This Row],[DAY]]+1,2),NA())</f>
        <v>0</v>
      </c>
    </row>
    <row r="1078" spans="3:17">
      <c r="C1078" vm="40">
        <f ca="1"/>
        <v>44264</v>
      </c>
      <c r="D1078">
        <f ca="1"/>
        <v>0</v>
      </c>
      <c r="E1078" vm="2267">
        <f ca="1"/>
        <v>1.3498000000000001</v>
      </c>
      <c r="F1078" vm="2226">
        <f ca="1"/>
        <v>1.3529</v>
      </c>
      <c r="G1078" vm="2278">
        <f ca="1"/>
        <v>1.3429</v>
      </c>
      <c r="H1078" vm="2279">
        <f ca="1"/>
        <v>1.3436999999999999</v>
      </c>
      <c r="K1078">
        <f ca="1">IF(ROW(T_CALC[[#This Row],[DAY]])-ROW(T_CALC[[#Headers],[DAY]])&gt;C_N_TRADING_DAYS,"",ROW(T_CALC[[#This Row],[DAY]])-ROW(T_CALC[[#Headers],[DAY]]))</f>
        <v>1075</v>
      </c>
      <c r="L1078" cm="1" vm="40">
        <f t="array" aca="1" ref="L1078" ca="1">IFERROR(INDEX(_xlfn.ANCHORARRAY($C$3),T_CALC[[#This Row],[DAY]]+1,1),NA())</f>
        <v>44264</v>
      </c>
      <c r="M1078" cm="1" vm="2267">
        <f t="array" aca="1" ref="M1078" ca="1">IFERROR(INDEX(_xlfn.ANCHORARRAY($C$3),T_CALC[[#This Row],[DAY]]+1,3),NA())</f>
        <v>1.3498000000000001</v>
      </c>
      <c r="N1078" cm="1" vm="2226">
        <f t="array" aca="1" ref="N1078" ca="1">IFERROR(INDEX(_xlfn.ANCHORARRAY($C$3),T_CALC[[#This Row],[DAY]]+1,4),NA())</f>
        <v>1.3529</v>
      </c>
      <c r="O1078" cm="1" vm="2278">
        <f t="array" aca="1" ref="O1078" ca="1">IFERROR(INDEX(_xlfn.ANCHORARRAY($C$3),T_CALC[[#This Row],[DAY]]+1,5),NA())</f>
        <v>1.3429</v>
      </c>
      <c r="P1078" cm="1" vm="2279">
        <f t="array" aca="1" ref="P1078" ca="1">IFERROR(INDEX(_xlfn.ANCHORARRAY($C$3),T_CALC[[#This Row],[DAY]]+1,6),NA())</f>
        <v>1.3436999999999999</v>
      </c>
      <c r="Q1078" cm="1">
        <f t="array" aca="1" ref="Q1078" ca="1">IFERROR(INDEX(_xlfn.ANCHORARRAY($C$3),T_CALC[[#This Row],[DAY]]+1,2),NA())</f>
        <v>0</v>
      </c>
    </row>
    <row r="1079" spans="3:17">
      <c r="C1079" vm="41">
        <f ca="1"/>
        <v>44265</v>
      </c>
      <c r="D1079">
        <f ca="1"/>
        <v>0</v>
      </c>
      <c r="E1079" vm="2623">
        <f ca="1"/>
        <v>1.3432999999999999</v>
      </c>
      <c r="F1079" vm="2135">
        <f ca="1"/>
        <v>1.3486</v>
      </c>
      <c r="G1079" vm="2596">
        <f ca="1"/>
        <v>1.3415999999999999</v>
      </c>
      <c r="H1079" vm="2115">
        <f ca="1"/>
        <v>1.3433999999999999</v>
      </c>
      <c r="K1079">
        <f ca="1">IF(ROW(T_CALC[[#This Row],[DAY]])-ROW(T_CALC[[#Headers],[DAY]])&gt;C_N_TRADING_DAYS,"",ROW(T_CALC[[#This Row],[DAY]])-ROW(T_CALC[[#Headers],[DAY]]))</f>
        <v>1076</v>
      </c>
      <c r="L1079" cm="1" vm="41">
        <f t="array" aca="1" ref="L1079" ca="1">IFERROR(INDEX(_xlfn.ANCHORARRAY($C$3),T_CALC[[#This Row],[DAY]]+1,1),NA())</f>
        <v>44265</v>
      </c>
      <c r="M1079" cm="1" vm="2623">
        <f t="array" aca="1" ref="M1079" ca="1">IFERROR(INDEX(_xlfn.ANCHORARRAY($C$3),T_CALC[[#This Row],[DAY]]+1,3),NA())</f>
        <v>1.3432999999999999</v>
      </c>
      <c r="N1079" cm="1" vm="2135">
        <f t="array" aca="1" ref="N1079" ca="1">IFERROR(INDEX(_xlfn.ANCHORARRAY($C$3),T_CALC[[#This Row],[DAY]]+1,4),NA())</f>
        <v>1.3486</v>
      </c>
      <c r="O1079" cm="1" vm="2596">
        <f t="array" aca="1" ref="O1079" ca="1">IFERROR(INDEX(_xlfn.ANCHORARRAY($C$3),T_CALC[[#This Row],[DAY]]+1,5),NA())</f>
        <v>1.3415999999999999</v>
      </c>
      <c r="P1079" cm="1" vm="2115">
        <f t="array" aca="1" ref="P1079" ca="1">IFERROR(INDEX(_xlfn.ANCHORARRAY($C$3),T_CALC[[#This Row],[DAY]]+1,6),NA())</f>
        <v>1.3433999999999999</v>
      </c>
      <c r="Q1079" cm="1">
        <f t="array" aca="1" ref="Q1079" ca="1">IFERROR(INDEX(_xlfn.ANCHORARRAY($C$3),T_CALC[[#This Row],[DAY]]+1,2),NA())</f>
        <v>0</v>
      </c>
    </row>
    <row r="1080" spans="3:17">
      <c r="C1080" vm="42">
        <f ca="1"/>
        <v>44266</v>
      </c>
      <c r="D1080">
        <f ca="1"/>
        <v>0</v>
      </c>
      <c r="E1080" vm="3211">
        <f ca="1"/>
        <v>1.3439000000000001</v>
      </c>
      <c r="F1080" vm="2609">
        <f ca="1"/>
        <v>1.3446</v>
      </c>
      <c r="G1080" vm="3612">
        <f ca="1"/>
        <v>1.3387</v>
      </c>
      <c r="H1080" vm="2658">
        <f ca="1"/>
        <v>1.3393999999999999</v>
      </c>
      <c r="K1080">
        <f ca="1">IF(ROW(T_CALC[[#This Row],[DAY]])-ROW(T_CALC[[#Headers],[DAY]])&gt;C_N_TRADING_DAYS,"",ROW(T_CALC[[#This Row],[DAY]])-ROW(T_CALC[[#Headers],[DAY]]))</f>
        <v>1077</v>
      </c>
      <c r="L1080" cm="1" vm="42">
        <f t="array" aca="1" ref="L1080" ca="1">IFERROR(INDEX(_xlfn.ANCHORARRAY($C$3),T_CALC[[#This Row],[DAY]]+1,1),NA())</f>
        <v>44266</v>
      </c>
      <c r="M1080" cm="1" vm="3211">
        <f t="array" aca="1" ref="M1080" ca="1">IFERROR(INDEX(_xlfn.ANCHORARRAY($C$3),T_CALC[[#This Row],[DAY]]+1,3),NA())</f>
        <v>1.3439000000000001</v>
      </c>
      <c r="N1080" cm="1" vm="2609">
        <f t="array" aca="1" ref="N1080" ca="1">IFERROR(INDEX(_xlfn.ANCHORARRAY($C$3),T_CALC[[#This Row],[DAY]]+1,4),NA())</f>
        <v>1.3446</v>
      </c>
      <c r="O1080" cm="1" vm="3612">
        <f t="array" aca="1" ref="O1080" ca="1">IFERROR(INDEX(_xlfn.ANCHORARRAY($C$3),T_CALC[[#This Row],[DAY]]+1,5),NA())</f>
        <v>1.3387</v>
      </c>
      <c r="P1080" cm="1" vm="2658">
        <f t="array" aca="1" ref="P1080" ca="1">IFERROR(INDEX(_xlfn.ANCHORARRAY($C$3),T_CALC[[#This Row],[DAY]]+1,6),NA())</f>
        <v>1.3393999999999999</v>
      </c>
      <c r="Q1080" cm="1">
        <f t="array" aca="1" ref="Q1080" ca="1">IFERROR(INDEX(_xlfn.ANCHORARRAY($C$3),T_CALC[[#This Row],[DAY]]+1,2),NA())</f>
        <v>0</v>
      </c>
    </row>
    <row r="1081" spans="3:17">
      <c r="C1081" vm="43">
        <f ca="1"/>
        <v>44267</v>
      </c>
      <c r="D1081">
        <f ca="1"/>
        <v>0</v>
      </c>
      <c r="E1081" vm="2626">
        <f ca="1"/>
        <v>1.3391999999999999</v>
      </c>
      <c r="F1081" vm="2111">
        <f ca="1"/>
        <v>1.3472999999999999</v>
      </c>
      <c r="G1081" vm="3689">
        <f ca="1"/>
        <v>1.3381000000000001</v>
      </c>
      <c r="H1081" vm="2256">
        <f ca="1"/>
        <v>1.3448</v>
      </c>
      <c r="K1081">
        <f ca="1">IF(ROW(T_CALC[[#This Row],[DAY]])-ROW(T_CALC[[#Headers],[DAY]])&gt;C_N_TRADING_DAYS,"",ROW(T_CALC[[#This Row],[DAY]])-ROW(T_CALC[[#Headers],[DAY]]))</f>
        <v>1078</v>
      </c>
      <c r="L1081" cm="1" vm="43">
        <f t="array" aca="1" ref="L1081" ca="1">IFERROR(INDEX(_xlfn.ANCHORARRAY($C$3),T_CALC[[#This Row],[DAY]]+1,1),NA())</f>
        <v>44267</v>
      </c>
      <c r="M1081" cm="1" vm="2626">
        <f t="array" aca="1" ref="M1081" ca="1">IFERROR(INDEX(_xlfn.ANCHORARRAY($C$3),T_CALC[[#This Row],[DAY]]+1,3),NA())</f>
        <v>1.3391999999999999</v>
      </c>
      <c r="N1081" cm="1" vm="2111">
        <f t="array" aca="1" ref="N1081" ca="1">IFERROR(INDEX(_xlfn.ANCHORARRAY($C$3),T_CALC[[#This Row],[DAY]]+1,4),NA())</f>
        <v>1.3472999999999999</v>
      </c>
      <c r="O1081" cm="1" vm="3689">
        <f t="array" aca="1" ref="O1081" ca="1">IFERROR(INDEX(_xlfn.ANCHORARRAY($C$3),T_CALC[[#This Row],[DAY]]+1,5),NA())</f>
        <v>1.3381000000000001</v>
      </c>
      <c r="P1081" cm="1" vm="2256">
        <f t="array" aca="1" ref="P1081" ca="1">IFERROR(INDEX(_xlfn.ANCHORARRAY($C$3),T_CALC[[#This Row],[DAY]]+1,6),NA())</f>
        <v>1.3448</v>
      </c>
      <c r="Q1081" cm="1">
        <f t="array" aca="1" ref="Q1081" ca="1">IFERROR(INDEX(_xlfn.ANCHORARRAY($C$3),T_CALC[[#This Row],[DAY]]+1,2),NA())</f>
        <v>0</v>
      </c>
    </row>
    <row r="1082" spans="3:17">
      <c r="C1082" vm="44">
        <f ca="1"/>
        <v>44270</v>
      </c>
      <c r="D1082">
        <f ca="1"/>
        <v>0</v>
      </c>
      <c r="E1082" vm="2256">
        <f ca="1"/>
        <v>1.3448</v>
      </c>
      <c r="F1082" vm="2250">
        <f ca="1"/>
        <v>1.3483000000000001</v>
      </c>
      <c r="G1082" vm="2099">
        <f ca="1"/>
        <v>1.3425</v>
      </c>
      <c r="H1082" vm="2244">
        <f ca="1"/>
        <v>1.3459000000000001</v>
      </c>
      <c r="K1082">
        <f ca="1">IF(ROW(T_CALC[[#This Row],[DAY]])-ROW(T_CALC[[#Headers],[DAY]])&gt;C_N_TRADING_DAYS,"",ROW(T_CALC[[#This Row],[DAY]])-ROW(T_CALC[[#Headers],[DAY]]))</f>
        <v>1079</v>
      </c>
      <c r="L1082" cm="1" vm="44">
        <f t="array" aca="1" ref="L1082" ca="1">IFERROR(INDEX(_xlfn.ANCHORARRAY($C$3),T_CALC[[#This Row],[DAY]]+1,1),NA())</f>
        <v>44270</v>
      </c>
      <c r="M1082" cm="1" vm="2256">
        <f t="array" aca="1" ref="M1082" ca="1">IFERROR(INDEX(_xlfn.ANCHORARRAY($C$3),T_CALC[[#This Row],[DAY]]+1,3),NA())</f>
        <v>1.3448</v>
      </c>
      <c r="N1082" cm="1" vm="2250">
        <f t="array" aca="1" ref="N1082" ca="1">IFERROR(INDEX(_xlfn.ANCHORARRAY($C$3),T_CALC[[#This Row],[DAY]]+1,4),NA())</f>
        <v>1.3483000000000001</v>
      </c>
      <c r="O1082" cm="1" vm="2099">
        <f t="array" aca="1" ref="O1082" ca="1">IFERROR(INDEX(_xlfn.ANCHORARRAY($C$3),T_CALC[[#This Row],[DAY]]+1,5),NA())</f>
        <v>1.3425</v>
      </c>
      <c r="P1082" cm="1" vm="2244">
        <f t="array" aca="1" ref="P1082" ca="1">IFERROR(INDEX(_xlfn.ANCHORARRAY($C$3),T_CALC[[#This Row],[DAY]]+1,6),NA())</f>
        <v>1.3459000000000001</v>
      </c>
      <c r="Q1082" cm="1">
        <f t="array" aca="1" ref="Q1082" ca="1">IFERROR(INDEX(_xlfn.ANCHORARRAY($C$3),T_CALC[[#This Row],[DAY]]+1,2),NA())</f>
        <v>0</v>
      </c>
    </row>
    <row r="1083" spans="3:17">
      <c r="C1083" vm="45">
        <f ca="1"/>
        <v>44271</v>
      </c>
      <c r="D1083">
        <f ca="1"/>
        <v>0</v>
      </c>
      <c r="E1083" vm="2235">
        <f ca="1"/>
        <v>1.3452</v>
      </c>
      <c r="F1083" vm="2104">
        <f ca="1"/>
        <v>1.3469</v>
      </c>
      <c r="G1083" vm="2115">
        <f ca="1"/>
        <v>1.3433999999999999</v>
      </c>
      <c r="H1083" vm="2256">
        <f ca="1"/>
        <v>1.3448</v>
      </c>
      <c r="K1083">
        <f ca="1">IF(ROW(T_CALC[[#This Row],[DAY]])-ROW(T_CALC[[#Headers],[DAY]])&gt;C_N_TRADING_DAYS,"",ROW(T_CALC[[#This Row],[DAY]])-ROW(T_CALC[[#Headers],[DAY]]))</f>
        <v>1080</v>
      </c>
      <c r="L1083" cm="1" vm="45">
        <f t="array" aca="1" ref="L1083" ca="1">IFERROR(INDEX(_xlfn.ANCHORARRAY($C$3),T_CALC[[#This Row],[DAY]]+1,1),NA())</f>
        <v>44271</v>
      </c>
      <c r="M1083" cm="1" vm="2235">
        <f t="array" aca="1" ref="M1083" ca="1">IFERROR(INDEX(_xlfn.ANCHORARRAY($C$3),T_CALC[[#This Row],[DAY]]+1,3),NA())</f>
        <v>1.3452</v>
      </c>
      <c r="N1083" cm="1" vm="2104">
        <f t="array" aca="1" ref="N1083" ca="1">IFERROR(INDEX(_xlfn.ANCHORARRAY($C$3),T_CALC[[#This Row],[DAY]]+1,4),NA())</f>
        <v>1.3469</v>
      </c>
      <c r="O1083" cm="1" vm="2115">
        <f t="array" aca="1" ref="O1083" ca="1">IFERROR(INDEX(_xlfn.ANCHORARRAY($C$3),T_CALC[[#This Row],[DAY]]+1,5),NA())</f>
        <v>1.3433999999999999</v>
      </c>
      <c r="P1083" cm="1" vm="2256">
        <f t="array" aca="1" ref="P1083" ca="1">IFERROR(INDEX(_xlfn.ANCHORARRAY($C$3),T_CALC[[#This Row],[DAY]]+1,6),NA())</f>
        <v>1.3448</v>
      </c>
      <c r="Q1083" cm="1">
        <f t="array" aca="1" ref="Q1083" ca="1">IFERROR(INDEX(_xlfn.ANCHORARRAY($C$3),T_CALC[[#This Row],[DAY]]+1,2),NA())</f>
        <v>0</v>
      </c>
    </row>
    <row r="1084" spans="3:17">
      <c r="C1084" vm="46">
        <f ca="1"/>
        <v>44272</v>
      </c>
      <c r="D1084">
        <f ca="1"/>
        <v>0</v>
      </c>
      <c r="E1084" vm="2239">
        <f ca="1"/>
        <v>1.3454999999999999</v>
      </c>
      <c r="F1084" vm="2121">
        <f ca="1"/>
        <v>1.3479000000000001</v>
      </c>
      <c r="G1084" vm="2658">
        <f ca="1"/>
        <v>1.3393999999999999</v>
      </c>
      <c r="H1084" vm="2096">
        <f ca="1"/>
        <v>1.3399000000000001</v>
      </c>
      <c r="K1084">
        <f ca="1">IF(ROW(T_CALC[[#This Row],[DAY]])-ROW(T_CALC[[#Headers],[DAY]])&gt;C_N_TRADING_DAYS,"",ROW(T_CALC[[#This Row],[DAY]])-ROW(T_CALC[[#Headers],[DAY]]))</f>
        <v>1081</v>
      </c>
      <c r="L1084" cm="1" vm="46">
        <f t="array" aca="1" ref="L1084" ca="1">IFERROR(INDEX(_xlfn.ANCHORARRAY($C$3),T_CALC[[#This Row],[DAY]]+1,1),NA())</f>
        <v>44272</v>
      </c>
      <c r="M1084" cm="1" vm="2239">
        <f t="array" aca="1" ref="M1084" ca="1">IFERROR(INDEX(_xlfn.ANCHORARRAY($C$3),T_CALC[[#This Row],[DAY]]+1,3),NA())</f>
        <v>1.3454999999999999</v>
      </c>
      <c r="N1084" cm="1" vm="2121">
        <f t="array" aca="1" ref="N1084" ca="1">IFERROR(INDEX(_xlfn.ANCHORARRAY($C$3),T_CALC[[#This Row],[DAY]]+1,4),NA())</f>
        <v>1.3479000000000001</v>
      </c>
      <c r="O1084" cm="1" vm="2658">
        <f t="array" aca="1" ref="O1084" ca="1">IFERROR(INDEX(_xlfn.ANCHORARRAY($C$3),T_CALC[[#This Row],[DAY]]+1,5),NA())</f>
        <v>1.3393999999999999</v>
      </c>
      <c r="P1084" cm="1" vm="2096">
        <f t="array" aca="1" ref="P1084" ca="1">IFERROR(INDEX(_xlfn.ANCHORARRAY($C$3),T_CALC[[#This Row],[DAY]]+1,6),NA())</f>
        <v>1.3399000000000001</v>
      </c>
      <c r="Q1084" cm="1">
        <f t="array" aca="1" ref="Q1084" ca="1">IFERROR(INDEX(_xlfn.ANCHORARRAY($C$3),T_CALC[[#This Row],[DAY]]+1,2),NA())</f>
        <v>0</v>
      </c>
    </row>
    <row r="1085" spans="3:17">
      <c r="C1085" vm="47">
        <f ca="1"/>
        <v>44273</v>
      </c>
      <c r="D1085">
        <f ca="1"/>
        <v>0</v>
      </c>
      <c r="E1085" vm="2096">
        <f ca="1"/>
        <v>1.3399000000000001</v>
      </c>
      <c r="F1085" vm="2661">
        <f ca="1"/>
        <v>1.3449</v>
      </c>
      <c r="G1085" vm="3612">
        <f ca="1"/>
        <v>1.3387</v>
      </c>
      <c r="H1085" vm="2243">
        <f ca="1"/>
        <v>1.3434999999999999</v>
      </c>
      <c r="K1085">
        <f ca="1">IF(ROW(T_CALC[[#This Row],[DAY]])-ROW(T_CALC[[#Headers],[DAY]])&gt;C_N_TRADING_DAYS,"",ROW(T_CALC[[#This Row],[DAY]])-ROW(T_CALC[[#Headers],[DAY]]))</f>
        <v>1082</v>
      </c>
      <c r="L1085" cm="1" vm="47">
        <f t="array" aca="1" ref="L1085" ca="1">IFERROR(INDEX(_xlfn.ANCHORARRAY($C$3),T_CALC[[#This Row],[DAY]]+1,1),NA())</f>
        <v>44273</v>
      </c>
      <c r="M1085" cm="1" vm="2096">
        <f t="array" aca="1" ref="M1085" ca="1">IFERROR(INDEX(_xlfn.ANCHORARRAY($C$3),T_CALC[[#This Row],[DAY]]+1,3),NA())</f>
        <v>1.3399000000000001</v>
      </c>
      <c r="N1085" cm="1" vm="2661">
        <f t="array" aca="1" ref="N1085" ca="1">IFERROR(INDEX(_xlfn.ANCHORARRAY($C$3),T_CALC[[#This Row],[DAY]]+1,4),NA())</f>
        <v>1.3449</v>
      </c>
      <c r="O1085" cm="1" vm="3612">
        <f t="array" aca="1" ref="O1085" ca="1">IFERROR(INDEX(_xlfn.ANCHORARRAY($C$3),T_CALC[[#This Row],[DAY]]+1,5),NA())</f>
        <v>1.3387</v>
      </c>
      <c r="P1085" cm="1" vm="2243">
        <f t="array" aca="1" ref="P1085" ca="1">IFERROR(INDEX(_xlfn.ANCHORARRAY($C$3),T_CALC[[#This Row],[DAY]]+1,6),NA())</f>
        <v>1.3434999999999999</v>
      </c>
      <c r="Q1085" cm="1">
        <f t="array" aca="1" ref="Q1085" ca="1">IFERROR(INDEX(_xlfn.ANCHORARRAY($C$3),T_CALC[[#This Row],[DAY]]+1,2),NA())</f>
        <v>0</v>
      </c>
    </row>
    <row r="1086" spans="3:17">
      <c r="C1086" vm="48">
        <f ca="1"/>
        <v>44274</v>
      </c>
      <c r="D1086">
        <f ca="1"/>
        <v>0</v>
      </c>
      <c r="E1086" vm="2243">
        <f ca="1"/>
        <v>1.3434999999999999</v>
      </c>
      <c r="F1086" vm="3219">
        <f ca="1"/>
        <v>1.3463000000000001</v>
      </c>
      <c r="G1086" vm="2613">
        <f ca="1"/>
        <v>1.3402000000000001</v>
      </c>
      <c r="H1086" vm="2251">
        <f ca="1"/>
        <v>1.3414999999999999</v>
      </c>
      <c r="K1086">
        <f ca="1">IF(ROW(T_CALC[[#This Row],[DAY]])-ROW(T_CALC[[#Headers],[DAY]])&gt;C_N_TRADING_DAYS,"",ROW(T_CALC[[#This Row],[DAY]])-ROW(T_CALC[[#Headers],[DAY]]))</f>
        <v>1083</v>
      </c>
      <c r="L1086" cm="1" vm="48">
        <f t="array" aca="1" ref="L1086" ca="1">IFERROR(INDEX(_xlfn.ANCHORARRAY($C$3),T_CALC[[#This Row],[DAY]]+1,1),NA())</f>
        <v>44274</v>
      </c>
      <c r="M1086" cm="1" vm="2243">
        <f t="array" aca="1" ref="M1086" ca="1">IFERROR(INDEX(_xlfn.ANCHORARRAY($C$3),T_CALC[[#This Row],[DAY]]+1,3),NA())</f>
        <v>1.3434999999999999</v>
      </c>
      <c r="N1086" cm="1" vm="3219">
        <f t="array" aca="1" ref="N1086" ca="1">IFERROR(INDEX(_xlfn.ANCHORARRAY($C$3),T_CALC[[#This Row],[DAY]]+1,4),NA())</f>
        <v>1.3463000000000001</v>
      </c>
      <c r="O1086" cm="1" vm="2613">
        <f t="array" aca="1" ref="O1086" ca="1">IFERROR(INDEX(_xlfn.ANCHORARRAY($C$3),T_CALC[[#This Row],[DAY]]+1,5),NA())</f>
        <v>1.3402000000000001</v>
      </c>
      <c r="P1086" cm="1" vm="2251">
        <f t="array" aca="1" ref="P1086" ca="1">IFERROR(INDEX(_xlfn.ANCHORARRAY($C$3),T_CALC[[#This Row],[DAY]]+1,6),NA())</f>
        <v>1.3414999999999999</v>
      </c>
      <c r="Q1086" cm="1">
        <f t="array" aca="1" ref="Q1086" ca="1">IFERROR(INDEX(_xlfn.ANCHORARRAY($C$3),T_CALC[[#This Row],[DAY]]+1,2),NA())</f>
        <v>0</v>
      </c>
    </row>
    <row r="1087" spans="3:17">
      <c r="C1087" vm="49">
        <f ca="1"/>
        <v>44277</v>
      </c>
      <c r="D1087">
        <f ca="1"/>
        <v>0</v>
      </c>
      <c r="E1087" vm="3690">
        <f ca="1"/>
        <v>1.3421000000000001</v>
      </c>
      <c r="F1087" vm="2256">
        <f ca="1"/>
        <v>1.3448</v>
      </c>
      <c r="G1087" vm="2619">
        <f ca="1"/>
        <v>1.339</v>
      </c>
      <c r="H1087" vm="3631">
        <f ca="1"/>
        <v>1.3403</v>
      </c>
      <c r="K1087">
        <f ca="1">IF(ROW(T_CALC[[#This Row],[DAY]])-ROW(T_CALC[[#Headers],[DAY]])&gt;C_N_TRADING_DAYS,"",ROW(T_CALC[[#This Row],[DAY]])-ROW(T_CALC[[#Headers],[DAY]]))</f>
        <v>1084</v>
      </c>
      <c r="L1087" cm="1" vm="49">
        <f t="array" aca="1" ref="L1087" ca="1">IFERROR(INDEX(_xlfn.ANCHORARRAY($C$3),T_CALC[[#This Row],[DAY]]+1,1),NA())</f>
        <v>44277</v>
      </c>
      <c r="M1087" cm="1" vm="3690">
        <f t="array" aca="1" ref="M1087" ca="1">IFERROR(INDEX(_xlfn.ANCHORARRAY($C$3),T_CALC[[#This Row],[DAY]]+1,3),NA())</f>
        <v>1.3421000000000001</v>
      </c>
      <c r="N1087" cm="1" vm="2256">
        <f t="array" aca="1" ref="N1087" ca="1">IFERROR(INDEX(_xlfn.ANCHORARRAY($C$3),T_CALC[[#This Row],[DAY]]+1,4),NA())</f>
        <v>1.3448</v>
      </c>
      <c r="O1087" cm="1" vm="2619">
        <f t="array" aca="1" ref="O1087" ca="1">IFERROR(INDEX(_xlfn.ANCHORARRAY($C$3),T_CALC[[#This Row],[DAY]]+1,5),NA())</f>
        <v>1.339</v>
      </c>
      <c r="P1087" cm="1" vm="3631">
        <f t="array" aca="1" ref="P1087" ca="1">IFERROR(INDEX(_xlfn.ANCHORARRAY($C$3),T_CALC[[#This Row],[DAY]]+1,6),NA())</f>
        <v>1.3403</v>
      </c>
      <c r="Q1087" cm="1">
        <f t="array" aca="1" ref="Q1087" ca="1">IFERROR(INDEX(_xlfn.ANCHORARRAY($C$3),T_CALC[[#This Row],[DAY]]+1,2),NA())</f>
        <v>0</v>
      </c>
    </row>
    <row r="1088" spans="3:17">
      <c r="C1088" vm="50">
        <f ca="1"/>
        <v>44278</v>
      </c>
      <c r="D1088">
        <f ca="1"/>
        <v>0</v>
      </c>
      <c r="E1088" vm="2636">
        <f ca="1"/>
        <v>1.3406</v>
      </c>
      <c r="F1088" vm="2118">
        <f ca="1"/>
        <v>1.3458000000000001</v>
      </c>
      <c r="G1088" vm="2098">
        <f ca="1"/>
        <v>1.3392999999999999</v>
      </c>
      <c r="H1088" vm="3216">
        <f ca="1"/>
        <v>1.3440000000000001</v>
      </c>
      <c r="K1088">
        <f ca="1">IF(ROW(T_CALC[[#This Row],[DAY]])-ROW(T_CALC[[#Headers],[DAY]])&gt;C_N_TRADING_DAYS,"",ROW(T_CALC[[#This Row],[DAY]])-ROW(T_CALC[[#Headers],[DAY]]))</f>
        <v>1085</v>
      </c>
      <c r="L1088" cm="1" vm="50">
        <f t="array" aca="1" ref="L1088" ca="1">IFERROR(INDEX(_xlfn.ANCHORARRAY($C$3),T_CALC[[#This Row],[DAY]]+1,1),NA())</f>
        <v>44278</v>
      </c>
      <c r="M1088" cm="1" vm="2636">
        <f t="array" aca="1" ref="M1088" ca="1">IFERROR(INDEX(_xlfn.ANCHORARRAY($C$3),T_CALC[[#This Row],[DAY]]+1,3),NA())</f>
        <v>1.3406</v>
      </c>
      <c r="N1088" cm="1" vm="2118">
        <f t="array" aca="1" ref="N1088" ca="1">IFERROR(INDEX(_xlfn.ANCHORARRAY($C$3),T_CALC[[#This Row],[DAY]]+1,4),NA())</f>
        <v>1.3458000000000001</v>
      </c>
      <c r="O1088" cm="1" vm="2098">
        <f t="array" aca="1" ref="O1088" ca="1">IFERROR(INDEX(_xlfn.ANCHORARRAY($C$3),T_CALC[[#This Row],[DAY]]+1,5),NA())</f>
        <v>1.3392999999999999</v>
      </c>
      <c r="P1088" cm="1" vm="3216">
        <f t="array" aca="1" ref="P1088" ca="1">IFERROR(INDEX(_xlfn.ANCHORARRAY($C$3),T_CALC[[#This Row],[DAY]]+1,6),NA())</f>
        <v>1.3440000000000001</v>
      </c>
      <c r="Q1088" cm="1">
        <f t="array" aca="1" ref="Q1088" ca="1">IFERROR(INDEX(_xlfn.ANCHORARRAY($C$3),T_CALC[[#This Row],[DAY]]+1,2),NA())</f>
        <v>0</v>
      </c>
    </row>
    <row r="1089" spans="3:17">
      <c r="C1089" vm="51">
        <f ca="1"/>
        <v>44279</v>
      </c>
      <c r="D1089">
        <f ca="1"/>
        <v>0</v>
      </c>
      <c r="E1089" vm="3216">
        <f ca="1"/>
        <v>1.3440000000000001</v>
      </c>
      <c r="F1089" vm="2090">
        <f ca="1"/>
        <v>1.3476999999999999</v>
      </c>
      <c r="G1089" vm="2272">
        <f ca="1"/>
        <v>1.3438000000000001</v>
      </c>
      <c r="H1089" vm="3213">
        <f ca="1"/>
        <v>1.3460000000000001</v>
      </c>
      <c r="K1089">
        <f ca="1">IF(ROW(T_CALC[[#This Row],[DAY]])-ROW(T_CALC[[#Headers],[DAY]])&gt;C_N_TRADING_DAYS,"",ROW(T_CALC[[#This Row],[DAY]])-ROW(T_CALC[[#Headers],[DAY]]))</f>
        <v>1086</v>
      </c>
      <c r="L1089" cm="1" vm="51">
        <f t="array" aca="1" ref="L1089" ca="1">IFERROR(INDEX(_xlfn.ANCHORARRAY($C$3),T_CALC[[#This Row],[DAY]]+1,1),NA())</f>
        <v>44279</v>
      </c>
      <c r="M1089" cm="1" vm="3216">
        <f t="array" aca="1" ref="M1089" ca="1">IFERROR(INDEX(_xlfn.ANCHORARRAY($C$3),T_CALC[[#This Row],[DAY]]+1,3),NA())</f>
        <v>1.3440000000000001</v>
      </c>
      <c r="N1089" cm="1" vm="2090">
        <f t="array" aca="1" ref="N1089" ca="1">IFERROR(INDEX(_xlfn.ANCHORARRAY($C$3),T_CALC[[#This Row],[DAY]]+1,4),NA())</f>
        <v>1.3476999999999999</v>
      </c>
      <c r="O1089" cm="1" vm="2272">
        <f t="array" aca="1" ref="O1089" ca="1">IFERROR(INDEX(_xlfn.ANCHORARRAY($C$3),T_CALC[[#This Row],[DAY]]+1,5),NA())</f>
        <v>1.3438000000000001</v>
      </c>
      <c r="P1089" cm="1" vm="3213">
        <f t="array" aca="1" ref="P1089" ca="1">IFERROR(INDEX(_xlfn.ANCHORARRAY($C$3),T_CALC[[#This Row],[DAY]]+1,6),NA())</f>
        <v>1.3460000000000001</v>
      </c>
      <c r="Q1089" cm="1">
        <f t="array" aca="1" ref="Q1089" ca="1">IFERROR(INDEX(_xlfn.ANCHORARRAY($C$3),T_CALC[[#This Row],[DAY]]+1,2),NA())</f>
        <v>0</v>
      </c>
    </row>
    <row r="1090" spans="3:17">
      <c r="C1090" vm="52">
        <f ca="1"/>
        <v>44280</v>
      </c>
      <c r="D1090">
        <f ca="1"/>
        <v>0</v>
      </c>
      <c r="E1090" vm="2118">
        <f ca="1"/>
        <v>1.3458000000000001</v>
      </c>
      <c r="F1090" vm="2129">
        <f ca="1"/>
        <v>1.3493999999999999</v>
      </c>
      <c r="G1090" vm="2239">
        <f ca="1"/>
        <v>1.3454999999999999</v>
      </c>
      <c r="H1090" vm="2259">
        <f ca="1"/>
        <v>1.3489</v>
      </c>
      <c r="K1090">
        <f ca="1">IF(ROW(T_CALC[[#This Row],[DAY]])-ROW(T_CALC[[#Headers],[DAY]])&gt;C_N_TRADING_DAYS,"",ROW(T_CALC[[#This Row],[DAY]])-ROW(T_CALC[[#Headers],[DAY]]))</f>
        <v>1087</v>
      </c>
      <c r="L1090" cm="1" vm="52">
        <f t="array" aca="1" ref="L1090" ca="1">IFERROR(INDEX(_xlfn.ANCHORARRAY($C$3),T_CALC[[#This Row],[DAY]]+1,1),NA())</f>
        <v>44280</v>
      </c>
      <c r="M1090" cm="1" vm="2118">
        <f t="array" aca="1" ref="M1090" ca="1">IFERROR(INDEX(_xlfn.ANCHORARRAY($C$3),T_CALC[[#This Row],[DAY]]+1,3),NA())</f>
        <v>1.3458000000000001</v>
      </c>
      <c r="N1090" cm="1" vm="2129">
        <f t="array" aca="1" ref="N1090" ca="1">IFERROR(INDEX(_xlfn.ANCHORARRAY($C$3),T_CALC[[#This Row],[DAY]]+1,4),NA())</f>
        <v>1.3493999999999999</v>
      </c>
      <c r="O1090" cm="1" vm="2239">
        <f t="array" aca="1" ref="O1090" ca="1">IFERROR(INDEX(_xlfn.ANCHORARRAY($C$3),T_CALC[[#This Row],[DAY]]+1,5),NA())</f>
        <v>1.3454999999999999</v>
      </c>
      <c r="P1090" cm="1" vm="2259">
        <f t="array" aca="1" ref="P1090" ca="1">IFERROR(INDEX(_xlfn.ANCHORARRAY($C$3),T_CALC[[#This Row],[DAY]]+1,6),NA())</f>
        <v>1.3489</v>
      </c>
      <c r="Q1090" cm="1">
        <f t="array" aca="1" ref="Q1090" ca="1">IFERROR(INDEX(_xlfn.ANCHORARRAY($C$3),T_CALC[[#This Row],[DAY]]+1,2),NA())</f>
        <v>0</v>
      </c>
    </row>
    <row r="1091" spans="3:17">
      <c r="C1091" vm="53">
        <f ca="1"/>
        <v>44281</v>
      </c>
      <c r="D1091">
        <f ca="1"/>
        <v>0</v>
      </c>
      <c r="E1091" vm="2984">
        <f ca="1"/>
        <v>1.3485</v>
      </c>
      <c r="F1091" vm="2259">
        <f ca="1"/>
        <v>1.3489</v>
      </c>
      <c r="G1091" vm="3216">
        <f ca="1"/>
        <v>1.3440000000000001</v>
      </c>
      <c r="H1091" vm="2123">
        <f ca="1"/>
        <v>1.345</v>
      </c>
      <c r="K1091">
        <f ca="1">IF(ROW(T_CALC[[#This Row],[DAY]])-ROW(T_CALC[[#Headers],[DAY]])&gt;C_N_TRADING_DAYS,"",ROW(T_CALC[[#This Row],[DAY]])-ROW(T_CALC[[#Headers],[DAY]]))</f>
        <v>1088</v>
      </c>
      <c r="L1091" cm="1" vm="53">
        <f t="array" aca="1" ref="L1091" ca="1">IFERROR(INDEX(_xlfn.ANCHORARRAY($C$3),T_CALC[[#This Row],[DAY]]+1,1),NA())</f>
        <v>44281</v>
      </c>
      <c r="M1091" cm="1" vm="2984">
        <f t="array" aca="1" ref="M1091" ca="1">IFERROR(INDEX(_xlfn.ANCHORARRAY($C$3),T_CALC[[#This Row],[DAY]]+1,3),NA())</f>
        <v>1.3485</v>
      </c>
      <c r="N1091" cm="1" vm="2259">
        <f t="array" aca="1" ref="N1091" ca="1">IFERROR(INDEX(_xlfn.ANCHORARRAY($C$3),T_CALC[[#This Row],[DAY]]+1,4),NA())</f>
        <v>1.3489</v>
      </c>
      <c r="O1091" cm="1" vm="3216">
        <f t="array" aca="1" ref="O1091" ca="1">IFERROR(INDEX(_xlfn.ANCHORARRAY($C$3),T_CALC[[#This Row],[DAY]]+1,5),NA())</f>
        <v>1.3440000000000001</v>
      </c>
      <c r="P1091" cm="1" vm="2123">
        <f t="array" aca="1" ref="P1091" ca="1">IFERROR(INDEX(_xlfn.ANCHORARRAY($C$3),T_CALC[[#This Row],[DAY]]+1,6),NA())</f>
        <v>1.345</v>
      </c>
      <c r="Q1091" cm="1">
        <f t="array" aca="1" ref="Q1091" ca="1">IFERROR(INDEX(_xlfn.ANCHORARRAY($C$3),T_CALC[[#This Row],[DAY]]+1,2),NA())</f>
        <v>0</v>
      </c>
    </row>
    <row r="1092" spans="3:17">
      <c r="C1092" vm="54">
        <f ca="1"/>
        <v>44284</v>
      </c>
      <c r="D1092">
        <f ca="1"/>
        <v>0</v>
      </c>
      <c r="E1092" vm="2661">
        <f ca="1"/>
        <v>1.3449</v>
      </c>
      <c r="F1092" vm="2129">
        <f ca="1"/>
        <v>1.3493999999999999</v>
      </c>
      <c r="G1092" vm="2661">
        <f ca="1"/>
        <v>1.3449</v>
      </c>
      <c r="H1092" vm="2981">
        <f ca="1"/>
        <v>1.3478000000000001</v>
      </c>
      <c r="K1092">
        <f ca="1">IF(ROW(T_CALC[[#This Row],[DAY]])-ROW(T_CALC[[#Headers],[DAY]])&gt;C_N_TRADING_DAYS,"",ROW(T_CALC[[#This Row],[DAY]])-ROW(T_CALC[[#Headers],[DAY]]))</f>
        <v>1089</v>
      </c>
      <c r="L1092" cm="1" vm="54">
        <f t="array" aca="1" ref="L1092" ca="1">IFERROR(INDEX(_xlfn.ANCHORARRAY($C$3),T_CALC[[#This Row],[DAY]]+1,1),NA())</f>
        <v>44284</v>
      </c>
      <c r="M1092" cm="1" vm="2661">
        <f t="array" aca="1" ref="M1092" ca="1">IFERROR(INDEX(_xlfn.ANCHORARRAY($C$3),T_CALC[[#This Row],[DAY]]+1,3),NA())</f>
        <v>1.3449</v>
      </c>
      <c r="N1092" cm="1" vm="2129">
        <f t="array" aca="1" ref="N1092" ca="1">IFERROR(INDEX(_xlfn.ANCHORARRAY($C$3),T_CALC[[#This Row],[DAY]]+1,4),NA())</f>
        <v>1.3493999999999999</v>
      </c>
      <c r="O1092" cm="1" vm="2661">
        <f t="array" aca="1" ref="O1092" ca="1">IFERROR(INDEX(_xlfn.ANCHORARRAY($C$3),T_CALC[[#This Row],[DAY]]+1,5),NA())</f>
        <v>1.3449</v>
      </c>
      <c r="P1092" cm="1" vm="2981">
        <f t="array" aca="1" ref="P1092" ca="1">IFERROR(INDEX(_xlfn.ANCHORARRAY($C$3),T_CALC[[#This Row],[DAY]]+1,6),NA())</f>
        <v>1.3478000000000001</v>
      </c>
      <c r="Q1092" cm="1">
        <f t="array" aca="1" ref="Q1092" ca="1">IFERROR(INDEX(_xlfn.ANCHORARRAY($C$3),T_CALC[[#This Row],[DAY]]+1,2),NA())</f>
        <v>0</v>
      </c>
    </row>
    <row r="1093" spans="3:17">
      <c r="C1093" vm="55">
        <f ca="1"/>
        <v>44285</v>
      </c>
      <c r="D1093">
        <f ca="1"/>
        <v>0</v>
      </c>
      <c r="E1093" vm="2240">
        <f ca="1"/>
        <v>1.3480000000000001</v>
      </c>
      <c r="F1093" vm="2922">
        <f ca="1"/>
        <v>1.3492999999999999</v>
      </c>
      <c r="G1093" vm="3213">
        <f ca="1"/>
        <v>1.3460000000000001</v>
      </c>
      <c r="H1093" vm="2981">
        <f ca="1"/>
        <v>1.3478000000000001</v>
      </c>
      <c r="K1093">
        <f ca="1">IF(ROW(T_CALC[[#This Row],[DAY]])-ROW(T_CALC[[#Headers],[DAY]])&gt;C_N_TRADING_DAYS,"",ROW(T_CALC[[#This Row],[DAY]])-ROW(T_CALC[[#Headers],[DAY]]))</f>
        <v>1090</v>
      </c>
      <c r="L1093" cm="1" vm="55">
        <f t="array" aca="1" ref="L1093" ca="1">IFERROR(INDEX(_xlfn.ANCHORARRAY($C$3),T_CALC[[#This Row],[DAY]]+1,1),NA())</f>
        <v>44285</v>
      </c>
      <c r="M1093" cm="1" vm="2240">
        <f t="array" aca="1" ref="M1093" ca="1">IFERROR(INDEX(_xlfn.ANCHORARRAY($C$3),T_CALC[[#This Row],[DAY]]+1,3),NA())</f>
        <v>1.3480000000000001</v>
      </c>
      <c r="N1093" cm="1" vm="2922">
        <f t="array" aca="1" ref="N1093" ca="1">IFERROR(INDEX(_xlfn.ANCHORARRAY($C$3),T_CALC[[#This Row],[DAY]]+1,4),NA())</f>
        <v>1.3492999999999999</v>
      </c>
      <c r="O1093" cm="1" vm="3213">
        <f t="array" aca="1" ref="O1093" ca="1">IFERROR(INDEX(_xlfn.ANCHORARRAY($C$3),T_CALC[[#This Row],[DAY]]+1,5),NA())</f>
        <v>1.3460000000000001</v>
      </c>
      <c r="P1093" cm="1" vm="2981">
        <f t="array" aca="1" ref="P1093" ca="1">IFERROR(INDEX(_xlfn.ANCHORARRAY($C$3),T_CALC[[#This Row],[DAY]]+1,6),NA())</f>
        <v>1.3478000000000001</v>
      </c>
      <c r="Q1093" cm="1">
        <f t="array" aca="1" ref="Q1093" ca="1">IFERROR(INDEX(_xlfn.ANCHORARRAY($C$3),T_CALC[[#This Row],[DAY]]+1,2),NA())</f>
        <v>0</v>
      </c>
    </row>
    <row r="1094" spans="3:17">
      <c r="C1094" vm="56">
        <f ca="1"/>
        <v>44286</v>
      </c>
      <c r="D1094">
        <f ca="1"/>
        <v>0</v>
      </c>
      <c r="E1094" vm="2090">
        <f ca="1"/>
        <v>1.3476999999999999</v>
      </c>
      <c r="F1094" vm="2984">
        <f ca="1"/>
        <v>1.3485</v>
      </c>
      <c r="G1094" vm="2282">
        <f ca="1"/>
        <v>1.3426</v>
      </c>
      <c r="H1094" vm="2609">
        <f ca="1"/>
        <v>1.3446</v>
      </c>
      <c r="K1094">
        <f ca="1">IF(ROW(T_CALC[[#This Row],[DAY]])-ROW(T_CALC[[#Headers],[DAY]])&gt;C_N_TRADING_DAYS,"",ROW(T_CALC[[#This Row],[DAY]])-ROW(T_CALC[[#Headers],[DAY]]))</f>
        <v>1091</v>
      </c>
      <c r="L1094" cm="1" vm="56">
        <f t="array" aca="1" ref="L1094" ca="1">IFERROR(INDEX(_xlfn.ANCHORARRAY($C$3),T_CALC[[#This Row],[DAY]]+1,1),NA())</f>
        <v>44286</v>
      </c>
      <c r="M1094" cm="1" vm="2090">
        <f t="array" aca="1" ref="M1094" ca="1">IFERROR(INDEX(_xlfn.ANCHORARRAY($C$3),T_CALC[[#This Row],[DAY]]+1,3),NA())</f>
        <v>1.3476999999999999</v>
      </c>
      <c r="N1094" cm="1" vm="2984">
        <f t="array" aca="1" ref="N1094" ca="1">IFERROR(INDEX(_xlfn.ANCHORARRAY($C$3),T_CALC[[#This Row],[DAY]]+1,4),NA())</f>
        <v>1.3485</v>
      </c>
      <c r="O1094" cm="1" vm="2282">
        <f t="array" aca="1" ref="O1094" ca="1">IFERROR(INDEX(_xlfn.ANCHORARRAY($C$3),T_CALC[[#This Row],[DAY]]+1,5),NA())</f>
        <v>1.3426</v>
      </c>
      <c r="P1094" cm="1" vm="2609">
        <f t="array" aca="1" ref="P1094" ca="1">IFERROR(INDEX(_xlfn.ANCHORARRAY($C$3),T_CALC[[#This Row],[DAY]]+1,6),NA())</f>
        <v>1.3446</v>
      </c>
      <c r="Q1094" cm="1">
        <f t="array" aca="1" ref="Q1094" ca="1">IFERROR(INDEX(_xlfn.ANCHORARRAY($C$3),T_CALC[[#This Row],[DAY]]+1,2),NA())</f>
        <v>0</v>
      </c>
    </row>
    <row r="1095" spans="3:17">
      <c r="C1095" vm="57">
        <f ca="1"/>
        <v>44287</v>
      </c>
      <c r="D1095">
        <f ca="1"/>
        <v>0</v>
      </c>
      <c r="E1095" vm="2123">
        <f ca="1"/>
        <v>1.345</v>
      </c>
      <c r="F1095" vm="2121">
        <f ca="1"/>
        <v>1.3479000000000001</v>
      </c>
      <c r="G1095" vm="2243">
        <f ca="1"/>
        <v>1.3434999999999999</v>
      </c>
      <c r="H1095" vm="2289">
        <f ca="1"/>
        <v>1.3444</v>
      </c>
      <c r="K1095">
        <f ca="1">IF(ROW(T_CALC[[#This Row],[DAY]])-ROW(T_CALC[[#Headers],[DAY]])&gt;C_N_TRADING_DAYS,"",ROW(T_CALC[[#This Row],[DAY]])-ROW(T_CALC[[#Headers],[DAY]]))</f>
        <v>1092</v>
      </c>
      <c r="L1095" cm="1" vm="57">
        <f t="array" aca="1" ref="L1095" ca="1">IFERROR(INDEX(_xlfn.ANCHORARRAY($C$3),T_CALC[[#This Row],[DAY]]+1,1),NA())</f>
        <v>44287</v>
      </c>
      <c r="M1095" cm="1" vm="2123">
        <f t="array" aca="1" ref="M1095" ca="1">IFERROR(INDEX(_xlfn.ANCHORARRAY($C$3),T_CALC[[#This Row],[DAY]]+1,3),NA())</f>
        <v>1.345</v>
      </c>
      <c r="N1095" cm="1" vm="2121">
        <f t="array" aca="1" ref="N1095" ca="1">IFERROR(INDEX(_xlfn.ANCHORARRAY($C$3),T_CALC[[#This Row],[DAY]]+1,4),NA())</f>
        <v>1.3479000000000001</v>
      </c>
      <c r="O1095" cm="1" vm="2243">
        <f t="array" aca="1" ref="O1095" ca="1">IFERROR(INDEX(_xlfn.ANCHORARRAY($C$3),T_CALC[[#This Row],[DAY]]+1,5),NA())</f>
        <v>1.3434999999999999</v>
      </c>
      <c r="P1095" cm="1" vm="2289">
        <f t="array" aca="1" ref="P1095" ca="1">IFERROR(INDEX(_xlfn.ANCHORARRAY($C$3),T_CALC[[#This Row],[DAY]]+1,6),NA())</f>
        <v>1.3444</v>
      </c>
      <c r="Q1095" cm="1">
        <f t="array" aca="1" ref="Q1095" ca="1">IFERROR(INDEX(_xlfn.ANCHORARRAY($C$3),T_CALC[[#This Row],[DAY]]+1,2),NA())</f>
        <v>0</v>
      </c>
    </row>
    <row r="1096" spans="3:17">
      <c r="C1096" vm="3691">
        <f ca="1"/>
        <v>44288</v>
      </c>
      <c r="D1096">
        <f ca="1"/>
        <v>0</v>
      </c>
      <c r="E1096" vm="2286">
        <f ca="1"/>
        <v>1.3443000000000001</v>
      </c>
      <c r="F1096" vm="2130">
        <f ca="1"/>
        <v>1.3464</v>
      </c>
      <c r="G1096" vm="2629">
        <f ca="1"/>
        <v>1.3428</v>
      </c>
      <c r="H1096" vm="2248">
        <f ca="1"/>
        <v>1.3456999999999999</v>
      </c>
      <c r="K1096">
        <f ca="1">IF(ROW(T_CALC[[#This Row],[DAY]])-ROW(T_CALC[[#Headers],[DAY]])&gt;C_N_TRADING_DAYS,"",ROW(T_CALC[[#This Row],[DAY]])-ROW(T_CALC[[#Headers],[DAY]]))</f>
        <v>1093</v>
      </c>
      <c r="L1096" cm="1" vm="3691">
        <f t="array" aca="1" ref="L1096" ca="1">IFERROR(INDEX(_xlfn.ANCHORARRAY($C$3),T_CALC[[#This Row],[DAY]]+1,1),NA())</f>
        <v>44288</v>
      </c>
      <c r="M1096" cm="1" vm="2286">
        <f t="array" aca="1" ref="M1096" ca="1">IFERROR(INDEX(_xlfn.ANCHORARRAY($C$3),T_CALC[[#This Row],[DAY]]+1,3),NA())</f>
        <v>1.3443000000000001</v>
      </c>
      <c r="N1096" cm="1" vm="2130">
        <f t="array" aca="1" ref="N1096" ca="1">IFERROR(INDEX(_xlfn.ANCHORARRAY($C$3),T_CALC[[#This Row],[DAY]]+1,4),NA())</f>
        <v>1.3464</v>
      </c>
      <c r="O1096" cm="1" vm="2629">
        <f t="array" aca="1" ref="O1096" ca="1">IFERROR(INDEX(_xlfn.ANCHORARRAY($C$3),T_CALC[[#This Row],[DAY]]+1,5),NA())</f>
        <v>1.3428</v>
      </c>
      <c r="P1096" cm="1" vm="2248">
        <f t="array" aca="1" ref="P1096" ca="1">IFERROR(INDEX(_xlfn.ANCHORARRAY($C$3),T_CALC[[#This Row],[DAY]]+1,6),NA())</f>
        <v>1.3456999999999999</v>
      </c>
      <c r="Q1096" cm="1">
        <f t="array" aca="1" ref="Q1096" ca="1">IFERROR(INDEX(_xlfn.ANCHORARRAY($C$3),T_CALC[[#This Row],[DAY]]+1,2),NA())</f>
        <v>0</v>
      </c>
    </row>
    <row r="1097" spans="3:17">
      <c r="C1097" vm="3692">
        <f ca="1"/>
        <v>44291</v>
      </c>
      <c r="D1097">
        <f ca="1"/>
        <v>0</v>
      </c>
      <c r="E1097" vm="2125">
        <f ca="1"/>
        <v>1.3451</v>
      </c>
      <c r="F1097" vm="2106">
        <f ca="1"/>
        <v>1.3466</v>
      </c>
      <c r="G1097" vm="3693">
        <f ca="1"/>
        <v>1.3408</v>
      </c>
      <c r="H1097" vm="2251">
        <f ca="1"/>
        <v>1.3414999999999999</v>
      </c>
      <c r="K1097">
        <f ca="1">IF(ROW(T_CALC[[#This Row],[DAY]])-ROW(T_CALC[[#Headers],[DAY]])&gt;C_N_TRADING_DAYS,"",ROW(T_CALC[[#This Row],[DAY]])-ROW(T_CALC[[#Headers],[DAY]]))</f>
        <v>1094</v>
      </c>
      <c r="L1097" cm="1" vm="3692">
        <f t="array" aca="1" ref="L1097" ca="1">IFERROR(INDEX(_xlfn.ANCHORARRAY($C$3),T_CALC[[#This Row],[DAY]]+1,1),NA())</f>
        <v>44291</v>
      </c>
      <c r="M1097" cm="1" vm="2125">
        <f t="array" aca="1" ref="M1097" ca="1">IFERROR(INDEX(_xlfn.ANCHORARRAY($C$3),T_CALC[[#This Row],[DAY]]+1,3),NA())</f>
        <v>1.3451</v>
      </c>
      <c r="N1097" cm="1" vm="2106">
        <f t="array" aca="1" ref="N1097" ca="1">IFERROR(INDEX(_xlfn.ANCHORARRAY($C$3),T_CALC[[#This Row],[DAY]]+1,4),NA())</f>
        <v>1.3466</v>
      </c>
      <c r="O1097" cm="1" vm="3693">
        <f t="array" aca="1" ref="O1097" ca="1">IFERROR(INDEX(_xlfn.ANCHORARRAY($C$3),T_CALC[[#This Row],[DAY]]+1,5),NA())</f>
        <v>1.3408</v>
      </c>
      <c r="P1097" cm="1" vm="2251">
        <f t="array" aca="1" ref="P1097" ca="1">IFERROR(INDEX(_xlfn.ANCHORARRAY($C$3),T_CALC[[#This Row],[DAY]]+1,6),NA())</f>
        <v>1.3414999999999999</v>
      </c>
      <c r="Q1097" cm="1">
        <f t="array" aca="1" ref="Q1097" ca="1">IFERROR(INDEX(_xlfn.ANCHORARRAY($C$3),T_CALC[[#This Row],[DAY]]+1,2),NA())</f>
        <v>0</v>
      </c>
    </row>
    <row r="1098" spans="3:17">
      <c r="C1098" vm="58">
        <f ca="1"/>
        <v>44292</v>
      </c>
      <c r="D1098">
        <f ca="1"/>
        <v>0</v>
      </c>
      <c r="E1098" vm="2251">
        <f ca="1"/>
        <v>1.3414999999999999</v>
      </c>
      <c r="F1098" vm="3690">
        <f ca="1"/>
        <v>1.3421000000000001</v>
      </c>
      <c r="G1098" vm="3603">
        <f ca="1"/>
        <v>1.3386</v>
      </c>
      <c r="H1098" vm="3612">
        <f ca="1"/>
        <v>1.3387</v>
      </c>
      <c r="K1098">
        <f ca="1">IF(ROW(T_CALC[[#This Row],[DAY]])-ROW(T_CALC[[#Headers],[DAY]])&gt;C_N_TRADING_DAYS,"",ROW(T_CALC[[#This Row],[DAY]])-ROW(T_CALC[[#Headers],[DAY]]))</f>
        <v>1095</v>
      </c>
      <c r="L1098" cm="1" vm="58">
        <f t="array" aca="1" ref="L1098" ca="1">IFERROR(INDEX(_xlfn.ANCHORARRAY($C$3),T_CALC[[#This Row],[DAY]]+1,1),NA())</f>
        <v>44292</v>
      </c>
      <c r="M1098" cm="1" vm="2251">
        <f t="array" aca="1" ref="M1098" ca="1">IFERROR(INDEX(_xlfn.ANCHORARRAY($C$3),T_CALC[[#This Row],[DAY]]+1,3),NA())</f>
        <v>1.3414999999999999</v>
      </c>
      <c r="N1098" cm="1" vm="3690">
        <f t="array" aca="1" ref="N1098" ca="1">IFERROR(INDEX(_xlfn.ANCHORARRAY($C$3),T_CALC[[#This Row],[DAY]]+1,4),NA())</f>
        <v>1.3421000000000001</v>
      </c>
      <c r="O1098" cm="1" vm="3603">
        <f t="array" aca="1" ref="O1098" ca="1">IFERROR(INDEX(_xlfn.ANCHORARRAY($C$3),T_CALC[[#This Row],[DAY]]+1,5),NA())</f>
        <v>1.3386</v>
      </c>
      <c r="P1098" cm="1" vm="3612">
        <f t="array" aca="1" ref="P1098" ca="1">IFERROR(INDEX(_xlfn.ANCHORARRAY($C$3),T_CALC[[#This Row],[DAY]]+1,6),NA())</f>
        <v>1.3387</v>
      </c>
      <c r="Q1098" cm="1">
        <f t="array" aca="1" ref="Q1098" ca="1">IFERROR(INDEX(_xlfn.ANCHORARRAY($C$3),T_CALC[[#This Row],[DAY]]+1,2),NA())</f>
        <v>0</v>
      </c>
    </row>
    <row r="1099" spans="3:17">
      <c r="C1099" vm="59">
        <f ca="1"/>
        <v>44293</v>
      </c>
      <c r="D1099">
        <f ca="1"/>
        <v>0</v>
      </c>
      <c r="E1099" vm="2626">
        <f ca="1"/>
        <v>1.3391999999999999</v>
      </c>
      <c r="F1099" vm="2631">
        <f ca="1"/>
        <v>1.3424</v>
      </c>
      <c r="G1099" vm="2630">
        <f ca="1"/>
        <v>1.3373999999999999</v>
      </c>
      <c r="H1099" vm="3597">
        <f ca="1"/>
        <v>1.3411999999999999</v>
      </c>
      <c r="K1099">
        <f ca="1">IF(ROW(T_CALC[[#This Row],[DAY]])-ROW(T_CALC[[#Headers],[DAY]])&gt;C_N_TRADING_DAYS,"",ROW(T_CALC[[#This Row],[DAY]])-ROW(T_CALC[[#Headers],[DAY]]))</f>
        <v>1096</v>
      </c>
      <c r="L1099" cm="1" vm="59">
        <f t="array" aca="1" ref="L1099" ca="1">IFERROR(INDEX(_xlfn.ANCHORARRAY($C$3),T_CALC[[#This Row],[DAY]]+1,1),NA())</f>
        <v>44293</v>
      </c>
      <c r="M1099" cm="1" vm="2626">
        <f t="array" aca="1" ref="M1099" ca="1">IFERROR(INDEX(_xlfn.ANCHORARRAY($C$3),T_CALC[[#This Row],[DAY]]+1,3),NA())</f>
        <v>1.3391999999999999</v>
      </c>
      <c r="N1099" cm="1" vm="2631">
        <f t="array" aca="1" ref="N1099" ca="1">IFERROR(INDEX(_xlfn.ANCHORARRAY($C$3),T_CALC[[#This Row],[DAY]]+1,4),NA())</f>
        <v>1.3424</v>
      </c>
      <c r="O1099" cm="1" vm="2630">
        <f t="array" aca="1" ref="O1099" ca="1">IFERROR(INDEX(_xlfn.ANCHORARRAY($C$3),T_CALC[[#This Row],[DAY]]+1,5),NA())</f>
        <v>1.3373999999999999</v>
      </c>
      <c r="P1099" cm="1" vm="3597">
        <f t="array" aca="1" ref="P1099" ca="1">IFERROR(INDEX(_xlfn.ANCHORARRAY($C$3),T_CALC[[#This Row],[DAY]]+1,6),NA())</f>
        <v>1.3411999999999999</v>
      </c>
      <c r="Q1099" cm="1">
        <f t="array" aca="1" ref="Q1099" ca="1">IFERROR(INDEX(_xlfn.ANCHORARRAY($C$3),T_CALC[[#This Row],[DAY]]+1,2),NA())</f>
        <v>0</v>
      </c>
    </row>
    <row r="1100" spans="3:17">
      <c r="C1100" vm="60">
        <f ca="1"/>
        <v>44294</v>
      </c>
      <c r="D1100">
        <f ca="1"/>
        <v>0</v>
      </c>
      <c r="E1100" vm="3694">
        <f ca="1"/>
        <v>1.3409</v>
      </c>
      <c r="F1100" vm="2101">
        <f ca="1"/>
        <v>1.3419000000000001</v>
      </c>
      <c r="G1100" vm="2098">
        <f ca="1"/>
        <v>1.3392999999999999</v>
      </c>
      <c r="H1100" vm="2105">
        <f ca="1"/>
        <v>1.3405</v>
      </c>
      <c r="K1100">
        <f ca="1">IF(ROW(T_CALC[[#This Row],[DAY]])-ROW(T_CALC[[#Headers],[DAY]])&gt;C_N_TRADING_DAYS,"",ROW(T_CALC[[#This Row],[DAY]])-ROW(T_CALC[[#Headers],[DAY]]))</f>
        <v>1097</v>
      </c>
      <c r="L1100" cm="1" vm="60">
        <f t="array" aca="1" ref="L1100" ca="1">IFERROR(INDEX(_xlfn.ANCHORARRAY($C$3),T_CALC[[#This Row],[DAY]]+1,1),NA())</f>
        <v>44294</v>
      </c>
      <c r="M1100" cm="1" vm="3694">
        <f t="array" aca="1" ref="M1100" ca="1">IFERROR(INDEX(_xlfn.ANCHORARRAY($C$3),T_CALC[[#This Row],[DAY]]+1,3),NA())</f>
        <v>1.3409</v>
      </c>
      <c r="N1100" cm="1" vm="2101">
        <f t="array" aca="1" ref="N1100" ca="1">IFERROR(INDEX(_xlfn.ANCHORARRAY($C$3),T_CALC[[#This Row],[DAY]]+1,4),NA())</f>
        <v>1.3419000000000001</v>
      </c>
      <c r="O1100" cm="1" vm="2098">
        <f t="array" aca="1" ref="O1100" ca="1">IFERROR(INDEX(_xlfn.ANCHORARRAY($C$3),T_CALC[[#This Row],[DAY]]+1,5),NA())</f>
        <v>1.3392999999999999</v>
      </c>
      <c r="P1100" cm="1" vm="2105">
        <f t="array" aca="1" ref="P1100" ca="1">IFERROR(INDEX(_xlfn.ANCHORARRAY($C$3),T_CALC[[#This Row],[DAY]]+1,6),NA())</f>
        <v>1.3405</v>
      </c>
      <c r="Q1100" cm="1">
        <f t="array" aca="1" ref="Q1100" ca="1">IFERROR(INDEX(_xlfn.ANCHORARRAY($C$3),T_CALC[[#This Row],[DAY]]+1,2),NA())</f>
        <v>0</v>
      </c>
    </row>
    <row r="1101" spans="3:17">
      <c r="C1101" vm="61">
        <f ca="1"/>
        <v>44295</v>
      </c>
      <c r="D1101">
        <f ca="1"/>
        <v>0</v>
      </c>
      <c r="E1101" vm="2597">
        <f ca="1"/>
        <v>1.34</v>
      </c>
      <c r="F1101" vm="2282">
        <f ca="1"/>
        <v>1.3426</v>
      </c>
      <c r="G1101" vm="2599">
        <f ca="1"/>
        <v>1.3388</v>
      </c>
      <c r="H1101" vm="3695">
        <f ca="1"/>
        <v>1.3412999999999999</v>
      </c>
      <c r="K1101">
        <f ca="1">IF(ROW(T_CALC[[#This Row],[DAY]])-ROW(T_CALC[[#Headers],[DAY]])&gt;C_N_TRADING_DAYS,"",ROW(T_CALC[[#This Row],[DAY]])-ROW(T_CALC[[#Headers],[DAY]]))</f>
        <v>1098</v>
      </c>
      <c r="L1101" cm="1" vm="61">
        <f t="array" aca="1" ref="L1101" ca="1">IFERROR(INDEX(_xlfn.ANCHORARRAY($C$3),T_CALC[[#This Row],[DAY]]+1,1),NA())</f>
        <v>44295</v>
      </c>
      <c r="M1101" cm="1" vm="2597">
        <f t="array" aca="1" ref="M1101" ca="1">IFERROR(INDEX(_xlfn.ANCHORARRAY($C$3),T_CALC[[#This Row],[DAY]]+1,3),NA())</f>
        <v>1.34</v>
      </c>
      <c r="N1101" cm="1" vm="2282">
        <f t="array" aca="1" ref="N1101" ca="1">IFERROR(INDEX(_xlfn.ANCHORARRAY($C$3),T_CALC[[#This Row],[DAY]]+1,4),NA())</f>
        <v>1.3426</v>
      </c>
      <c r="O1101" cm="1" vm="2599">
        <f t="array" aca="1" ref="O1101" ca="1">IFERROR(INDEX(_xlfn.ANCHORARRAY($C$3),T_CALC[[#This Row],[DAY]]+1,5),NA())</f>
        <v>1.3388</v>
      </c>
      <c r="P1101" cm="1" vm="3695">
        <f t="array" aca="1" ref="P1101" ca="1">IFERROR(INDEX(_xlfn.ANCHORARRAY($C$3),T_CALC[[#This Row],[DAY]]+1,6),NA())</f>
        <v>1.3412999999999999</v>
      </c>
      <c r="Q1101" cm="1">
        <f t="array" aca="1" ref="Q1101" ca="1">IFERROR(INDEX(_xlfn.ANCHORARRAY($C$3),T_CALC[[#This Row],[DAY]]+1,2),NA())</f>
        <v>0</v>
      </c>
    </row>
    <row r="1102" spans="3:17">
      <c r="C1102" vm="62">
        <f ca="1"/>
        <v>44298</v>
      </c>
      <c r="D1102">
        <f ca="1"/>
        <v>0</v>
      </c>
      <c r="E1102" vm="2295">
        <f ca="1"/>
        <v>1.3407</v>
      </c>
      <c r="F1102" vm="2110">
        <f ca="1"/>
        <v>1.3431999999999999</v>
      </c>
      <c r="G1102" vm="2294">
        <f ca="1"/>
        <v>1.3396999999999999</v>
      </c>
      <c r="H1102" vm="3693">
        <f ca="1"/>
        <v>1.3408</v>
      </c>
      <c r="K1102">
        <f ca="1">IF(ROW(T_CALC[[#This Row],[DAY]])-ROW(T_CALC[[#Headers],[DAY]])&gt;C_N_TRADING_DAYS,"",ROW(T_CALC[[#This Row],[DAY]])-ROW(T_CALC[[#Headers],[DAY]]))</f>
        <v>1099</v>
      </c>
      <c r="L1102" cm="1" vm="62">
        <f t="array" aca="1" ref="L1102" ca="1">IFERROR(INDEX(_xlfn.ANCHORARRAY($C$3),T_CALC[[#This Row],[DAY]]+1,1),NA())</f>
        <v>44298</v>
      </c>
      <c r="M1102" cm="1" vm="2295">
        <f t="array" aca="1" ref="M1102" ca="1">IFERROR(INDEX(_xlfn.ANCHORARRAY($C$3),T_CALC[[#This Row],[DAY]]+1,3),NA())</f>
        <v>1.3407</v>
      </c>
      <c r="N1102" cm="1" vm="2110">
        <f t="array" aca="1" ref="N1102" ca="1">IFERROR(INDEX(_xlfn.ANCHORARRAY($C$3),T_CALC[[#This Row],[DAY]]+1,4),NA())</f>
        <v>1.3431999999999999</v>
      </c>
      <c r="O1102" cm="1" vm="2294">
        <f t="array" aca="1" ref="O1102" ca="1">IFERROR(INDEX(_xlfn.ANCHORARRAY($C$3),T_CALC[[#This Row],[DAY]]+1,5),NA())</f>
        <v>1.3396999999999999</v>
      </c>
      <c r="P1102" cm="1" vm="3693">
        <f t="array" aca="1" ref="P1102" ca="1">IFERROR(INDEX(_xlfn.ANCHORARRAY($C$3),T_CALC[[#This Row],[DAY]]+1,6),NA())</f>
        <v>1.3408</v>
      </c>
      <c r="Q1102" cm="1">
        <f t="array" aca="1" ref="Q1102" ca="1">IFERROR(INDEX(_xlfn.ANCHORARRAY($C$3),T_CALC[[#This Row],[DAY]]+1,2),NA())</f>
        <v>0</v>
      </c>
    </row>
    <row r="1103" spans="3:17">
      <c r="C1103" vm="63">
        <f ca="1"/>
        <v>44299</v>
      </c>
      <c r="D1103">
        <f ca="1"/>
        <v>0</v>
      </c>
      <c r="E1103" vm="3693">
        <f ca="1"/>
        <v>1.3408</v>
      </c>
      <c r="F1103" vm="2279">
        <f ca="1"/>
        <v>1.3436999999999999</v>
      </c>
      <c r="G1103" vm="3591">
        <f ca="1"/>
        <v>1.3398000000000001</v>
      </c>
      <c r="H1103" vm="3696">
        <f ca="1"/>
        <v>1.3411</v>
      </c>
      <c r="K1103">
        <f ca="1">IF(ROW(T_CALC[[#This Row],[DAY]])-ROW(T_CALC[[#Headers],[DAY]])&gt;C_N_TRADING_DAYS,"",ROW(T_CALC[[#This Row],[DAY]])-ROW(T_CALC[[#Headers],[DAY]]))</f>
        <v>1100</v>
      </c>
      <c r="L1103" cm="1" vm="63">
        <f t="array" aca="1" ref="L1103" ca="1">IFERROR(INDEX(_xlfn.ANCHORARRAY($C$3),T_CALC[[#This Row],[DAY]]+1,1),NA())</f>
        <v>44299</v>
      </c>
      <c r="M1103" cm="1" vm="3693">
        <f t="array" aca="1" ref="M1103" ca="1">IFERROR(INDEX(_xlfn.ANCHORARRAY($C$3),T_CALC[[#This Row],[DAY]]+1,3),NA())</f>
        <v>1.3408</v>
      </c>
      <c r="N1103" cm="1" vm="2279">
        <f t="array" aca="1" ref="N1103" ca="1">IFERROR(INDEX(_xlfn.ANCHORARRAY($C$3),T_CALC[[#This Row],[DAY]]+1,4),NA())</f>
        <v>1.3436999999999999</v>
      </c>
      <c r="O1103" cm="1" vm="3591">
        <f t="array" aca="1" ref="O1103" ca="1">IFERROR(INDEX(_xlfn.ANCHORARRAY($C$3),T_CALC[[#This Row],[DAY]]+1,5),NA())</f>
        <v>1.3398000000000001</v>
      </c>
      <c r="P1103" cm="1" vm="3696">
        <f t="array" aca="1" ref="P1103" ca="1">IFERROR(INDEX(_xlfn.ANCHORARRAY($C$3),T_CALC[[#This Row],[DAY]]+1,6),NA())</f>
        <v>1.3411</v>
      </c>
      <c r="Q1103" cm="1">
        <f t="array" aca="1" ref="Q1103" ca="1">IFERROR(INDEX(_xlfn.ANCHORARRAY($C$3),T_CALC[[#This Row],[DAY]]+1,2),NA())</f>
        <v>0</v>
      </c>
    </row>
    <row r="1104" spans="3:17">
      <c r="C1104" vm="64">
        <f ca="1"/>
        <v>44300</v>
      </c>
      <c r="D1104">
        <f ca="1"/>
        <v>0</v>
      </c>
      <c r="E1104" vm="2103">
        <f ca="1"/>
        <v>1.341</v>
      </c>
      <c r="F1104" vm="3696">
        <f ca="1"/>
        <v>1.3411</v>
      </c>
      <c r="G1104" vm="2645">
        <f ca="1"/>
        <v>1.3347</v>
      </c>
      <c r="H1104" vm="2594">
        <f ca="1"/>
        <v>1.3354999999999999</v>
      </c>
      <c r="K1104">
        <f ca="1">IF(ROW(T_CALC[[#This Row],[DAY]])-ROW(T_CALC[[#Headers],[DAY]])&gt;C_N_TRADING_DAYS,"",ROW(T_CALC[[#This Row],[DAY]])-ROW(T_CALC[[#Headers],[DAY]]))</f>
        <v>1101</v>
      </c>
      <c r="L1104" cm="1" vm="64">
        <f t="array" aca="1" ref="L1104" ca="1">IFERROR(INDEX(_xlfn.ANCHORARRAY($C$3),T_CALC[[#This Row],[DAY]]+1,1),NA())</f>
        <v>44300</v>
      </c>
      <c r="M1104" cm="1" vm="2103">
        <f t="array" aca="1" ref="M1104" ca="1">IFERROR(INDEX(_xlfn.ANCHORARRAY($C$3),T_CALC[[#This Row],[DAY]]+1,3),NA())</f>
        <v>1.341</v>
      </c>
      <c r="N1104" cm="1" vm="3696">
        <f t="array" aca="1" ref="N1104" ca="1">IFERROR(INDEX(_xlfn.ANCHORARRAY($C$3),T_CALC[[#This Row],[DAY]]+1,4),NA())</f>
        <v>1.3411</v>
      </c>
      <c r="O1104" cm="1" vm="2645">
        <f t="array" aca="1" ref="O1104" ca="1">IFERROR(INDEX(_xlfn.ANCHORARRAY($C$3),T_CALC[[#This Row],[DAY]]+1,5),NA())</f>
        <v>1.3347</v>
      </c>
      <c r="P1104" cm="1" vm="2594">
        <f t="array" aca="1" ref="P1104" ca="1">IFERROR(INDEX(_xlfn.ANCHORARRAY($C$3),T_CALC[[#This Row],[DAY]]+1,6),NA())</f>
        <v>1.3354999999999999</v>
      </c>
      <c r="Q1104" cm="1">
        <f t="array" aca="1" ref="Q1104" ca="1">IFERROR(INDEX(_xlfn.ANCHORARRAY($C$3),T_CALC[[#This Row],[DAY]]+1,2),NA())</f>
        <v>0</v>
      </c>
    </row>
    <row r="1105" spans="3:17">
      <c r="C1105" vm="65">
        <f ca="1"/>
        <v>44301</v>
      </c>
      <c r="D1105">
        <f ca="1"/>
        <v>0</v>
      </c>
      <c r="E1105" vm="3697">
        <f ca="1"/>
        <v>1.3357000000000001</v>
      </c>
      <c r="F1105" vm="2297">
        <f ca="1"/>
        <v>1.3374999999999999</v>
      </c>
      <c r="G1105" vm="3614">
        <f ca="1"/>
        <v>1.3333999999999999</v>
      </c>
      <c r="H1105" vm="2580">
        <f ca="1"/>
        <v>1.3343</v>
      </c>
      <c r="K1105">
        <f ca="1">IF(ROW(T_CALC[[#This Row],[DAY]])-ROW(T_CALC[[#Headers],[DAY]])&gt;C_N_TRADING_DAYS,"",ROW(T_CALC[[#This Row],[DAY]])-ROW(T_CALC[[#Headers],[DAY]]))</f>
        <v>1102</v>
      </c>
      <c r="L1105" cm="1" vm="65">
        <f t="array" aca="1" ref="L1105" ca="1">IFERROR(INDEX(_xlfn.ANCHORARRAY($C$3),T_CALC[[#This Row],[DAY]]+1,1),NA())</f>
        <v>44301</v>
      </c>
      <c r="M1105" cm="1" vm="3697">
        <f t="array" aca="1" ref="M1105" ca="1">IFERROR(INDEX(_xlfn.ANCHORARRAY($C$3),T_CALC[[#This Row],[DAY]]+1,3),NA())</f>
        <v>1.3357000000000001</v>
      </c>
      <c r="N1105" cm="1" vm="2297">
        <f t="array" aca="1" ref="N1105" ca="1">IFERROR(INDEX(_xlfn.ANCHORARRAY($C$3),T_CALC[[#This Row],[DAY]]+1,4),NA())</f>
        <v>1.3374999999999999</v>
      </c>
      <c r="O1105" cm="1" vm="3614">
        <f t="array" aca="1" ref="O1105" ca="1">IFERROR(INDEX(_xlfn.ANCHORARRAY($C$3),T_CALC[[#This Row],[DAY]]+1,5),NA())</f>
        <v>1.3333999999999999</v>
      </c>
      <c r="P1105" cm="1" vm="2580">
        <f t="array" aca="1" ref="P1105" ca="1">IFERROR(INDEX(_xlfn.ANCHORARRAY($C$3),T_CALC[[#This Row],[DAY]]+1,6),NA())</f>
        <v>1.3343</v>
      </c>
      <c r="Q1105" cm="1">
        <f t="array" aca="1" ref="Q1105" ca="1">IFERROR(INDEX(_xlfn.ANCHORARRAY($C$3),T_CALC[[#This Row],[DAY]]+1,2),NA())</f>
        <v>0</v>
      </c>
    </row>
    <row r="1106" spans="3:17">
      <c r="C1106" vm="66">
        <f ca="1"/>
        <v>44302</v>
      </c>
      <c r="D1106">
        <f ca="1"/>
        <v>0</v>
      </c>
      <c r="E1106" vm="2100">
        <f ca="1"/>
        <v>1.3342000000000001</v>
      </c>
      <c r="F1106" vm="3622">
        <f ca="1"/>
        <v>1.3364</v>
      </c>
      <c r="G1106" vm="2653">
        <f ca="1"/>
        <v>1.3327</v>
      </c>
      <c r="H1106" vm="2100">
        <f ca="1"/>
        <v>1.3342000000000001</v>
      </c>
      <c r="K1106">
        <f ca="1">IF(ROW(T_CALC[[#This Row],[DAY]])-ROW(T_CALC[[#Headers],[DAY]])&gt;C_N_TRADING_DAYS,"",ROW(T_CALC[[#This Row],[DAY]])-ROW(T_CALC[[#Headers],[DAY]]))</f>
        <v>1103</v>
      </c>
      <c r="L1106" cm="1" vm="66">
        <f t="array" aca="1" ref="L1106" ca="1">IFERROR(INDEX(_xlfn.ANCHORARRAY($C$3),T_CALC[[#This Row],[DAY]]+1,1),NA())</f>
        <v>44302</v>
      </c>
      <c r="M1106" cm="1" vm="2100">
        <f t="array" aca="1" ref="M1106" ca="1">IFERROR(INDEX(_xlfn.ANCHORARRAY($C$3),T_CALC[[#This Row],[DAY]]+1,3),NA())</f>
        <v>1.3342000000000001</v>
      </c>
      <c r="N1106" cm="1" vm="3622">
        <f t="array" aca="1" ref="N1106" ca="1">IFERROR(INDEX(_xlfn.ANCHORARRAY($C$3),T_CALC[[#This Row],[DAY]]+1,4),NA())</f>
        <v>1.3364</v>
      </c>
      <c r="O1106" cm="1" vm="2653">
        <f t="array" aca="1" ref="O1106" ca="1">IFERROR(INDEX(_xlfn.ANCHORARRAY($C$3),T_CALC[[#This Row],[DAY]]+1,5),NA())</f>
        <v>1.3327</v>
      </c>
      <c r="P1106" cm="1" vm="2100">
        <f t="array" aca="1" ref="P1106" ca="1">IFERROR(INDEX(_xlfn.ANCHORARRAY($C$3),T_CALC[[#This Row],[DAY]]+1,6),NA())</f>
        <v>1.3342000000000001</v>
      </c>
      <c r="Q1106" cm="1">
        <f t="array" aca="1" ref="Q1106" ca="1">IFERROR(INDEX(_xlfn.ANCHORARRAY($C$3),T_CALC[[#This Row],[DAY]]+1,2),NA())</f>
        <v>0</v>
      </c>
    </row>
    <row r="1107" spans="3:17">
      <c r="C1107" vm="67">
        <f ca="1"/>
        <v>44305</v>
      </c>
      <c r="D1107">
        <f ca="1"/>
        <v>0</v>
      </c>
      <c r="E1107" vm="3698">
        <f ca="1"/>
        <v>1.3337000000000001</v>
      </c>
      <c r="F1107" vm="2326">
        <f ca="1"/>
        <v>1.3351</v>
      </c>
      <c r="G1107" vm="3628">
        <f ca="1"/>
        <v>1.3297000000000001</v>
      </c>
      <c r="H1107" vm="3699">
        <f ca="1"/>
        <v>1.3308</v>
      </c>
      <c r="K1107">
        <f ca="1">IF(ROW(T_CALC[[#This Row],[DAY]])-ROW(T_CALC[[#Headers],[DAY]])&gt;C_N_TRADING_DAYS,"",ROW(T_CALC[[#This Row],[DAY]])-ROW(T_CALC[[#Headers],[DAY]]))</f>
        <v>1104</v>
      </c>
      <c r="L1107" cm="1" vm="67">
        <f t="array" aca="1" ref="L1107" ca="1">IFERROR(INDEX(_xlfn.ANCHORARRAY($C$3),T_CALC[[#This Row],[DAY]]+1,1),NA())</f>
        <v>44305</v>
      </c>
      <c r="M1107" cm="1" vm="3698">
        <f t="array" aca="1" ref="M1107" ca="1">IFERROR(INDEX(_xlfn.ANCHORARRAY($C$3),T_CALC[[#This Row],[DAY]]+1,3),NA())</f>
        <v>1.3337000000000001</v>
      </c>
      <c r="N1107" cm="1" vm="2326">
        <f t="array" aca="1" ref="N1107" ca="1">IFERROR(INDEX(_xlfn.ANCHORARRAY($C$3),T_CALC[[#This Row],[DAY]]+1,4),NA())</f>
        <v>1.3351</v>
      </c>
      <c r="O1107" cm="1" vm="3628">
        <f t="array" aca="1" ref="O1107" ca="1">IFERROR(INDEX(_xlfn.ANCHORARRAY($C$3),T_CALC[[#This Row],[DAY]]+1,5),NA())</f>
        <v>1.3297000000000001</v>
      </c>
      <c r="P1107" cm="1" vm="3699">
        <f t="array" aca="1" ref="P1107" ca="1">IFERROR(INDEX(_xlfn.ANCHORARRAY($C$3),T_CALC[[#This Row],[DAY]]+1,6),NA())</f>
        <v>1.3308</v>
      </c>
      <c r="Q1107" cm="1">
        <f t="array" aca="1" ref="Q1107" ca="1">IFERROR(INDEX(_xlfn.ANCHORARRAY($C$3),T_CALC[[#This Row],[DAY]]+1,2),NA())</f>
        <v>0</v>
      </c>
    </row>
    <row r="1108" spans="3:17">
      <c r="C1108" vm="68">
        <f ca="1"/>
        <v>44306</v>
      </c>
      <c r="D1108">
        <f ca="1"/>
        <v>0</v>
      </c>
      <c r="E1108" vm="3700">
        <f ca="1"/>
        <v>1.3306</v>
      </c>
      <c r="F1108" vm="3661">
        <f ca="1"/>
        <v>1.3307</v>
      </c>
      <c r="G1108" vm="3701">
        <f ca="1"/>
        <v>1.3257000000000001</v>
      </c>
      <c r="H1108" vm="3639">
        <f ca="1"/>
        <v>1.3288</v>
      </c>
      <c r="K1108">
        <f ca="1">IF(ROW(T_CALC[[#This Row],[DAY]])-ROW(T_CALC[[#Headers],[DAY]])&gt;C_N_TRADING_DAYS,"",ROW(T_CALC[[#This Row],[DAY]])-ROW(T_CALC[[#Headers],[DAY]]))</f>
        <v>1105</v>
      </c>
      <c r="L1108" cm="1" vm="68">
        <f t="array" aca="1" ref="L1108" ca="1">IFERROR(INDEX(_xlfn.ANCHORARRAY($C$3),T_CALC[[#This Row],[DAY]]+1,1),NA())</f>
        <v>44306</v>
      </c>
      <c r="M1108" cm="1" vm="3700">
        <f t="array" aca="1" ref="M1108" ca="1">IFERROR(INDEX(_xlfn.ANCHORARRAY($C$3),T_CALC[[#This Row],[DAY]]+1,3),NA())</f>
        <v>1.3306</v>
      </c>
      <c r="N1108" cm="1" vm="3661">
        <f t="array" aca="1" ref="N1108" ca="1">IFERROR(INDEX(_xlfn.ANCHORARRAY($C$3),T_CALC[[#This Row],[DAY]]+1,4),NA())</f>
        <v>1.3307</v>
      </c>
      <c r="O1108" cm="1" vm="3701">
        <f t="array" aca="1" ref="O1108" ca="1">IFERROR(INDEX(_xlfn.ANCHORARRAY($C$3),T_CALC[[#This Row],[DAY]]+1,5),NA())</f>
        <v>1.3257000000000001</v>
      </c>
      <c r="P1108" cm="1" vm="3639">
        <f t="array" aca="1" ref="P1108" ca="1">IFERROR(INDEX(_xlfn.ANCHORARRAY($C$3),T_CALC[[#This Row],[DAY]]+1,6),NA())</f>
        <v>1.3288</v>
      </c>
      <c r="Q1108" cm="1">
        <f t="array" aca="1" ref="Q1108" ca="1">IFERROR(INDEX(_xlfn.ANCHORARRAY($C$3),T_CALC[[#This Row],[DAY]]+1,2),NA())</f>
        <v>0</v>
      </c>
    </row>
    <row r="1109" spans="3:17">
      <c r="C1109" vm="69">
        <f ca="1"/>
        <v>44307</v>
      </c>
      <c r="D1109">
        <f ca="1"/>
        <v>0</v>
      </c>
      <c r="E1109" vm="2571">
        <f ca="1"/>
        <v>1.3283</v>
      </c>
      <c r="F1109" vm="3702">
        <f ca="1"/>
        <v>1.3311999999999999</v>
      </c>
      <c r="G1109" vm="2573">
        <f ca="1"/>
        <v>1.3277000000000001</v>
      </c>
      <c r="H1109" vm="3639">
        <f ca="1"/>
        <v>1.3288</v>
      </c>
      <c r="K1109">
        <f ca="1">IF(ROW(T_CALC[[#This Row],[DAY]])-ROW(T_CALC[[#Headers],[DAY]])&gt;C_N_TRADING_DAYS,"",ROW(T_CALC[[#This Row],[DAY]])-ROW(T_CALC[[#Headers],[DAY]]))</f>
        <v>1106</v>
      </c>
      <c r="L1109" cm="1" vm="69">
        <f t="array" aca="1" ref="L1109" ca="1">IFERROR(INDEX(_xlfn.ANCHORARRAY($C$3),T_CALC[[#This Row],[DAY]]+1,1),NA())</f>
        <v>44307</v>
      </c>
      <c r="M1109" cm="1" vm="2571">
        <f t="array" aca="1" ref="M1109" ca="1">IFERROR(INDEX(_xlfn.ANCHORARRAY($C$3),T_CALC[[#This Row],[DAY]]+1,3),NA())</f>
        <v>1.3283</v>
      </c>
      <c r="N1109" cm="1" vm="3702">
        <f t="array" aca="1" ref="N1109" ca="1">IFERROR(INDEX(_xlfn.ANCHORARRAY($C$3),T_CALC[[#This Row],[DAY]]+1,4),NA())</f>
        <v>1.3311999999999999</v>
      </c>
      <c r="O1109" cm="1" vm="2573">
        <f t="array" aca="1" ref="O1109" ca="1">IFERROR(INDEX(_xlfn.ANCHORARRAY($C$3),T_CALC[[#This Row],[DAY]]+1,5),NA())</f>
        <v>1.3277000000000001</v>
      </c>
      <c r="P1109" cm="1" vm="3639">
        <f t="array" aca="1" ref="P1109" ca="1">IFERROR(INDEX(_xlfn.ANCHORARRAY($C$3),T_CALC[[#This Row],[DAY]]+1,6),NA())</f>
        <v>1.3288</v>
      </c>
      <c r="Q1109" cm="1">
        <f t="array" aca="1" ref="Q1109" ca="1">IFERROR(INDEX(_xlfn.ANCHORARRAY($C$3),T_CALC[[#This Row],[DAY]]+1,2),NA())</f>
        <v>0</v>
      </c>
    </row>
    <row r="1110" spans="3:17">
      <c r="C1110" vm="70">
        <f ca="1"/>
        <v>44308</v>
      </c>
      <c r="D1110">
        <f ca="1"/>
        <v>0</v>
      </c>
      <c r="E1110" vm="3639">
        <f ca="1"/>
        <v>1.3288</v>
      </c>
      <c r="F1110" vm="3700">
        <f ca="1"/>
        <v>1.3306</v>
      </c>
      <c r="G1110" vm="2566">
        <f ca="1"/>
        <v>1.3262</v>
      </c>
      <c r="H1110" vm="2336">
        <f ca="1"/>
        <v>1.3290999999999999</v>
      </c>
      <c r="K1110">
        <f ca="1">IF(ROW(T_CALC[[#This Row],[DAY]])-ROW(T_CALC[[#Headers],[DAY]])&gt;C_N_TRADING_DAYS,"",ROW(T_CALC[[#This Row],[DAY]])-ROW(T_CALC[[#Headers],[DAY]]))</f>
        <v>1107</v>
      </c>
      <c r="L1110" cm="1" vm="70">
        <f t="array" aca="1" ref="L1110" ca="1">IFERROR(INDEX(_xlfn.ANCHORARRAY($C$3),T_CALC[[#This Row],[DAY]]+1,1),NA())</f>
        <v>44308</v>
      </c>
      <c r="M1110" cm="1" vm="3639">
        <f t="array" aca="1" ref="M1110" ca="1">IFERROR(INDEX(_xlfn.ANCHORARRAY($C$3),T_CALC[[#This Row],[DAY]]+1,3),NA())</f>
        <v>1.3288</v>
      </c>
      <c r="N1110" cm="1" vm="3700">
        <f t="array" aca="1" ref="N1110" ca="1">IFERROR(INDEX(_xlfn.ANCHORARRAY($C$3),T_CALC[[#This Row],[DAY]]+1,4),NA())</f>
        <v>1.3306</v>
      </c>
      <c r="O1110" cm="1" vm="2566">
        <f t="array" aca="1" ref="O1110" ca="1">IFERROR(INDEX(_xlfn.ANCHORARRAY($C$3),T_CALC[[#This Row],[DAY]]+1,5),NA())</f>
        <v>1.3262</v>
      </c>
      <c r="P1110" cm="1" vm="2336">
        <f t="array" aca="1" ref="P1110" ca="1">IFERROR(INDEX(_xlfn.ANCHORARRAY($C$3),T_CALC[[#This Row],[DAY]]+1,6),NA())</f>
        <v>1.3290999999999999</v>
      </c>
      <c r="Q1110" cm="1">
        <f t="array" aca="1" ref="Q1110" ca="1">IFERROR(INDEX(_xlfn.ANCHORARRAY($C$3),T_CALC[[#This Row],[DAY]]+1,2),NA())</f>
        <v>0</v>
      </c>
    </row>
    <row r="1111" spans="3:17">
      <c r="C1111" vm="71">
        <f ca="1"/>
        <v>44309</v>
      </c>
      <c r="D1111">
        <f ca="1"/>
        <v>0</v>
      </c>
      <c r="E1111" vm="3669">
        <f ca="1"/>
        <v>1.329</v>
      </c>
      <c r="F1111" vm="3640">
        <f ca="1"/>
        <v>1.3298000000000001</v>
      </c>
      <c r="G1111" vm="2566">
        <f ca="1"/>
        <v>1.3262</v>
      </c>
      <c r="H1111" vm="2312">
        <f ca="1"/>
        <v>1.3265</v>
      </c>
      <c r="K1111">
        <f ca="1">IF(ROW(T_CALC[[#This Row],[DAY]])-ROW(T_CALC[[#Headers],[DAY]])&gt;C_N_TRADING_DAYS,"",ROW(T_CALC[[#This Row],[DAY]])-ROW(T_CALC[[#Headers],[DAY]]))</f>
        <v>1108</v>
      </c>
      <c r="L1111" cm="1" vm="71">
        <f t="array" aca="1" ref="L1111" ca="1">IFERROR(INDEX(_xlfn.ANCHORARRAY($C$3),T_CALC[[#This Row],[DAY]]+1,1),NA())</f>
        <v>44309</v>
      </c>
      <c r="M1111" cm="1" vm="3669">
        <f t="array" aca="1" ref="M1111" ca="1">IFERROR(INDEX(_xlfn.ANCHORARRAY($C$3),T_CALC[[#This Row],[DAY]]+1,3),NA())</f>
        <v>1.329</v>
      </c>
      <c r="N1111" cm="1" vm="3640">
        <f t="array" aca="1" ref="N1111" ca="1">IFERROR(INDEX(_xlfn.ANCHORARRAY($C$3),T_CALC[[#This Row],[DAY]]+1,4),NA())</f>
        <v>1.3298000000000001</v>
      </c>
      <c r="O1111" cm="1" vm="2566">
        <f t="array" aca="1" ref="O1111" ca="1">IFERROR(INDEX(_xlfn.ANCHORARRAY($C$3),T_CALC[[#This Row],[DAY]]+1,5),NA())</f>
        <v>1.3262</v>
      </c>
      <c r="P1111" cm="1" vm="2312">
        <f t="array" aca="1" ref="P1111" ca="1">IFERROR(INDEX(_xlfn.ANCHORARRAY($C$3),T_CALC[[#This Row],[DAY]]+1,6),NA())</f>
        <v>1.3265</v>
      </c>
      <c r="Q1111" cm="1">
        <f t="array" aca="1" ref="Q1111" ca="1">IFERROR(INDEX(_xlfn.ANCHORARRAY($C$3),T_CALC[[#This Row],[DAY]]+1,2),NA())</f>
        <v>0</v>
      </c>
    </row>
    <row r="1112" spans="3:17">
      <c r="C1112" vm="72">
        <f ca="1"/>
        <v>44312</v>
      </c>
      <c r="D1112">
        <f ca="1"/>
        <v>0</v>
      </c>
      <c r="E1112" vm="2312">
        <f ca="1"/>
        <v>1.3265</v>
      </c>
      <c r="F1112" vm="2308">
        <f ca="1"/>
        <v>1.3275999999999999</v>
      </c>
      <c r="G1112" vm="2465">
        <f ca="1"/>
        <v>1.3242</v>
      </c>
      <c r="H1112" vm="2339">
        <f ca="1"/>
        <v>1.3250999999999999</v>
      </c>
      <c r="K1112">
        <f ca="1">IF(ROW(T_CALC[[#This Row],[DAY]])-ROW(T_CALC[[#Headers],[DAY]])&gt;C_N_TRADING_DAYS,"",ROW(T_CALC[[#This Row],[DAY]])-ROW(T_CALC[[#Headers],[DAY]]))</f>
        <v>1109</v>
      </c>
      <c r="L1112" cm="1" vm="72">
        <f t="array" aca="1" ref="L1112" ca="1">IFERROR(INDEX(_xlfn.ANCHORARRAY($C$3),T_CALC[[#This Row],[DAY]]+1,1),NA())</f>
        <v>44312</v>
      </c>
      <c r="M1112" cm="1" vm="2312">
        <f t="array" aca="1" ref="M1112" ca="1">IFERROR(INDEX(_xlfn.ANCHORARRAY($C$3),T_CALC[[#This Row],[DAY]]+1,3),NA())</f>
        <v>1.3265</v>
      </c>
      <c r="N1112" cm="1" vm="2308">
        <f t="array" aca="1" ref="N1112" ca="1">IFERROR(INDEX(_xlfn.ANCHORARRAY($C$3),T_CALC[[#This Row],[DAY]]+1,4),NA())</f>
        <v>1.3275999999999999</v>
      </c>
      <c r="O1112" cm="1" vm="2465">
        <f t="array" aca="1" ref="O1112" ca="1">IFERROR(INDEX(_xlfn.ANCHORARRAY($C$3),T_CALC[[#This Row],[DAY]]+1,5),NA())</f>
        <v>1.3242</v>
      </c>
      <c r="P1112" cm="1" vm="2339">
        <f t="array" aca="1" ref="P1112" ca="1">IFERROR(INDEX(_xlfn.ANCHORARRAY($C$3),T_CALC[[#This Row],[DAY]]+1,6),NA())</f>
        <v>1.3250999999999999</v>
      </c>
      <c r="Q1112" cm="1">
        <f t="array" aca="1" ref="Q1112" ca="1">IFERROR(INDEX(_xlfn.ANCHORARRAY($C$3),T_CALC[[#This Row],[DAY]]+1,2),NA())</f>
        <v>0</v>
      </c>
    </row>
    <row r="1113" spans="3:17">
      <c r="C1113" vm="73">
        <f ca="1"/>
        <v>44313</v>
      </c>
      <c r="D1113">
        <f ca="1"/>
        <v>0</v>
      </c>
      <c r="E1113" vm="2427">
        <f ca="1"/>
        <v>1.3251999999999999</v>
      </c>
      <c r="F1113" vm="2421">
        <f ca="1"/>
        <v>1.3274999999999999</v>
      </c>
      <c r="G1113" vm="2470">
        <f ca="1"/>
        <v>1.3246</v>
      </c>
      <c r="H1113" vm="3674">
        <f ca="1"/>
        <v>1.3260000000000001</v>
      </c>
      <c r="K1113">
        <f ca="1">IF(ROW(T_CALC[[#This Row],[DAY]])-ROW(T_CALC[[#Headers],[DAY]])&gt;C_N_TRADING_DAYS,"",ROW(T_CALC[[#This Row],[DAY]])-ROW(T_CALC[[#Headers],[DAY]]))</f>
        <v>1110</v>
      </c>
      <c r="L1113" cm="1" vm="73">
        <f t="array" aca="1" ref="L1113" ca="1">IFERROR(INDEX(_xlfn.ANCHORARRAY($C$3),T_CALC[[#This Row],[DAY]]+1,1),NA())</f>
        <v>44313</v>
      </c>
      <c r="M1113" cm="1" vm="2427">
        <f t="array" aca="1" ref="M1113" ca="1">IFERROR(INDEX(_xlfn.ANCHORARRAY($C$3),T_CALC[[#This Row],[DAY]]+1,3),NA())</f>
        <v>1.3251999999999999</v>
      </c>
      <c r="N1113" cm="1" vm="2421">
        <f t="array" aca="1" ref="N1113" ca="1">IFERROR(INDEX(_xlfn.ANCHORARRAY($C$3),T_CALC[[#This Row],[DAY]]+1,4),NA())</f>
        <v>1.3274999999999999</v>
      </c>
      <c r="O1113" cm="1" vm="2470">
        <f t="array" aca="1" ref="O1113" ca="1">IFERROR(INDEX(_xlfn.ANCHORARRAY($C$3),T_CALC[[#This Row],[DAY]]+1,5),NA())</f>
        <v>1.3246</v>
      </c>
      <c r="P1113" cm="1" vm="3674">
        <f t="array" aca="1" ref="P1113" ca="1">IFERROR(INDEX(_xlfn.ANCHORARRAY($C$3),T_CALC[[#This Row],[DAY]]+1,6),NA())</f>
        <v>1.3260000000000001</v>
      </c>
      <c r="Q1113" cm="1">
        <f t="array" aca="1" ref="Q1113" ca="1">IFERROR(INDEX(_xlfn.ANCHORARRAY($C$3),T_CALC[[#This Row],[DAY]]+1,2),NA())</f>
        <v>0</v>
      </c>
    </row>
    <row r="1114" spans="3:17">
      <c r="C1114" vm="74">
        <f ca="1"/>
        <v>44314</v>
      </c>
      <c r="D1114">
        <f ca="1"/>
        <v>0</v>
      </c>
      <c r="E1114" vm="3703">
        <f ca="1"/>
        <v>1.3259000000000001</v>
      </c>
      <c r="F1114" vm="3687">
        <f ca="1"/>
        <v>1.3279000000000001</v>
      </c>
      <c r="G1114" vm="2472">
        <f ca="1"/>
        <v>1.3245</v>
      </c>
      <c r="H1114" vm="2415">
        <f ca="1"/>
        <v>1.3249</v>
      </c>
      <c r="K1114">
        <f ca="1">IF(ROW(T_CALC[[#This Row],[DAY]])-ROW(T_CALC[[#Headers],[DAY]])&gt;C_N_TRADING_DAYS,"",ROW(T_CALC[[#This Row],[DAY]])-ROW(T_CALC[[#Headers],[DAY]]))</f>
        <v>1111</v>
      </c>
      <c r="L1114" cm="1" vm="74">
        <f t="array" aca="1" ref="L1114" ca="1">IFERROR(INDEX(_xlfn.ANCHORARRAY($C$3),T_CALC[[#This Row],[DAY]]+1,1),NA())</f>
        <v>44314</v>
      </c>
      <c r="M1114" cm="1" vm="3703">
        <f t="array" aca="1" ref="M1114" ca="1">IFERROR(INDEX(_xlfn.ANCHORARRAY($C$3),T_CALC[[#This Row],[DAY]]+1,3),NA())</f>
        <v>1.3259000000000001</v>
      </c>
      <c r="N1114" cm="1" vm="3687">
        <f t="array" aca="1" ref="N1114" ca="1">IFERROR(INDEX(_xlfn.ANCHORARRAY($C$3),T_CALC[[#This Row],[DAY]]+1,4),NA())</f>
        <v>1.3279000000000001</v>
      </c>
      <c r="O1114" cm="1" vm="2472">
        <f t="array" aca="1" ref="O1114" ca="1">IFERROR(INDEX(_xlfn.ANCHORARRAY($C$3),T_CALC[[#This Row],[DAY]]+1,5),NA())</f>
        <v>1.3245</v>
      </c>
      <c r="P1114" cm="1" vm="2415">
        <f t="array" aca="1" ref="P1114" ca="1">IFERROR(INDEX(_xlfn.ANCHORARRAY($C$3),T_CALC[[#This Row],[DAY]]+1,6),NA())</f>
        <v>1.3249</v>
      </c>
      <c r="Q1114" cm="1">
        <f t="array" aca="1" ref="Q1114" ca="1">IFERROR(INDEX(_xlfn.ANCHORARRAY($C$3),T_CALC[[#This Row],[DAY]]+1,2),NA())</f>
        <v>0</v>
      </c>
    </row>
    <row r="1115" spans="3:17">
      <c r="C1115" vm="75">
        <f ca="1"/>
        <v>44315</v>
      </c>
      <c r="D1115">
        <f ca="1"/>
        <v>0</v>
      </c>
      <c r="E1115" vm="2415">
        <f ca="1"/>
        <v>1.3249</v>
      </c>
      <c r="F1115" vm="2304">
        <f ca="1"/>
        <v>1.3270999999999999</v>
      </c>
      <c r="G1115" vm="3666">
        <f ca="1"/>
        <v>1.3231999999999999</v>
      </c>
      <c r="H1115" vm="3682">
        <f ca="1"/>
        <v>1.3263</v>
      </c>
      <c r="K1115">
        <f ca="1">IF(ROW(T_CALC[[#This Row],[DAY]])-ROW(T_CALC[[#Headers],[DAY]])&gt;C_N_TRADING_DAYS,"",ROW(T_CALC[[#This Row],[DAY]])-ROW(T_CALC[[#Headers],[DAY]]))</f>
        <v>1112</v>
      </c>
      <c r="L1115" cm="1" vm="75">
        <f t="array" aca="1" ref="L1115" ca="1">IFERROR(INDEX(_xlfn.ANCHORARRAY($C$3),T_CALC[[#This Row],[DAY]]+1,1),NA())</f>
        <v>44315</v>
      </c>
      <c r="M1115" cm="1" vm="2415">
        <f t="array" aca="1" ref="M1115" ca="1">IFERROR(INDEX(_xlfn.ANCHORARRAY($C$3),T_CALC[[#This Row],[DAY]]+1,3),NA())</f>
        <v>1.3249</v>
      </c>
      <c r="N1115" cm="1" vm="2304">
        <f t="array" aca="1" ref="N1115" ca="1">IFERROR(INDEX(_xlfn.ANCHORARRAY($C$3),T_CALC[[#This Row],[DAY]]+1,4),NA())</f>
        <v>1.3270999999999999</v>
      </c>
      <c r="O1115" cm="1" vm="3666">
        <f t="array" aca="1" ref="O1115" ca="1">IFERROR(INDEX(_xlfn.ANCHORARRAY($C$3),T_CALC[[#This Row],[DAY]]+1,5),NA())</f>
        <v>1.3231999999999999</v>
      </c>
      <c r="P1115" cm="1" vm="3682">
        <f t="array" aca="1" ref="P1115" ca="1">IFERROR(INDEX(_xlfn.ANCHORARRAY($C$3),T_CALC[[#This Row],[DAY]]+1,6),NA())</f>
        <v>1.3263</v>
      </c>
      <c r="Q1115" cm="1">
        <f t="array" aca="1" ref="Q1115" ca="1">IFERROR(INDEX(_xlfn.ANCHORARRAY($C$3),T_CALC[[#This Row],[DAY]]+1,2),NA())</f>
        <v>0</v>
      </c>
    </row>
    <row r="1116" spans="3:17">
      <c r="C1116" vm="76">
        <f ca="1"/>
        <v>44316</v>
      </c>
      <c r="D1116">
        <f ca="1"/>
        <v>0</v>
      </c>
      <c r="E1116" vm="3682">
        <f ca="1"/>
        <v>1.3263</v>
      </c>
      <c r="F1116" vm="3702">
        <f ca="1"/>
        <v>1.3311999999999999</v>
      </c>
      <c r="G1116" vm="2350">
        <f ca="1"/>
        <v>1.3253999999999999</v>
      </c>
      <c r="H1116" vm="2337">
        <f ca="1"/>
        <v>1.3301000000000001</v>
      </c>
      <c r="K1116">
        <f ca="1">IF(ROW(T_CALC[[#This Row],[DAY]])-ROW(T_CALC[[#Headers],[DAY]])&gt;C_N_TRADING_DAYS,"",ROW(T_CALC[[#This Row],[DAY]])-ROW(T_CALC[[#Headers],[DAY]]))</f>
        <v>1113</v>
      </c>
      <c r="L1116" cm="1" vm="76">
        <f t="array" aca="1" ref="L1116" ca="1">IFERROR(INDEX(_xlfn.ANCHORARRAY($C$3),T_CALC[[#This Row],[DAY]]+1,1),NA())</f>
        <v>44316</v>
      </c>
      <c r="M1116" cm="1" vm="3682">
        <f t="array" aca="1" ref="M1116" ca="1">IFERROR(INDEX(_xlfn.ANCHORARRAY($C$3),T_CALC[[#This Row],[DAY]]+1,3),NA())</f>
        <v>1.3263</v>
      </c>
      <c r="N1116" cm="1" vm="3702">
        <f t="array" aca="1" ref="N1116" ca="1">IFERROR(INDEX(_xlfn.ANCHORARRAY($C$3),T_CALC[[#This Row],[DAY]]+1,4),NA())</f>
        <v>1.3311999999999999</v>
      </c>
      <c r="O1116" cm="1" vm="2350">
        <f t="array" aca="1" ref="O1116" ca="1">IFERROR(INDEX(_xlfn.ANCHORARRAY($C$3),T_CALC[[#This Row],[DAY]]+1,5),NA())</f>
        <v>1.3253999999999999</v>
      </c>
      <c r="P1116" cm="1" vm="2337">
        <f t="array" aca="1" ref="P1116" ca="1">IFERROR(INDEX(_xlfn.ANCHORARRAY($C$3),T_CALC[[#This Row],[DAY]]+1,6),NA())</f>
        <v>1.3301000000000001</v>
      </c>
      <c r="Q1116" cm="1">
        <f t="array" aca="1" ref="Q1116" ca="1">IFERROR(INDEX(_xlfn.ANCHORARRAY($C$3),T_CALC[[#This Row],[DAY]]+1,2),NA())</f>
        <v>0</v>
      </c>
    </row>
    <row r="1117" spans="3:17">
      <c r="C1117" vm="77">
        <f ca="1"/>
        <v>44319</v>
      </c>
      <c r="D1117">
        <f ca="1"/>
        <v>0</v>
      </c>
      <c r="E1117" vm="3640">
        <f ca="1"/>
        <v>1.3298000000000001</v>
      </c>
      <c r="F1117" vm="2420">
        <f ca="1"/>
        <v>1.3339000000000001</v>
      </c>
      <c r="G1117" vm="3658">
        <f ca="1"/>
        <v>1.3286</v>
      </c>
      <c r="H1117" vm="2587">
        <f ca="1"/>
        <v>1.3292999999999999</v>
      </c>
      <c r="K1117">
        <f ca="1">IF(ROW(T_CALC[[#This Row],[DAY]])-ROW(T_CALC[[#Headers],[DAY]])&gt;C_N_TRADING_DAYS,"",ROW(T_CALC[[#This Row],[DAY]])-ROW(T_CALC[[#Headers],[DAY]]))</f>
        <v>1114</v>
      </c>
      <c r="L1117" cm="1" vm="77">
        <f t="array" aca="1" ref="L1117" ca="1">IFERROR(INDEX(_xlfn.ANCHORARRAY($C$3),T_CALC[[#This Row],[DAY]]+1,1),NA())</f>
        <v>44319</v>
      </c>
      <c r="M1117" cm="1" vm="3640">
        <f t="array" aca="1" ref="M1117" ca="1">IFERROR(INDEX(_xlfn.ANCHORARRAY($C$3),T_CALC[[#This Row],[DAY]]+1,3),NA())</f>
        <v>1.3298000000000001</v>
      </c>
      <c r="N1117" cm="1" vm="2420">
        <f t="array" aca="1" ref="N1117" ca="1">IFERROR(INDEX(_xlfn.ANCHORARRAY($C$3),T_CALC[[#This Row],[DAY]]+1,4),NA())</f>
        <v>1.3339000000000001</v>
      </c>
      <c r="O1117" cm="1" vm="3658">
        <f t="array" aca="1" ref="O1117" ca="1">IFERROR(INDEX(_xlfn.ANCHORARRAY($C$3),T_CALC[[#This Row],[DAY]]+1,5),NA())</f>
        <v>1.3286</v>
      </c>
      <c r="P1117" cm="1" vm="2587">
        <f t="array" aca="1" ref="P1117" ca="1">IFERROR(INDEX(_xlfn.ANCHORARRAY($C$3),T_CALC[[#This Row],[DAY]]+1,6),NA())</f>
        <v>1.3292999999999999</v>
      </c>
      <c r="Q1117" cm="1">
        <f t="array" aca="1" ref="Q1117" ca="1">IFERROR(INDEX(_xlfn.ANCHORARRAY($C$3),T_CALC[[#This Row],[DAY]]+1,2),NA())</f>
        <v>0</v>
      </c>
    </row>
    <row r="1118" spans="3:17">
      <c r="C1118" vm="78">
        <f ca="1"/>
        <v>44320</v>
      </c>
      <c r="D1118">
        <f ca="1"/>
        <v>0</v>
      </c>
      <c r="E1118" vm="3628">
        <f ca="1"/>
        <v>1.3297000000000001</v>
      </c>
      <c r="F1118" vm="3612">
        <f ca="1"/>
        <v>1.3387</v>
      </c>
      <c r="G1118" vm="3639">
        <f ca="1"/>
        <v>1.3288</v>
      </c>
      <c r="H1118" vm="2605">
        <f ca="1"/>
        <v>1.3360000000000001</v>
      </c>
      <c r="K1118">
        <f ca="1">IF(ROW(T_CALC[[#This Row],[DAY]])-ROW(T_CALC[[#Headers],[DAY]])&gt;C_N_TRADING_DAYS,"",ROW(T_CALC[[#This Row],[DAY]])-ROW(T_CALC[[#Headers],[DAY]]))</f>
        <v>1115</v>
      </c>
      <c r="L1118" cm="1" vm="78">
        <f t="array" aca="1" ref="L1118" ca="1">IFERROR(INDEX(_xlfn.ANCHORARRAY($C$3),T_CALC[[#This Row],[DAY]]+1,1),NA())</f>
        <v>44320</v>
      </c>
      <c r="M1118" cm="1" vm="3628">
        <f t="array" aca="1" ref="M1118" ca="1">IFERROR(INDEX(_xlfn.ANCHORARRAY($C$3),T_CALC[[#This Row],[DAY]]+1,3),NA())</f>
        <v>1.3297000000000001</v>
      </c>
      <c r="N1118" cm="1" vm="3612">
        <f t="array" aca="1" ref="N1118" ca="1">IFERROR(INDEX(_xlfn.ANCHORARRAY($C$3),T_CALC[[#This Row],[DAY]]+1,4),NA())</f>
        <v>1.3387</v>
      </c>
      <c r="O1118" cm="1" vm="3639">
        <f t="array" aca="1" ref="O1118" ca="1">IFERROR(INDEX(_xlfn.ANCHORARRAY($C$3),T_CALC[[#This Row],[DAY]]+1,5),NA())</f>
        <v>1.3288</v>
      </c>
      <c r="P1118" cm="1" vm="2605">
        <f t="array" aca="1" ref="P1118" ca="1">IFERROR(INDEX(_xlfn.ANCHORARRAY($C$3),T_CALC[[#This Row],[DAY]]+1,6),NA())</f>
        <v>1.3360000000000001</v>
      </c>
      <c r="Q1118" cm="1">
        <f t="array" aca="1" ref="Q1118" ca="1">IFERROR(INDEX(_xlfn.ANCHORARRAY($C$3),T_CALC[[#This Row],[DAY]]+1,2),NA())</f>
        <v>0</v>
      </c>
    </row>
    <row r="1119" spans="3:17">
      <c r="C1119" vm="79">
        <f ca="1"/>
        <v>44321</v>
      </c>
      <c r="D1119">
        <f ca="1"/>
        <v>0</v>
      </c>
      <c r="E1119" vm="2605">
        <f ca="1"/>
        <v>1.3360000000000001</v>
      </c>
      <c r="F1119" vm="2095">
        <f ca="1"/>
        <v>1.3391</v>
      </c>
      <c r="G1119" vm="3698">
        <f ca="1"/>
        <v>1.3337000000000001</v>
      </c>
      <c r="H1119" vm="2326">
        <f ca="1"/>
        <v>1.3351</v>
      </c>
      <c r="K1119">
        <f ca="1">IF(ROW(T_CALC[[#This Row],[DAY]])-ROW(T_CALC[[#Headers],[DAY]])&gt;C_N_TRADING_DAYS,"",ROW(T_CALC[[#This Row],[DAY]])-ROW(T_CALC[[#Headers],[DAY]]))</f>
        <v>1116</v>
      </c>
      <c r="L1119" cm="1" vm="79">
        <f t="array" aca="1" ref="L1119" ca="1">IFERROR(INDEX(_xlfn.ANCHORARRAY($C$3),T_CALC[[#This Row],[DAY]]+1,1),NA())</f>
        <v>44321</v>
      </c>
      <c r="M1119" cm="1" vm="2605">
        <f t="array" aca="1" ref="M1119" ca="1">IFERROR(INDEX(_xlfn.ANCHORARRAY($C$3),T_CALC[[#This Row],[DAY]]+1,3),NA())</f>
        <v>1.3360000000000001</v>
      </c>
      <c r="N1119" cm="1" vm="2095">
        <f t="array" aca="1" ref="N1119" ca="1">IFERROR(INDEX(_xlfn.ANCHORARRAY($C$3),T_CALC[[#This Row],[DAY]]+1,4),NA())</f>
        <v>1.3391</v>
      </c>
      <c r="O1119" cm="1" vm="3698">
        <f t="array" aca="1" ref="O1119" ca="1">IFERROR(INDEX(_xlfn.ANCHORARRAY($C$3),T_CALC[[#This Row],[DAY]]+1,5),NA())</f>
        <v>1.3337000000000001</v>
      </c>
      <c r="P1119" cm="1" vm="2326">
        <f t="array" aca="1" ref="P1119" ca="1">IFERROR(INDEX(_xlfn.ANCHORARRAY($C$3),T_CALC[[#This Row],[DAY]]+1,6),NA())</f>
        <v>1.3351</v>
      </c>
      <c r="Q1119" cm="1">
        <f t="array" aca="1" ref="Q1119" ca="1">IFERROR(INDEX(_xlfn.ANCHORARRAY($C$3),T_CALC[[#This Row],[DAY]]+1,2),NA())</f>
        <v>0</v>
      </c>
    </row>
    <row r="1120" spans="3:17">
      <c r="C1120" vm="80">
        <f ca="1"/>
        <v>44322</v>
      </c>
      <c r="D1120">
        <f ca="1"/>
        <v>0</v>
      </c>
      <c r="E1120" vm="3704">
        <f ca="1"/>
        <v>1.3349</v>
      </c>
      <c r="F1120" vm="2630">
        <f ca="1"/>
        <v>1.3373999999999999</v>
      </c>
      <c r="G1120" vm="2651">
        <f ca="1"/>
        <v>1.3325</v>
      </c>
      <c r="H1120" vm="2581">
        <f ca="1"/>
        <v>1.3331999999999999</v>
      </c>
      <c r="K1120">
        <f ca="1">IF(ROW(T_CALC[[#This Row],[DAY]])-ROW(T_CALC[[#Headers],[DAY]])&gt;C_N_TRADING_DAYS,"",ROW(T_CALC[[#This Row],[DAY]])-ROW(T_CALC[[#Headers],[DAY]]))</f>
        <v>1117</v>
      </c>
      <c r="L1120" cm="1" vm="80">
        <f t="array" aca="1" ref="L1120" ca="1">IFERROR(INDEX(_xlfn.ANCHORARRAY($C$3),T_CALC[[#This Row],[DAY]]+1,1),NA())</f>
        <v>44322</v>
      </c>
      <c r="M1120" cm="1" vm="3704">
        <f t="array" aca="1" ref="M1120" ca="1">IFERROR(INDEX(_xlfn.ANCHORARRAY($C$3),T_CALC[[#This Row],[DAY]]+1,3),NA())</f>
        <v>1.3349</v>
      </c>
      <c r="N1120" cm="1" vm="2630">
        <f t="array" aca="1" ref="N1120" ca="1">IFERROR(INDEX(_xlfn.ANCHORARRAY($C$3),T_CALC[[#This Row],[DAY]]+1,4),NA())</f>
        <v>1.3373999999999999</v>
      </c>
      <c r="O1120" cm="1" vm="2651">
        <f t="array" aca="1" ref="O1120" ca="1">IFERROR(INDEX(_xlfn.ANCHORARRAY($C$3),T_CALC[[#This Row],[DAY]]+1,5),NA())</f>
        <v>1.3325</v>
      </c>
      <c r="P1120" cm="1" vm="2581">
        <f t="array" aca="1" ref="P1120" ca="1">IFERROR(INDEX(_xlfn.ANCHORARRAY($C$3),T_CALC[[#This Row],[DAY]]+1,6),NA())</f>
        <v>1.3331999999999999</v>
      </c>
      <c r="Q1120" cm="1">
        <f t="array" aca="1" ref="Q1120" ca="1">IFERROR(INDEX(_xlfn.ANCHORARRAY($C$3),T_CALC[[#This Row],[DAY]]+1,2),NA())</f>
        <v>0</v>
      </c>
    </row>
    <row r="1121" spans="3:17">
      <c r="C1121" vm="81">
        <f ca="1"/>
        <v>44323</v>
      </c>
      <c r="D1121">
        <f ca="1"/>
        <v>0</v>
      </c>
      <c r="E1121" vm="3680">
        <f ca="1"/>
        <v>1.3331</v>
      </c>
      <c r="F1121" vm="3698">
        <f ca="1"/>
        <v>1.3337000000000001</v>
      </c>
      <c r="G1121" vm="2453">
        <f ca="1"/>
        <v>1.3233999999999999</v>
      </c>
      <c r="H1121" vm="2338">
        <f ca="1"/>
        <v>1.3247</v>
      </c>
      <c r="K1121">
        <f ca="1">IF(ROW(T_CALC[[#This Row],[DAY]])-ROW(T_CALC[[#Headers],[DAY]])&gt;C_N_TRADING_DAYS,"",ROW(T_CALC[[#This Row],[DAY]])-ROW(T_CALC[[#Headers],[DAY]]))</f>
        <v>1118</v>
      </c>
      <c r="L1121" cm="1" vm="81">
        <f t="array" aca="1" ref="L1121" ca="1">IFERROR(INDEX(_xlfn.ANCHORARRAY($C$3),T_CALC[[#This Row],[DAY]]+1,1),NA())</f>
        <v>44323</v>
      </c>
      <c r="M1121" cm="1" vm="3680">
        <f t="array" aca="1" ref="M1121" ca="1">IFERROR(INDEX(_xlfn.ANCHORARRAY($C$3),T_CALC[[#This Row],[DAY]]+1,3),NA())</f>
        <v>1.3331</v>
      </c>
      <c r="N1121" cm="1" vm="3698">
        <f t="array" aca="1" ref="N1121" ca="1">IFERROR(INDEX(_xlfn.ANCHORARRAY($C$3),T_CALC[[#This Row],[DAY]]+1,4),NA())</f>
        <v>1.3337000000000001</v>
      </c>
      <c r="O1121" cm="1" vm="2453">
        <f t="array" aca="1" ref="O1121" ca="1">IFERROR(INDEX(_xlfn.ANCHORARRAY($C$3),T_CALC[[#This Row],[DAY]]+1,5),NA())</f>
        <v>1.3233999999999999</v>
      </c>
      <c r="P1121" cm="1" vm="2338">
        <f t="array" aca="1" ref="P1121" ca="1">IFERROR(INDEX(_xlfn.ANCHORARRAY($C$3),T_CALC[[#This Row],[DAY]]+1,6),NA())</f>
        <v>1.3247</v>
      </c>
      <c r="Q1121" cm="1">
        <f t="array" aca="1" ref="Q1121" ca="1">IFERROR(INDEX(_xlfn.ANCHORARRAY($C$3),T_CALC[[#This Row],[DAY]]+1,2),NA())</f>
        <v>0</v>
      </c>
    </row>
    <row r="1122" spans="3:17">
      <c r="C1122" vm="82">
        <f ca="1"/>
        <v>44326</v>
      </c>
      <c r="D1122">
        <f ca="1"/>
        <v>0</v>
      </c>
      <c r="E1122" vm="2338">
        <f ca="1"/>
        <v>1.3247</v>
      </c>
      <c r="F1122" vm="3686">
        <f ca="1"/>
        <v>1.3268</v>
      </c>
      <c r="G1122" vm="2476">
        <f ca="1"/>
        <v>1.323</v>
      </c>
      <c r="H1122" vm="3705">
        <f ca="1"/>
        <v>1.3254999999999999</v>
      </c>
      <c r="K1122">
        <f ca="1">IF(ROW(T_CALC[[#This Row],[DAY]])-ROW(T_CALC[[#Headers],[DAY]])&gt;C_N_TRADING_DAYS,"",ROW(T_CALC[[#This Row],[DAY]])-ROW(T_CALC[[#Headers],[DAY]]))</f>
        <v>1119</v>
      </c>
      <c r="L1122" cm="1" vm="82">
        <f t="array" aca="1" ref="L1122" ca="1">IFERROR(INDEX(_xlfn.ANCHORARRAY($C$3),T_CALC[[#This Row],[DAY]]+1,1),NA())</f>
        <v>44326</v>
      </c>
      <c r="M1122" cm="1" vm="2338">
        <f t="array" aca="1" ref="M1122" ca="1">IFERROR(INDEX(_xlfn.ANCHORARRAY($C$3),T_CALC[[#This Row],[DAY]]+1,3),NA())</f>
        <v>1.3247</v>
      </c>
      <c r="N1122" cm="1" vm="3686">
        <f t="array" aca="1" ref="N1122" ca="1">IFERROR(INDEX(_xlfn.ANCHORARRAY($C$3),T_CALC[[#This Row],[DAY]]+1,4),NA())</f>
        <v>1.3268</v>
      </c>
      <c r="O1122" cm="1" vm="2476">
        <f t="array" aca="1" ref="O1122" ca="1">IFERROR(INDEX(_xlfn.ANCHORARRAY($C$3),T_CALC[[#This Row],[DAY]]+1,5),NA())</f>
        <v>1.323</v>
      </c>
      <c r="P1122" cm="1" vm="3705">
        <f t="array" aca="1" ref="P1122" ca="1">IFERROR(INDEX(_xlfn.ANCHORARRAY($C$3),T_CALC[[#This Row],[DAY]]+1,6),NA())</f>
        <v>1.3254999999999999</v>
      </c>
      <c r="Q1122" cm="1">
        <f t="array" aca="1" ref="Q1122" ca="1">IFERROR(INDEX(_xlfn.ANCHORARRAY($C$3),T_CALC[[#This Row],[DAY]]+1,2),NA())</f>
        <v>0</v>
      </c>
    </row>
    <row r="1123" spans="3:17">
      <c r="C1123" vm="83">
        <f ca="1"/>
        <v>44327</v>
      </c>
      <c r="D1123">
        <f ca="1"/>
        <v>0</v>
      </c>
      <c r="E1123" vm="3705">
        <f ca="1"/>
        <v>1.3254999999999999</v>
      </c>
      <c r="F1123" vm="3624">
        <f ca="1"/>
        <v>1.3281000000000001</v>
      </c>
      <c r="G1123" vm="2354">
        <f ca="1"/>
        <v>1.3243</v>
      </c>
      <c r="H1123" vm="2320">
        <f ca="1"/>
        <v>1.3252999999999999</v>
      </c>
      <c r="K1123">
        <f ca="1">IF(ROW(T_CALC[[#This Row],[DAY]])-ROW(T_CALC[[#Headers],[DAY]])&gt;C_N_TRADING_DAYS,"",ROW(T_CALC[[#This Row],[DAY]])-ROW(T_CALC[[#Headers],[DAY]]))</f>
        <v>1120</v>
      </c>
      <c r="L1123" cm="1" vm="83">
        <f t="array" aca="1" ref="L1123" ca="1">IFERROR(INDEX(_xlfn.ANCHORARRAY($C$3),T_CALC[[#This Row],[DAY]]+1,1),NA())</f>
        <v>44327</v>
      </c>
      <c r="M1123" cm="1" vm="3705">
        <f t="array" aca="1" ref="M1123" ca="1">IFERROR(INDEX(_xlfn.ANCHORARRAY($C$3),T_CALC[[#This Row],[DAY]]+1,3),NA())</f>
        <v>1.3254999999999999</v>
      </c>
      <c r="N1123" cm="1" vm="3624">
        <f t="array" aca="1" ref="N1123" ca="1">IFERROR(INDEX(_xlfn.ANCHORARRAY($C$3),T_CALC[[#This Row],[DAY]]+1,4),NA())</f>
        <v>1.3281000000000001</v>
      </c>
      <c r="O1123" cm="1" vm="2354">
        <f t="array" aca="1" ref="O1123" ca="1">IFERROR(INDEX(_xlfn.ANCHORARRAY($C$3),T_CALC[[#This Row],[DAY]]+1,5),NA())</f>
        <v>1.3243</v>
      </c>
      <c r="P1123" cm="1" vm="2320">
        <f t="array" aca="1" ref="P1123" ca="1">IFERROR(INDEX(_xlfn.ANCHORARRAY($C$3),T_CALC[[#This Row],[DAY]]+1,6),NA())</f>
        <v>1.3252999999999999</v>
      </c>
      <c r="Q1123" cm="1">
        <f t="array" aca="1" ref="Q1123" ca="1">IFERROR(INDEX(_xlfn.ANCHORARRAY($C$3),T_CALC[[#This Row],[DAY]]+1,2),NA())</f>
        <v>0</v>
      </c>
    </row>
    <row r="1124" spans="3:17">
      <c r="C1124" vm="84">
        <f ca="1"/>
        <v>44328</v>
      </c>
      <c r="D1124">
        <f ca="1"/>
        <v>0</v>
      </c>
      <c r="E1124" vm="2320">
        <f ca="1"/>
        <v>1.3252999999999999</v>
      </c>
      <c r="F1124" vm="2608">
        <f ca="1"/>
        <v>1.3344</v>
      </c>
      <c r="G1124" vm="2315">
        <f ca="1"/>
        <v>1.325</v>
      </c>
      <c r="H1124" vm="3668">
        <f ca="1"/>
        <v>1.3334999999999999</v>
      </c>
      <c r="K1124">
        <f ca="1">IF(ROW(T_CALC[[#This Row],[DAY]])-ROW(T_CALC[[#Headers],[DAY]])&gt;C_N_TRADING_DAYS,"",ROW(T_CALC[[#This Row],[DAY]])-ROW(T_CALC[[#Headers],[DAY]]))</f>
        <v>1121</v>
      </c>
      <c r="L1124" cm="1" vm="84">
        <f t="array" aca="1" ref="L1124" ca="1">IFERROR(INDEX(_xlfn.ANCHORARRAY($C$3),T_CALC[[#This Row],[DAY]]+1,1),NA())</f>
        <v>44328</v>
      </c>
      <c r="M1124" cm="1" vm="2320">
        <f t="array" aca="1" ref="M1124" ca="1">IFERROR(INDEX(_xlfn.ANCHORARRAY($C$3),T_CALC[[#This Row],[DAY]]+1,3),NA())</f>
        <v>1.3252999999999999</v>
      </c>
      <c r="N1124" cm="1" vm="2608">
        <f t="array" aca="1" ref="N1124" ca="1">IFERROR(INDEX(_xlfn.ANCHORARRAY($C$3),T_CALC[[#This Row],[DAY]]+1,4),NA())</f>
        <v>1.3344</v>
      </c>
      <c r="O1124" cm="1" vm="2315">
        <f t="array" aca="1" ref="O1124" ca="1">IFERROR(INDEX(_xlfn.ANCHORARRAY($C$3),T_CALC[[#This Row],[DAY]]+1,5),NA())</f>
        <v>1.325</v>
      </c>
      <c r="P1124" cm="1" vm="3668">
        <f t="array" aca="1" ref="P1124" ca="1">IFERROR(INDEX(_xlfn.ANCHORARRAY($C$3),T_CALC[[#This Row],[DAY]]+1,6),NA())</f>
        <v>1.3334999999999999</v>
      </c>
      <c r="Q1124" cm="1">
        <f t="array" aca="1" ref="Q1124" ca="1">IFERROR(INDEX(_xlfn.ANCHORARRAY($C$3),T_CALC[[#This Row],[DAY]]+1,2),NA())</f>
        <v>0</v>
      </c>
    </row>
    <row r="1125" spans="3:17">
      <c r="C1125" vm="85">
        <f ca="1"/>
        <v>44329</v>
      </c>
      <c r="D1125">
        <f ca="1"/>
        <v>0</v>
      </c>
      <c r="E1125" vm="3668">
        <f ca="1"/>
        <v>1.3334999999999999</v>
      </c>
      <c r="F1125" vm="2640">
        <f ca="1"/>
        <v>1.3365</v>
      </c>
      <c r="G1125" vm="3607">
        <f ca="1"/>
        <v>1.3319000000000001</v>
      </c>
      <c r="H1125" vm="2581">
        <f ca="1"/>
        <v>1.3331999999999999</v>
      </c>
      <c r="K1125">
        <f ca="1">IF(ROW(T_CALC[[#This Row],[DAY]])-ROW(T_CALC[[#Headers],[DAY]])&gt;C_N_TRADING_DAYS,"",ROW(T_CALC[[#This Row],[DAY]])-ROW(T_CALC[[#Headers],[DAY]]))</f>
        <v>1122</v>
      </c>
      <c r="L1125" cm="1" vm="85">
        <f t="array" aca="1" ref="L1125" ca="1">IFERROR(INDEX(_xlfn.ANCHORARRAY($C$3),T_CALC[[#This Row],[DAY]]+1,1),NA())</f>
        <v>44329</v>
      </c>
      <c r="M1125" cm="1" vm="3668">
        <f t="array" aca="1" ref="M1125" ca="1">IFERROR(INDEX(_xlfn.ANCHORARRAY($C$3),T_CALC[[#This Row],[DAY]]+1,3),NA())</f>
        <v>1.3334999999999999</v>
      </c>
      <c r="N1125" cm="1" vm="2640">
        <f t="array" aca="1" ref="N1125" ca="1">IFERROR(INDEX(_xlfn.ANCHORARRAY($C$3),T_CALC[[#This Row],[DAY]]+1,4),NA())</f>
        <v>1.3365</v>
      </c>
      <c r="O1125" cm="1" vm="3607">
        <f t="array" aca="1" ref="O1125" ca="1">IFERROR(INDEX(_xlfn.ANCHORARRAY($C$3),T_CALC[[#This Row],[DAY]]+1,5),NA())</f>
        <v>1.3319000000000001</v>
      </c>
      <c r="P1125" cm="1" vm="2581">
        <f t="array" aca="1" ref="P1125" ca="1">IFERROR(INDEX(_xlfn.ANCHORARRAY($C$3),T_CALC[[#This Row],[DAY]]+1,6),NA())</f>
        <v>1.3331999999999999</v>
      </c>
      <c r="Q1125" cm="1">
        <f t="array" aca="1" ref="Q1125" ca="1">IFERROR(INDEX(_xlfn.ANCHORARRAY($C$3),T_CALC[[#This Row],[DAY]]+1,2),NA())</f>
        <v>0</v>
      </c>
    </row>
    <row r="1126" spans="3:17">
      <c r="C1126" vm="86">
        <f ca="1"/>
        <v>44330</v>
      </c>
      <c r="D1126">
        <f ca="1"/>
        <v>0</v>
      </c>
      <c r="E1126" vm="2592">
        <f ca="1"/>
        <v>1.3332999999999999</v>
      </c>
      <c r="F1126" vm="2622">
        <f ca="1"/>
        <v>1.3379000000000001</v>
      </c>
      <c r="G1126" vm="2417">
        <f ca="1"/>
        <v>1.331</v>
      </c>
      <c r="H1126" vm="2323">
        <f ca="1"/>
        <v>1.3323</v>
      </c>
      <c r="K1126">
        <f ca="1">IF(ROW(T_CALC[[#This Row],[DAY]])-ROW(T_CALC[[#Headers],[DAY]])&gt;C_N_TRADING_DAYS,"",ROW(T_CALC[[#This Row],[DAY]])-ROW(T_CALC[[#Headers],[DAY]]))</f>
        <v>1123</v>
      </c>
      <c r="L1126" cm="1" vm="86">
        <f t="array" aca="1" ref="L1126" ca="1">IFERROR(INDEX(_xlfn.ANCHORARRAY($C$3),T_CALC[[#This Row],[DAY]]+1,1),NA())</f>
        <v>44330</v>
      </c>
      <c r="M1126" cm="1" vm="2592">
        <f t="array" aca="1" ref="M1126" ca="1">IFERROR(INDEX(_xlfn.ANCHORARRAY($C$3),T_CALC[[#This Row],[DAY]]+1,3),NA())</f>
        <v>1.3332999999999999</v>
      </c>
      <c r="N1126" cm="1" vm="2622">
        <f t="array" aca="1" ref="N1126" ca="1">IFERROR(INDEX(_xlfn.ANCHORARRAY($C$3),T_CALC[[#This Row],[DAY]]+1,4),NA())</f>
        <v>1.3379000000000001</v>
      </c>
      <c r="O1126" cm="1" vm="2417">
        <f t="array" aca="1" ref="O1126" ca="1">IFERROR(INDEX(_xlfn.ANCHORARRAY($C$3),T_CALC[[#This Row],[DAY]]+1,5),NA())</f>
        <v>1.331</v>
      </c>
      <c r="P1126" cm="1" vm="2323">
        <f t="array" aca="1" ref="P1126" ca="1">IFERROR(INDEX(_xlfn.ANCHORARRAY($C$3),T_CALC[[#This Row],[DAY]]+1,6),NA())</f>
        <v>1.3323</v>
      </c>
      <c r="Q1126" cm="1">
        <f t="array" aca="1" ref="Q1126" ca="1">IFERROR(INDEX(_xlfn.ANCHORARRAY($C$3),T_CALC[[#This Row],[DAY]]+1,2),NA())</f>
        <v>0</v>
      </c>
    </row>
    <row r="1127" spans="3:17">
      <c r="C1127" vm="87">
        <f ca="1"/>
        <v>44333</v>
      </c>
      <c r="D1127">
        <f ca="1"/>
        <v>0</v>
      </c>
      <c r="E1127" vm="3607">
        <f ca="1"/>
        <v>1.3319000000000001</v>
      </c>
      <c r="F1127" vm="2583">
        <f ca="1"/>
        <v>1.337</v>
      </c>
      <c r="G1127" vm="2311">
        <f ca="1"/>
        <v>1.3313999999999999</v>
      </c>
      <c r="H1127" vm="2326">
        <f ca="1"/>
        <v>1.3351</v>
      </c>
      <c r="K1127">
        <f ca="1">IF(ROW(T_CALC[[#This Row],[DAY]])-ROW(T_CALC[[#Headers],[DAY]])&gt;C_N_TRADING_DAYS,"",ROW(T_CALC[[#This Row],[DAY]])-ROW(T_CALC[[#Headers],[DAY]]))</f>
        <v>1124</v>
      </c>
      <c r="L1127" cm="1" vm="87">
        <f t="array" aca="1" ref="L1127" ca="1">IFERROR(INDEX(_xlfn.ANCHORARRAY($C$3),T_CALC[[#This Row],[DAY]]+1,1),NA())</f>
        <v>44333</v>
      </c>
      <c r="M1127" cm="1" vm="3607">
        <f t="array" aca="1" ref="M1127" ca="1">IFERROR(INDEX(_xlfn.ANCHORARRAY($C$3),T_CALC[[#This Row],[DAY]]+1,3),NA())</f>
        <v>1.3319000000000001</v>
      </c>
      <c r="N1127" cm="1" vm="2583">
        <f t="array" aca="1" ref="N1127" ca="1">IFERROR(INDEX(_xlfn.ANCHORARRAY($C$3),T_CALC[[#This Row],[DAY]]+1,4),NA())</f>
        <v>1.337</v>
      </c>
      <c r="O1127" cm="1" vm="2311">
        <f t="array" aca="1" ref="O1127" ca="1">IFERROR(INDEX(_xlfn.ANCHORARRAY($C$3),T_CALC[[#This Row],[DAY]]+1,5),NA())</f>
        <v>1.3313999999999999</v>
      </c>
      <c r="P1127" cm="1" vm="2326">
        <f t="array" aca="1" ref="P1127" ca="1">IFERROR(INDEX(_xlfn.ANCHORARRAY($C$3),T_CALC[[#This Row],[DAY]]+1,6),NA())</f>
        <v>1.3351</v>
      </c>
      <c r="Q1127" cm="1">
        <f t="array" aca="1" ref="Q1127" ca="1">IFERROR(INDEX(_xlfn.ANCHORARRAY($C$3),T_CALC[[#This Row],[DAY]]+1,2),NA())</f>
        <v>0</v>
      </c>
    </row>
    <row r="1128" spans="3:17">
      <c r="C1128" vm="88">
        <f ca="1"/>
        <v>44334</v>
      </c>
      <c r="D1128">
        <f ca="1"/>
        <v>0</v>
      </c>
      <c r="E1128" vm="2299">
        <f ca="1"/>
        <v>1.335</v>
      </c>
      <c r="F1128" vm="2601">
        <f ca="1"/>
        <v>1.3358000000000001</v>
      </c>
      <c r="G1128" vm="2314">
        <f ca="1"/>
        <v>1.3282</v>
      </c>
      <c r="H1128" vm="2422">
        <f ca="1"/>
        <v>1.3293999999999999</v>
      </c>
      <c r="K1128">
        <f ca="1">IF(ROW(T_CALC[[#This Row],[DAY]])-ROW(T_CALC[[#Headers],[DAY]])&gt;C_N_TRADING_DAYS,"",ROW(T_CALC[[#This Row],[DAY]])-ROW(T_CALC[[#Headers],[DAY]]))</f>
        <v>1125</v>
      </c>
      <c r="L1128" cm="1" vm="88">
        <f t="array" aca="1" ref="L1128" ca="1">IFERROR(INDEX(_xlfn.ANCHORARRAY($C$3),T_CALC[[#This Row],[DAY]]+1,1),NA())</f>
        <v>44334</v>
      </c>
      <c r="M1128" cm="1" vm="2299">
        <f t="array" aca="1" ref="M1128" ca="1">IFERROR(INDEX(_xlfn.ANCHORARRAY($C$3),T_CALC[[#This Row],[DAY]]+1,3),NA())</f>
        <v>1.335</v>
      </c>
      <c r="N1128" cm="1" vm="2601">
        <f t="array" aca="1" ref="N1128" ca="1">IFERROR(INDEX(_xlfn.ANCHORARRAY($C$3),T_CALC[[#This Row],[DAY]]+1,4),NA())</f>
        <v>1.3358000000000001</v>
      </c>
      <c r="O1128" cm="1" vm="2314">
        <f t="array" aca="1" ref="O1128" ca="1">IFERROR(INDEX(_xlfn.ANCHORARRAY($C$3),T_CALC[[#This Row],[DAY]]+1,5),NA())</f>
        <v>1.3282</v>
      </c>
      <c r="P1128" cm="1" vm="2422">
        <f t="array" aca="1" ref="P1128" ca="1">IFERROR(INDEX(_xlfn.ANCHORARRAY($C$3),T_CALC[[#This Row],[DAY]]+1,6),NA())</f>
        <v>1.3293999999999999</v>
      </c>
      <c r="Q1128" cm="1">
        <f t="array" aca="1" ref="Q1128" ca="1">IFERROR(INDEX(_xlfn.ANCHORARRAY($C$3),T_CALC[[#This Row],[DAY]]+1,2),NA())</f>
        <v>0</v>
      </c>
    </row>
    <row r="1129" spans="3:17">
      <c r="C1129" vm="89">
        <f ca="1"/>
        <v>44335</v>
      </c>
      <c r="D1129">
        <f ca="1"/>
        <v>0</v>
      </c>
      <c r="E1129" vm="3626">
        <f ca="1"/>
        <v>1.33</v>
      </c>
      <c r="F1129" vm="2586">
        <f ca="1"/>
        <v>1.3361000000000001</v>
      </c>
      <c r="G1129" vm="3624">
        <f ca="1"/>
        <v>1.3281000000000001</v>
      </c>
      <c r="H1129" vm="3616">
        <f ca="1"/>
        <v>1.3341000000000001</v>
      </c>
      <c r="K1129">
        <f ca="1">IF(ROW(T_CALC[[#This Row],[DAY]])-ROW(T_CALC[[#Headers],[DAY]])&gt;C_N_TRADING_DAYS,"",ROW(T_CALC[[#This Row],[DAY]])-ROW(T_CALC[[#Headers],[DAY]]))</f>
        <v>1126</v>
      </c>
      <c r="L1129" cm="1" vm="89">
        <f t="array" aca="1" ref="L1129" ca="1">IFERROR(INDEX(_xlfn.ANCHORARRAY($C$3),T_CALC[[#This Row],[DAY]]+1,1),NA())</f>
        <v>44335</v>
      </c>
      <c r="M1129" cm="1" vm="3626">
        <f t="array" aca="1" ref="M1129" ca="1">IFERROR(INDEX(_xlfn.ANCHORARRAY($C$3),T_CALC[[#This Row],[DAY]]+1,3),NA())</f>
        <v>1.33</v>
      </c>
      <c r="N1129" cm="1" vm="2586">
        <f t="array" aca="1" ref="N1129" ca="1">IFERROR(INDEX(_xlfn.ANCHORARRAY($C$3),T_CALC[[#This Row],[DAY]]+1,4),NA())</f>
        <v>1.3361000000000001</v>
      </c>
      <c r="O1129" cm="1" vm="3624">
        <f t="array" aca="1" ref="O1129" ca="1">IFERROR(INDEX(_xlfn.ANCHORARRAY($C$3),T_CALC[[#This Row],[DAY]]+1,5),NA())</f>
        <v>1.3281000000000001</v>
      </c>
      <c r="P1129" cm="1" vm="3616">
        <f t="array" aca="1" ref="P1129" ca="1">IFERROR(INDEX(_xlfn.ANCHORARRAY($C$3),T_CALC[[#This Row],[DAY]]+1,6),NA())</f>
        <v>1.3341000000000001</v>
      </c>
      <c r="Q1129" cm="1">
        <f t="array" aca="1" ref="Q1129" ca="1">IFERROR(INDEX(_xlfn.ANCHORARRAY($C$3),T_CALC[[#This Row],[DAY]]+1,2),NA())</f>
        <v>0</v>
      </c>
    </row>
    <row r="1130" spans="3:17">
      <c r="C1130" vm="90">
        <f ca="1"/>
        <v>44336</v>
      </c>
      <c r="D1130">
        <f ca="1"/>
        <v>0</v>
      </c>
      <c r="E1130" vm="2100">
        <f ca="1"/>
        <v>1.3342000000000001</v>
      </c>
      <c r="F1130" vm="3609">
        <f ca="1"/>
        <v>1.3351999999999999</v>
      </c>
      <c r="G1130" vm="3640">
        <f ca="1"/>
        <v>1.3298000000000001</v>
      </c>
      <c r="H1130" vm="2307">
        <f ca="1"/>
        <v>1.3309</v>
      </c>
      <c r="K1130">
        <f ca="1">IF(ROW(T_CALC[[#This Row],[DAY]])-ROW(T_CALC[[#Headers],[DAY]])&gt;C_N_TRADING_DAYS,"",ROW(T_CALC[[#This Row],[DAY]])-ROW(T_CALC[[#Headers],[DAY]]))</f>
        <v>1127</v>
      </c>
      <c r="L1130" cm="1" vm="90">
        <f t="array" aca="1" ref="L1130" ca="1">IFERROR(INDEX(_xlfn.ANCHORARRAY($C$3),T_CALC[[#This Row],[DAY]]+1,1),NA())</f>
        <v>44336</v>
      </c>
      <c r="M1130" cm="1" vm="2100">
        <f t="array" aca="1" ref="M1130" ca="1">IFERROR(INDEX(_xlfn.ANCHORARRAY($C$3),T_CALC[[#This Row],[DAY]]+1,3),NA())</f>
        <v>1.3342000000000001</v>
      </c>
      <c r="N1130" cm="1" vm="3609">
        <f t="array" aca="1" ref="N1130" ca="1">IFERROR(INDEX(_xlfn.ANCHORARRAY($C$3),T_CALC[[#This Row],[DAY]]+1,4),NA())</f>
        <v>1.3351999999999999</v>
      </c>
      <c r="O1130" cm="1" vm="3640">
        <f t="array" aca="1" ref="O1130" ca="1">IFERROR(INDEX(_xlfn.ANCHORARRAY($C$3),T_CALC[[#This Row],[DAY]]+1,5),NA())</f>
        <v>1.3298000000000001</v>
      </c>
      <c r="P1130" cm="1" vm="2307">
        <f t="array" aca="1" ref="P1130" ca="1">IFERROR(INDEX(_xlfn.ANCHORARRAY($C$3),T_CALC[[#This Row],[DAY]]+1,6),NA())</f>
        <v>1.3309</v>
      </c>
      <c r="Q1130" cm="1">
        <f t="array" aca="1" ref="Q1130" ca="1">IFERROR(INDEX(_xlfn.ANCHORARRAY($C$3),T_CALC[[#This Row],[DAY]]+1,2),NA())</f>
        <v>0</v>
      </c>
    </row>
    <row r="1131" spans="3:17">
      <c r="C1131" vm="91">
        <f ca="1"/>
        <v>44337</v>
      </c>
      <c r="D1131">
        <f ca="1"/>
        <v>0</v>
      </c>
      <c r="E1131" vm="2307">
        <f ca="1"/>
        <v>1.3309</v>
      </c>
      <c r="F1131" vm="2639">
        <f ca="1"/>
        <v>1.3328</v>
      </c>
      <c r="G1131" vm="2305">
        <f ca="1"/>
        <v>1.3289</v>
      </c>
      <c r="H1131" vm="3706">
        <f ca="1"/>
        <v>1.3318000000000001</v>
      </c>
      <c r="K1131">
        <f ca="1">IF(ROW(T_CALC[[#This Row],[DAY]])-ROW(T_CALC[[#Headers],[DAY]])&gt;C_N_TRADING_DAYS,"",ROW(T_CALC[[#This Row],[DAY]])-ROW(T_CALC[[#Headers],[DAY]]))</f>
        <v>1128</v>
      </c>
      <c r="L1131" cm="1" vm="91">
        <f t="array" aca="1" ref="L1131" ca="1">IFERROR(INDEX(_xlfn.ANCHORARRAY($C$3),T_CALC[[#This Row],[DAY]]+1,1),NA())</f>
        <v>44337</v>
      </c>
      <c r="M1131" cm="1" vm="2307">
        <f t="array" aca="1" ref="M1131" ca="1">IFERROR(INDEX(_xlfn.ANCHORARRAY($C$3),T_CALC[[#This Row],[DAY]]+1,3),NA())</f>
        <v>1.3309</v>
      </c>
      <c r="N1131" cm="1" vm="2639">
        <f t="array" aca="1" ref="N1131" ca="1">IFERROR(INDEX(_xlfn.ANCHORARRAY($C$3),T_CALC[[#This Row],[DAY]]+1,4),NA())</f>
        <v>1.3328</v>
      </c>
      <c r="O1131" cm="1" vm="2305">
        <f t="array" aca="1" ref="O1131" ca="1">IFERROR(INDEX(_xlfn.ANCHORARRAY($C$3),T_CALC[[#This Row],[DAY]]+1,5),NA())</f>
        <v>1.3289</v>
      </c>
      <c r="P1131" cm="1" vm="3706">
        <f t="array" aca="1" ref="P1131" ca="1">IFERROR(INDEX(_xlfn.ANCHORARRAY($C$3),T_CALC[[#This Row],[DAY]]+1,6),NA())</f>
        <v>1.3318000000000001</v>
      </c>
      <c r="Q1131" cm="1">
        <f t="array" aca="1" ref="Q1131" ca="1">IFERROR(INDEX(_xlfn.ANCHORARRAY($C$3),T_CALC[[#This Row],[DAY]]+1,2),NA())</f>
        <v>0</v>
      </c>
    </row>
    <row r="1132" spans="3:17">
      <c r="C1132" vm="92">
        <f ca="1"/>
        <v>44340</v>
      </c>
      <c r="D1132">
        <f ca="1"/>
        <v>0</v>
      </c>
      <c r="E1132" vm="3706">
        <f ca="1"/>
        <v>1.3318000000000001</v>
      </c>
      <c r="F1132" vm="3633">
        <f ca="1"/>
        <v>1.3322000000000001</v>
      </c>
      <c r="G1132" vm="3707">
        <f ca="1"/>
        <v>1.3273999999999999</v>
      </c>
      <c r="H1132" vm="3707">
        <f ca="1"/>
        <v>1.3273999999999999</v>
      </c>
      <c r="K1132">
        <f ca="1">IF(ROW(T_CALC[[#This Row],[DAY]])-ROW(T_CALC[[#Headers],[DAY]])&gt;C_N_TRADING_DAYS,"",ROW(T_CALC[[#This Row],[DAY]])-ROW(T_CALC[[#Headers],[DAY]]))</f>
        <v>1129</v>
      </c>
      <c r="L1132" cm="1" vm="92">
        <f t="array" aca="1" ref="L1132" ca="1">IFERROR(INDEX(_xlfn.ANCHORARRAY($C$3),T_CALC[[#This Row],[DAY]]+1,1),NA())</f>
        <v>44340</v>
      </c>
      <c r="M1132" cm="1" vm="3706">
        <f t="array" aca="1" ref="M1132" ca="1">IFERROR(INDEX(_xlfn.ANCHORARRAY($C$3),T_CALC[[#This Row],[DAY]]+1,3),NA())</f>
        <v>1.3318000000000001</v>
      </c>
      <c r="N1132" cm="1" vm="3633">
        <f t="array" aca="1" ref="N1132" ca="1">IFERROR(INDEX(_xlfn.ANCHORARRAY($C$3),T_CALC[[#This Row],[DAY]]+1,4),NA())</f>
        <v>1.3322000000000001</v>
      </c>
      <c r="O1132" cm="1" vm="3707">
        <f t="array" aca="1" ref="O1132" ca="1">IFERROR(INDEX(_xlfn.ANCHORARRAY($C$3),T_CALC[[#This Row],[DAY]]+1,5),NA())</f>
        <v>1.3273999999999999</v>
      </c>
      <c r="P1132" cm="1" vm="3707">
        <f t="array" aca="1" ref="P1132" ca="1">IFERROR(INDEX(_xlfn.ANCHORARRAY($C$3),T_CALC[[#This Row],[DAY]]+1,6),NA())</f>
        <v>1.3273999999999999</v>
      </c>
      <c r="Q1132" cm="1">
        <f t="array" aca="1" ref="Q1132" ca="1">IFERROR(INDEX(_xlfn.ANCHORARRAY($C$3),T_CALC[[#This Row],[DAY]]+1,2),NA())</f>
        <v>0</v>
      </c>
    </row>
    <row r="1133" spans="3:17">
      <c r="C1133" vm="93">
        <f ca="1"/>
        <v>44341</v>
      </c>
      <c r="D1133">
        <f ca="1"/>
        <v>0</v>
      </c>
      <c r="E1133" vm="3708">
        <f ca="1"/>
        <v>1.3280000000000001</v>
      </c>
      <c r="F1133" vm="2591">
        <f ca="1"/>
        <v>1.3285</v>
      </c>
      <c r="G1133" vm="2467">
        <f ca="1"/>
        <v>1.3241000000000001</v>
      </c>
      <c r="H1133" vm="3701">
        <f ca="1"/>
        <v>1.3257000000000001</v>
      </c>
      <c r="K1133">
        <f ca="1">IF(ROW(T_CALC[[#This Row],[DAY]])-ROW(T_CALC[[#Headers],[DAY]])&gt;C_N_TRADING_DAYS,"",ROW(T_CALC[[#This Row],[DAY]])-ROW(T_CALC[[#Headers],[DAY]]))</f>
        <v>1130</v>
      </c>
      <c r="L1133" cm="1" vm="93">
        <f t="array" aca="1" ref="L1133" ca="1">IFERROR(INDEX(_xlfn.ANCHORARRAY($C$3),T_CALC[[#This Row],[DAY]]+1,1),NA())</f>
        <v>44341</v>
      </c>
      <c r="M1133" cm="1" vm="3708">
        <f t="array" aca="1" ref="M1133" ca="1">IFERROR(INDEX(_xlfn.ANCHORARRAY($C$3),T_CALC[[#This Row],[DAY]]+1,3),NA())</f>
        <v>1.3280000000000001</v>
      </c>
      <c r="N1133" cm="1" vm="2591">
        <f t="array" aca="1" ref="N1133" ca="1">IFERROR(INDEX(_xlfn.ANCHORARRAY($C$3),T_CALC[[#This Row],[DAY]]+1,4),NA())</f>
        <v>1.3285</v>
      </c>
      <c r="O1133" cm="1" vm="2467">
        <f t="array" aca="1" ref="O1133" ca="1">IFERROR(INDEX(_xlfn.ANCHORARRAY($C$3),T_CALC[[#This Row],[DAY]]+1,5),NA())</f>
        <v>1.3241000000000001</v>
      </c>
      <c r="P1133" cm="1" vm="3701">
        <f t="array" aca="1" ref="P1133" ca="1">IFERROR(INDEX(_xlfn.ANCHORARRAY($C$3),T_CALC[[#This Row],[DAY]]+1,6),NA())</f>
        <v>1.3257000000000001</v>
      </c>
      <c r="Q1133" cm="1">
        <f t="array" aca="1" ref="Q1133" ca="1">IFERROR(INDEX(_xlfn.ANCHORARRAY($C$3),T_CALC[[#This Row],[DAY]]+1,2),NA())</f>
        <v>0</v>
      </c>
    </row>
    <row r="1134" spans="3:17">
      <c r="C1134" vm="94">
        <f ca="1"/>
        <v>44342</v>
      </c>
      <c r="D1134">
        <f ca="1"/>
        <v>0</v>
      </c>
      <c r="E1134" vm="2578">
        <f ca="1"/>
        <v>1.3258000000000001</v>
      </c>
      <c r="F1134" vm="2566">
        <f ca="1"/>
        <v>1.3262</v>
      </c>
      <c r="G1134" vm="2361">
        <f ca="1"/>
        <v>1.3223</v>
      </c>
      <c r="H1134" vm="2415">
        <f ca="1"/>
        <v>1.3249</v>
      </c>
      <c r="K1134">
        <f ca="1">IF(ROW(T_CALC[[#This Row],[DAY]])-ROW(T_CALC[[#Headers],[DAY]])&gt;C_N_TRADING_DAYS,"",ROW(T_CALC[[#This Row],[DAY]])-ROW(T_CALC[[#Headers],[DAY]]))</f>
        <v>1131</v>
      </c>
      <c r="L1134" cm="1" vm="94">
        <f t="array" aca="1" ref="L1134" ca="1">IFERROR(INDEX(_xlfn.ANCHORARRAY($C$3),T_CALC[[#This Row],[DAY]]+1,1),NA())</f>
        <v>44342</v>
      </c>
      <c r="M1134" cm="1" vm="2578">
        <f t="array" aca="1" ref="M1134" ca="1">IFERROR(INDEX(_xlfn.ANCHORARRAY($C$3),T_CALC[[#This Row],[DAY]]+1,3),NA())</f>
        <v>1.3258000000000001</v>
      </c>
      <c r="N1134" cm="1" vm="2566">
        <f t="array" aca="1" ref="N1134" ca="1">IFERROR(INDEX(_xlfn.ANCHORARRAY($C$3),T_CALC[[#This Row],[DAY]]+1,4),NA())</f>
        <v>1.3262</v>
      </c>
      <c r="O1134" cm="1" vm="2361">
        <f t="array" aca="1" ref="O1134" ca="1">IFERROR(INDEX(_xlfn.ANCHORARRAY($C$3),T_CALC[[#This Row],[DAY]]+1,5),NA())</f>
        <v>1.3223</v>
      </c>
      <c r="P1134" cm="1" vm="2415">
        <f t="array" aca="1" ref="P1134" ca="1">IFERROR(INDEX(_xlfn.ANCHORARRAY($C$3),T_CALC[[#This Row],[DAY]]+1,6),NA())</f>
        <v>1.3249</v>
      </c>
      <c r="Q1134" cm="1">
        <f t="array" aca="1" ref="Q1134" ca="1">IFERROR(INDEX(_xlfn.ANCHORARRAY($C$3),T_CALC[[#This Row],[DAY]]+1,2),NA())</f>
        <v>0</v>
      </c>
    </row>
    <row r="1135" spans="3:17">
      <c r="C1135" vm="95">
        <f ca="1"/>
        <v>44343</v>
      </c>
      <c r="D1135">
        <f ca="1"/>
        <v>0</v>
      </c>
      <c r="E1135" vm="2346">
        <f ca="1"/>
        <v>1.3248</v>
      </c>
      <c r="F1135" vm="2566">
        <f ca="1"/>
        <v>1.3262</v>
      </c>
      <c r="G1135" vm="3709">
        <f ca="1"/>
        <v>1.3222</v>
      </c>
      <c r="H1135" vm="3677">
        <f ca="1"/>
        <v>1.3238000000000001</v>
      </c>
      <c r="K1135">
        <f ca="1">IF(ROW(T_CALC[[#This Row],[DAY]])-ROW(T_CALC[[#Headers],[DAY]])&gt;C_N_TRADING_DAYS,"",ROW(T_CALC[[#This Row],[DAY]])-ROW(T_CALC[[#Headers],[DAY]]))</f>
        <v>1132</v>
      </c>
      <c r="L1135" cm="1" vm="95">
        <f t="array" aca="1" ref="L1135" ca="1">IFERROR(INDEX(_xlfn.ANCHORARRAY($C$3),T_CALC[[#This Row],[DAY]]+1,1),NA())</f>
        <v>44343</v>
      </c>
      <c r="M1135" cm="1" vm="2346">
        <f t="array" aca="1" ref="M1135" ca="1">IFERROR(INDEX(_xlfn.ANCHORARRAY($C$3),T_CALC[[#This Row],[DAY]]+1,3),NA())</f>
        <v>1.3248</v>
      </c>
      <c r="N1135" cm="1" vm="2566">
        <f t="array" aca="1" ref="N1135" ca="1">IFERROR(INDEX(_xlfn.ANCHORARRAY($C$3),T_CALC[[#This Row],[DAY]]+1,4),NA())</f>
        <v>1.3262</v>
      </c>
      <c r="O1135" cm="1" vm="3709">
        <f t="array" aca="1" ref="O1135" ca="1">IFERROR(INDEX(_xlfn.ANCHORARRAY($C$3),T_CALC[[#This Row],[DAY]]+1,5),NA())</f>
        <v>1.3222</v>
      </c>
      <c r="P1135" cm="1" vm="3677">
        <f t="array" aca="1" ref="P1135" ca="1">IFERROR(INDEX(_xlfn.ANCHORARRAY($C$3),T_CALC[[#This Row],[DAY]]+1,6),NA())</f>
        <v>1.3238000000000001</v>
      </c>
      <c r="Q1135" cm="1">
        <f t="array" aca="1" ref="Q1135" ca="1">IFERROR(INDEX(_xlfn.ANCHORARRAY($C$3),T_CALC[[#This Row],[DAY]]+1,2),NA())</f>
        <v>0</v>
      </c>
    </row>
    <row r="1136" spans="3:17">
      <c r="C1136" vm="96">
        <f ca="1"/>
        <v>44344</v>
      </c>
      <c r="D1136">
        <f ca="1"/>
        <v>0</v>
      </c>
      <c r="E1136" vm="2453">
        <f ca="1"/>
        <v>1.3233999999999999</v>
      </c>
      <c r="F1136" vm="2566">
        <f ca="1"/>
        <v>1.3262</v>
      </c>
      <c r="G1136" vm="3650">
        <f ca="1"/>
        <v>1.3218000000000001</v>
      </c>
      <c r="H1136" vm="2424">
        <f ca="1"/>
        <v>1.3225</v>
      </c>
      <c r="K1136">
        <f ca="1">IF(ROW(T_CALC[[#This Row],[DAY]])-ROW(T_CALC[[#Headers],[DAY]])&gt;C_N_TRADING_DAYS,"",ROW(T_CALC[[#This Row],[DAY]])-ROW(T_CALC[[#Headers],[DAY]]))</f>
        <v>1133</v>
      </c>
      <c r="L1136" cm="1" vm="96">
        <f t="array" aca="1" ref="L1136" ca="1">IFERROR(INDEX(_xlfn.ANCHORARRAY($C$3),T_CALC[[#This Row],[DAY]]+1,1),NA())</f>
        <v>44344</v>
      </c>
      <c r="M1136" cm="1" vm="2453">
        <f t="array" aca="1" ref="M1136" ca="1">IFERROR(INDEX(_xlfn.ANCHORARRAY($C$3),T_CALC[[#This Row],[DAY]]+1,3),NA())</f>
        <v>1.3233999999999999</v>
      </c>
      <c r="N1136" cm="1" vm="2566">
        <f t="array" aca="1" ref="N1136" ca="1">IFERROR(INDEX(_xlfn.ANCHORARRAY($C$3),T_CALC[[#This Row],[DAY]]+1,4),NA())</f>
        <v>1.3262</v>
      </c>
      <c r="O1136" cm="1" vm="3650">
        <f t="array" aca="1" ref="O1136" ca="1">IFERROR(INDEX(_xlfn.ANCHORARRAY($C$3),T_CALC[[#This Row],[DAY]]+1,5),NA())</f>
        <v>1.3218000000000001</v>
      </c>
      <c r="P1136" cm="1" vm="2424">
        <f t="array" aca="1" ref="P1136" ca="1">IFERROR(INDEX(_xlfn.ANCHORARRAY($C$3),T_CALC[[#This Row],[DAY]]+1,6),NA())</f>
        <v>1.3225</v>
      </c>
      <c r="Q1136" cm="1">
        <f t="array" aca="1" ref="Q1136" ca="1">IFERROR(INDEX(_xlfn.ANCHORARRAY($C$3),T_CALC[[#This Row],[DAY]]+1,2),NA())</f>
        <v>0</v>
      </c>
    </row>
    <row r="1137" spans="3:17">
      <c r="C1137" vm="97">
        <f ca="1"/>
        <v>44347</v>
      </c>
      <c r="D1137">
        <f ca="1"/>
        <v>0</v>
      </c>
      <c r="E1137" vm="2406">
        <f ca="1"/>
        <v>1.3219000000000001</v>
      </c>
      <c r="F1137" vm="2465">
        <f ca="1"/>
        <v>1.3242</v>
      </c>
      <c r="G1137" vm="3710">
        <f ca="1"/>
        <v>1.3205</v>
      </c>
      <c r="H1137" vm="2345">
        <f ca="1"/>
        <v>1.3211999999999999</v>
      </c>
      <c r="K1137">
        <f ca="1">IF(ROW(T_CALC[[#This Row],[DAY]])-ROW(T_CALC[[#Headers],[DAY]])&gt;C_N_TRADING_DAYS,"",ROW(T_CALC[[#This Row],[DAY]])-ROW(T_CALC[[#Headers],[DAY]]))</f>
        <v>1134</v>
      </c>
      <c r="L1137" cm="1" vm="97">
        <f t="array" aca="1" ref="L1137" ca="1">IFERROR(INDEX(_xlfn.ANCHORARRAY($C$3),T_CALC[[#This Row],[DAY]]+1,1),NA())</f>
        <v>44347</v>
      </c>
      <c r="M1137" cm="1" vm="2406">
        <f t="array" aca="1" ref="M1137" ca="1">IFERROR(INDEX(_xlfn.ANCHORARRAY($C$3),T_CALC[[#This Row],[DAY]]+1,3),NA())</f>
        <v>1.3219000000000001</v>
      </c>
      <c r="N1137" cm="1" vm="2465">
        <f t="array" aca="1" ref="N1137" ca="1">IFERROR(INDEX(_xlfn.ANCHORARRAY($C$3),T_CALC[[#This Row],[DAY]]+1,4),NA())</f>
        <v>1.3242</v>
      </c>
      <c r="O1137" cm="1" vm="3710">
        <f t="array" aca="1" ref="O1137" ca="1">IFERROR(INDEX(_xlfn.ANCHORARRAY($C$3),T_CALC[[#This Row],[DAY]]+1,5),NA())</f>
        <v>1.3205</v>
      </c>
      <c r="P1137" cm="1" vm="2345">
        <f t="array" aca="1" ref="P1137" ca="1">IFERROR(INDEX(_xlfn.ANCHORARRAY($C$3),T_CALC[[#This Row],[DAY]]+1,6),NA())</f>
        <v>1.3211999999999999</v>
      </c>
      <c r="Q1137" cm="1">
        <f t="array" aca="1" ref="Q1137" ca="1">IFERROR(INDEX(_xlfn.ANCHORARRAY($C$3),T_CALC[[#This Row],[DAY]]+1,2),NA())</f>
        <v>0</v>
      </c>
    </row>
    <row r="1138" spans="3:17">
      <c r="C1138" vm="98">
        <f ca="1"/>
        <v>44348</v>
      </c>
      <c r="D1138">
        <f ca="1"/>
        <v>0</v>
      </c>
      <c r="E1138" vm="2345">
        <f ca="1"/>
        <v>1.3211999999999999</v>
      </c>
      <c r="F1138" vm="2455">
        <f ca="1"/>
        <v>1.3232999999999999</v>
      </c>
      <c r="G1138" vm="2363">
        <f ca="1"/>
        <v>1.3187</v>
      </c>
      <c r="H1138" vm="3711">
        <f ca="1"/>
        <v>1.3224</v>
      </c>
      <c r="K1138">
        <f ca="1">IF(ROW(T_CALC[[#This Row],[DAY]])-ROW(T_CALC[[#Headers],[DAY]])&gt;C_N_TRADING_DAYS,"",ROW(T_CALC[[#This Row],[DAY]])-ROW(T_CALC[[#Headers],[DAY]]))</f>
        <v>1135</v>
      </c>
      <c r="L1138" cm="1" vm="98">
        <f t="array" aca="1" ref="L1138" ca="1">IFERROR(INDEX(_xlfn.ANCHORARRAY($C$3),T_CALC[[#This Row],[DAY]]+1,1),NA())</f>
        <v>44348</v>
      </c>
      <c r="M1138" cm="1" vm="2345">
        <f t="array" aca="1" ref="M1138" ca="1">IFERROR(INDEX(_xlfn.ANCHORARRAY($C$3),T_CALC[[#This Row],[DAY]]+1,3),NA())</f>
        <v>1.3211999999999999</v>
      </c>
      <c r="N1138" cm="1" vm="2455">
        <f t="array" aca="1" ref="N1138" ca="1">IFERROR(INDEX(_xlfn.ANCHORARRAY($C$3),T_CALC[[#This Row],[DAY]]+1,4),NA())</f>
        <v>1.3232999999999999</v>
      </c>
      <c r="O1138" cm="1" vm="2363">
        <f t="array" aca="1" ref="O1138" ca="1">IFERROR(INDEX(_xlfn.ANCHORARRAY($C$3),T_CALC[[#This Row],[DAY]]+1,5),NA())</f>
        <v>1.3187</v>
      </c>
      <c r="P1138" cm="1" vm="3711">
        <f t="array" aca="1" ref="P1138" ca="1">IFERROR(INDEX(_xlfn.ANCHORARRAY($C$3),T_CALC[[#This Row],[DAY]]+1,6),NA())</f>
        <v>1.3224</v>
      </c>
      <c r="Q1138" cm="1">
        <f t="array" aca="1" ref="Q1138" ca="1">IFERROR(INDEX(_xlfn.ANCHORARRAY($C$3),T_CALC[[#This Row],[DAY]]+1,2),NA())</f>
        <v>0</v>
      </c>
    </row>
    <row r="1139" spans="3:17">
      <c r="C1139" vm="99">
        <f ca="1"/>
        <v>44349</v>
      </c>
      <c r="D1139">
        <f ca="1"/>
        <v>0</v>
      </c>
      <c r="E1139" vm="2361">
        <f ca="1"/>
        <v>1.3223</v>
      </c>
      <c r="F1139" vm="2338">
        <f ca="1"/>
        <v>1.3247</v>
      </c>
      <c r="G1139" vm="2345">
        <f ca="1"/>
        <v>1.3211999999999999</v>
      </c>
      <c r="H1139" vm="3709">
        <f ca="1"/>
        <v>1.3222</v>
      </c>
      <c r="K1139">
        <f ca="1">IF(ROW(T_CALC[[#This Row],[DAY]])-ROW(T_CALC[[#Headers],[DAY]])&gt;C_N_TRADING_DAYS,"",ROW(T_CALC[[#This Row],[DAY]])-ROW(T_CALC[[#Headers],[DAY]]))</f>
        <v>1136</v>
      </c>
      <c r="L1139" cm="1" vm="99">
        <f t="array" aca="1" ref="L1139" ca="1">IFERROR(INDEX(_xlfn.ANCHORARRAY($C$3),T_CALC[[#This Row],[DAY]]+1,1),NA())</f>
        <v>44349</v>
      </c>
      <c r="M1139" cm="1" vm="2361">
        <f t="array" aca="1" ref="M1139" ca="1">IFERROR(INDEX(_xlfn.ANCHORARRAY($C$3),T_CALC[[#This Row],[DAY]]+1,3),NA())</f>
        <v>1.3223</v>
      </c>
      <c r="N1139" cm="1" vm="2338">
        <f t="array" aca="1" ref="N1139" ca="1">IFERROR(INDEX(_xlfn.ANCHORARRAY($C$3),T_CALC[[#This Row],[DAY]]+1,4),NA())</f>
        <v>1.3247</v>
      </c>
      <c r="O1139" cm="1" vm="2345">
        <f t="array" aca="1" ref="O1139" ca="1">IFERROR(INDEX(_xlfn.ANCHORARRAY($C$3),T_CALC[[#This Row],[DAY]]+1,5),NA())</f>
        <v>1.3211999999999999</v>
      </c>
      <c r="P1139" cm="1" vm="3709">
        <f t="array" aca="1" ref="P1139" ca="1">IFERROR(INDEX(_xlfn.ANCHORARRAY($C$3),T_CALC[[#This Row],[DAY]]+1,6),NA())</f>
        <v>1.3222</v>
      </c>
      <c r="Q1139" cm="1">
        <f t="array" aca="1" ref="Q1139" ca="1">IFERROR(INDEX(_xlfn.ANCHORARRAY($C$3),T_CALC[[#This Row],[DAY]]+1,2),NA())</f>
        <v>0</v>
      </c>
    </row>
    <row r="1140" spans="3:17">
      <c r="C1140" vm="100">
        <f ca="1"/>
        <v>44350</v>
      </c>
      <c r="D1140">
        <f ca="1"/>
        <v>0</v>
      </c>
      <c r="E1140" vm="3709">
        <f ca="1"/>
        <v>1.3222</v>
      </c>
      <c r="F1140" vm="2591">
        <f ca="1"/>
        <v>1.3285</v>
      </c>
      <c r="G1140" vm="3659">
        <f ca="1"/>
        <v>1.3212999999999999</v>
      </c>
      <c r="H1140" vm="2421">
        <f ca="1"/>
        <v>1.3274999999999999</v>
      </c>
      <c r="K1140">
        <f ca="1">IF(ROW(T_CALC[[#This Row],[DAY]])-ROW(T_CALC[[#Headers],[DAY]])&gt;C_N_TRADING_DAYS,"",ROW(T_CALC[[#This Row],[DAY]])-ROW(T_CALC[[#Headers],[DAY]]))</f>
        <v>1137</v>
      </c>
      <c r="L1140" cm="1" vm="100">
        <f t="array" aca="1" ref="L1140" ca="1">IFERROR(INDEX(_xlfn.ANCHORARRAY($C$3),T_CALC[[#This Row],[DAY]]+1,1),NA())</f>
        <v>44350</v>
      </c>
      <c r="M1140" cm="1" vm="3709">
        <f t="array" aca="1" ref="M1140" ca="1">IFERROR(INDEX(_xlfn.ANCHORARRAY($C$3),T_CALC[[#This Row],[DAY]]+1,3),NA())</f>
        <v>1.3222</v>
      </c>
      <c r="N1140" cm="1" vm="2591">
        <f t="array" aca="1" ref="N1140" ca="1">IFERROR(INDEX(_xlfn.ANCHORARRAY($C$3),T_CALC[[#This Row],[DAY]]+1,4),NA())</f>
        <v>1.3285</v>
      </c>
      <c r="O1140" cm="1" vm="3659">
        <f t="array" aca="1" ref="O1140" ca="1">IFERROR(INDEX(_xlfn.ANCHORARRAY($C$3),T_CALC[[#This Row],[DAY]]+1,5),NA())</f>
        <v>1.3212999999999999</v>
      </c>
      <c r="P1140" cm="1" vm="2421">
        <f t="array" aca="1" ref="P1140" ca="1">IFERROR(INDEX(_xlfn.ANCHORARRAY($C$3),T_CALC[[#This Row],[DAY]]+1,6),NA())</f>
        <v>1.3274999999999999</v>
      </c>
      <c r="Q1140" cm="1">
        <f t="array" aca="1" ref="Q1140" ca="1">IFERROR(INDEX(_xlfn.ANCHORARRAY($C$3),T_CALC[[#This Row],[DAY]]+1,2),NA())</f>
        <v>0</v>
      </c>
    </row>
    <row r="1141" spans="3:17">
      <c r="C1141" vm="101">
        <f ca="1"/>
        <v>44351</v>
      </c>
      <c r="D1141">
        <f ca="1"/>
        <v>0</v>
      </c>
      <c r="E1141" vm="2308">
        <f ca="1"/>
        <v>1.3275999999999999</v>
      </c>
      <c r="F1141" vm="3669">
        <f ca="1"/>
        <v>1.329</v>
      </c>
      <c r="G1141" vm="3666">
        <f ca="1"/>
        <v>1.3231999999999999</v>
      </c>
      <c r="H1141" vm="3677">
        <f ca="1"/>
        <v>1.3238000000000001</v>
      </c>
      <c r="K1141">
        <f ca="1">IF(ROW(T_CALC[[#This Row],[DAY]])-ROW(T_CALC[[#Headers],[DAY]])&gt;C_N_TRADING_DAYS,"",ROW(T_CALC[[#This Row],[DAY]])-ROW(T_CALC[[#Headers],[DAY]]))</f>
        <v>1138</v>
      </c>
      <c r="L1141" cm="1" vm="101">
        <f t="array" aca="1" ref="L1141" ca="1">IFERROR(INDEX(_xlfn.ANCHORARRAY($C$3),T_CALC[[#This Row],[DAY]]+1,1),NA())</f>
        <v>44351</v>
      </c>
      <c r="M1141" cm="1" vm="2308">
        <f t="array" aca="1" ref="M1141" ca="1">IFERROR(INDEX(_xlfn.ANCHORARRAY($C$3),T_CALC[[#This Row],[DAY]]+1,3),NA())</f>
        <v>1.3275999999999999</v>
      </c>
      <c r="N1141" cm="1" vm="3669">
        <f t="array" aca="1" ref="N1141" ca="1">IFERROR(INDEX(_xlfn.ANCHORARRAY($C$3),T_CALC[[#This Row],[DAY]]+1,4),NA())</f>
        <v>1.329</v>
      </c>
      <c r="O1141" cm="1" vm="3666">
        <f t="array" aca="1" ref="O1141" ca="1">IFERROR(INDEX(_xlfn.ANCHORARRAY($C$3),T_CALC[[#This Row],[DAY]]+1,5),NA())</f>
        <v>1.3231999999999999</v>
      </c>
      <c r="P1141" cm="1" vm="3677">
        <f t="array" aca="1" ref="P1141" ca="1">IFERROR(INDEX(_xlfn.ANCHORARRAY($C$3),T_CALC[[#This Row],[DAY]]+1,6),NA())</f>
        <v>1.3238000000000001</v>
      </c>
      <c r="Q1141" cm="1">
        <f t="array" aca="1" ref="Q1141" ca="1">IFERROR(INDEX(_xlfn.ANCHORARRAY($C$3),T_CALC[[#This Row],[DAY]]+1,2),NA())</f>
        <v>0</v>
      </c>
    </row>
    <row r="1142" spans="3:17">
      <c r="C1142" vm="102">
        <f ca="1"/>
        <v>44354</v>
      </c>
      <c r="D1142">
        <f ca="1"/>
        <v>0</v>
      </c>
      <c r="E1142" vm="2352">
        <f ca="1"/>
        <v>1.3244</v>
      </c>
      <c r="F1142" vm="2427">
        <f ca="1"/>
        <v>1.3251999999999999</v>
      </c>
      <c r="G1142" vm="3650">
        <f ca="1"/>
        <v>1.3218000000000001</v>
      </c>
      <c r="H1142" vm="3683">
        <f ca="1"/>
        <v>1.3230999999999999</v>
      </c>
      <c r="K1142">
        <f ca="1">IF(ROW(T_CALC[[#This Row],[DAY]])-ROW(T_CALC[[#Headers],[DAY]])&gt;C_N_TRADING_DAYS,"",ROW(T_CALC[[#This Row],[DAY]])-ROW(T_CALC[[#Headers],[DAY]]))</f>
        <v>1139</v>
      </c>
      <c r="L1142" cm="1" vm="102">
        <f t="array" aca="1" ref="L1142" ca="1">IFERROR(INDEX(_xlfn.ANCHORARRAY($C$3),T_CALC[[#This Row],[DAY]]+1,1),NA())</f>
        <v>44354</v>
      </c>
      <c r="M1142" cm="1" vm="2352">
        <f t="array" aca="1" ref="M1142" ca="1">IFERROR(INDEX(_xlfn.ANCHORARRAY($C$3),T_CALC[[#This Row],[DAY]]+1,3),NA())</f>
        <v>1.3244</v>
      </c>
      <c r="N1142" cm="1" vm="2427">
        <f t="array" aca="1" ref="N1142" ca="1">IFERROR(INDEX(_xlfn.ANCHORARRAY($C$3),T_CALC[[#This Row],[DAY]]+1,4),NA())</f>
        <v>1.3251999999999999</v>
      </c>
      <c r="O1142" cm="1" vm="3650">
        <f t="array" aca="1" ref="O1142" ca="1">IFERROR(INDEX(_xlfn.ANCHORARRAY($C$3),T_CALC[[#This Row],[DAY]]+1,5),NA())</f>
        <v>1.3218000000000001</v>
      </c>
      <c r="P1142" cm="1" vm="3683">
        <f t="array" aca="1" ref="P1142" ca="1">IFERROR(INDEX(_xlfn.ANCHORARRAY($C$3),T_CALC[[#This Row],[DAY]]+1,6),NA())</f>
        <v>1.3230999999999999</v>
      </c>
      <c r="Q1142" cm="1">
        <f t="array" aca="1" ref="Q1142" ca="1">IFERROR(INDEX(_xlfn.ANCHORARRAY($C$3),T_CALC[[#This Row],[DAY]]+1,2),NA())</f>
        <v>0</v>
      </c>
    </row>
    <row r="1143" spans="3:17">
      <c r="C1143" vm="103">
        <f ca="1"/>
        <v>44355</v>
      </c>
      <c r="D1143">
        <f ca="1"/>
        <v>0</v>
      </c>
      <c r="E1143" vm="3683">
        <f ca="1"/>
        <v>1.3230999999999999</v>
      </c>
      <c r="F1143" vm="2352">
        <f ca="1"/>
        <v>1.3244</v>
      </c>
      <c r="G1143" vm="2406">
        <f ca="1"/>
        <v>1.3219000000000001</v>
      </c>
      <c r="H1143" vm="2453">
        <f ca="1"/>
        <v>1.3233999999999999</v>
      </c>
      <c r="K1143">
        <f ca="1">IF(ROW(T_CALC[[#This Row],[DAY]])-ROW(T_CALC[[#Headers],[DAY]])&gt;C_N_TRADING_DAYS,"",ROW(T_CALC[[#This Row],[DAY]])-ROW(T_CALC[[#Headers],[DAY]]))</f>
        <v>1140</v>
      </c>
      <c r="L1143" cm="1" vm="103">
        <f t="array" aca="1" ref="L1143" ca="1">IFERROR(INDEX(_xlfn.ANCHORARRAY($C$3),T_CALC[[#This Row],[DAY]]+1,1),NA())</f>
        <v>44355</v>
      </c>
      <c r="M1143" cm="1" vm="3683">
        <f t="array" aca="1" ref="M1143" ca="1">IFERROR(INDEX(_xlfn.ANCHORARRAY($C$3),T_CALC[[#This Row],[DAY]]+1,3),NA())</f>
        <v>1.3230999999999999</v>
      </c>
      <c r="N1143" cm="1" vm="2352">
        <f t="array" aca="1" ref="N1143" ca="1">IFERROR(INDEX(_xlfn.ANCHORARRAY($C$3),T_CALC[[#This Row],[DAY]]+1,4),NA())</f>
        <v>1.3244</v>
      </c>
      <c r="O1143" cm="1" vm="2406">
        <f t="array" aca="1" ref="O1143" ca="1">IFERROR(INDEX(_xlfn.ANCHORARRAY($C$3),T_CALC[[#This Row],[DAY]]+1,5),NA())</f>
        <v>1.3219000000000001</v>
      </c>
      <c r="P1143" cm="1" vm="2453">
        <f t="array" aca="1" ref="P1143" ca="1">IFERROR(INDEX(_xlfn.ANCHORARRAY($C$3),T_CALC[[#This Row],[DAY]]+1,6),NA())</f>
        <v>1.3233999999999999</v>
      </c>
      <c r="Q1143" cm="1">
        <f t="array" aca="1" ref="Q1143" ca="1">IFERROR(INDEX(_xlfn.ANCHORARRAY($C$3),T_CALC[[#This Row],[DAY]]+1,2),NA())</f>
        <v>0</v>
      </c>
    </row>
    <row r="1144" spans="3:17">
      <c r="C1144" vm="104">
        <f ca="1"/>
        <v>44356</v>
      </c>
      <c r="D1144">
        <f ca="1"/>
        <v>0</v>
      </c>
      <c r="E1144" vm="2576">
        <f ca="1"/>
        <v>1.3234999999999999</v>
      </c>
      <c r="F1144" vm="2339">
        <f ca="1"/>
        <v>1.3250999999999999</v>
      </c>
      <c r="G1144" vm="3650">
        <f ca="1"/>
        <v>1.3218000000000001</v>
      </c>
      <c r="H1144" vm="2451">
        <f ca="1"/>
        <v>1.3239000000000001</v>
      </c>
      <c r="K1144">
        <f ca="1">IF(ROW(T_CALC[[#This Row],[DAY]])-ROW(T_CALC[[#Headers],[DAY]])&gt;C_N_TRADING_DAYS,"",ROW(T_CALC[[#This Row],[DAY]])-ROW(T_CALC[[#Headers],[DAY]]))</f>
        <v>1141</v>
      </c>
      <c r="L1144" cm="1" vm="104">
        <f t="array" aca="1" ref="L1144" ca="1">IFERROR(INDEX(_xlfn.ANCHORARRAY($C$3),T_CALC[[#This Row],[DAY]]+1,1),NA())</f>
        <v>44356</v>
      </c>
      <c r="M1144" cm="1" vm="2576">
        <f t="array" aca="1" ref="M1144" ca="1">IFERROR(INDEX(_xlfn.ANCHORARRAY($C$3),T_CALC[[#This Row],[DAY]]+1,3),NA())</f>
        <v>1.3234999999999999</v>
      </c>
      <c r="N1144" cm="1" vm="2339">
        <f t="array" aca="1" ref="N1144" ca="1">IFERROR(INDEX(_xlfn.ANCHORARRAY($C$3),T_CALC[[#This Row],[DAY]]+1,4),NA())</f>
        <v>1.3250999999999999</v>
      </c>
      <c r="O1144" cm="1" vm="3650">
        <f t="array" aca="1" ref="O1144" ca="1">IFERROR(INDEX(_xlfn.ANCHORARRAY($C$3),T_CALC[[#This Row],[DAY]]+1,5),NA())</f>
        <v>1.3218000000000001</v>
      </c>
      <c r="P1144" cm="1" vm="2451">
        <f t="array" aca="1" ref="P1144" ca="1">IFERROR(INDEX(_xlfn.ANCHORARRAY($C$3),T_CALC[[#This Row],[DAY]]+1,6),NA())</f>
        <v>1.3239000000000001</v>
      </c>
      <c r="Q1144" cm="1">
        <f t="array" aca="1" ref="Q1144" ca="1">IFERROR(INDEX(_xlfn.ANCHORARRAY($C$3),T_CALC[[#This Row],[DAY]]+1,2),NA())</f>
        <v>0</v>
      </c>
    </row>
    <row r="1145" spans="3:17">
      <c r="C1145" vm="105">
        <f ca="1"/>
        <v>44357</v>
      </c>
      <c r="D1145">
        <f ca="1"/>
        <v>0</v>
      </c>
      <c r="E1145" vm="2451">
        <f ca="1"/>
        <v>1.3239000000000001</v>
      </c>
      <c r="F1145" vm="2468">
        <f ca="1"/>
        <v>1.3264</v>
      </c>
      <c r="G1145" vm="2416">
        <f ca="1"/>
        <v>1.3229</v>
      </c>
      <c r="H1145" vm="2453">
        <f ca="1"/>
        <v>1.3233999999999999</v>
      </c>
      <c r="K1145">
        <f ca="1">IF(ROW(T_CALC[[#This Row],[DAY]])-ROW(T_CALC[[#Headers],[DAY]])&gt;C_N_TRADING_DAYS,"",ROW(T_CALC[[#This Row],[DAY]])-ROW(T_CALC[[#Headers],[DAY]]))</f>
        <v>1142</v>
      </c>
      <c r="L1145" cm="1" vm="105">
        <f t="array" aca="1" ref="L1145" ca="1">IFERROR(INDEX(_xlfn.ANCHORARRAY($C$3),T_CALC[[#This Row],[DAY]]+1,1),NA())</f>
        <v>44357</v>
      </c>
      <c r="M1145" cm="1" vm="2451">
        <f t="array" aca="1" ref="M1145" ca="1">IFERROR(INDEX(_xlfn.ANCHORARRAY($C$3),T_CALC[[#This Row],[DAY]]+1,3),NA())</f>
        <v>1.3239000000000001</v>
      </c>
      <c r="N1145" cm="1" vm="2468">
        <f t="array" aca="1" ref="N1145" ca="1">IFERROR(INDEX(_xlfn.ANCHORARRAY($C$3),T_CALC[[#This Row],[DAY]]+1,4),NA())</f>
        <v>1.3264</v>
      </c>
      <c r="O1145" cm="1" vm="2416">
        <f t="array" aca="1" ref="O1145" ca="1">IFERROR(INDEX(_xlfn.ANCHORARRAY($C$3),T_CALC[[#This Row],[DAY]]+1,5),NA())</f>
        <v>1.3229</v>
      </c>
      <c r="P1145" cm="1" vm="2453">
        <f t="array" aca="1" ref="P1145" ca="1">IFERROR(INDEX(_xlfn.ANCHORARRAY($C$3),T_CALC[[#This Row],[DAY]]+1,6),NA())</f>
        <v>1.3233999999999999</v>
      </c>
      <c r="Q1145" cm="1">
        <f t="array" aca="1" ref="Q1145" ca="1">IFERROR(INDEX(_xlfn.ANCHORARRAY($C$3),T_CALC[[#This Row],[DAY]]+1,2),NA())</f>
        <v>0</v>
      </c>
    </row>
    <row r="1146" spans="3:17">
      <c r="C1146" vm="106">
        <f ca="1"/>
        <v>44358</v>
      </c>
      <c r="D1146">
        <f ca="1"/>
        <v>0</v>
      </c>
      <c r="E1146" vm="2576">
        <f ca="1"/>
        <v>1.3234999999999999</v>
      </c>
      <c r="F1146" vm="3629">
        <f ca="1"/>
        <v>1.3269</v>
      </c>
      <c r="G1146" vm="2345">
        <f ca="1"/>
        <v>1.3211999999999999</v>
      </c>
      <c r="H1146" vm="2456">
        <f ca="1"/>
        <v>1.3255999999999999</v>
      </c>
      <c r="K1146">
        <f ca="1">IF(ROW(T_CALC[[#This Row],[DAY]])-ROW(T_CALC[[#Headers],[DAY]])&gt;C_N_TRADING_DAYS,"",ROW(T_CALC[[#This Row],[DAY]])-ROW(T_CALC[[#Headers],[DAY]]))</f>
        <v>1143</v>
      </c>
      <c r="L1146" cm="1" vm="106">
        <f t="array" aca="1" ref="L1146" ca="1">IFERROR(INDEX(_xlfn.ANCHORARRAY($C$3),T_CALC[[#This Row],[DAY]]+1,1),NA())</f>
        <v>44358</v>
      </c>
      <c r="M1146" cm="1" vm="2576">
        <f t="array" aca="1" ref="M1146" ca="1">IFERROR(INDEX(_xlfn.ANCHORARRAY($C$3),T_CALC[[#This Row],[DAY]]+1,3),NA())</f>
        <v>1.3234999999999999</v>
      </c>
      <c r="N1146" cm="1" vm="3629">
        <f t="array" aca="1" ref="N1146" ca="1">IFERROR(INDEX(_xlfn.ANCHORARRAY($C$3),T_CALC[[#This Row],[DAY]]+1,4),NA())</f>
        <v>1.3269</v>
      </c>
      <c r="O1146" cm="1" vm="2345">
        <f t="array" aca="1" ref="O1146" ca="1">IFERROR(INDEX(_xlfn.ANCHORARRAY($C$3),T_CALC[[#This Row],[DAY]]+1,5),NA())</f>
        <v>1.3211999999999999</v>
      </c>
      <c r="P1146" cm="1" vm="2456">
        <f t="array" aca="1" ref="P1146" ca="1">IFERROR(INDEX(_xlfn.ANCHORARRAY($C$3),T_CALC[[#This Row],[DAY]]+1,6),NA())</f>
        <v>1.3255999999999999</v>
      </c>
      <c r="Q1146" cm="1">
        <f t="array" aca="1" ref="Q1146" ca="1">IFERROR(INDEX(_xlfn.ANCHORARRAY($C$3),T_CALC[[#This Row],[DAY]]+1,2),NA())</f>
        <v>0</v>
      </c>
    </row>
    <row r="1147" spans="3:17">
      <c r="C1147" vm="3712">
        <f ca="1"/>
        <v>44361</v>
      </c>
      <c r="D1147">
        <f ca="1"/>
        <v>0</v>
      </c>
      <c r="E1147" vm="3705">
        <f ca="1"/>
        <v>1.3254999999999999</v>
      </c>
      <c r="F1147" vm="2421">
        <f ca="1"/>
        <v>1.3274999999999999</v>
      </c>
      <c r="G1147" vm="2320">
        <f ca="1"/>
        <v>1.3252999999999999</v>
      </c>
      <c r="H1147" vm="2566">
        <f ca="1"/>
        <v>1.3262</v>
      </c>
      <c r="K1147">
        <f ca="1">IF(ROW(T_CALC[[#This Row],[DAY]])-ROW(T_CALC[[#Headers],[DAY]])&gt;C_N_TRADING_DAYS,"",ROW(T_CALC[[#This Row],[DAY]])-ROW(T_CALC[[#Headers],[DAY]]))</f>
        <v>1144</v>
      </c>
      <c r="L1147" cm="1" vm="3712">
        <f t="array" aca="1" ref="L1147" ca="1">IFERROR(INDEX(_xlfn.ANCHORARRAY($C$3),T_CALC[[#This Row],[DAY]]+1,1),NA())</f>
        <v>44361</v>
      </c>
      <c r="M1147" cm="1" vm="3705">
        <f t="array" aca="1" ref="M1147" ca="1">IFERROR(INDEX(_xlfn.ANCHORARRAY($C$3),T_CALC[[#This Row],[DAY]]+1,3),NA())</f>
        <v>1.3254999999999999</v>
      </c>
      <c r="N1147" cm="1" vm="2421">
        <f t="array" aca="1" ref="N1147" ca="1">IFERROR(INDEX(_xlfn.ANCHORARRAY($C$3),T_CALC[[#This Row],[DAY]]+1,4),NA())</f>
        <v>1.3274999999999999</v>
      </c>
      <c r="O1147" cm="1" vm="2320">
        <f t="array" aca="1" ref="O1147" ca="1">IFERROR(INDEX(_xlfn.ANCHORARRAY($C$3),T_CALC[[#This Row],[DAY]]+1,5),NA())</f>
        <v>1.3252999999999999</v>
      </c>
      <c r="P1147" cm="1" vm="2566">
        <f t="array" aca="1" ref="P1147" ca="1">IFERROR(INDEX(_xlfn.ANCHORARRAY($C$3),T_CALC[[#This Row],[DAY]]+1,6),NA())</f>
        <v>1.3262</v>
      </c>
      <c r="Q1147" cm="1">
        <f t="array" aca="1" ref="Q1147" ca="1">IFERROR(INDEX(_xlfn.ANCHORARRAY($C$3),T_CALC[[#This Row],[DAY]]+1,2),NA())</f>
        <v>0</v>
      </c>
    </row>
    <row r="1148" spans="3:17">
      <c r="C1148" vm="107">
        <f ca="1"/>
        <v>44362</v>
      </c>
      <c r="D1148">
        <f ca="1"/>
        <v>0</v>
      </c>
      <c r="E1148" vm="2468">
        <f ca="1"/>
        <v>1.3264</v>
      </c>
      <c r="F1148" vm="2334">
        <f ca="1"/>
        <v>1.3284</v>
      </c>
      <c r="G1148" vm="2315">
        <f ca="1"/>
        <v>1.325</v>
      </c>
      <c r="H1148" vm="3629">
        <f ca="1"/>
        <v>1.3269</v>
      </c>
      <c r="K1148">
        <f ca="1">IF(ROW(T_CALC[[#This Row],[DAY]])-ROW(T_CALC[[#Headers],[DAY]])&gt;C_N_TRADING_DAYS,"",ROW(T_CALC[[#This Row],[DAY]])-ROW(T_CALC[[#Headers],[DAY]]))</f>
        <v>1145</v>
      </c>
      <c r="L1148" cm="1" vm="107">
        <f t="array" aca="1" ref="L1148" ca="1">IFERROR(INDEX(_xlfn.ANCHORARRAY($C$3),T_CALC[[#This Row],[DAY]]+1,1),NA())</f>
        <v>44362</v>
      </c>
      <c r="M1148" cm="1" vm="2468">
        <f t="array" aca="1" ref="M1148" ca="1">IFERROR(INDEX(_xlfn.ANCHORARRAY($C$3),T_CALC[[#This Row],[DAY]]+1,3),NA())</f>
        <v>1.3264</v>
      </c>
      <c r="N1148" cm="1" vm="2334">
        <f t="array" aca="1" ref="N1148" ca="1">IFERROR(INDEX(_xlfn.ANCHORARRAY($C$3),T_CALC[[#This Row],[DAY]]+1,4),NA())</f>
        <v>1.3284</v>
      </c>
      <c r="O1148" cm="1" vm="2315">
        <f t="array" aca="1" ref="O1148" ca="1">IFERROR(INDEX(_xlfn.ANCHORARRAY($C$3),T_CALC[[#This Row],[DAY]]+1,5),NA())</f>
        <v>1.325</v>
      </c>
      <c r="P1148" cm="1" vm="3629">
        <f t="array" aca="1" ref="P1148" ca="1">IFERROR(INDEX(_xlfn.ANCHORARRAY($C$3),T_CALC[[#This Row],[DAY]]+1,6),NA())</f>
        <v>1.3269</v>
      </c>
      <c r="Q1148" cm="1">
        <f t="array" aca="1" ref="Q1148" ca="1">IFERROR(INDEX(_xlfn.ANCHORARRAY($C$3),T_CALC[[#This Row],[DAY]]+1,2),NA())</f>
        <v>0</v>
      </c>
    </row>
    <row r="1149" spans="3:17">
      <c r="C1149" vm="108">
        <f ca="1"/>
        <v>44363</v>
      </c>
      <c r="D1149">
        <f ca="1"/>
        <v>0</v>
      </c>
      <c r="E1149" vm="2304">
        <f ca="1"/>
        <v>1.3270999999999999</v>
      </c>
      <c r="F1149" vm="2329">
        <f ca="1"/>
        <v>1.3369</v>
      </c>
      <c r="G1149" vm="2339">
        <f ca="1"/>
        <v>1.3250999999999999</v>
      </c>
      <c r="H1149" vm="2605">
        <f ca="1"/>
        <v>1.3360000000000001</v>
      </c>
      <c r="K1149">
        <f ca="1">IF(ROW(T_CALC[[#This Row],[DAY]])-ROW(T_CALC[[#Headers],[DAY]])&gt;C_N_TRADING_DAYS,"",ROW(T_CALC[[#This Row],[DAY]])-ROW(T_CALC[[#Headers],[DAY]]))</f>
        <v>1146</v>
      </c>
      <c r="L1149" cm="1" vm="108">
        <f t="array" aca="1" ref="L1149" ca="1">IFERROR(INDEX(_xlfn.ANCHORARRAY($C$3),T_CALC[[#This Row],[DAY]]+1,1),NA())</f>
        <v>44363</v>
      </c>
      <c r="M1149" cm="1" vm="2304">
        <f t="array" aca="1" ref="M1149" ca="1">IFERROR(INDEX(_xlfn.ANCHORARRAY($C$3),T_CALC[[#This Row],[DAY]]+1,3),NA())</f>
        <v>1.3270999999999999</v>
      </c>
      <c r="N1149" cm="1" vm="2329">
        <f t="array" aca="1" ref="N1149" ca="1">IFERROR(INDEX(_xlfn.ANCHORARRAY($C$3),T_CALC[[#This Row],[DAY]]+1,4),NA())</f>
        <v>1.3369</v>
      </c>
      <c r="O1149" cm="1" vm="2339">
        <f t="array" aca="1" ref="O1149" ca="1">IFERROR(INDEX(_xlfn.ANCHORARRAY($C$3),T_CALC[[#This Row],[DAY]]+1,5),NA())</f>
        <v>1.3250999999999999</v>
      </c>
      <c r="P1149" cm="1" vm="2605">
        <f t="array" aca="1" ref="P1149" ca="1">IFERROR(INDEX(_xlfn.ANCHORARRAY($C$3),T_CALC[[#This Row],[DAY]]+1,6),NA())</f>
        <v>1.3360000000000001</v>
      </c>
      <c r="Q1149" cm="1">
        <f t="array" aca="1" ref="Q1149" ca="1">IFERROR(INDEX(_xlfn.ANCHORARRAY($C$3),T_CALC[[#This Row],[DAY]]+1,2),NA())</f>
        <v>0</v>
      </c>
    </row>
    <row r="1150" spans="3:17">
      <c r="C1150" vm="109">
        <f ca="1"/>
        <v>44364</v>
      </c>
      <c r="D1150">
        <f ca="1"/>
        <v>0</v>
      </c>
      <c r="E1150" vm="2605">
        <f ca="1"/>
        <v>1.3360000000000001</v>
      </c>
      <c r="F1150" vm="3211">
        <f ca="1"/>
        <v>1.3439000000000001</v>
      </c>
      <c r="G1150" vm="2331">
        <f ca="1"/>
        <v>1.3340000000000001</v>
      </c>
      <c r="H1150" vm="2631">
        <f ca="1"/>
        <v>1.3424</v>
      </c>
      <c r="K1150">
        <f ca="1">IF(ROW(T_CALC[[#This Row],[DAY]])-ROW(T_CALC[[#Headers],[DAY]])&gt;C_N_TRADING_DAYS,"",ROW(T_CALC[[#This Row],[DAY]])-ROW(T_CALC[[#Headers],[DAY]]))</f>
        <v>1147</v>
      </c>
      <c r="L1150" cm="1" vm="109">
        <f t="array" aca="1" ref="L1150" ca="1">IFERROR(INDEX(_xlfn.ANCHORARRAY($C$3),T_CALC[[#This Row],[DAY]]+1,1),NA())</f>
        <v>44364</v>
      </c>
      <c r="M1150" cm="1" vm="2605">
        <f t="array" aca="1" ref="M1150" ca="1">IFERROR(INDEX(_xlfn.ANCHORARRAY($C$3),T_CALC[[#This Row],[DAY]]+1,3),NA())</f>
        <v>1.3360000000000001</v>
      </c>
      <c r="N1150" cm="1" vm="3211">
        <f t="array" aca="1" ref="N1150" ca="1">IFERROR(INDEX(_xlfn.ANCHORARRAY($C$3),T_CALC[[#This Row],[DAY]]+1,4),NA())</f>
        <v>1.3439000000000001</v>
      </c>
      <c r="O1150" cm="1" vm="2331">
        <f t="array" aca="1" ref="O1150" ca="1">IFERROR(INDEX(_xlfn.ANCHORARRAY($C$3),T_CALC[[#This Row],[DAY]]+1,5),NA())</f>
        <v>1.3340000000000001</v>
      </c>
      <c r="P1150" cm="1" vm="2631">
        <f t="array" aca="1" ref="P1150" ca="1">IFERROR(INDEX(_xlfn.ANCHORARRAY($C$3),T_CALC[[#This Row],[DAY]]+1,6),NA())</f>
        <v>1.3424</v>
      </c>
      <c r="Q1150" cm="1">
        <f t="array" aca="1" ref="Q1150" ca="1">IFERROR(INDEX(_xlfn.ANCHORARRAY($C$3),T_CALC[[#This Row],[DAY]]+1,2),NA())</f>
        <v>0</v>
      </c>
    </row>
    <row r="1151" spans="3:17">
      <c r="C1151" vm="110">
        <f ca="1"/>
        <v>44365</v>
      </c>
      <c r="D1151">
        <f ca="1"/>
        <v>0</v>
      </c>
      <c r="E1151" vm="2631">
        <f ca="1"/>
        <v>1.3424</v>
      </c>
      <c r="F1151" vm="2281">
        <f ca="1"/>
        <v>1.3461000000000001</v>
      </c>
      <c r="G1151" vm="2619">
        <f ca="1"/>
        <v>1.339</v>
      </c>
      <c r="H1151" vm="2281">
        <f ca="1"/>
        <v>1.3461000000000001</v>
      </c>
      <c r="K1151">
        <f ca="1">IF(ROW(T_CALC[[#This Row],[DAY]])-ROW(T_CALC[[#Headers],[DAY]])&gt;C_N_TRADING_DAYS,"",ROW(T_CALC[[#This Row],[DAY]])-ROW(T_CALC[[#Headers],[DAY]]))</f>
        <v>1148</v>
      </c>
      <c r="L1151" cm="1" vm="110">
        <f t="array" aca="1" ref="L1151" ca="1">IFERROR(INDEX(_xlfn.ANCHORARRAY($C$3),T_CALC[[#This Row],[DAY]]+1,1),NA())</f>
        <v>44365</v>
      </c>
      <c r="M1151" cm="1" vm="2631">
        <f t="array" aca="1" ref="M1151" ca="1">IFERROR(INDEX(_xlfn.ANCHORARRAY($C$3),T_CALC[[#This Row],[DAY]]+1,3),NA())</f>
        <v>1.3424</v>
      </c>
      <c r="N1151" cm="1" vm="2281">
        <f t="array" aca="1" ref="N1151" ca="1">IFERROR(INDEX(_xlfn.ANCHORARRAY($C$3),T_CALC[[#This Row],[DAY]]+1,4),NA())</f>
        <v>1.3461000000000001</v>
      </c>
      <c r="O1151" cm="1" vm="2619">
        <f t="array" aca="1" ref="O1151" ca="1">IFERROR(INDEX(_xlfn.ANCHORARRAY($C$3),T_CALC[[#This Row],[DAY]]+1,5),NA())</f>
        <v>1.339</v>
      </c>
      <c r="P1151" cm="1" vm="2281">
        <f t="array" aca="1" ref="P1151" ca="1">IFERROR(INDEX(_xlfn.ANCHORARRAY($C$3),T_CALC[[#This Row],[DAY]]+1,6),NA())</f>
        <v>1.3461000000000001</v>
      </c>
      <c r="Q1151" cm="1">
        <f t="array" aca="1" ref="Q1151" ca="1">IFERROR(INDEX(_xlfn.ANCHORARRAY($C$3),T_CALC[[#This Row],[DAY]]+1,2),NA())</f>
        <v>0</v>
      </c>
    </row>
    <row r="1152" spans="3:17">
      <c r="C1152" vm="111">
        <f ca="1"/>
        <v>44368</v>
      </c>
      <c r="D1152">
        <f ca="1"/>
        <v>0</v>
      </c>
      <c r="E1152" vm="3211">
        <f ca="1"/>
        <v>1.3439000000000001</v>
      </c>
      <c r="F1152" vm="2262">
        <f ca="1"/>
        <v>1.3473999999999999</v>
      </c>
      <c r="G1152" vm="2596">
        <f ca="1"/>
        <v>1.3415999999999999</v>
      </c>
      <c r="H1152" vm="2101">
        <f ca="1"/>
        <v>1.3419000000000001</v>
      </c>
      <c r="K1152">
        <f ca="1">IF(ROW(T_CALC[[#This Row],[DAY]])-ROW(T_CALC[[#Headers],[DAY]])&gt;C_N_TRADING_DAYS,"",ROW(T_CALC[[#This Row],[DAY]])-ROW(T_CALC[[#Headers],[DAY]]))</f>
        <v>1149</v>
      </c>
      <c r="L1152" cm="1" vm="111">
        <f t="array" aca="1" ref="L1152" ca="1">IFERROR(INDEX(_xlfn.ANCHORARRAY($C$3),T_CALC[[#This Row],[DAY]]+1,1),NA())</f>
        <v>44368</v>
      </c>
      <c r="M1152" cm="1" vm="3211">
        <f t="array" aca="1" ref="M1152" ca="1">IFERROR(INDEX(_xlfn.ANCHORARRAY($C$3),T_CALC[[#This Row],[DAY]]+1,3),NA())</f>
        <v>1.3439000000000001</v>
      </c>
      <c r="N1152" cm="1" vm="2262">
        <f t="array" aca="1" ref="N1152" ca="1">IFERROR(INDEX(_xlfn.ANCHORARRAY($C$3),T_CALC[[#This Row],[DAY]]+1,4),NA())</f>
        <v>1.3473999999999999</v>
      </c>
      <c r="O1152" cm="1" vm="2596">
        <f t="array" aca="1" ref="O1152" ca="1">IFERROR(INDEX(_xlfn.ANCHORARRAY($C$3),T_CALC[[#This Row],[DAY]]+1,5),NA())</f>
        <v>1.3415999999999999</v>
      </c>
      <c r="P1152" cm="1" vm="2101">
        <f t="array" aca="1" ref="P1152" ca="1">IFERROR(INDEX(_xlfn.ANCHORARRAY($C$3),T_CALC[[#This Row],[DAY]]+1,6),NA())</f>
        <v>1.3419000000000001</v>
      </c>
      <c r="Q1152" cm="1">
        <f t="array" aca="1" ref="Q1152" ca="1">IFERROR(INDEX(_xlfn.ANCHORARRAY($C$3),T_CALC[[#This Row],[DAY]]+1,2),NA())</f>
        <v>0</v>
      </c>
    </row>
    <row r="1153" spans="3:17">
      <c r="C1153" vm="112">
        <f ca="1"/>
        <v>44369</v>
      </c>
      <c r="D1153">
        <f ca="1"/>
        <v>0</v>
      </c>
      <c r="E1153" vm="2629">
        <f ca="1"/>
        <v>1.3428</v>
      </c>
      <c r="F1153" vm="2127">
        <f ca="1"/>
        <v>1.3475999999999999</v>
      </c>
      <c r="G1153" vm="2596">
        <f ca="1"/>
        <v>1.3415999999999999</v>
      </c>
      <c r="H1153" vm="2256">
        <f ca="1"/>
        <v>1.3448</v>
      </c>
      <c r="K1153">
        <f ca="1">IF(ROW(T_CALC[[#This Row],[DAY]])-ROW(T_CALC[[#Headers],[DAY]])&gt;C_N_TRADING_DAYS,"",ROW(T_CALC[[#This Row],[DAY]])-ROW(T_CALC[[#Headers],[DAY]]))</f>
        <v>1150</v>
      </c>
      <c r="L1153" cm="1" vm="112">
        <f t="array" aca="1" ref="L1153" ca="1">IFERROR(INDEX(_xlfn.ANCHORARRAY($C$3),T_CALC[[#This Row],[DAY]]+1,1),NA())</f>
        <v>44369</v>
      </c>
      <c r="M1153" cm="1" vm="2629">
        <f t="array" aca="1" ref="M1153" ca="1">IFERROR(INDEX(_xlfn.ANCHORARRAY($C$3),T_CALC[[#This Row],[DAY]]+1,3),NA())</f>
        <v>1.3428</v>
      </c>
      <c r="N1153" cm="1" vm="2127">
        <f t="array" aca="1" ref="N1153" ca="1">IFERROR(INDEX(_xlfn.ANCHORARRAY($C$3),T_CALC[[#This Row],[DAY]]+1,4),NA())</f>
        <v>1.3475999999999999</v>
      </c>
      <c r="O1153" cm="1" vm="2596">
        <f t="array" aca="1" ref="O1153" ca="1">IFERROR(INDEX(_xlfn.ANCHORARRAY($C$3),T_CALC[[#This Row],[DAY]]+1,5),NA())</f>
        <v>1.3415999999999999</v>
      </c>
      <c r="P1153" cm="1" vm="2256">
        <f t="array" aca="1" ref="P1153" ca="1">IFERROR(INDEX(_xlfn.ANCHORARRAY($C$3),T_CALC[[#This Row],[DAY]]+1,6),NA())</f>
        <v>1.3448</v>
      </c>
      <c r="Q1153" cm="1">
        <f t="array" aca="1" ref="Q1153" ca="1">IFERROR(INDEX(_xlfn.ANCHORARRAY($C$3),T_CALC[[#This Row],[DAY]]+1,2),NA())</f>
        <v>0</v>
      </c>
    </row>
    <row r="1154" spans="3:17">
      <c r="C1154" vm="113">
        <f ca="1"/>
        <v>44370</v>
      </c>
      <c r="D1154">
        <f ca="1"/>
        <v>0</v>
      </c>
      <c r="E1154" vm="2234">
        <f ca="1"/>
        <v>1.3445</v>
      </c>
      <c r="F1154" vm="2257">
        <f ca="1"/>
        <v>1.3471</v>
      </c>
      <c r="G1154" vm="2287">
        <f ca="1"/>
        <v>1.3427</v>
      </c>
      <c r="H1154" vm="3213">
        <f ca="1"/>
        <v>1.3460000000000001</v>
      </c>
      <c r="K1154">
        <f ca="1">IF(ROW(T_CALC[[#This Row],[DAY]])-ROW(T_CALC[[#Headers],[DAY]])&gt;C_N_TRADING_DAYS,"",ROW(T_CALC[[#This Row],[DAY]])-ROW(T_CALC[[#Headers],[DAY]]))</f>
        <v>1151</v>
      </c>
      <c r="L1154" cm="1" vm="113">
        <f t="array" aca="1" ref="L1154" ca="1">IFERROR(INDEX(_xlfn.ANCHORARRAY($C$3),T_CALC[[#This Row],[DAY]]+1,1),NA())</f>
        <v>44370</v>
      </c>
      <c r="M1154" cm="1" vm="2234">
        <f t="array" aca="1" ref="M1154" ca="1">IFERROR(INDEX(_xlfn.ANCHORARRAY($C$3),T_CALC[[#This Row],[DAY]]+1,3),NA())</f>
        <v>1.3445</v>
      </c>
      <c r="N1154" cm="1" vm="2257">
        <f t="array" aca="1" ref="N1154" ca="1">IFERROR(INDEX(_xlfn.ANCHORARRAY($C$3),T_CALC[[#This Row],[DAY]]+1,4),NA())</f>
        <v>1.3471</v>
      </c>
      <c r="O1154" cm="1" vm="2287">
        <f t="array" aca="1" ref="O1154" ca="1">IFERROR(INDEX(_xlfn.ANCHORARRAY($C$3),T_CALC[[#This Row],[DAY]]+1,5),NA())</f>
        <v>1.3427</v>
      </c>
      <c r="P1154" cm="1" vm="3213">
        <f t="array" aca="1" ref="P1154" ca="1">IFERROR(INDEX(_xlfn.ANCHORARRAY($C$3),T_CALC[[#This Row],[DAY]]+1,6),NA())</f>
        <v>1.3460000000000001</v>
      </c>
      <c r="Q1154" cm="1">
        <f t="array" aca="1" ref="Q1154" ca="1">IFERROR(INDEX(_xlfn.ANCHORARRAY($C$3),T_CALC[[#This Row],[DAY]]+1,2),NA())</f>
        <v>0</v>
      </c>
    </row>
    <row r="1155" spans="3:17">
      <c r="C1155" vm="114">
        <f ca="1"/>
        <v>44371</v>
      </c>
      <c r="D1155">
        <f ca="1"/>
        <v>0</v>
      </c>
      <c r="E1155" vm="2239">
        <f ca="1"/>
        <v>1.3454999999999999</v>
      </c>
      <c r="F1155" vm="2108">
        <f ca="1"/>
        <v>1.3465</v>
      </c>
      <c r="G1155" vm="2122">
        <f ca="1"/>
        <v>1.3420000000000001</v>
      </c>
      <c r="H1155" vm="2629">
        <f ca="1"/>
        <v>1.3428</v>
      </c>
      <c r="K1155">
        <f ca="1">IF(ROW(T_CALC[[#This Row],[DAY]])-ROW(T_CALC[[#Headers],[DAY]])&gt;C_N_TRADING_DAYS,"",ROW(T_CALC[[#This Row],[DAY]])-ROW(T_CALC[[#Headers],[DAY]]))</f>
        <v>1152</v>
      </c>
      <c r="L1155" cm="1" vm="114">
        <f t="array" aca="1" ref="L1155" ca="1">IFERROR(INDEX(_xlfn.ANCHORARRAY($C$3),T_CALC[[#This Row],[DAY]]+1,1),NA())</f>
        <v>44371</v>
      </c>
      <c r="M1155" cm="1" vm="2239">
        <f t="array" aca="1" ref="M1155" ca="1">IFERROR(INDEX(_xlfn.ANCHORARRAY($C$3),T_CALC[[#This Row],[DAY]]+1,3),NA())</f>
        <v>1.3454999999999999</v>
      </c>
      <c r="N1155" cm="1" vm="2108">
        <f t="array" aca="1" ref="N1155" ca="1">IFERROR(INDEX(_xlfn.ANCHORARRAY($C$3),T_CALC[[#This Row],[DAY]]+1,4),NA())</f>
        <v>1.3465</v>
      </c>
      <c r="O1155" cm="1" vm="2122">
        <f t="array" aca="1" ref="O1155" ca="1">IFERROR(INDEX(_xlfn.ANCHORARRAY($C$3),T_CALC[[#This Row],[DAY]]+1,5),NA())</f>
        <v>1.3420000000000001</v>
      </c>
      <c r="P1155" cm="1" vm="2629">
        <f t="array" aca="1" ref="P1155" ca="1">IFERROR(INDEX(_xlfn.ANCHORARRAY($C$3),T_CALC[[#This Row],[DAY]]+1,6),NA())</f>
        <v>1.3428</v>
      </c>
      <c r="Q1155" cm="1">
        <f t="array" aca="1" ref="Q1155" ca="1">IFERROR(INDEX(_xlfn.ANCHORARRAY($C$3),T_CALC[[#This Row],[DAY]]+1,2),NA())</f>
        <v>0</v>
      </c>
    </row>
    <row r="1156" spans="3:17">
      <c r="C1156" vm="115">
        <f ca="1"/>
        <v>44372</v>
      </c>
      <c r="D1156">
        <f ca="1"/>
        <v>0</v>
      </c>
      <c r="E1156" vm="2287">
        <f ca="1"/>
        <v>1.3427</v>
      </c>
      <c r="F1156" vm="2115">
        <f ca="1"/>
        <v>1.3433999999999999</v>
      </c>
      <c r="G1156" vm="2098">
        <f ca="1"/>
        <v>1.3392999999999999</v>
      </c>
      <c r="H1156" vm="3690">
        <f ca="1"/>
        <v>1.3421000000000001</v>
      </c>
      <c r="K1156">
        <f ca="1">IF(ROW(T_CALC[[#This Row],[DAY]])-ROW(T_CALC[[#Headers],[DAY]])&gt;C_N_TRADING_DAYS,"",ROW(T_CALC[[#This Row],[DAY]])-ROW(T_CALC[[#Headers],[DAY]]))</f>
        <v>1153</v>
      </c>
      <c r="L1156" cm="1" vm="115">
        <f t="array" aca="1" ref="L1156" ca="1">IFERROR(INDEX(_xlfn.ANCHORARRAY($C$3),T_CALC[[#This Row],[DAY]]+1,1),NA())</f>
        <v>44372</v>
      </c>
      <c r="M1156" cm="1" vm="2287">
        <f t="array" aca="1" ref="M1156" ca="1">IFERROR(INDEX(_xlfn.ANCHORARRAY($C$3),T_CALC[[#This Row],[DAY]]+1,3),NA())</f>
        <v>1.3427</v>
      </c>
      <c r="N1156" cm="1" vm="2115">
        <f t="array" aca="1" ref="N1156" ca="1">IFERROR(INDEX(_xlfn.ANCHORARRAY($C$3),T_CALC[[#This Row],[DAY]]+1,4),NA())</f>
        <v>1.3433999999999999</v>
      </c>
      <c r="O1156" cm="1" vm="2098">
        <f t="array" aca="1" ref="O1156" ca="1">IFERROR(INDEX(_xlfn.ANCHORARRAY($C$3),T_CALC[[#This Row],[DAY]]+1,5),NA())</f>
        <v>1.3392999999999999</v>
      </c>
      <c r="P1156" cm="1" vm="3690">
        <f t="array" aca="1" ref="P1156" ca="1">IFERROR(INDEX(_xlfn.ANCHORARRAY($C$3),T_CALC[[#This Row],[DAY]]+1,6),NA())</f>
        <v>1.3421000000000001</v>
      </c>
      <c r="Q1156" cm="1">
        <f t="array" aca="1" ref="Q1156" ca="1">IFERROR(INDEX(_xlfn.ANCHORARRAY($C$3),T_CALC[[#This Row],[DAY]]+1,2),NA())</f>
        <v>0</v>
      </c>
    </row>
    <row r="1157" spans="3:17">
      <c r="C1157" vm="116">
        <f ca="1"/>
        <v>44375</v>
      </c>
      <c r="D1157">
        <f ca="1"/>
        <v>0</v>
      </c>
      <c r="E1157" vm="2251">
        <f ca="1"/>
        <v>1.3414999999999999</v>
      </c>
      <c r="F1157" vm="2256">
        <f ca="1"/>
        <v>1.3448</v>
      </c>
      <c r="G1157" vm="2251">
        <f ca="1"/>
        <v>1.3414999999999999</v>
      </c>
      <c r="H1157" vm="2629">
        <f ca="1"/>
        <v>1.3428</v>
      </c>
      <c r="K1157">
        <f ca="1">IF(ROW(T_CALC[[#This Row],[DAY]])-ROW(T_CALC[[#Headers],[DAY]])&gt;C_N_TRADING_DAYS,"",ROW(T_CALC[[#This Row],[DAY]])-ROW(T_CALC[[#Headers],[DAY]]))</f>
        <v>1154</v>
      </c>
      <c r="L1157" cm="1" vm="116">
        <f t="array" aca="1" ref="L1157" ca="1">IFERROR(INDEX(_xlfn.ANCHORARRAY($C$3),T_CALC[[#This Row],[DAY]]+1,1),NA())</f>
        <v>44375</v>
      </c>
      <c r="M1157" cm="1" vm="2251">
        <f t="array" aca="1" ref="M1157" ca="1">IFERROR(INDEX(_xlfn.ANCHORARRAY($C$3),T_CALC[[#This Row],[DAY]]+1,3),NA())</f>
        <v>1.3414999999999999</v>
      </c>
      <c r="N1157" cm="1" vm="2256">
        <f t="array" aca="1" ref="N1157" ca="1">IFERROR(INDEX(_xlfn.ANCHORARRAY($C$3),T_CALC[[#This Row],[DAY]]+1,4),NA())</f>
        <v>1.3448</v>
      </c>
      <c r="O1157" cm="1" vm="2251">
        <f t="array" aca="1" ref="O1157" ca="1">IFERROR(INDEX(_xlfn.ANCHORARRAY($C$3),T_CALC[[#This Row],[DAY]]+1,5),NA())</f>
        <v>1.3414999999999999</v>
      </c>
      <c r="P1157" cm="1" vm="2629">
        <f t="array" aca="1" ref="P1157" ca="1">IFERROR(INDEX(_xlfn.ANCHORARRAY($C$3),T_CALC[[#This Row],[DAY]]+1,6),NA())</f>
        <v>1.3428</v>
      </c>
      <c r="Q1157" cm="1">
        <f t="array" aca="1" ref="Q1157" ca="1">IFERROR(INDEX(_xlfn.ANCHORARRAY($C$3),T_CALC[[#This Row],[DAY]]+1,2),NA())</f>
        <v>0</v>
      </c>
    </row>
    <row r="1158" spans="3:17">
      <c r="C1158" vm="117">
        <f ca="1"/>
        <v>44376</v>
      </c>
      <c r="D1158">
        <f ca="1"/>
        <v>0</v>
      </c>
      <c r="E1158" vm="2282">
        <f ca="1"/>
        <v>1.3426</v>
      </c>
      <c r="F1158" vm="2281">
        <f ca="1"/>
        <v>1.3461000000000001</v>
      </c>
      <c r="G1158" vm="2122">
        <f ca="1"/>
        <v>1.3420000000000001</v>
      </c>
      <c r="H1158" vm="2125">
        <f ca="1"/>
        <v>1.3451</v>
      </c>
      <c r="K1158">
        <f ca="1">IF(ROW(T_CALC[[#This Row],[DAY]])-ROW(T_CALC[[#Headers],[DAY]])&gt;C_N_TRADING_DAYS,"",ROW(T_CALC[[#This Row],[DAY]])-ROW(T_CALC[[#Headers],[DAY]]))</f>
        <v>1155</v>
      </c>
      <c r="L1158" cm="1" vm="117">
        <f t="array" aca="1" ref="L1158" ca="1">IFERROR(INDEX(_xlfn.ANCHORARRAY($C$3),T_CALC[[#This Row],[DAY]]+1,1),NA())</f>
        <v>44376</v>
      </c>
      <c r="M1158" cm="1" vm="2282">
        <f t="array" aca="1" ref="M1158" ca="1">IFERROR(INDEX(_xlfn.ANCHORARRAY($C$3),T_CALC[[#This Row],[DAY]]+1,3),NA())</f>
        <v>1.3426</v>
      </c>
      <c r="N1158" cm="1" vm="2281">
        <f t="array" aca="1" ref="N1158" ca="1">IFERROR(INDEX(_xlfn.ANCHORARRAY($C$3),T_CALC[[#This Row],[DAY]]+1,4),NA())</f>
        <v>1.3461000000000001</v>
      </c>
      <c r="O1158" cm="1" vm="2122">
        <f t="array" aca="1" ref="O1158" ca="1">IFERROR(INDEX(_xlfn.ANCHORARRAY($C$3),T_CALC[[#This Row],[DAY]]+1,5),NA())</f>
        <v>1.3420000000000001</v>
      </c>
      <c r="P1158" cm="1" vm="2125">
        <f t="array" aca="1" ref="P1158" ca="1">IFERROR(INDEX(_xlfn.ANCHORARRAY($C$3),T_CALC[[#This Row],[DAY]]+1,6),NA())</f>
        <v>1.3451</v>
      </c>
      <c r="Q1158" cm="1">
        <f t="array" aca="1" ref="Q1158" ca="1">IFERROR(INDEX(_xlfn.ANCHORARRAY($C$3),T_CALC[[#This Row],[DAY]]+1,2),NA())</f>
        <v>0</v>
      </c>
    </row>
    <row r="1159" spans="3:17">
      <c r="C1159" vm="118">
        <f ca="1"/>
        <v>44377</v>
      </c>
      <c r="D1159">
        <f ca="1"/>
        <v>0</v>
      </c>
      <c r="E1159" vm="2125">
        <f ca="1"/>
        <v>1.3451</v>
      </c>
      <c r="F1159" vm="2611">
        <f ca="1"/>
        <v>1.3455999999999999</v>
      </c>
      <c r="G1159" vm="2115">
        <f ca="1"/>
        <v>1.3433999999999999</v>
      </c>
      <c r="H1159" vm="2125">
        <f ca="1"/>
        <v>1.3451</v>
      </c>
      <c r="K1159">
        <f ca="1">IF(ROW(T_CALC[[#This Row],[DAY]])-ROW(T_CALC[[#Headers],[DAY]])&gt;C_N_TRADING_DAYS,"",ROW(T_CALC[[#This Row],[DAY]])-ROW(T_CALC[[#Headers],[DAY]]))</f>
        <v>1156</v>
      </c>
      <c r="L1159" cm="1" vm="118">
        <f t="array" aca="1" ref="L1159" ca="1">IFERROR(INDEX(_xlfn.ANCHORARRAY($C$3),T_CALC[[#This Row],[DAY]]+1,1),NA())</f>
        <v>44377</v>
      </c>
      <c r="M1159" cm="1" vm="2125">
        <f t="array" aca="1" ref="M1159" ca="1">IFERROR(INDEX(_xlfn.ANCHORARRAY($C$3),T_CALC[[#This Row],[DAY]]+1,3),NA())</f>
        <v>1.3451</v>
      </c>
      <c r="N1159" cm="1" vm="2611">
        <f t="array" aca="1" ref="N1159" ca="1">IFERROR(INDEX(_xlfn.ANCHORARRAY($C$3),T_CALC[[#This Row],[DAY]]+1,4),NA())</f>
        <v>1.3455999999999999</v>
      </c>
      <c r="O1159" cm="1" vm="2115">
        <f t="array" aca="1" ref="O1159" ca="1">IFERROR(INDEX(_xlfn.ANCHORARRAY($C$3),T_CALC[[#This Row],[DAY]]+1,5),NA())</f>
        <v>1.3433999999999999</v>
      </c>
      <c r="P1159" cm="1" vm="2125">
        <f t="array" aca="1" ref="P1159" ca="1">IFERROR(INDEX(_xlfn.ANCHORARRAY($C$3),T_CALC[[#This Row],[DAY]]+1,6),NA())</f>
        <v>1.3451</v>
      </c>
      <c r="Q1159" cm="1">
        <f t="array" aca="1" ref="Q1159" ca="1">IFERROR(INDEX(_xlfn.ANCHORARRAY($C$3),T_CALC[[#This Row],[DAY]]+1,2),NA())</f>
        <v>0</v>
      </c>
    </row>
    <row r="1160" spans="3:17">
      <c r="C1160" vm="119">
        <f ca="1"/>
        <v>44378</v>
      </c>
      <c r="D1160">
        <f ca="1"/>
        <v>0</v>
      </c>
      <c r="E1160" vm="2235">
        <f ca="1"/>
        <v>1.3452</v>
      </c>
      <c r="F1160" vm="2922">
        <f ca="1"/>
        <v>1.3492999999999999</v>
      </c>
      <c r="G1160" vm="3216">
        <f ca="1"/>
        <v>1.3440000000000001</v>
      </c>
      <c r="H1160" vm="2135">
        <f ca="1"/>
        <v>1.3486</v>
      </c>
      <c r="K1160">
        <f ca="1">IF(ROW(T_CALC[[#This Row],[DAY]])-ROW(T_CALC[[#Headers],[DAY]])&gt;C_N_TRADING_DAYS,"",ROW(T_CALC[[#This Row],[DAY]])-ROW(T_CALC[[#Headers],[DAY]]))</f>
        <v>1157</v>
      </c>
      <c r="L1160" cm="1" vm="119">
        <f t="array" aca="1" ref="L1160" ca="1">IFERROR(INDEX(_xlfn.ANCHORARRAY($C$3),T_CALC[[#This Row],[DAY]]+1,1),NA())</f>
        <v>44378</v>
      </c>
      <c r="M1160" cm="1" vm="2235">
        <f t="array" aca="1" ref="M1160" ca="1">IFERROR(INDEX(_xlfn.ANCHORARRAY($C$3),T_CALC[[#This Row],[DAY]]+1,3),NA())</f>
        <v>1.3452</v>
      </c>
      <c r="N1160" cm="1" vm="2922">
        <f t="array" aca="1" ref="N1160" ca="1">IFERROR(INDEX(_xlfn.ANCHORARRAY($C$3),T_CALC[[#This Row],[DAY]]+1,4),NA())</f>
        <v>1.3492999999999999</v>
      </c>
      <c r="O1160" cm="1" vm="3216">
        <f t="array" aca="1" ref="O1160" ca="1">IFERROR(INDEX(_xlfn.ANCHORARRAY($C$3),T_CALC[[#This Row],[DAY]]+1,5),NA())</f>
        <v>1.3440000000000001</v>
      </c>
      <c r="P1160" cm="1" vm="2135">
        <f t="array" aca="1" ref="P1160" ca="1">IFERROR(INDEX(_xlfn.ANCHORARRAY($C$3),T_CALC[[#This Row],[DAY]]+1,6),NA())</f>
        <v>1.3486</v>
      </c>
      <c r="Q1160" cm="1">
        <f t="array" aca="1" ref="Q1160" ca="1">IFERROR(INDEX(_xlfn.ANCHORARRAY($C$3),T_CALC[[#This Row],[DAY]]+1,2),NA())</f>
        <v>0</v>
      </c>
    </row>
    <row r="1161" spans="3:17">
      <c r="C1161" vm="120">
        <f ca="1"/>
        <v>44379</v>
      </c>
      <c r="D1161">
        <f ca="1"/>
        <v>0</v>
      </c>
      <c r="E1161" vm="3226">
        <f ca="1"/>
        <v>1.3487</v>
      </c>
      <c r="F1161" vm="2265">
        <f ca="1"/>
        <v>1.3520000000000001</v>
      </c>
      <c r="G1161" vm="2239">
        <f ca="1"/>
        <v>1.3454999999999999</v>
      </c>
      <c r="H1161" vm="2104">
        <f ca="1"/>
        <v>1.3469</v>
      </c>
      <c r="K1161">
        <f ca="1">IF(ROW(T_CALC[[#This Row],[DAY]])-ROW(T_CALC[[#Headers],[DAY]])&gt;C_N_TRADING_DAYS,"",ROW(T_CALC[[#This Row],[DAY]])-ROW(T_CALC[[#Headers],[DAY]]))</f>
        <v>1158</v>
      </c>
      <c r="L1161" cm="1" vm="120">
        <f t="array" aca="1" ref="L1161" ca="1">IFERROR(INDEX(_xlfn.ANCHORARRAY($C$3),T_CALC[[#This Row],[DAY]]+1,1),NA())</f>
        <v>44379</v>
      </c>
      <c r="M1161" cm="1" vm="3226">
        <f t="array" aca="1" ref="M1161" ca="1">IFERROR(INDEX(_xlfn.ANCHORARRAY($C$3),T_CALC[[#This Row],[DAY]]+1,3),NA())</f>
        <v>1.3487</v>
      </c>
      <c r="N1161" cm="1" vm="2265">
        <f t="array" aca="1" ref="N1161" ca="1">IFERROR(INDEX(_xlfn.ANCHORARRAY($C$3),T_CALC[[#This Row],[DAY]]+1,4),NA())</f>
        <v>1.3520000000000001</v>
      </c>
      <c r="O1161" cm="1" vm="2239">
        <f t="array" aca="1" ref="O1161" ca="1">IFERROR(INDEX(_xlfn.ANCHORARRAY($C$3),T_CALC[[#This Row],[DAY]]+1,5),NA())</f>
        <v>1.3454999999999999</v>
      </c>
      <c r="P1161" cm="1" vm="2104">
        <f t="array" aca="1" ref="P1161" ca="1">IFERROR(INDEX(_xlfn.ANCHORARRAY($C$3),T_CALC[[#This Row],[DAY]]+1,6),NA())</f>
        <v>1.3469</v>
      </c>
      <c r="Q1161" cm="1">
        <f t="array" aca="1" ref="Q1161" ca="1">IFERROR(INDEX(_xlfn.ANCHORARRAY($C$3),T_CALC[[#This Row],[DAY]]+1,2),NA())</f>
        <v>0</v>
      </c>
    </row>
    <row r="1162" spans="3:17">
      <c r="C1162" vm="121">
        <f ca="1"/>
        <v>44382</v>
      </c>
      <c r="D1162">
        <f ca="1"/>
        <v>0</v>
      </c>
      <c r="E1162" vm="2104">
        <f ca="1"/>
        <v>1.3469</v>
      </c>
      <c r="F1162" vm="2121">
        <f ca="1"/>
        <v>1.3479000000000001</v>
      </c>
      <c r="G1162" vm="2237">
        <f ca="1"/>
        <v>1.3442000000000001</v>
      </c>
      <c r="H1162" vm="2125">
        <f ca="1"/>
        <v>1.3451</v>
      </c>
      <c r="K1162">
        <f ca="1">IF(ROW(T_CALC[[#This Row],[DAY]])-ROW(T_CALC[[#Headers],[DAY]])&gt;C_N_TRADING_DAYS,"",ROW(T_CALC[[#This Row],[DAY]])-ROW(T_CALC[[#Headers],[DAY]]))</f>
        <v>1159</v>
      </c>
      <c r="L1162" cm="1" vm="121">
        <f t="array" aca="1" ref="L1162" ca="1">IFERROR(INDEX(_xlfn.ANCHORARRAY($C$3),T_CALC[[#This Row],[DAY]]+1,1),NA())</f>
        <v>44382</v>
      </c>
      <c r="M1162" cm="1" vm="2104">
        <f t="array" aca="1" ref="M1162" ca="1">IFERROR(INDEX(_xlfn.ANCHORARRAY($C$3),T_CALC[[#This Row],[DAY]]+1,3),NA())</f>
        <v>1.3469</v>
      </c>
      <c r="N1162" cm="1" vm="2121">
        <f t="array" aca="1" ref="N1162" ca="1">IFERROR(INDEX(_xlfn.ANCHORARRAY($C$3),T_CALC[[#This Row],[DAY]]+1,4),NA())</f>
        <v>1.3479000000000001</v>
      </c>
      <c r="O1162" cm="1" vm="2237">
        <f t="array" aca="1" ref="O1162" ca="1">IFERROR(INDEX(_xlfn.ANCHORARRAY($C$3),T_CALC[[#This Row],[DAY]]+1,5),NA())</f>
        <v>1.3442000000000001</v>
      </c>
      <c r="P1162" cm="1" vm="2125">
        <f t="array" aca="1" ref="P1162" ca="1">IFERROR(INDEX(_xlfn.ANCHORARRAY($C$3),T_CALC[[#This Row],[DAY]]+1,6),NA())</f>
        <v>1.3451</v>
      </c>
      <c r="Q1162" cm="1">
        <f t="array" aca="1" ref="Q1162" ca="1">IFERROR(INDEX(_xlfn.ANCHORARRAY($C$3),T_CALC[[#This Row],[DAY]]+1,2),NA())</f>
        <v>0</v>
      </c>
    </row>
    <row r="1163" spans="3:17">
      <c r="C1163" vm="122">
        <f ca="1"/>
        <v>44383</v>
      </c>
      <c r="D1163">
        <f ca="1"/>
        <v>0</v>
      </c>
      <c r="E1163" vm="2661">
        <f ca="1"/>
        <v>1.3449</v>
      </c>
      <c r="F1163" vm="3226">
        <f ca="1"/>
        <v>1.3487</v>
      </c>
      <c r="G1163" vm="3713">
        <f ca="1"/>
        <v>1.3422000000000001</v>
      </c>
      <c r="H1163" vm="3217">
        <f ca="1"/>
        <v>1.347</v>
      </c>
      <c r="K1163">
        <f ca="1">IF(ROW(T_CALC[[#This Row],[DAY]])-ROW(T_CALC[[#Headers],[DAY]])&gt;C_N_TRADING_DAYS,"",ROW(T_CALC[[#This Row],[DAY]])-ROW(T_CALC[[#Headers],[DAY]]))</f>
        <v>1160</v>
      </c>
      <c r="L1163" cm="1" vm="122">
        <f t="array" aca="1" ref="L1163" ca="1">IFERROR(INDEX(_xlfn.ANCHORARRAY($C$3),T_CALC[[#This Row],[DAY]]+1,1),NA())</f>
        <v>44383</v>
      </c>
      <c r="M1163" cm="1" vm="2661">
        <f t="array" aca="1" ref="M1163" ca="1">IFERROR(INDEX(_xlfn.ANCHORARRAY($C$3),T_CALC[[#This Row],[DAY]]+1,3),NA())</f>
        <v>1.3449</v>
      </c>
      <c r="N1163" cm="1" vm="3226">
        <f t="array" aca="1" ref="N1163" ca="1">IFERROR(INDEX(_xlfn.ANCHORARRAY($C$3),T_CALC[[#This Row],[DAY]]+1,4),NA())</f>
        <v>1.3487</v>
      </c>
      <c r="O1163" cm="1" vm="3713">
        <f t="array" aca="1" ref="O1163" ca="1">IFERROR(INDEX(_xlfn.ANCHORARRAY($C$3),T_CALC[[#This Row],[DAY]]+1,5),NA())</f>
        <v>1.3422000000000001</v>
      </c>
      <c r="P1163" cm="1" vm="3217">
        <f t="array" aca="1" ref="P1163" ca="1">IFERROR(INDEX(_xlfn.ANCHORARRAY($C$3),T_CALC[[#This Row],[DAY]]+1,6),NA())</f>
        <v>1.347</v>
      </c>
      <c r="Q1163" cm="1">
        <f t="array" aca="1" ref="Q1163" ca="1">IFERROR(INDEX(_xlfn.ANCHORARRAY($C$3),T_CALC[[#This Row],[DAY]]+1,2),NA())</f>
        <v>0</v>
      </c>
    </row>
    <row r="1164" spans="3:17">
      <c r="C1164" vm="123">
        <f ca="1"/>
        <v>44384</v>
      </c>
      <c r="D1164">
        <f ca="1"/>
        <v>0</v>
      </c>
      <c r="E1164" vm="2104">
        <f ca="1"/>
        <v>1.3469</v>
      </c>
      <c r="F1164" vm="2267">
        <f ca="1"/>
        <v>1.3498000000000001</v>
      </c>
      <c r="G1164" vm="2125">
        <f ca="1"/>
        <v>1.3451</v>
      </c>
      <c r="H1164" vm="2259">
        <f ca="1"/>
        <v>1.3489</v>
      </c>
      <c r="K1164">
        <f ca="1">IF(ROW(T_CALC[[#This Row],[DAY]])-ROW(T_CALC[[#Headers],[DAY]])&gt;C_N_TRADING_DAYS,"",ROW(T_CALC[[#This Row],[DAY]])-ROW(T_CALC[[#Headers],[DAY]]))</f>
        <v>1161</v>
      </c>
      <c r="L1164" cm="1" vm="123">
        <f t="array" aca="1" ref="L1164" ca="1">IFERROR(INDEX(_xlfn.ANCHORARRAY($C$3),T_CALC[[#This Row],[DAY]]+1,1),NA())</f>
        <v>44384</v>
      </c>
      <c r="M1164" cm="1" vm="2104">
        <f t="array" aca="1" ref="M1164" ca="1">IFERROR(INDEX(_xlfn.ANCHORARRAY($C$3),T_CALC[[#This Row],[DAY]]+1,3),NA())</f>
        <v>1.3469</v>
      </c>
      <c r="N1164" cm="1" vm="2267">
        <f t="array" aca="1" ref="N1164" ca="1">IFERROR(INDEX(_xlfn.ANCHORARRAY($C$3),T_CALC[[#This Row],[DAY]]+1,4),NA())</f>
        <v>1.3498000000000001</v>
      </c>
      <c r="O1164" cm="1" vm="2125">
        <f t="array" aca="1" ref="O1164" ca="1">IFERROR(INDEX(_xlfn.ANCHORARRAY($C$3),T_CALC[[#This Row],[DAY]]+1,5),NA())</f>
        <v>1.3451</v>
      </c>
      <c r="P1164" cm="1" vm="2259">
        <f t="array" aca="1" ref="P1164" ca="1">IFERROR(INDEX(_xlfn.ANCHORARRAY($C$3),T_CALC[[#This Row],[DAY]]+1,6),NA())</f>
        <v>1.3489</v>
      </c>
      <c r="Q1164" cm="1">
        <f t="array" aca="1" ref="Q1164" ca="1">IFERROR(INDEX(_xlfn.ANCHORARRAY($C$3),T_CALC[[#This Row],[DAY]]+1,2),NA())</f>
        <v>0</v>
      </c>
    </row>
    <row r="1165" spans="3:17">
      <c r="C1165" vm="124">
        <f ca="1"/>
        <v>44385</v>
      </c>
      <c r="D1165">
        <f ca="1"/>
        <v>0</v>
      </c>
      <c r="E1165" vm="2135">
        <f ca="1"/>
        <v>1.3486</v>
      </c>
      <c r="F1165" vm="2928">
        <f ca="1"/>
        <v>1.3534999999999999</v>
      </c>
      <c r="G1165" vm="2121">
        <f ca="1"/>
        <v>1.3479000000000001</v>
      </c>
      <c r="H1165" vm="2178">
        <f ca="1"/>
        <v>1.3523000000000001</v>
      </c>
      <c r="K1165">
        <f ca="1">IF(ROW(T_CALC[[#This Row],[DAY]])-ROW(T_CALC[[#Headers],[DAY]])&gt;C_N_TRADING_DAYS,"",ROW(T_CALC[[#This Row],[DAY]])-ROW(T_CALC[[#Headers],[DAY]]))</f>
        <v>1162</v>
      </c>
      <c r="L1165" cm="1" vm="124">
        <f t="array" aca="1" ref="L1165" ca="1">IFERROR(INDEX(_xlfn.ANCHORARRAY($C$3),T_CALC[[#This Row],[DAY]]+1,1),NA())</f>
        <v>44385</v>
      </c>
      <c r="M1165" cm="1" vm="2135">
        <f t="array" aca="1" ref="M1165" ca="1">IFERROR(INDEX(_xlfn.ANCHORARRAY($C$3),T_CALC[[#This Row],[DAY]]+1,3),NA())</f>
        <v>1.3486</v>
      </c>
      <c r="N1165" cm="1" vm="2928">
        <f t="array" aca="1" ref="N1165" ca="1">IFERROR(INDEX(_xlfn.ANCHORARRAY($C$3),T_CALC[[#This Row],[DAY]]+1,4),NA())</f>
        <v>1.3534999999999999</v>
      </c>
      <c r="O1165" cm="1" vm="2121">
        <f t="array" aca="1" ref="O1165" ca="1">IFERROR(INDEX(_xlfn.ANCHORARRAY($C$3),T_CALC[[#This Row],[DAY]]+1,5),NA())</f>
        <v>1.3479000000000001</v>
      </c>
      <c r="P1165" cm="1" vm="2178">
        <f t="array" aca="1" ref="P1165" ca="1">IFERROR(INDEX(_xlfn.ANCHORARRAY($C$3),T_CALC[[#This Row],[DAY]]+1,6),NA())</f>
        <v>1.3523000000000001</v>
      </c>
      <c r="Q1165" cm="1">
        <f t="array" aca="1" ref="Q1165" ca="1">IFERROR(INDEX(_xlfn.ANCHORARRAY($C$3),T_CALC[[#This Row],[DAY]]+1,2),NA())</f>
        <v>0</v>
      </c>
    </row>
    <row r="1166" spans="3:17">
      <c r="C1166" vm="125">
        <f ca="1"/>
        <v>44386</v>
      </c>
      <c r="D1166">
        <f ca="1"/>
        <v>0</v>
      </c>
      <c r="E1166" vm="2178">
        <f ca="1"/>
        <v>1.3523000000000001</v>
      </c>
      <c r="F1166" vm="2185">
        <f ca="1"/>
        <v>1.3552999999999999</v>
      </c>
      <c r="G1166" vm="2071">
        <f ca="1"/>
        <v>1.3502000000000001</v>
      </c>
      <c r="H1166" vm="2184">
        <f ca="1"/>
        <v>1.3505</v>
      </c>
      <c r="K1166">
        <f ca="1">IF(ROW(T_CALC[[#This Row],[DAY]])-ROW(T_CALC[[#Headers],[DAY]])&gt;C_N_TRADING_DAYS,"",ROW(T_CALC[[#This Row],[DAY]])-ROW(T_CALC[[#Headers],[DAY]]))</f>
        <v>1163</v>
      </c>
      <c r="L1166" cm="1" vm="125">
        <f t="array" aca="1" ref="L1166" ca="1">IFERROR(INDEX(_xlfn.ANCHORARRAY($C$3),T_CALC[[#This Row],[DAY]]+1,1),NA())</f>
        <v>44386</v>
      </c>
      <c r="M1166" cm="1" vm="2178">
        <f t="array" aca="1" ref="M1166" ca="1">IFERROR(INDEX(_xlfn.ANCHORARRAY($C$3),T_CALC[[#This Row],[DAY]]+1,3),NA())</f>
        <v>1.3523000000000001</v>
      </c>
      <c r="N1166" cm="1" vm="2185">
        <f t="array" aca="1" ref="N1166" ca="1">IFERROR(INDEX(_xlfn.ANCHORARRAY($C$3),T_CALC[[#This Row],[DAY]]+1,4),NA())</f>
        <v>1.3552999999999999</v>
      </c>
      <c r="O1166" cm="1" vm="2071">
        <f t="array" aca="1" ref="O1166" ca="1">IFERROR(INDEX(_xlfn.ANCHORARRAY($C$3),T_CALC[[#This Row],[DAY]]+1,5),NA())</f>
        <v>1.3502000000000001</v>
      </c>
      <c r="P1166" cm="1" vm="2184">
        <f t="array" aca="1" ref="P1166" ca="1">IFERROR(INDEX(_xlfn.ANCHORARRAY($C$3),T_CALC[[#This Row],[DAY]]+1,6),NA())</f>
        <v>1.3505</v>
      </c>
      <c r="Q1166" cm="1">
        <f t="array" aca="1" ref="Q1166" ca="1">IFERROR(INDEX(_xlfn.ANCHORARRAY($C$3),T_CALC[[#This Row],[DAY]]+1,2),NA())</f>
        <v>0</v>
      </c>
    </row>
    <row r="1167" spans="3:17">
      <c r="C1167" vm="126">
        <f ca="1"/>
        <v>44389</v>
      </c>
      <c r="D1167">
        <f ca="1"/>
        <v>0</v>
      </c>
      <c r="E1167" vm="2094">
        <f ca="1"/>
        <v>1.3508</v>
      </c>
      <c r="F1167" vm="2226">
        <f ca="1"/>
        <v>1.3529</v>
      </c>
      <c r="G1167" vm="2267">
        <f ca="1"/>
        <v>1.3498000000000001</v>
      </c>
      <c r="H1167" vm="2956">
        <f ca="1"/>
        <v>1.3515999999999999</v>
      </c>
      <c r="K1167">
        <f ca="1">IF(ROW(T_CALC[[#This Row],[DAY]])-ROW(T_CALC[[#Headers],[DAY]])&gt;C_N_TRADING_DAYS,"",ROW(T_CALC[[#This Row],[DAY]])-ROW(T_CALC[[#Headers],[DAY]]))</f>
        <v>1164</v>
      </c>
      <c r="L1167" cm="1" vm="126">
        <f t="array" aca="1" ref="L1167" ca="1">IFERROR(INDEX(_xlfn.ANCHORARRAY($C$3),T_CALC[[#This Row],[DAY]]+1,1),NA())</f>
        <v>44389</v>
      </c>
      <c r="M1167" cm="1" vm="2094">
        <f t="array" aca="1" ref="M1167" ca="1">IFERROR(INDEX(_xlfn.ANCHORARRAY($C$3),T_CALC[[#This Row],[DAY]]+1,3),NA())</f>
        <v>1.3508</v>
      </c>
      <c r="N1167" cm="1" vm="2226">
        <f t="array" aca="1" ref="N1167" ca="1">IFERROR(INDEX(_xlfn.ANCHORARRAY($C$3),T_CALC[[#This Row],[DAY]]+1,4),NA())</f>
        <v>1.3529</v>
      </c>
      <c r="O1167" cm="1" vm="2267">
        <f t="array" aca="1" ref="O1167" ca="1">IFERROR(INDEX(_xlfn.ANCHORARRAY($C$3),T_CALC[[#This Row],[DAY]]+1,5),NA())</f>
        <v>1.3498000000000001</v>
      </c>
      <c r="P1167" cm="1" vm="2956">
        <f t="array" aca="1" ref="P1167" ca="1">IFERROR(INDEX(_xlfn.ANCHORARRAY($C$3),T_CALC[[#This Row],[DAY]]+1,6),NA())</f>
        <v>1.3515999999999999</v>
      </c>
      <c r="Q1167" cm="1">
        <f t="array" aca="1" ref="Q1167" ca="1">IFERROR(INDEX(_xlfn.ANCHORARRAY($C$3),T_CALC[[#This Row],[DAY]]+1,2),NA())</f>
        <v>0</v>
      </c>
    </row>
    <row r="1168" spans="3:17">
      <c r="C1168" vm="127">
        <f ca="1"/>
        <v>44390</v>
      </c>
      <c r="D1168">
        <f ca="1"/>
        <v>0</v>
      </c>
      <c r="E1168" vm="2132">
        <f ca="1"/>
        <v>1.3516999999999999</v>
      </c>
      <c r="F1168" vm="2223">
        <f ca="1"/>
        <v>1.3562000000000001</v>
      </c>
      <c r="G1168" vm="3586">
        <f ca="1"/>
        <v>1.3492</v>
      </c>
      <c r="H1168" vm="2077">
        <f ca="1"/>
        <v>1.355</v>
      </c>
      <c r="K1168">
        <f ca="1">IF(ROW(T_CALC[[#This Row],[DAY]])-ROW(T_CALC[[#Headers],[DAY]])&gt;C_N_TRADING_DAYS,"",ROW(T_CALC[[#This Row],[DAY]])-ROW(T_CALC[[#Headers],[DAY]]))</f>
        <v>1165</v>
      </c>
      <c r="L1168" cm="1" vm="127">
        <f t="array" aca="1" ref="L1168" ca="1">IFERROR(INDEX(_xlfn.ANCHORARRAY($C$3),T_CALC[[#This Row],[DAY]]+1,1),NA())</f>
        <v>44390</v>
      </c>
      <c r="M1168" cm="1" vm="2132">
        <f t="array" aca="1" ref="M1168" ca="1">IFERROR(INDEX(_xlfn.ANCHORARRAY($C$3),T_CALC[[#This Row],[DAY]]+1,3),NA())</f>
        <v>1.3516999999999999</v>
      </c>
      <c r="N1168" cm="1" vm="2223">
        <f t="array" aca="1" ref="N1168" ca="1">IFERROR(INDEX(_xlfn.ANCHORARRAY($C$3),T_CALC[[#This Row],[DAY]]+1,4),NA())</f>
        <v>1.3562000000000001</v>
      </c>
      <c r="O1168" cm="1" vm="3586">
        <f t="array" aca="1" ref="O1168" ca="1">IFERROR(INDEX(_xlfn.ANCHORARRAY($C$3),T_CALC[[#This Row],[DAY]]+1,5),NA())</f>
        <v>1.3492</v>
      </c>
      <c r="P1168" cm="1" vm="2077">
        <f t="array" aca="1" ref="P1168" ca="1">IFERROR(INDEX(_xlfn.ANCHORARRAY($C$3),T_CALC[[#This Row],[DAY]]+1,6),NA())</f>
        <v>1.355</v>
      </c>
      <c r="Q1168" cm="1">
        <f t="array" aca="1" ref="Q1168" ca="1">IFERROR(INDEX(_xlfn.ANCHORARRAY($C$3),T_CALC[[#This Row],[DAY]]+1,2),NA())</f>
        <v>0</v>
      </c>
    </row>
    <row r="1169" spans="3:17">
      <c r="C1169" vm="128">
        <f ca="1"/>
        <v>44391</v>
      </c>
      <c r="D1169">
        <f ca="1"/>
        <v>0</v>
      </c>
      <c r="E1169" vm="2062">
        <f ca="1"/>
        <v>1.3553999999999999</v>
      </c>
      <c r="F1169" vm="2183">
        <f ca="1"/>
        <v>1.3577999999999999</v>
      </c>
      <c r="G1169" vm="2178">
        <f ca="1"/>
        <v>1.3523000000000001</v>
      </c>
      <c r="H1169" vm="2067">
        <f ca="1"/>
        <v>1.3533999999999999</v>
      </c>
      <c r="K1169">
        <f ca="1">IF(ROW(T_CALC[[#This Row],[DAY]])-ROW(T_CALC[[#Headers],[DAY]])&gt;C_N_TRADING_DAYS,"",ROW(T_CALC[[#This Row],[DAY]])-ROW(T_CALC[[#Headers],[DAY]]))</f>
        <v>1166</v>
      </c>
      <c r="L1169" cm="1" vm="128">
        <f t="array" aca="1" ref="L1169" ca="1">IFERROR(INDEX(_xlfn.ANCHORARRAY($C$3),T_CALC[[#This Row],[DAY]]+1,1),NA())</f>
        <v>44391</v>
      </c>
      <c r="M1169" cm="1" vm="2062">
        <f t="array" aca="1" ref="M1169" ca="1">IFERROR(INDEX(_xlfn.ANCHORARRAY($C$3),T_CALC[[#This Row],[DAY]]+1,3),NA())</f>
        <v>1.3553999999999999</v>
      </c>
      <c r="N1169" cm="1" vm="2183">
        <f t="array" aca="1" ref="N1169" ca="1">IFERROR(INDEX(_xlfn.ANCHORARRAY($C$3),T_CALC[[#This Row],[DAY]]+1,4),NA())</f>
        <v>1.3577999999999999</v>
      </c>
      <c r="O1169" cm="1" vm="2178">
        <f t="array" aca="1" ref="O1169" ca="1">IFERROR(INDEX(_xlfn.ANCHORARRAY($C$3),T_CALC[[#This Row],[DAY]]+1,5),NA())</f>
        <v>1.3523000000000001</v>
      </c>
      <c r="P1169" cm="1" vm="2067">
        <f t="array" aca="1" ref="P1169" ca="1">IFERROR(INDEX(_xlfn.ANCHORARRAY($C$3),T_CALC[[#This Row],[DAY]]+1,6),NA())</f>
        <v>1.3533999999999999</v>
      </c>
      <c r="Q1169" cm="1">
        <f t="array" aca="1" ref="Q1169" ca="1">IFERROR(INDEX(_xlfn.ANCHORARRAY($C$3),T_CALC[[#This Row],[DAY]]+1,2),NA())</f>
        <v>0</v>
      </c>
    </row>
    <row r="1170" spans="3:17">
      <c r="C1170" vm="129">
        <f ca="1"/>
        <v>44392</v>
      </c>
      <c r="D1170">
        <f ca="1"/>
        <v>0</v>
      </c>
      <c r="E1170" vm="1993">
        <f ca="1"/>
        <v>1.3535999999999999</v>
      </c>
      <c r="F1170" vm="1997">
        <f ca="1"/>
        <v>1.3554999999999999</v>
      </c>
      <c r="G1170" vm="2263">
        <f ca="1"/>
        <v>1.3513999999999999</v>
      </c>
      <c r="H1170" vm="2003">
        <f ca="1"/>
        <v>1.3545</v>
      </c>
      <c r="K1170">
        <f ca="1">IF(ROW(T_CALC[[#This Row],[DAY]])-ROW(T_CALC[[#Headers],[DAY]])&gt;C_N_TRADING_DAYS,"",ROW(T_CALC[[#This Row],[DAY]])-ROW(T_CALC[[#Headers],[DAY]]))</f>
        <v>1167</v>
      </c>
      <c r="L1170" cm="1" vm="129">
        <f t="array" aca="1" ref="L1170" ca="1">IFERROR(INDEX(_xlfn.ANCHORARRAY($C$3),T_CALC[[#This Row],[DAY]]+1,1),NA())</f>
        <v>44392</v>
      </c>
      <c r="M1170" cm="1" vm="1993">
        <f t="array" aca="1" ref="M1170" ca="1">IFERROR(INDEX(_xlfn.ANCHORARRAY($C$3),T_CALC[[#This Row],[DAY]]+1,3),NA())</f>
        <v>1.3535999999999999</v>
      </c>
      <c r="N1170" cm="1" vm="1997">
        <f t="array" aca="1" ref="N1170" ca="1">IFERROR(INDEX(_xlfn.ANCHORARRAY($C$3),T_CALC[[#This Row],[DAY]]+1,4),NA())</f>
        <v>1.3554999999999999</v>
      </c>
      <c r="O1170" cm="1" vm="2263">
        <f t="array" aca="1" ref="O1170" ca="1">IFERROR(INDEX(_xlfn.ANCHORARRAY($C$3),T_CALC[[#This Row],[DAY]]+1,5),NA())</f>
        <v>1.3513999999999999</v>
      </c>
      <c r="P1170" cm="1" vm="2003">
        <f t="array" aca="1" ref="P1170" ca="1">IFERROR(INDEX(_xlfn.ANCHORARRAY($C$3),T_CALC[[#This Row],[DAY]]+1,6),NA())</f>
        <v>1.3545</v>
      </c>
      <c r="Q1170" cm="1">
        <f t="array" aca="1" ref="Q1170" ca="1">IFERROR(INDEX(_xlfn.ANCHORARRAY($C$3),T_CALC[[#This Row],[DAY]]+1,2),NA())</f>
        <v>0</v>
      </c>
    </row>
    <row r="1171" spans="3:17">
      <c r="C1171" vm="130">
        <f ca="1"/>
        <v>44393</v>
      </c>
      <c r="D1171">
        <f ca="1"/>
        <v>0</v>
      </c>
      <c r="E1171" vm="2920">
        <f ca="1"/>
        <v>1.3546</v>
      </c>
      <c r="F1171" vm="2081">
        <f ca="1"/>
        <v>1.3573</v>
      </c>
      <c r="G1171" vm="2226">
        <f ca="1"/>
        <v>1.3529</v>
      </c>
      <c r="H1171" vm="1991">
        <f ca="1"/>
        <v>1.357</v>
      </c>
      <c r="K1171">
        <f ca="1">IF(ROW(T_CALC[[#This Row],[DAY]])-ROW(T_CALC[[#Headers],[DAY]])&gt;C_N_TRADING_DAYS,"",ROW(T_CALC[[#This Row],[DAY]])-ROW(T_CALC[[#Headers],[DAY]]))</f>
        <v>1168</v>
      </c>
      <c r="L1171" cm="1" vm="130">
        <f t="array" aca="1" ref="L1171" ca="1">IFERROR(INDEX(_xlfn.ANCHORARRAY($C$3),T_CALC[[#This Row],[DAY]]+1,1),NA())</f>
        <v>44393</v>
      </c>
      <c r="M1171" cm="1" vm="2920">
        <f t="array" aca="1" ref="M1171" ca="1">IFERROR(INDEX(_xlfn.ANCHORARRAY($C$3),T_CALC[[#This Row],[DAY]]+1,3),NA())</f>
        <v>1.3546</v>
      </c>
      <c r="N1171" cm="1" vm="2081">
        <f t="array" aca="1" ref="N1171" ca="1">IFERROR(INDEX(_xlfn.ANCHORARRAY($C$3),T_CALC[[#This Row],[DAY]]+1,4),NA())</f>
        <v>1.3573</v>
      </c>
      <c r="O1171" cm="1" vm="2226">
        <f t="array" aca="1" ref="O1171" ca="1">IFERROR(INDEX(_xlfn.ANCHORARRAY($C$3),T_CALC[[#This Row],[DAY]]+1,5),NA())</f>
        <v>1.3529</v>
      </c>
      <c r="P1171" cm="1" vm="1991">
        <f t="array" aca="1" ref="P1171" ca="1">IFERROR(INDEX(_xlfn.ANCHORARRAY($C$3),T_CALC[[#This Row],[DAY]]+1,6),NA())</f>
        <v>1.357</v>
      </c>
      <c r="Q1171" cm="1">
        <f t="array" aca="1" ref="Q1171" ca="1">IFERROR(INDEX(_xlfn.ANCHORARRAY($C$3),T_CALC[[#This Row],[DAY]]+1,2),NA())</f>
        <v>0</v>
      </c>
    </row>
    <row r="1172" spans="3:17">
      <c r="C1172" vm="131">
        <f ca="1"/>
        <v>44396</v>
      </c>
      <c r="D1172">
        <f ca="1"/>
        <v>0</v>
      </c>
      <c r="E1172" vm="2230">
        <f ca="1"/>
        <v>1.3567</v>
      </c>
      <c r="F1172" vm="2711">
        <f ca="1"/>
        <v>1.3649</v>
      </c>
      <c r="G1172" vm="2225">
        <f ca="1"/>
        <v>1.3561000000000001</v>
      </c>
      <c r="H1172" vm="2168">
        <f ca="1"/>
        <v>1.3631</v>
      </c>
      <c r="K1172">
        <f ca="1">IF(ROW(T_CALC[[#This Row],[DAY]])-ROW(T_CALC[[#Headers],[DAY]])&gt;C_N_TRADING_DAYS,"",ROW(T_CALC[[#This Row],[DAY]])-ROW(T_CALC[[#Headers],[DAY]]))</f>
        <v>1169</v>
      </c>
      <c r="L1172" cm="1" vm="131">
        <f t="array" aca="1" ref="L1172" ca="1">IFERROR(INDEX(_xlfn.ANCHORARRAY($C$3),T_CALC[[#This Row],[DAY]]+1,1),NA())</f>
        <v>44396</v>
      </c>
      <c r="M1172" cm="1" vm="2230">
        <f t="array" aca="1" ref="M1172" ca="1">IFERROR(INDEX(_xlfn.ANCHORARRAY($C$3),T_CALC[[#This Row],[DAY]]+1,3),NA())</f>
        <v>1.3567</v>
      </c>
      <c r="N1172" cm="1" vm="2711">
        <f t="array" aca="1" ref="N1172" ca="1">IFERROR(INDEX(_xlfn.ANCHORARRAY($C$3),T_CALC[[#This Row],[DAY]]+1,4),NA())</f>
        <v>1.3649</v>
      </c>
      <c r="O1172" cm="1" vm="2225">
        <f t="array" aca="1" ref="O1172" ca="1">IFERROR(INDEX(_xlfn.ANCHORARRAY($C$3),T_CALC[[#This Row],[DAY]]+1,5),NA())</f>
        <v>1.3561000000000001</v>
      </c>
      <c r="P1172" cm="1" vm="2168">
        <f t="array" aca="1" ref="P1172" ca="1">IFERROR(INDEX(_xlfn.ANCHORARRAY($C$3),T_CALC[[#This Row],[DAY]]+1,6),NA())</f>
        <v>1.3631</v>
      </c>
      <c r="Q1172" cm="1">
        <f t="array" aca="1" ref="Q1172" ca="1">IFERROR(INDEX(_xlfn.ANCHORARRAY($C$3),T_CALC[[#This Row],[DAY]]+1,2),NA())</f>
        <v>0</v>
      </c>
    </row>
    <row r="1173" spans="3:17">
      <c r="C1173" vm="132">
        <f ca="1"/>
        <v>44397</v>
      </c>
      <c r="D1173">
        <f ca="1"/>
        <v>0</v>
      </c>
      <c r="E1173" vm="2675">
        <f ca="1"/>
        <v>1.3627</v>
      </c>
      <c r="F1173" vm="2889">
        <f ca="1"/>
        <v>1.3692</v>
      </c>
      <c r="G1173" vm="1975">
        <f ca="1"/>
        <v>1.3621000000000001</v>
      </c>
      <c r="H1173" vm="2702">
        <f ca="1"/>
        <v>1.365</v>
      </c>
      <c r="K1173">
        <f ca="1">IF(ROW(T_CALC[[#This Row],[DAY]])-ROW(T_CALC[[#Headers],[DAY]])&gt;C_N_TRADING_DAYS,"",ROW(T_CALC[[#This Row],[DAY]])-ROW(T_CALC[[#Headers],[DAY]]))</f>
        <v>1170</v>
      </c>
      <c r="L1173" cm="1" vm="132">
        <f t="array" aca="1" ref="L1173" ca="1">IFERROR(INDEX(_xlfn.ANCHORARRAY($C$3),T_CALC[[#This Row],[DAY]]+1,1),NA())</f>
        <v>44397</v>
      </c>
      <c r="M1173" cm="1" vm="2675">
        <f t="array" aca="1" ref="M1173" ca="1">IFERROR(INDEX(_xlfn.ANCHORARRAY($C$3),T_CALC[[#This Row],[DAY]]+1,3),NA())</f>
        <v>1.3627</v>
      </c>
      <c r="N1173" cm="1" vm="2889">
        <f t="array" aca="1" ref="N1173" ca="1">IFERROR(INDEX(_xlfn.ANCHORARRAY($C$3),T_CALC[[#This Row],[DAY]]+1,4),NA())</f>
        <v>1.3692</v>
      </c>
      <c r="O1173" cm="1" vm="1975">
        <f t="array" aca="1" ref="O1173" ca="1">IFERROR(INDEX(_xlfn.ANCHORARRAY($C$3),T_CALC[[#This Row],[DAY]]+1,5),NA())</f>
        <v>1.3621000000000001</v>
      </c>
      <c r="P1173" cm="1" vm="2702">
        <f t="array" aca="1" ref="P1173" ca="1">IFERROR(INDEX(_xlfn.ANCHORARRAY($C$3),T_CALC[[#This Row],[DAY]]+1,6),NA())</f>
        <v>1.365</v>
      </c>
      <c r="Q1173" cm="1">
        <f t="array" aca="1" ref="Q1173" ca="1">IFERROR(INDEX(_xlfn.ANCHORARRAY($C$3),T_CALC[[#This Row],[DAY]]+1,2),NA())</f>
        <v>0</v>
      </c>
    </row>
    <row r="1174" spans="3:17">
      <c r="C1174" vm="133">
        <f ca="1"/>
        <v>44398</v>
      </c>
      <c r="D1174">
        <f ca="1"/>
        <v>0</v>
      </c>
      <c r="E1174" vm="2702">
        <f ca="1"/>
        <v>1.365</v>
      </c>
      <c r="F1174" vm="2680">
        <f ca="1"/>
        <v>1.3687</v>
      </c>
      <c r="G1174" vm="2048">
        <f ca="1"/>
        <v>1.3628</v>
      </c>
      <c r="H1174" vm="1977">
        <f ca="1"/>
        <v>1.3633999999999999</v>
      </c>
      <c r="K1174">
        <f ca="1">IF(ROW(T_CALC[[#This Row],[DAY]])-ROW(T_CALC[[#Headers],[DAY]])&gt;C_N_TRADING_DAYS,"",ROW(T_CALC[[#This Row],[DAY]])-ROW(T_CALC[[#Headers],[DAY]]))</f>
        <v>1171</v>
      </c>
      <c r="L1174" cm="1" vm="133">
        <f t="array" aca="1" ref="L1174" ca="1">IFERROR(INDEX(_xlfn.ANCHORARRAY($C$3),T_CALC[[#This Row],[DAY]]+1,1),NA())</f>
        <v>44398</v>
      </c>
      <c r="M1174" cm="1" vm="2702">
        <f t="array" aca="1" ref="M1174" ca="1">IFERROR(INDEX(_xlfn.ANCHORARRAY($C$3),T_CALC[[#This Row],[DAY]]+1,3),NA())</f>
        <v>1.365</v>
      </c>
      <c r="N1174" cm="1" vm="2680">
        <f t="array" aca="1" ref="N1174" ca="1">IFERROR(INDEX(_xlfn.ANCHORARRAY($C$3),T_CALC[[#This Row],[DAY]]+1,4),NA())</f>
        <v>1.3687</v>
      </c>
      <c r="O1174" cm="1" vm="2048">
        <f t="array" aca="1" ref="O1174" ca="1">IFERROR(INDEX(_xlfn.ANCHORARRAY($C$3),T_CALC[[#This Row],[DAY]]+1,5),NA())</f>
        <v>1.3628</v>
      </c>
      <c r="P1174" cm="1" vm="1977">
        <f t="array" aca="1" ref="P1174" ca="1">IFERROR(INDEX(_xlfn.ANCHORARRAY($C$3),T_CALC[[#This Row],[DAY]]+1,6),NA())</f>
        <v>1.3633999999999999</v>
      </c>
      <c r="Q1174" cm="1">
        <f t="array" aca="1" ref="Q1174" ca="1">IFERROR(INDEX(_xlfn.ANCHORARRAY($C$3),T_CALC[[#This Row],[DAY]]+1,2),NA())</f>
        <v>0</v>
      </c>
    </row>
    <row r="1175" spans="3:17">
      <c r="C1175" vm="134">
        <f ca="1"/>
        <v>44399</v>
      </c>
      <c r="D1175">
        <f ca="1"/>
        <v>0</v>
      </c>
      <c r="E1175" vm="1982">
        <f ca="1"/>
        <v>1.3633</v>
      </c>
      <c r="F1175" vm="2029">
        <f ca="1"/>
        <v>1.3647</v>
      </c>
      <c r="G1175" vm="2183">
        <f ca="1"/>
        <v>1.3577999999999999</v>
      </c>
      <c r="H1175" vm="2714">
        <f ca="1"/>
        <v>1.3595999999999999</v>
      </c>
      <c r="K1175">
        <f ca="1">IF(ROW(T_CALC[[#This Row],[DAY]])-ROW(T_CALC[[#Headers],[DAY]])&gt;C_N_TRADING_DAYS,"",ROW(T_CALC[[#This Row],[DAY]])-ROW(T_CALC[[#Headers],[DAY]]))</f>
        <v>1172</v>
      </c>
      <c r="L1175" cm="1" vm="134">
        <f t="array" aca="1" ref="L1175" ca="1">IFERROR(INDEX(_xlfn.ANCHORARRAY($C$3),T_CALC[[#This Row],[DAY]]+1,1),NA())</f>
        <v>44399</v>
      </c>
      <c r="M1175" cm="1" vm="1982">
        <f t="array" aca="1" ref="M1175" ca="1">IFERROR(INDEX(_xlfn.ANCHORARRAY($C$3),T_CALC[[#This Row],[DAY]]+1,3),NA())</f>
        <v>1.3633</v>
      </c>
      <c r="N1175" cm="1" vm="2029">
        <f t="array" aca="1" ref="N1175" ca="1">IFERROR(INDEX(_xlfn.ANCHORARRAY($C$3),T_CALC[[#This Row],[DAY]]+1,4),NA())</f>
        <v>1.3647</v>
      </c>
      <c r="O1175" cm="1" vm="2183">
        <f t="array" aca="1" ref="O1175" ca="1">IFERROR(INDEX(_xlfn.ANCHORARRAY($C$3),T_CALC[[#This Row],[DAY]]+1,5),NA())</f>
        <v>1.3577999999999999</v>
      </c>
      <c r="P1175" cm="1" vm="2714">
        <f t="array" aca="1" ref="P1175" ca="1">IFERROR(INDEX(_xlfn.ANCHORARRAY($C$3),T_CALC[[#This Row],[DAY]]+1,6),NA())</f>
        <v>1.3595999999999999</v>
      </c>
      <c r="Q1175" cm="1">
        <f t="array" aca="1" ref="Q1175" ca="1">IFERROR(INDEX(_xlfn.ANCHORARRAY($C$3),T_CALC[[#This Row],[DAY]]+1,2),NA())</f>
        <v>0</v>
      </c>
    </row>
    <row r="1176" spans="3:17">
      <c r="C1176" vm="135">
        <f ca="1"/>
        <v>44400</v>
      </c>
      <c r="D1176">
        <f ca="1"/>
        <v>0</v>
      </c>
      <c r="E1176" vm="2221">
        <f ca="1"/>
        <v>1.3589</v>
      </c>
      <c r="F1176" vm="2011">
        <f ca="1"/>
        <v>1.3611</v>
      </c>
      <c r="G1176" vm="2223">
        <f ca="1"/>
        <v>1.3562000000000001</v>
      </c>
      <c r="H1176" vm="2216">
        <f ca="1"/>
        <v>1.36</v>
      </c>
      <c r="K1176">
        <f ca="1">IF(ROW(T_CALC[[#This Row],[DAY]])-ROW(T_CALC[[#Headers],[DAY]])&gt;C_N_TRADING_DAYS,"",ROW(T_CALC[[#This Row],[DAY]])-ROW(T_CALC[[#Headers],[DAY]]))</f>
        <v>1173</v>
      </c>
      <c r="L1176" cm="1" vm="135">
        <f t="array" aca="1" ref="L1176" ca="1">IFERROR(INDEX(_xlfn.ANCHORARRAY($C$3),T_CALC[[#This Row],[DAY]]+1,1),NA())</f>
        <v>44400</v>
      </c>
      <c r="M1176" cm="1" vm="2221">
        <f t="array" aca="1" ref="M1176" ca="1">IFERROR(INDEX(_xlfn.ANCHORARRAY($C$3),T_CALC[[#This Row],[DAY]]+1,3),NA())</f>
        <v>1.3589</v>
      </c>
      <c r="N1176" cm="1" vm="2011">
        <f t="array" aca="1" ref="N1176" ca="1">IFERROR(INDEX(_xlfn.ANCHORARRAY($C$3),T_CALC[[#This Row],[DAY]]+1,4),NA())</f>
        <v>1.3611</v>
      </c>
      <c r="O1176" cm="1" vm="2223">
        <f t="array" aca="1" ref="O1176" ca="1">IFERROR(INDEX(_xlfn.ANCHORARRAY($C$3),T_CALC[[#This Row],[DAY]]+1,5),NA())</f>
        <v>1.3562000000000001</v>
      </c>
      <c r="P1176" cm="1" vm="2216">
        <f t="array" aca="1" ref="P1176" ca="1">IFERROR(INDEX(_xlfn.ANCHORARRAY($C$3),T_CALC[[#This Row],[DAY]]+1,6),NA())</f>
        <v>1.36</v>
      </c>
      <c r="Q1176" cm="1">
        <f t="array" aca="1" ref="Q1176" ca="1">IFERROR(INDEX(_xlfn.ANCHORARRAY($C$3),T_CALC[[#This Row],[DAY]]+1,2),NA())</f>
        <v>0</v>
      </c>
    </row>
    <row r="1177" spans="3:17">
      <c r="C1177" vm="136">
        <f ca="1"/>
        <v>44403</v>
      </c>
      <c r="D1177">
        <f ca="1"/>
        <v>0</v>
      </c>
      <c r="E1177" vm="2667">
        <f ca="1"/>
        <v>1.3599000000000001</v>
      </c>
      <c r="F1177" vm="1984">
        <f ca="1"/>
        <v>1.3620000000000001</v>
      </c>
      <c r="G1177" vm="2081">
        <f ca="1"/>
        <v>1.3573</v>
      </c>
      <c r="H1177" vm="2038">
        <f ca="1"/>
        <v>1.3582000000000001</v>
      </c>
      <c r="K1177">
        <f ca="1">IF(ROW(T_CALC[[#This Row],[DAY]])-ROW(T_CALC[[#Headers],[DAY]])&gt;C_N_TRADING_DAYS,"",ROW(T_CALC[[#This Row],[DAY]])-ROW(T_CALC[[#Headers],[DAY]]))</f>
        <v>1174</v>
      </c>
      <c r="L1177" cm="1" vm="136">
        <f t="array" aca="1" ref="L1177" ca="1">IFERROR(INDEX(_xlfn.ANCHORARRAY($C$3),T_CALC[[#This Row],[DAY]]+1,1),NA())</f>
        <v>44403</v>
      </c>
      <c r="M1177" cm="1" vm="2667">
        <f t="array" aca="1" ref="M1177" ca="1">IFERROR(INDEX(_xlfn.ANCHORARRAY($C$3),T_CALC[[#This Row],[DAY]]+1,3),NA())</f>
        <v>1.3599000000000001</v>
      </c>
      <c r="N1177" cm="1" vm="1984">
        <f t="array" aca="1" ref="N1177" ca="1">IFERROR(INDEX(_xlfn.ANCHORARRAY($C$3),T_CALC[[#This Row],[DAY]]+1,4),NA())</f>
        <v>1.3620000000000001</v>
      </c>
      <c r="O1177" cm="1" vm="2081">
        <f t="array" aca="1" ref="O1177" ca="1">IFERROR(INDEX(_xlfn.ANCHORARRAY($C$3),T_CALC[[#This Row],[DAY]]+1,5),NA())</f>
        <v>1.3573</v>
      </c>
      <c r="P1177" cm="1" vm="2038">
        <f t="array" aca="1" ref="P1177" ca="1">IFERROR(INDEX(_xlfn.ANCHORARRAY($C$3),T_CALC[[#This Row],[DAY]]+1,6),NA())</f>
        <v>1.3582000000000001</v>
      </c>
      <c r="Q1177" cm="1">
        <f t="array" aca="1" ref="Q1177" ca="1">IFERROR(INDEX(_xlfn.ANCHORARRAY($C$3),T_CALC[[#This Row],[DAY]]+1,2),NA())</f>
        <v>0</v>
      </c>
    </row>
    <row r="1178" spans="3:17">
      <c r="C1178" vm="137">
        <f ca="1"/>
        <v>44404</v>
      </c>
      <c r="D1178">
        <f ca="1"/>
        <v>0</v>
      </c>
      <c r="E1178" vm="2038">
        <f ca="1"/>
        <v>1.3582000000000001</v>
      </c>
      <c r="F1178" vm="2060">
        <f ca="1"/>
        <v>1.3616999999999999</v>
      </c>
      <c r="G1178" vm="2070">
        <f ca="1"/>
        <v>1.3563000000000001</v>
      </c>
      <c r="H1178" vm="2667">
        <f ca="1"/>
        <v>1.3599000000000001</v>
      </c>
      <c r="K1178">
        <f ca="1">IF(ROW(T_CALC[[#This Row],[DAY]])-ROW(T_CALC[[#Headers],[DAY]])&gt;C_N_TRADING_DAYS,"",ROW(T_CALC[[#This Row],[DAY]])-ROW(T_CALC[[#Headers],[DAY]]))</f>
        <v>1175</v>
      </c>
      <c r="L1178" cm="1" vm="137">
        <f t="array" aca="1" ref="L1178" ca="1">IFERROR(INDEX(_xlfn.ANCHORARRAY($C$3),T_CALC[[#This Row],[DAY]]+1,1),NA())</f>
        <v>44404</v>
      </c>
      <c r="M1178" cm="1" vm="2038">
        <f t="array" aca="1" ref="M1178" ca="1">IFERROR(INDEX(_xlfn.ANCHORARRAY($C$3),T_CALC[[#This Row],[DAY]]+1,3),NA())</f>
        <v>1.3582000000000001</v>
      </c>
      <c r="N1178" cm="1" vm="2060">
        <f t="array" aca="1" ref="N1178" ca="1">IFERROR(INDEX(_xlfn.ANCHORARRAY($C$3),T_CALC[[#This Row],[DAY]]+1,4),NA())</f>
        <v>1.3616999999999999</v>
      </c>
      <c r="O1178" cm="1" vm="2070">
        <f t="array" aca="1" ref="O1178" ca="1">IFERROR(INDEX(_xlfn.ANCHORARRAY($C$3),T_CALC[[#This Row],[DAY]]+1,5),NA())</f>
        <v>1.3563000000000001</v>
      </c>
      <c r="P1178" cm="1" vm="2667">
        <f t="array" aca="1" ref="P1178" ca="1">IFERROR(INDEX(_xlfn.ANCHORARRAY($C$3),T_CALC[[#This Row],[DAY]]+1,6),NA())</f>
        <v>1.3599000000000001</v>
      </c>
      <c r="Q1178" cm="1">
        <f t="array" aca="1" ref="Q1178" ca="1">IFERROR(INDEX(_xlfn.ANCHORARRAY($C$3),T_CALC[[#This Row],[DAY]]+1,2),NA())</f>
        <v>0</v>
      </c>
    </row>
    <row r="1179" spans="3:17">
      <c r="C1179" vm="138">
        <f ca="1"/>
        <v>44405</v>
      </c>
      <c r="D1179">
        <f ca="1"/>
        <v>0</v>
      </c>
      <c r="E1179" vm="2218">
        <f ca="1"/>
        <v>1.3596999999999999</v>
      </c>
      <c r="F1179" vm="2060">
        <f ca="1"/>
        <v>1.3616999999999999</v>
      </c>
      <c r="G1179" vm="2170">
        <f ca="1"/>
        <v>1.3559000000000001</v>
      </c>
      <c r="H1179" vm="2170">
        <f ca="1"/>
        <v>1.3559000000000001</v>
      </c>
      <c r="K1179">
        <f ca="1">IF(ROW(T_CALC[[#This Row],[DAY]])-ROW(T_CALC[[#Headers],[DAY]])&gt;C_N_TRADING_DAYS,"",ROW(T_CALC[[#This Row],[DAY]])-ROW(T_CALC[[#Headers],[DAY]]))</f>
        <v>1176</v>
      </c>
      <c r="L1179" cm="1" vm="138">
        <f t="array" aca="1" ref="L1179" ca="1">IFERROR(INDEX(_xlfn.ANCHORARRAY($C$3),T_CALC[[#This Row],[DAY]]+1,1),NA())</f>
        <v>44405</v>
      </c>
      <c r="M1179" cm="1" vm="2218">
        <f t="array" aca="1" ref="M1179" ca="1">IFERROR(INDEX(_xlfn.ANCHORARRAY($C$3),T_CALC[[#This Row],[DAY]]+1,3),NA())</f>
        <v>1.3596999999999999</v>
      </c>
      <c r="N1179" cm="1" vm="2060">
        <f t="array" aca="1" ref="N1179" ca="1">IFERROR(INDEX(_xlfn.ANCHORARRAY($C$3),T_CALC[[#This Row],[DAY]]+1,4),NA())</f>
        <v>1.3616999999999999</v>
      </c>
      <c r="O1179" cm="1" vm="2170">
        <f t="array" aca="1" ref="O1179" ca="1">IFERROR(INDEX(_xlfn.ANCHORARRAY($C$3),T_CALC[[#This Row],[DAY]]+1,5),NA())</f>
        <v>1.3559000000000001</v>
      </c>
      <c r="P1179" cm="1" vm="2170">
        <f t="array" aca="1" ref="P1179" ca="1">IFERROR(INDEX(_xlfn.ANCHORARRAY($C$3),T_CALC[[#This Row],[DAY]]+1,6),NA())</f>
        <v>1.3559000000000001</v>
      </c>
      <c r="Q1179" cm="1">
        <f t="array" aca="1" ref="Q1179" ca="1">IFERROR(INDEX(_xlfn.ANCHORARRAY($C$3),T_CALC[[#This Row],[DAY]]+1,2),NA())</f>
        <v>0</v>
      </c>
    </row>
    <row r="1180" spans="3:17">
      <c r="C1180" vm="139">
        <f ca="1"/>
        <v>44406</v>
      </c>
      <c r="D1180">
        <f ca="1"/>
        <v>0</v>
      </c>
      <c r="E1180" vm="2916">
        <f ca="1"/>
        <v>1.3560000000000001</v>
      </c>
      <c r="F1180" vm="1989">
        <f ca="1"/>
        <v>1.3571</v>
      </c>
      <c r="G1180" vm="2132">
        <f ca="1"/>
        <v>1.3516999999999999</v>
      </c>
      <c r="H1180" vm="2066">
        <f ca="1"/>
        <v>1.3524</v>
      </c>
      <c r="K1180">
        <f ca="1">IF(ROW(T_CALC[[#This Row],[DAY]])-ROW(T_CALC[[#Headers],[DAY]])&gt;C_N_TRADING_DAYS,"",ROW(T_CALC[[#This Row],[DAY]])-ROW(T_CALC[[#Headers],[DAY]]))</f>
        <v>1177</v>
      </c>
      <c r="L1180" cm="1" vm="139">
        <f t="array" aca="1" ref="L1180" ca="1">IFERROR(INDEX(_xlfn.ANCHORARRAY($C$3),T_CALC[[#This Row],[DAY]]+1,1),NA())</f>
        <v>44406</v>
      </c>
      <c r="M1180" cm="1" vm="2916">
        <f t="array" aca="1" ref="M1180" ca="1">IFERROR(INDEX(_xlfn.ANCHORARRAY($C$3),T_CALC[[#This Row],[DAY]]+1,3),NA())</f>
        <v>1.3560000000000001</v>
      </c>
      <c r="N1180" cm="1" vm="1989">
        <f t="array" aca="1" ref="N1180" ca="1">IFERROR(INDEX(_xlfn.ANCHORARRAY($C$3),T_CALC[[#This Row],[DAY]]+1,4),NA())</f>
        <v>1.3571</v>
      </c>
      <c r="O1180" cm="1" vm="2132">
        <f t="array" aca="1" ref="O1180" ca="1">IFERROR(INDEX(_xlfn.ANCHORARRAY($C$3),T_CALC[[#This Row],[DAY]]+1,5),NA())</f>
        <v>1.3516999999999999</v>
      </c>
      <c r="P1180" cm="1" vm="2066">
        <f t="array" aca="1" ref="P1180" ca="1">IFERROR(INDEX(_xlfn.ANCHORARRAY($C$3),T_CALC[[#This Row],[DAY]]+1,6),NA())</f>
        <v>1.3524</v>
      </c>
      <c r="Q1180" cm="1">
        <f t="array" aca="1" ref="Q1180" ca="1">IFERROR(INDEX(_xlfn.ANCHORARRAY($C$3),T_CALC[[#This Row],[DAY]]+1,2),NA())</f>
        <v>0</v>
      </c>
    </row>
    <row r="1181" spans="3:17">
      <c r="C1181" vm="140">
        <f ca="1"/>
        <v>44407</v>
      </c>
      <c r="D1181">
        <f ca="1"/>
        <v>0</v>
      </c>
      <c r="E1181" vm="2066">
        <f ca="1"/>
        <v>1.3524</v>
      </c>
      <c r="F1181" vm="1997">
        <f ca="1"/>
        <v>1.3554999999999999</v>
      </c>
      <c r="G1181" vm="2666">
        <f ca="1"/>
        <v>1.3511</v>
      </c>
      <c r="H1181" vm="2228">
        <f ca="1"/>
        <v>1.3539000000000001</v>
      </c>
      <c r="K1181">
        <f ca="1">IF(ROW(T_CALC[[#This Row],[DAY]])-ROW(T_CALC[[#Headers],[DAY]])&gt;C_N_TRADING_DAYS,"",ROW(T_CALC[[#This Row],[DAY]])-ROW(T_CALC[[#Headers],[DAY]]))</f>
        <v>1178</v>
      </c>
      <c r="L1181" cm="1" vm="140">
        <f t="array" aca="1" ref="L1181" ca="1">IFERROR(INDEX(_xlfn.ANCHORARRAY($C$3),T_CALC[[#This Row],[DAY]]+1,1),NA())</f>
        <v>44407</v>
      </c>
      <c r="M1181" cm="1" vm="2066">
        <f t="array" aca="1" ref="M1181" ca="1">IFERROR(INDEX(_xlfn.ANCHORARRAY($C$3),T_CALC[[#This Row],[DAY]]+1,3),NA())</f>
        <v>1.3524</v>
      </c>
      <c r="N1181" cm="1" vm="1997">
        <f t="array" aca="1" ref="N1181" ca="1">IFERROR(INDEX(_xlfn.ANCHORARRAY($C$3),T_CALC[[#This Row],[DAY]]+1,4),NA())</f>
        <v>1.3554999999999999</v>
      </c>
      <c r="O1181" cm="1" vm="2666">
        <f t="array" aca="1" ref="O1181" ca="1">IFERROR(INDEX(_xlfn.ANCHORARRAY($C$3),T_CALC[[#This Row],[DAY]]+1,5),NA())</f>
        <v>1.3511</v>
      </c>
      <c r="P1181" cm="1" vm="2228">
        <f t="array" aca="1" ref="P1181" ca="1">IFERROR(INDEX(_xlfn.ANCHORARRAY($C$3),T_CALC[[#This Row],[DAY]]+1,6),NA())</f>
        <v>1.3539000000000001</v>
      </c>
      <c r="Q1181" cm="1">
        <f t="array" aca="1" ref="Q1181" ca="1">IFERROR(INDEX(_xlfn.ANCHORARRAY($C$3),T_CALC[[#This Row],[DAY]]+1,2),NA())</f>
        <v>0</v>
      </c>
    </row>
    <row r="1182" spans="3:17">
      <c r="C1182" vm="141">
        <f ca="1"/>
        <v>44410</v>
      </c>
      <c r="D1182">
        <f ca="1"/>
        <v>0</v>
      </c>
      <c r="E1182" vm="1993">
        <f ca="1"/>
        <v>1.3535999999999999</v>
      </c>
      <c r="F1182" vm="2017">
        <f ca="1"/>
        <v>1.3549</v>
      </c>
      <c r="G1182" vm="2094">
        <f ca="1"/>
        <v>1.3508</v>
      </c>
      <c r="H1182" vm="2073">
        <f ca="1"/>
        <v>1.3532</v>
      </c>
      <c r="K1182">
        <f ca="1">IF(ROW(T_CALC[[#This Row],[DAY]])-ROW(T_CALC[[#Headers],[DAY]])&gt;C_N_TRADING_DAYS,"",ROW(T_CALC[[#This Row],[DAY]])-ROW(T_CALC[[#Headers],[DAY]]))</f>
        <v>1179</v>
      </c>
      <c r="L1182" cm="1" vm="141">
        <f t="array" aca="1" ref="L1182" ca="1">IFERROR(INDEX(_xlfn.ANCHORARRAY($C$3),T_CALC[[#This Row],[DAY]]+1,1),NA())</f>
        <v>44410</v>
      </c>
      <c r="M1182" cm="1" vm="1993">
        <f t="array" aca="1" ref="M1182" ca="1">IFERROR(INDEX(_xlfn.ANCHORARRAY($C$3),T_CALC[[#This Row],[DAY]]+1,3),NA())</f>
        <v>1.3535999999999999</v>
      </c>
      <c r="N1182" cm="1" vm="2017">
        <f t="array" aca="1" ref="N1182" ca="1">IFERROR(INDEX(_xlfn.ANCHORARRAY($C$3),T_CALC[[#This Row],[DAY]]+1,4),NA())</f>
        <v>1.3549</v>
      </c>
      <c r="O1182" cm="1" vm="2094">
        <f t="array" aca="1" ref="O1182" ca="1">IFERROR(INDEX(_xlfn.ANCHORARRAY($C$3),T_CALC[[#This Row],[DAY]]+1,5),NA())</f>
        <v>1.3508</v>
      </c>
      <c r="P1182" cm="1" vm="2073">
        <f t="array" aca="1" ref="P1182" ca="1">IFERROR(INDEX(_xlfn.ANCHORARRAY($C$3),T_CALC[[#This Row],[DAY]]+1,6),NA())</f>
        <v>1.3532</v>
      </c>
      <c r="Q1182" cm="1">
        <f t="array" aca="1" ref="Q1182" ca="1">IFERROR(INDEX(_xlfn.ANCHORARRAY($C$3),T_CALC[[#This Row],[DAY]]+1,2),NA())</f>
        <v>0</v>
      </c>
    </row>
    <row r="1183" spans="3:17">
      <c r="C1183" vm="142">
        <f ca="1"/>
        <v>44411</v>
      </c>
      <c r="D1183">
        <f ca="1"/>
        <v>0</v>
      </c>
      <c r="E1183" vm="2671">
        <f ca="1"/>
        <v>1.3531</v>
      </c>
      <c r="F1183" vm="2136">
        <f ca="1"/>
        <v>1.3532999999999999</v>
      </c>
      <c r="G1183" vm="2080">
        <f ca="1"/>
        <v>1.3501000000000001</v>
      </c>
      <c r="H1183" vm="2145">
        <f ca="1"/>
        <v>1.3512</v>
      </c>
      <c r="K1183">
        <f ca="1">IF(ROW(T_CALC[[#This Row],[DAY]])-ROW(T_CALC[[#Headers],[DAY]])&gt;C_N_TRADING_DAYS,"",ROW(T_CALC[[#This Row],[DAY]])-ROW(T_CALC[[#Headers],[DAY]]))</f>
        <v>1180</v>
      </c>
      <c r="L1183" cm="1" vm="142">
        <f t="array" aca="1" ref="L1183" ca="1">IFERROR(INDEX(_xlfn.ANCHORARRAY($C$3),T_CALC[[#This Row],[DAY]]+1,1),NA())</f>
        <v>44411</v>
      </c>
      <c r="M1183" cm="1" vm="2671">
        <f t="array" aca="1" ref="M1183" ca="1">IFERROR(INDEX(_xlfn.ANCHORARRAY($C$3),T_CALC[[#This Row],[DAY]]+1,3),NA())</f>
        <v>1.3531</v>
      </c>
      <c r="N1183" cm="1" vm="2136">
        <f t="array" aca="1" ref="N1183" ca="1">IFERROR(INDEX(_xlfn.ANCHORARRAY($C$3),T_CALC[[#This Row],[DAY]]+1,4),NA())</f>
        <v>1.3532999999999999</v>
      </c>
      <c r="O1183" cm="1" vm="2080">
        <f t="array" aca="1" ref="O1183" ca="1">IFERROR(INDEX(_xlfn.ANCHORARRAY($C$3),T_CALC[[#This Row],[DAY]]+1,5),NA())</f>
        <v>1.3501000000000001</v>
      </c>
      <c r="P1183" cm="1" vm="2145">
        <f t="array" aca="1" ref="P1183" ca="1">IFERROR(INDEX(_xlfn.ANCHORARRAY($C$3),T_CALC[[#This Row],[DAY]]+1,6),NA())</f>
        <v>1.3512</v>
      </c>
      <c r="Q1183" cm="1">
        <f t="array" aca="1" ref="Q1183" ca="1">IFERROR(INDEX(_xlfn.ANCHORARRAY($C$3),T_CALC[[#This Row],[DAY]]+1,2),NA())</f>
        <v>0</v>
      </c>
    </row>
    <row r="1184" spans="3:17">
      <c r="C1184" vm="143">
        <f ca="1"/>
        <v>44412</v>
      </c>
      <c r="D1184">
        <f ca="1"/>
        <v>0</v>
      </c>
      <c r="E1184" vm="2145">
        <f ca="1"/>
        <v>1.3512</v>
      </c>
      <c r="F1184" vm="2265">
        <f ca="1"/>
        <v>1.3520000000000001</v>
      </c>
      <c r="G1184" vm="3217">
        <f ca="1"/>
        <v>1.347</v>
      </c>
      <c r="H1184" vm="2094">
        <f ca="1"/>
        <v>1.3508</v>
      </c>
      <c r="K1184">
        <f ca="1">IF(ROW(T_CALC[[#This Row],[DAY]])-ROW(T_CALC[[#Headers],[DAY]])&gt;C_N_TRADING_DAYS,"",ROW(T_CALC[[#This Row],[DAY]])-ROW(T_CALC[[#Headers],[DAY]]))</f>
        <v>1181</v>
      </c>
      <c r="L1184" cm="1" vm="143">
        <f t="array" aca="1" ref="L1184" ca="1">IFERROR(INDEX(_xlfn.ANCHORARRAY($C$3),T_CALC[[#This Row],[DAY]]+1,1),NA())</f>
        <v>44412</v>
      </c>
      <c r="M1184" cm="1" vm="2145">
        <f t="array" aca="1" ref="M1184" ca="1">IFERROR(INDEX(_xlfn.ANCHORARRAY($C$3),T_CALC[[#This Row],[DAY]]+1,3),NA())</f>
        <v>1.3512</v>
      </c>
      <c r="N1184" cm="1" vm="2265">
        <f t="array" aca="1" ref="N1184" ca="1">IFERROR(INDEX(_xlfn.ANCHORARRAY($C$3),T_CALC[[#This Row],[DAY]]+1,4),NA())</f>
        <v>1.3520000000000001</v>
      </c>
      <c r="O1184" cm="1" vm="3217">
        <f t="array" aca="1" ref="O1184" ca="1">IFERROR(INDEX(_xlfn.ANCHORARRAY($C$3),T_CALC[[#This Row],[DAY]]+1,5),NA())</f>
        <v>1.347</v>
      </c>
      <c r="P1184" cm="1" vm="2094">
        <f t="array" aca="1" ref="P1184" ca="1">IFERROR(INDEX(_xlfn.ANCHORARRAY($C$3),T_CALC[[#This Row],[DAY]]+1,6),NA())</f>
        <v>1.3508</v>
      </c>
      <c r="Q1184" cm="1">
        <f t="array" aca="1" ref="Q1184" ca="1">IFERROR(INDEX(_xlfn.ANCHORARRAY($C$3),T_CALC[[#This Row],[DAY]]+1,2),NA())</f>
        <v>0</v>
      </c>
    </row>
    <row r="1185" spans="3:17">
      <c r="C1185" vm="144">
        <f ca="1"/>
        <v>44413</v>
      </c>
      <c r="D1185">
        <f ca="1"/>
        <v>0</v>
      </c>
      <c r="E1185" vm="2940">
        <f ca="1"/>
        <v>1.3509</v>
      </c>
      <c r="F1185" vm="2265">
        <f ca="1"/>
        <v>1.3520000000000001</v>
      </c>
      <c r="G1185" vm="2179">
        <f ca="1"/>
        <v>1.349</v>
      </c>
      <c r="H1185" vm="2086">
        <f ca="1"/>
        <v>1.351</v>
      </c>
      <c r="K1185">
        <f ca="1">IF(ROW(T_CALC[[#This Row],[DAY]])-ROW(T_CALC[[#Headers],[DAY]])&gt;C_N_TRADING_DAYS,"",ROW(T_CALC[[#This Row],[DAY]])-ROW(T_CALC[[#Headers],[DAY]]))</f>
        <v>1182</v>
      </c>
      <c r="L1185" cm="1" vm="144">
        <f t="array" aca="1" ref="L1185" ca="1">IFERROR(INDEX(_xlfn.ANCHORARRAY($C$3),T_CALC[[#This Row],[DAY]]+1,1),NA())</f>
        <v>44413</v>
      </c>
      <c r="M1185" cm="1" vm="2940">
        <f t="array" aca="1" ref="M1185" ca="1">IFERROR(INDEX(_xlfn.ANCHORARRAY($C$3),T_CALC[[#This Row],[DAY]]+1,3),NA())</f>
        <v>1.3509</v>
      </c>
      <c r="N1185" cm="1" vm="2265">
        <f t="array" aca="1" ref="N1185" ca="1">IFERROR(INDEX(_xlfn.ANCHORARRAY($C$3),T_CALC[[#This Row],[DAY]]+1,4),NA())</f>
        <v>1.3520000000000001</v>
      </c>
      <c r="O1185" cm="1" vm="2179">
        <f t="array" aca="1" ref="O1185" ca="1">IFERROR(INDEX(_xlfn.ANCHORARRAY($C$3),T_CALC[[#This Row],[DAY]]+1,5),NA())</f>
        <v>1.349</v>
      </c>
      <c r="P1185" cm="1" vm="2086">
        <f t="array" aca="1" ref="P1185" ca="1">IFERROR(INDEX(_xlfn.ANCHORARRAY($C$3),T_CALC[[#This Row],[DAY]]+1,6),NA())</f>
        <v>1.351</v>
      </c>
      <c r="Q1185" cm="1">
        <f t="array" aca="1" ref="Q1185" ca="1">IFERROR(INDEX(_xlfn.ANCHORARRAY($C$3),T_CALC[[#This Row],[DAY]]+1,2),NA())</f>
        <v>0</v>
      </c>
    </row>
    <row r="1186" spans="3:17">
      <c r="C1186" vm="145">
        <f ca="1"/>
        <v>44414</v>
      </c>
      <c r="D1186">
        <f ca="1"/>
        <v>0</v>
      </c>
      <c r="E1186" vm="2666">
        <f ca="1"/>
        <v>1.3511</v>
      </c>
      <c r="F1186" vm="2185">
        <f ca="1"/>
        <v>1.3552999999999999</v>
      </c>
      <c r="G1186" vm="2146">
        <f ca="1"/>
        <v>1.3496999999999999</v>
      </c>
      <c r="H1186" vm="2005">
        <f ca="1"/>
        <v>1.3542000000000001</v>
      </c>
      <c r="K1186">
        <f ca="1">IF(ROW(T_CALC[[#This Row],[DAY]])-ROW(T_CALC[[#Headers],[DAY]])&gt;C_N_TRADING_DAYS,"",ROW(T_CALC[[#This Row],[DAY]])-ROW(T_CALC[[#Headers],[DAY]]))</f>
        <v>1183</v>
      </c>
      <c r="L1186" cm="1" vm="145">
        <f t="array" aca="1" ref="L1186" ca="1">IFERROR(INDEX(_xlfn.ANCHORARRAY($C$3),T_CALC[[#This Row],[DAY]]+1,1),NA())</f>
        <v>44414</v>
      </c>
      <c r="M1186" cm="1" vm="2666">
        <f t="array" aca="1" ref="M1186" ca="1">IFERROR(INDEX(_xlfn.ANCHORARRAY($C$3),T_CALC[[#This Row],[DAY]]+1,3),NA())</f>
        <v>1.3511</v>
      </c>
      <c r="N1186" cm="1" vm="2185">
        <f t="array" aca="1" ref="N1186" ca="1">IFERROR(INDEX(_xlfn.ANCHORARRAY($C$3),T_CALC[[#This Row],[DAY]]+1,4),NA())</f>
        <v>1.3552999999999999</v>
      </c>
      <c r="O1186" cm="1" vm="2146">
        <f t="array" aca="1" ref="O1186" ca="1">IFERROR(INDEX(_xlfn.ANCHORARRAY($C$3),T_CALC[[#This Row],[DAY]]+1,5),NA())</f>
        <v>1.3496999999999999</v>
      </c>
      <c r="P1186" cm="1" vm="2005">
        <f t="array" aca="1" ref="P1186" ca="1">IFERROR(INDEX(_xlfn.ANCHORARRAY($C$3),T_CALC[[#This Row],[DAY]]+1,6),NA())</f>
        <v>1.3542000000000001</v>
      </c>
      <c r="Q1186" cm="1">
        <f t="array" aca="1" ref="Q1186" ca="1">IFERROR(INDEX(_xlfn.ANCHORARRAY($C$3),T_CALC[[#This Row],[DAY]]+1,2),NA())</f>
        <v>0</v>
      </c>
    </row>
    <row r="1187" spans="3:17">
      <c r="C1187" vm="146">
        <f ca="1"/>
        <v>44417</v>
      </c>
      <c r="D1187">
        <f ca="1"/>
        <v>0</v>
      </c>
      <c r="E1187" vm="2148">
        <f ca="1"/>
        <v>1.3543000000000001</v>
      </c>
      <c r="F1187" vm="2008">
        <f ca="1"/>
        <v>1.3574999999999999</v>
      </c>
      <c r="G1187" vm="2228">
        <f ca="1"/>
        <v>1.3539000000000001</v>
      </c>
      <c r="H1187" vm="2154">
        <f ca="1"/>
        <v>1.3572</v>
      </c>
      <c r="K1187">
        <f ca="1">IF(ROW(T_CALC[[#This Row],[DAY]])-ROW(T_CALC[[#Headers],[DAY]])&gt;C_N_TRADING_DAYS,"",ROW(T_CALC[[#This Row],[DAY]])-ROW(T_CALC[[#Headers],[DAY]]))</f>
        <v>1184</v>
      </c>
      <c r="L1187" cm="1" vm="146">
        <f t="array" aca="1" ref="L1187" ca="1">IFERROR(INDEX(_xlfn.ANCHORARRAY($C$3),T_CALC[[#This Row],[DAY]]+1,1),NA())</f>
        <v>44417</v>
      </c>
      <c r="M1187" cm="1" vm="2148">
        <f t="array" aca="1" ref="M1187" ca="1">IFERROR(INDEX(_xlfn.ANCHORARRAY($C$3),T_CALC[[#This Row],[DAY]]+1,3),NA())</f>
        <v>1.3543000000000001</v>
      </c>
      <c r="N1187" cm="1" vm="2008">
        <f t="array" aca="1" ref="N1187" ca="1">IFERROR(INDEX(_xlfn.ANCHORARRAY($C$3),T_CALC[[#This Row],[DAY]]+1,4),NA())</f>
        <v>1.3574999999999999</v>
      </c>
      <c r="O1187" cm="1" vm="2228">
        <f t="array" aca="1" ref="O1187" ca="1">IFERROR(INDEX(_xlfn.ANCHORARRAY($C$3),T_CALC[[#This Row],[DAY]]+1,5),NA())</f>
        <v>1.3539000000000001</v>
      </c>
      <c r="P1187" cm="1" vm="2154">
        <f t="array" aca="1" ref="P1187" ca="1">IFERROR(INDEX(_xlfn.ANCHORARRAY($C$3),T_CALC[[#This Row],[DAY]]+1,6),NA())</f>
        <v>1.3572</v>
      </c>
      <c r="Q1187" cm="1">
        <f t="array" aca="1" ref="Q1187" ca="1">IFERROR(INDEX(_xlfn.ANCHORARRAY($C$3),T_CALC[[#This Row],[DAY]]+1,2),NA())</f>
        <v>0</v>
      </c>
    </row>
    <row r="1188" spans="3:17">
      <c r="C1188" vm="147">
        <f ca="1"/>
        <v>44418</v>
      </c>
      <c r="D1188">
        <f ca="1"/>
        <v>0</v>
      </c>
      <c r="E1188" vm="2154">
        <f ca="1"/>
        <v>1.3572</v>
      </c>
      <c r="F1188" vm="2202">
        <f ca="1"/>
        <v>1.3597999999999999</v>
      </c>
      <c r="G1188" vm="2223">
        <f ca="1"/>
        <v>1.3562000000000001</v>
      </c>
      <c r="H1188" vm="1979">
        <f ca="1"/>
        <v>1.3592</v>
      </c>
      <c r="K1188">
        <f ca="1">IF(ROW(T_CALC[[#This Row],[DAY]])-ROW(T_CALC[[#Headers],[DAY]])&gt;C_N_TRADING_DAYS,"",ROW(T_CALC[[#This Row],[DAY]])-ROW(T_CALC[[#Headers],[DAY]]))</f>
        <v>1185</v>
      </c>
      <c r="L1188" cm="1" vm="147">
        <f t="array" aca="1" ref="L1188" ca="1">IFERROR(INDEX(_xlfn.ANCHORARRAY($C$3),T_CALC[[#This Row],[DAY]]+1,1),NA())</f>
        <v>44418</v>
      </c>
      <c r="M1188" cm="1" vm="2154">
        <f t="array" aca="1" ref="M1188" ca="1">IFERROR(INDEX(_xlfn.ANCHORARRAY($C$3),T_CALC[[#This Row],[DAY]]+1,3),NA())</f>
        <v>1.3572</v>
      </c>
      <c r="N1188" cm="1" vm="2202">
        <f t="array" aca="1" ref="N1188" ca="1">IFERROR(INDEX(_xlfn.ANCHORARRAY($C$3),T_CALC[[#This Row],[DAY]]+1,4),NA())</f>
        <v>1.3597999999999999</v>
      </c>
      <c r="O1188" cm="1" vm="2223">
        <f t="array" aca="1" ref="O1188" ca="1">IFERROR(INDEX(_xlfn.ANCHORARRAY($C$3),T_CALC[[#This Row],[DAY]]+1,5),NA())</f>
        <v>1.3562000000000001</v>
      </c>
      <c r="P1188" cm="1" vm="1979">
        <f t="array" aca="1" ref="P1188" ca="1">IFERROR(INDEX(_xlfn.ANCHORARRAY($C$3),T_CALC[[#This Row],[DAY]]+1,6),NA())</f>
        <v>1.3592</v>
      </c>
      <c r="Q1188" cm="1">
        <f t="array" aca="1" ref="Q1188" ca="1">IFERROR(INDEX(_xlfn.ANCHORARRAY($C$3),T_CALC[[#This Row],[DAY]]+1,2),NA())</f>
        <v>0</v>
      </c>
    </row>
    <row r="1189" spans="3:17">
      <c r="C1189" vm="148">
        <f ca="1"/>
        <v>44419</v>
      </c>
      <c r="D1189">
        <f ca="1"/>
        <v>0</v>
      </c>
      <c r="E1189" vm="2056">
        <f ca="1"/>
        <v>1.3593</v>
      </c>
      <c r="F1189" vm="2158">
        <f ca="1"/>
        <v>1.3605</v>
      </c>
      <c r="G1189" vm="2064">
        <f ca="1"/>
        <v>1.3548</v>
      </c>
      <c r="H1189" vm="1997">
        <f ca="1"/>
        <v>1.3554999999999999</v>
      </c>
      <c r="K1189">
        <f ca="1">IF(ROW(T_CALC[[#This Row],[DAY]])-ROW(T_CALC[[#Headers],[DAY]])&gt;C_N_TRADING_DAYS,"",ROW(T_CALC[[#This Row],[DAY]])-ROW(T_CALC[[#Headers],[DAY]]))</f>
        <v>1186</v>
      </c>
      <c r="L1189" cm="1" vm="148">
        <f t="array" aca="1" ref="L1189" ca="1">IFERROR(INDEX(_xlfn.ANCHORARRAY($C$3),T_CALC[[#This Row],[DAY]]+1,1),NA())</f>
        <v>44419</v>
      </c>
      <c r="M1189" cm="1" vm="2056">
        <f t="array" aca="1" ref="M1189" ca="1">IFERROR(INDEX(_xlfn.ANCHORARRAY($C$3),T_CALC[[#This Row],[DAY]]+1,3),NA())</f>
        <v>1.3593</v>
      </c>
      <c r="N1189" cm="1" vm="2158">
        <f t="array" aca="1" ref="N1189" ca="1">IFERROR(INDEX(_xlfn.ANCHORARRAY($C$3),T_CALC[[#This Row],[DAY]]+1,4),NA())</f>
        <v>1.3605</v>
      </c>
      <c r="O1189" cm="1" vm="2064">
        <f t="array" aca="1" ref="O1189" ca="1">IFERROR(INDEX(_xlfn.ANCHORARRAY($C$3),T_CALC[[#This Row],[DAY]]+1,5),NA())</f>
        <v>1.3548</v>
      </c>
      <c r="P1189" cm="1" vm="1997">
        <f t="array" aca="1" ref="P1189" ca="1">IFERROR(INDEX(_xlfn.ANCHORARRAY($C$3),T_CALC[[#This Row],[DAY]]+1,6),NA())</f>
        <v>1.3554999999999999</v>
      </c>
      <c r="Q1189" cm="1">
        <f t="array" aca="1" ref="Q1189" ca="1">IFERROR(INDEX(_xlfn.ANCHORARRAY($C$3),T_CALC[[#This Row],[DAY]]+1,2),NA())</f>
        <v>0</v>
      </c>
    </row>
    <row r="1190" spans="3:17">
      <c r="C1190" vm="149">
        <f ca="1"/>
        <v>44420</v>
      </c>
      <c r="D1190">
        <f ca="1"/>
        <v>0</v>
      </c>
      <c r="E1190" vm="2078">
        <f ca="1"/>
        <v>1.3555999999999999</v>
      </c>
      <c r="F1190" vm="2083">
        <f ca="1"/>
        <v>1.3584000000000001</v>
      </c>
      <c r="G1190" vm="2078">
        <f ca="1"/>
        <v>1.3555999999999999</v>
      </c>
      <c r="H1190" vm="2015">
        <f ca="1"/>
        <v>1.3573999999999999</v>
      </c>
      <c r="K1190">
        <f ca="1">IF(ROW(T_CALC[[#This Row],[DAY]])-ROW(T_CALC[[#Headers],[DAY]])&gt;C_N_TRADING_DAYS,"",ROW(T_CALC[[#This Row],[DAY]])-ROW(T_CALC[[#Headers],[DAY]]))</f>
        <v>1187</v>
      </c>
      <c r="L1190" cm="1" vm="149">
        <f t="array" aca="1" ref="L1190" ca="1">IFERROR(INDEX(_xlfn.ANCHORARRAY($C$3),T_CALC[[#This Row],[DAY]]+1,1),NA())</f>
        <v>44420</v>
      </c>
      <c r="M1190" cm="1" vm="2078">
        <f t="array" aca="1" ref="M1190" ca="1">IFERROR(INDEX(_xlfn.ANCHORARRAY($C$3),T_CALC[[#This Row],[DAY]]+1,3),NA())</f>
        <v>1.3555999999999999</v>
      </c>
      <c r="N1190" cm="1" vm="2083">
        <f t="array" aca="1" ref="N1190" ca="1">IFERROR(INDEX(_xlfn.ANCHORARRAY($C$3),T_CALC[[#This Row],[DAY]]+1,4),NA())</f>
        <v>1.3584000000000001</v>
      </c>
      <c r="O1190" cm="1" vm="2078">
        <f t="array" aca="1" ref="O1190" ca="1">IFERROR(INDEX(_xlfn.ANCHORARRAY($C$3),T_CALC[[#This Row],[DAY]]+1,5),NA())</f>
        <v>1.3555999999999999</v>
      </c>
      <c r="P1190" cm="1" vm="2015">
        <f t="array" aca="1" ref="P1190" ca="1">IFERROR(INDEX(_xlfn.ANCHORARRAY($C$3),T_CALC[[#This Row],[DAY]]+1,6),NA())</f>
        <v>1.3573999999999999</v>
      </c>
      <c r="Q1190" cm="1">
        <f t="array" aca="1" ref="Q1190" ca="1">IFERROR(INDEX(_xlfn.ANCHORARRAY($C$3),T_CALC[[#This Row],[DAY]]+1,2),NA())</f>
        <v>0</v>
      </c>
    </row>
    <row r="1191" spans="3:17">
      <c r="C1191" vm="150">
        <f ca="1"/>
        <v>44421</v>
      </c>
      <c r="D1191">
        <f ca="1"/>
        <v>0</v>
      </c>
      <c r="E1191" vm="2008">
        <f ca="1"/>
        <v>1.3574999999999999</v>
      </c>
      <c r="F1191" vm="1979">
        <f ca="1"/>
        <v>1.3592</v>
      </c>
      <c r="G1191" vm="2173">
        <f ca="1"/>
        <v>1.3541000000000001</v>
      </c>
      <c r="H1191" vm="2173">
        <f ca="1"/>
        <v>1.3541000000000001</v>
      </c>
      <c r="K1191">
        <f ca="1">IF(ROW(T_CALC[[#This Row],[DAY]])-ROW(T_CALC[[#Headers],[DAY]])&gt;C_N_TRADING_DAYS,"",ROW(T_CALC[[#This Row],[DAY]])-ROW(T_CALC[[#Headers],[DAY]]))</f>
        <v>1188</v>
      </c>
      <c r="L1191" cm="1" vm="150">
        <f t="array" aca="1" ref="L1191" ca="1">IFERROR(INDEX(_xlfn.ANCHORARRAY($C$3),T_CALC[[#This Row],[DAY]]+1,1),NA())</f>
        <v>44421</v>
      </c>
      <c r="M1191" cm="1" vm="2008">
        <f t="array" aca="1" ref="M1191" ca="1">IFERROR(INDEX(_xlfn.ANCHORARRAY($C$3),T_CALC[[#This Row],[DAY]]+1,3),NA())</f>
        <v>1.3574999999999999</v>
      </c>
      <c r="N1191" cm="1" vm="1979">
        <f t="array" aca="1" ref="N1191" ca="1">IFERROR(INDEX(_xlfn.ANCHORARRAY($C$3),T_CALC[[#This Row],[DAY]]+1,4),NA())</f>
        <v>1.3592</v>
      </c>
      <c r="O1191" cm="1" vm="2173">
        <f t="array" aca="1" ref="O1191" ca="1">IFERROR(INDEX(_xlfn.ANCHORARRAY($C$3),T_CALC[[#This Row],[DAY]]+1,5),NA())</f>
        <v>1.3541000000000001</v>
      </c>
      <c r="P1191" cm="1" vm="2173">
        <f t="array" aca="1" ref="P1191" ca="1">IFERROR(INDEX(_xlfn.ANCHORARRAY($C$3),T_CALC[[#This Row],[DAY]]+1,6),NA())</f>
        <v>1.3541000000000001</v>
      </c>
      <c r="Q1191" cm="1">
        <f t="array" aca="1" ref="Q1191" ca="1">IFERROR(INDEX(_xlfn.ANCHORARRAY($C$3),T_CALC[[#This Row],[DAY]]+1,2),NA())</f>
        <v>0</v>
      </c>
    </row>
    <row r="1192" spans="3:17">
      <c r="C1192" vm="151">
        <f ca="1"/>
        <v>44424</v>
      </c>
      <c r="D1192">
        <f ca="1"/>
        <v>0</v>
      </c>
      <c r="E1192" vm="2920">
        <f ca="1"/>
        <v>1.3546</v>
      </c>
      <c r="F1192" vm="2230">
        <f ca="1"/>
        <v>1.3567</v>
      </c>
      <c r="G1192" vm="2228">
        <f ca="1"/>
        <v>1.3539000000000001</v>
      </c>
      <c r="H1192" vm="2078">
        <f ca="1"/>
        <v>1.3555999999999999</v>
      </c>
      <c r="K1192">
        <f ca="1">IF(ROW(T_CALC[[#This Row],[DAY]])-ROW(T_CALC[[#Headers],[DAY]])&gt;C_N_TRADING_DAYS,"",ROW(T_CALC[[#This Row],[DAY]])-ROW(T_CALC[[#Headers],[DAY]]))</f>
        <v>1189</v>
      </c>
      <c r="L1192" cm="1" vm="151">
        <f t="array" aca="1" ref="L1192" ca="1">IFERROR(INDEX(_xlfn.ANCHORARRAY($C$3),T_CALC[[#This Row],[DAY]]+1,1),NA())</f>
        <v>44424</v>
      </c>
      <c r="M1192" cm="1" vm="2920">
        <f t="array" aca="1" ref="M1192" ca="1">IFERROR(INDEX(_xlfn.ANCHORARRAY($C$3),T_CALC[[#This Row],[DAY]]+1,3),NA())</f>
        <v>1.3546</v>
      </c>
      <c r="N1192" cm="1" vm="2230">
        <f t="array" aca="1" ref="N1192" ca="1">IFERROR(INDEX(_xlfn.ANCHORARRAY($C$3),T_CALC[[#This Row],[DAY]]+1,4),NA())</f>
        <v>1.3567</v>
      </c>
      <c r="O1192" cm="1" vm="2228">
        <f t="array" aca="1" ref="O1192" ca="1">IFERROR(INDEX(_xlfn.ANCHORARRAY($C$3),T_CALC[[#This Row],[DAY]]+1,5),NA())</f>
        <v>1.3539000000000001</v>
      </c>
      <c r="P1192" cm="1" vm="2078">
        <f t="array" aca="1" ref="P1192" ca="1">IFERROR(INDEX(_xlfn.ANCHORARRAY($C$3),T_CALC[[#This Row],[DAY]]+1,6),NA())</f>
        <v>1.3555999999999999</v>
      </c>
      <c r="Q1192" cm="1">
        <f t="array" aca="1" ref="Q1192" ca="1">IFERROR(INDEX(_xlfn.ANCHORARRAY($C$3),T_CALC[[#This Row],[DAY]]+1,2),NA())</f>
        <v>0</v>
      </c>
    </row>
    <row r="1193" spans="3:17">
      <c r="C1193" vm="152">
        <f ca="1"/>
        <v>44425</v>
      </c>
      <c r="D1193">
        <f ca="1"/>
        <v>0</v>
      </c>
      <c r="E1193" vm="1988">
        <f ca="1"/>
        <v>1.3552</v>
      </c>
      <c r="F1193" vm="2027">
        <f ca="1"/>
        <v>1.3629</v>
      </c>
      <c r="G1193" vm="1988">
        <f ca="1"/>
        <v>1.3552</v>
      </c>
      <c r="H1193" vm="1975">
        <f ca="1"/>
        <v>1.3621000000000001</v>
      </c>
      <c r="K1193">
        <f ca="1">IF(ROW(T_CALC[[#This Row],[DAY]])-ROW(T_CALC[[#Headers],[DAY]])&gt;C_N_TRADING_DAYS,"",ROW(T_CALC[[#This Row],[DAY]])-ROW(T_CALC[[#Headers],[DAY]]))</f>
        <v>1190</v>
      </c>
      <c r="L1193" cm="1" vm="152">
        <f t="array" aca="1" ref="L1193" ca="1">IFERROR(INDEX(_xlfn.ANCHORARRAY($C$3),T_CALC[[#This Row],[DAY]]+1,1),NA())</f>
        <v>44425</v>
      </c>
      <c r="M1193" cm="1" vm="1988">
        <f t="array" aca="1" ref="M1193" ca="1">IFERROR(INDEX(_xlfn.ANCHORARRAY($C$3),T_CALC[[#This Row],[DAY]]+1,3),NA())</f>
        <v>1.3552</v>
      </c>
      <c r="N1193" cm="1" vm="2027">
        <f t="array" aca="1" ref="N1193" ca="1">IFERROR(INDEX(_xlfn.ANCHORARRAY($C$3),T_CALC[[#This Row],[DAY]]+1,4),NA())</f>
        <v>1.3629</v>
      </c>
      <c r="O1193" cm="1" vm="1988">
        <f t="array" aca="1" ref="O1193" ca="1">IFERROR(INDEX(_xlfn.ANCHORARRAY($C$3),T_CALC[[#This Row],[DAY]]+1,5),NA())</f>
        <v>1.3552</v>
      </c>
      <c r="P1193" cm="1" vm="1975">
        <f t="array" aca="1" ref="P1193" ca="1">IFERROR(INDEX(_xlfn.ANCHORARRAY($C$3),T_CALC[[#This Row],[DAY]]+1,6),NA())</f>
        <v>1.3621000000000001</v>
      </c>
      <c r="Q1193" cm="1">
        <f t="array" aca="1" ref="Q1193" ca="1">IFERROR(INDEX(_xlfn.ANCHORARRAY($C$3),T_CALC[[#This Row],[DAY]]+1,2),NA())</f>
        <v>0</v>
      </c>
    </row>
    <row r="1194" spans="3:17">
      <c r="C1194" vm="153">
        <f ca="1"/>
        <v>44426</v>
      </c>
      <c r="D1194">
        <f ca="1"/>
        <v>0</v>
      </c>
      <c r="E1194" vm="1984">
        <f ca="1"/>
        <v>1.3620000000000001</v>
      </c>
      <c r="F1194" vm="2023">
        <f ca="1"/>
        <v>1.3626</v>
      </c>
      <c r="G1194" vm="2083">
        <f ca="1"/>
        <v>1.3584000000000001</v>
      </c>
      <c r="H1194" vm="2036">
        <f ca="1"/>
        <v>1.3604000000000001</v>
      </c>
      <c r="K1194">
        <f ca="1">IF(ROW(T_CALC[[#This Row],[DAY]])-ROW(T_CALC[[#Headers],[DAY]])&gt;C_N_TRADING_DAYS,"",ROW(T_CALC[[#This Row],[DAY]])-ROW(T_CALC[[#Headers],[DAY]]))</f>
        <v>1191</v>
      </c>
      <c r="L1194" cm="1" vm="153">
        <f t="array" aca="1" ref="L1194" ca="1">IFERROR(INDEX(_xlfn.ANCHORARRAY($C$3),T_CALC[[#This Row],[DAY]]+1,1),NA())</f>
        <v>44426</v>
      </c>
      <c r="M1194" cm="1" vm="1984">
        <f t="array" aca="1" ref="M1194" ca="1">IFERROR(INDEX(_xlfn.ANCHORARRAY($C$3),T_CALC[[#This Row],[DAY]]+1,3),NA())</f>
        <v>1.3620000000000001</v>
      </c>
      <c r="N1194" cm="1" vm="2023">
        <f t="array" aca="1" ref="N1194" ca="1">IFERROR(INDEX(_xlfn.ANCHORARRAY($C$3),T_CALC[[#This Row],[DAY]]+1,4),NA())</f>
        <v>1.3626</v>
      </c>
      <c r="O1194" cm="1" vm="2083">
        <f t="array" aca="1" ref="O1194" ca="1">IFERROR(INDEX(_xlfn.ANCHORARRAY($C$3),T_CALC[[#This Row],[DAY]]+1,5),NA())</f>
        <v>1.3584000000000001</v>
      </c>
      <c r="P1194" cm="1" vm="2036">
        <f t="array" aca="1" ref="P1194" ca="1">IFERROR(INDEX(_xlfn.ANCHORARRAY($C$3),T_CALC[[#This Row],[DAY]]+1,6),NA())</f>
        <v>1.3604000000000001</v>
      </c>
      <c r="Q1194" cm="1">
        <f t="array" aca="1" ref="Q1194" ca="1">IFERROR(INDEX(_xlfn.ANCHORARRAY($C$3),T_CALC[[#This Row],[DAY]]+1,2),NA())</f>
        <v>0</v>
      </c>
    </row>
    <row r="1195" spans="3:17">
      <c r="C1195" vm="154">
        <f ca="1"/>
        <v>44427</v>
      </c>
      <c r="D1195">
        <f ca="1"/>
        <v>0</v>
      </c>
      <c r="E1195" vm="2667">
        <f ca="1"/>
        <v>1.3599000000000001</v>
      </c>
      <c r="F1195" vm="2208">
        <f ca="1"/>
        <v>1.3651</v>
      </c>
      <c r="G1195" vm="2667">
        <f ca="1"/>
        <v>1.3599000000000001</v>
      </c>
      <c r="H1195" vm="1970">
        <f ca="1"/>
        <v>1.3643000000000001</v>
      </c>
      <c r="K1195">
        <f ca="1">IF(ROW(T_CALC[[#This Row],[DAY]])-ROW(T_CALC[[#Headers],[DAY]])&gt;C_N_TRADING_DAYS,"",ROW(T_CALC[[#This Row],[DAY]])-ROW(T_CALC[[#Headers],[DAY]]))</f>
        <v>1192</v>
      </c>
      <c r="L1195" cm="1" vm="154">
        <f t="array" aca="1" ref="L1195" ca="1">IFERROR(INDEX(_xlfn.ANCHORARRAY($C$3),T_CALC[[#This Row],[DAY]]+1,1),NA())</f>
        <v>44427</v>
      </c>
      <c r="M1195" cm="1" vm="2667">
        <f t="array" aca="1" ref="M1195" ca="1">IFERROR(INDEX(_xlfn.ANCHORARRAY($C$3),T_CALC[[#This Row],[DAY]]+1,3),NA())</f>
        <v>1.3599000000000001</v>
      </c>
      <c r="N1195" cm="1" vm="2208">
        <f t="array" aca="1" ref="N1195" ca="1">IFERROR(INDEX(_xlfn.ANCHORARRAY($C$3),T_CALC[[#This Row],[DAY]]+1,4),NA())</f>
        <v>1.3651</v>
      </c>
      <c r="O1195" cm="1" vm="2667">
        <f t="array" aca="1" ref="O1195" ca="1">IFERROR(INDEX(_xlfn.ANCHORARRAY($C$3),T_CALC[[#This Row],[DAY]]+1,5),NA())</f>
        <v>1.3599000000000001</v>
      </c>
      <c r="P1195" cm="1" vm="1970">
        <f t="array" aca="1" ref="P1195" ca="1">IFERROR(INDEX(_xlfn.ANCHORARRAY($C$3),T_CALC[[#This Row],[DAY]]+1,6),NA())</f>
        <v>1.3643000000000001</v>
      </c>
      <c r="Q1195" cm="1">
        <f t="array" aca="1" ref="Q1195" ca="1">IFERROR(INDEX(_xlfn.ANCHORARRAY($C$3),T_CALC[[#This Row],[DAY]]+1,2),NA())</f>
        <v>0</v>
      </c>
    </row>
    <row r="1196" spans="3:17">
      <c r="C1196" vm="155">
        <f ca="1"/>
        <v>44428</v>
      </c>
      <c r="D1196">
        <f ca="1"/>
        <v>0</v>
      </c>
      <c r="E1196" vm="2162">
        <f ca="1"/>
        <v>1.3640000000000001</v>
      </c>
      <c r="F1196" vm="2166">
        <f ca="1"/>
        <v>1.3654999999999999</v>
      </c>
      <c r="G1196" vm="1974">
        <f ca="1"/>
        <v>1.3608</v>
      </c>
      <c r="H1196" vm="1975">
        <f ca="1"/>
        <v>1.3621000000000001</v>
      </c>
      <c r="K1196">
        <f ca="1">IF(ROW(T_CALC[[#This Row],[DAY]])-ROW(T_CALC[[#Headers],[DAY]])&gt;C_N_TRADING_DAYS,"",ROW(T_CALC[[#This Row],[DAY]])-ROW(T_CALC[[#Headers],[DAY]]))</f>
        <v>1193</v>
      </c>
      <c r="L1196" cm="1" vm="155">
        <f t="array" aca="1" ref="L1196" ca="1">IFERROR(INDEX(_xlfn.ANCHORARRAY($C$3),T_CALC[[#This Row],[DAY]]+1,1),NA())</f>
        <v>44428</v>
      </c>
      <c r="M1196" cm="1" vm="2162">
        <f t="array" aca="1" ref="M1196" ca="1">IFERROR(INDEX(_xlfn.ANCHORARRAY($C$3),T_CALC[[#This Row],[DAY]]+1,3),NA())</f>
        <v>1.3640000000000001</v>
      </c>
      <c r="N1196" cm="1" vm="2166">
        <f t="array" aca="1" ref="N1196" ca="1">IFERROR(INDEX(_xlfn.ANCHORARRAY($C$3),T_CALC[[#This Row],[DAY]]+1,4),NA())</f>
        <v>1.3654999999999999</v>
      </c>
      <c r="O1196" cm="1" vm="1974">
        <f t="array" aca="1" ref="O1196" ca="1">IFERROR(INDEX(_xlfn.ANCHORARRAY($C$3),T_CALC[[#This Row],[DAY]]+1,5),NA())</f>
        <v>1.3608</v>
      </c>
      <c r="P1196" cm="1" vm="1975">
        <f t="array" aca="1" ref="P1196" ca="1">IFERROR(INDEX(_xlfn.ANCHORARRAY($C$3),T_CALC[[#This Row],[DAY]]+1,6),NA())</f>
        <v>1.3621000000000001</v>
      </c>
      <c r="Q1196" cm="1">
        <f t="array" aca="1" ref="Q1196" ca="1">IFERROR(INDEX(_xlfn.ANCHORARRAY($C$3),T_CALC[[#This Row],[DAY]]+1,2),NA())</f>
        <v>0</v>
      </c>
    </row>
    <row r="1197" spans="3:17">
      <c r="C1197" vm="156">
        <f ca="1"/>
        <v>44431</v>
      </c>
      <c r="D1197">
        <f ca="1"/>
        <v>0</v>
      </c>
      <c r="E1197" vm="1975">
        <f ca="1"/>
        <v>1.3621000000000001</v>
      </c>
      <c r="F1197" vm="2675">
        <f ca="1"/>
        <v>1.3627</v>
      </c>
      <c r="G1197" vm="1997">
        <f ca="1"/>
        <v>1.3554999999999999</v>
      </c>
      <c r="H1197" vm="2225">
        <f ca="1"/>
        <v>1.3561000000000001</v>
      </c>
      <c r="K1197">
        <f ca="1">IF(ROW(T_CALC[[#This Row],[DAY]])-ROW(T_CALC[[#Headers],[DAY]])&gt;C_N_TRADING_DAYS,"",ROW(T_CALC[[#This Row],[DAY]])-ROW(T_CALC[[#Headers],[DAY]]))</f>
        <v>1194</v>
      </c>
      <c r="L1197" cm="1" vm="156">
        <f t="array" aca="1" ref="L1197" ca="1">IFERROR(INDEX(_xlfn.ANCHORARRAY($C$3),T_CALC[[#This Row],[DAY]]+1,1),NA())</f>
        <v>44431</v>
      </c>
      <c r="M1197" cm="1" vm="1975">
        <f t="array" aca="1" ref="M1197" ca="1">IFERROR(INDEX(_xlfn.ANCHORARRAY($C$3),T_CALC[[#This Row],[DAY]]+1,3),NA())</f>
        <v>1.3621000000000001</v>
      </c>
      <c r="N1197" cm="1" vm="2675">
        <f t="array" aca="1" ref="N1197" ca="1">IFERROR(INDEX(_xlfn.ANCHORARRAY($C$3),T_CALC[[#This Row],[DAY]]+1,4),NA())</f>
        <v>1.3627</v>
      </c>
      <c r="O1197" cm="1" vm="1997">
        <f t="array" aca="1" ref="O1197" ca="1">IFERROR(INDEX(_xlfn.ANCHORARRAY($C$3),T_CALC[[#This Row],[DAY]]+1,5),NA())</f>
        <v>1.3554999999999999</v>
      </c>
      <c r="P1197" cm="1" vm="2225">
        <f t="array" aca="1" ref="P1197" ca="1">IFERROR(INDEX(_xlfn.ANCHORARRAY($C$3),T_CALC[[#This Row],[DAY]]+1,6),NA())</f>
        <v>1.3561000000000001</v>
      </c>
      <c r="Q1197" cm="1">
        <f t="array" aca="1" ref="Q1197" ca="1">IFERROR(INDEX(_xlfn.ANCHORARRAY($C$3),T_CALC[[#This Row],[DAY]]+1,2),NA())</f>
        <v>0</v>
      </c>
    </row>
    <row r="1198" spans="3:17">
      <c r="C1198" vm="157">
        <f ca="1"/>
        <v>44432</v>
      </c>
      <c r="D1198">
        <f ca="1"/>
        <v>0</v>
      </c>
      <c r="E1198" vm="2916">
        <f ca="1"/>
        <v>1.3560000000000001</v>
      </c>
      <c r="F1198" vm="2151">
        <f ca="1"/>
        <v>1.3575999999999999</v>
      </c>
      <c r="G1198" vm="2067">
        <f ca="1"/>
        <v>1.3533999999999999</v>
      </c>
      <c r="H1198" vm="2005">
        <f ca="1"/>
        <v>1.3542000000000001</v>
      </c>
      <c r="K1198">
        <f ca="1">IF(ROW(T_CALC[[#This Row],[DAY]])-ROW(T_CALC[[#Headers],[DAY]])&gt;C_N_TRADING_DAYS,"",ROW(T_CALC[[#This Row],[DAY]])-ROW(T_CALC[[#Headers],[DAY]]))</f>
        <v>1195</v>
      </c>
      <c r="L1198" cm="1" vm="157">
        <f t="array" aca="1" ref="L1198" ca="1">IFERROR(INDEX(_xlfn.ANCHORARRAY($C$3),T_CALC[[#This Row],[DAY]]+1,1),NA())</f>
        <v>44432</v>
      </c>
      <c r="M1198" cm="1" vm="2916">
        <f t="array" aca="1" ref="M1198" ca="1">IFERROR(INDEX(_xlfn.ANCHORARRAY($C$3),T_CALC[[#This Row],[DAY]]+1,3),NA())</f>
        <v>1.3560000000000001</v>
      </c>
      <c r="N1198" cm="1" vm="2151">
        <f t="array" aca="1" ref="N1198" ca="1">IFERROR(INDEX(_xlfn.ANCHORARRAY($C$3),T_CALC[[#This Row],[DAY]]+1,4),NA())</f>
        <v>1.3575999999999999</v>
      </c>
      <c r="O1198" cm="1" vm="2067">
        <f t="array" aca="1" ref="O1198" ca="1">IFERROR(INDEX(_xlfn.ANCHORARRAY($C$3),T_CALC[[#This Row],[DAY]]+1,5),NA())</f>
        <v>1.3533999999999999</v>
      </c>
      <c r="P1198" cm="1" vm="2005">
        <f t="array" aca="1" ref="P1198" ca="1">IFERROR(INDEX(_xlfn.ANCHORARRAY($C$3),T_CALC[[#This Row],[DAY]]+1,6),NA())</f>
        <v>1.3542000000000001</v>
      </c>
      <c r="Q1198" cm="1">
        <f t="array" aca="1" ref="Q1198" ca="1">IFERROR(INDEX(_xlfn.ANCHORARRAY($C$3),T_CALC[[#This Row],[DAY]]+1,2),NA())</f>
        <v>0</v>
      </c>
    </row>
    <row r="1199" spans="3:17">
      <c r="C1199" vm="158">
        <f ca="1"/>
        <v>44433</v>
      </c>
      <c r="D1199">
        <f ca="1"/>
        <v>0</v>
      </c>
      <c r="E1199" vm="2965">
        <f ca="1"/>
        <v>1.3544</v>
      </c>
      <c r="F1199" vm="2170">
        <f ca="1"/>
        <v>1.3559000000000001</v>
      </c>
      <c r="G1199" vm="2176">
        <f ca="1"/>
        <v>1.3521000000000001</v>
      </c>
      <c r="H1199" vm="2671">
        <f ca="1"/>
        <v>1.3531</v>
      </c>
      <c r="K1199">
        <f ca="1">IF(ROW(T_CALC[[#This Row],[DAY]])-ROW(T_CALC[[#Headers],[DAY]])&gt;C_N_TRADING_DAYS,"",ROW(T_CALC[[#This Row],[DAY]])-ROW(T_CALC[[#Headers],[DAY]]))</f>
        <v>1196</v>
      </c>
      <c r="L1199" cm="1" vm="158">
        <f t="array" aca="1" ref="L1199" ca="1">IFERROR(INDEX(_xlfn.ANCHORARRAY($C$3),T_CALC[[#This Row],[DAY]]+1,1),NA())</f>
        <v>44433</v>
      </c>
      <c r="M1199" cm="1" vm="2965">
        <f t="array" aca="1" ref="M1199" ca="1">IFERROR(INDEX(_xlfn.ANCHORARRAY($C$3),T_CALC[[#This Row],[DAY]]+1,3),NA())</f>
        <v>1.3544</v>
      </c>
      <c r="N1199" cm="1" vm="2170">
        <f t="array" aca="1" ref="N1199" ca="1">IFERROR(INDEX(_xlfn.ANCHORARRAY($C$3),T_CALC[[#This Row],[DAY]]+1,4),NA())</f>
        <v>1.3559000000000001</v>
      </c>
      <c r="O1199" cm="1" vm="2176">
        <f t="array" aca="1" ref="O1199" ca="1">IFERROR(INDEX(_xlfn.ANCHORARRAY($C$3),T_CALC[[#This Row],[DAY]]+1,5),NA())</f>
        <v>1.3521000000000001</v>
      </c>
      <c r="P1199" cm="1" vm="2671">
        <f t="array" aca="1" ref="P1199" ca="1">IFERROR(INDEX(_xlfn.ANCHORARRAY($C$3),T_CALC[[#This Row],[DAY]]+1,6),NA())</f>
        <v>1.3531</v>
      </c>
      <c r="Q1199" cm="1">
        <f t="array" aca="1" ref="Q1199" ca="1">IFERROR(INDEX(_xlfn.ANCHORARRAY($C$3),T_CALC[[#This Row],[DAY]]+1,2),NA())</f>
        <v>0</v>
      </c>
    </row>
    <row r="1200" spans="3:17">
      <c r="C1200" vm="159">
        <f ca="1"/>
        <v>44434</v>
      </c>
      <c r="D1200">
        <f ca="1"/>
        <v>0</v>
      </c>
      <c r="E1200" vm="2923">
        <f ca="1"/>
        <v>1.3527</v>
      </c>
      <c r="F1200" vm="2017">
        <f ca="1"/>
        <v>1.3549</v>
      </c>
      <c r="G1200" vm="2145">
        <f ca="1"/>
        <v>1.3512</v>
      </c>
      <c r="H1200" vm="2965">
        <f ca="1"/>
        <v>1.3544</v>
      </c>
      <c r="K1200">
        <f ca="1">IF(ROW(T_CALC[[#This Row],[DAY]])-ROW(T_CALC[[#Headers],[DAY]])&gt;C_N_TRADING_DAYS,"",ROW(T_CALC[[#This Row],[DAY]])-ROW(T_CALC[[#Headers],[DAY]]))</f>
        <v>1197</v>
      </c>
      <c r="L1200" cm="1" vm="159">
        <f t="array" aca="1" ref="L1200" ca="1">IFERROR(INDEX(_xlfn.ANCHORARRAY($C$3),T_CALC[[#This Row],[DAY]]+1,1),NA())</f>
        <v>44434</v>
      </c>
      <c r="M1200" cm="1" vm="2923">
        <f t="array" aca="1" ref="M1200" ca="1">IFERROR(INDEX(_xlfn.ANCHORARRAY($C$3),T_CALC[[#This Row],[DAY]]+1,3),NA())</f>
        <v>1.3527</v>
      </c>
      <c r="N1200" cm="1" vm="2017">
        <f t="array" aca="1" ref="N1200" ca="1">IFERROR(INDEX(_xlfn.ANCHORARRAY($C$3),T_CALC[[#This Row],[DAY]]+1,4),NA())</f>
        <v>1.3549</v>
      </c>
      <c r="O1200" cm="1" vm="2145">
        <f t="array" aca="1" ref="O1200" ca="1">IFERROR(INDEX(_xlfn.ANCHORARRAY($C$3),T_CALC[[#This Row],[DAY]]+1,5),NA())</f>
        <v>1.3512</v>
      </c>
      <c r="P1200" cm="1" vm="2965">
        <f t="array" aca="1" ref="P1200" ca="1">IFERROR(INDEX(_xlfn.ANCHORARRAY($C$3),T_CALC[[#This Row],[DAY]]+1,6),NA())</f>
        <v>1.3544</v>
      </c>
      <c r="Q1200" cm="1">
        <f t="array" aca="1" ref="Q1200" ca="1">IFERROR(INDEX(_xlfn.ANCHORARRAY($C$3),T_CALC[[#This Row],[DAY]]+1,2),NA())</f>
        <v>0</v>
      </c>
    </row>
    <row r="1201" spans="3:17">
      <c r="C1201" vm="160">
        <f ca="1"/>
        <v>44435</v>
      </c>
      <c r="D1201">
        <f ca="1"/>
        <v>0</v>
      </c>
      <c r="E1201" vm="2064">
        <f ca="1"/>
        <v>1.3548</v>
      </c>
      <c r="F1201" vm="1997">
        <f ca="1"/>
        <v>1.3554999999999999</v>
      </c>
      <c r="G1201" vm="2256">
        <f ca="1"/>
        <v>1.3448</v>
      </c>
      <c r="H1201" vm="2611">
        <f ca="1"/>
        <v>1.3455999999999999</v>
      </c>
      <c r="K1201">
        <f ca="1">IF(ROW(T_CALC[[#This Row],[DAY]])-ROW(T_CALC[[#Headers],[DAY]])&gt;C_N_TRADING_DAYS,"",ROW(T_CALC[[#This Row],[DAY]])-ROW(T_CALC[[#Headers],[DAY]]))</f>
        <v>1198</v>
      </c>
      <c r="L1201" cm="1" vm="160">
        <f t="array" aca="1" ref="L1201" ca="1">IFERROR(INDEX(_xlfn.ANCHORARRAY($C$3),T_CALC[[#This Row],[DAY]]+1,1),NA())</f>
        <v>44435</v>
      </c>
      <c r="M1201" cm="1" vm="2064">
        <f t="array" aca="1" ref="M1201" ca="1">IFERROR(INDEX(_xlfn.ANCHORARRAY($C$3),T_CALC[[#This Row],[DAY]]+1,3),NA())</f>
        <v>1.3548</v>
      </c>
      <c r="N1201" cm="1" vm="1997">
        <f t="array" aca="1" ref="N1201" ca="1">IFERROR(INDEX(_xlfn.ANCHORARRAY($C$3),T_CALC[[#This Row],[DAY]]+1,4),NA())</f>
        <v>1.3554999999999999</v>
      </c>
      <c r="O1201" cm="1" vm="2256">
        <f t="array" aca="1" ref="O1201" ca="1">IFERROR(INDEX(_xlfn.ANCHORARRAY($C$3),T_CALC[[#This Row],[DAY]]+1,5),NA())</f>
        <v>1.3448</v>
      </c>
      <c r="P1201" cm="1" vm="2611">
        <f t="array" aca="1" ref="P1201" ca="1">IFERROR(INDEX(_xlfn.ANCHORARRAY($C$3),T_CALC[[#This Row],[DAY]]+1,6),NA())</f>
        <v>1.3455999999999999</v>
      </c>
      <c r="Q1201" cm="1">
        <f t="array" aca="1" ref="Q1201" ca="1">IFERROR(INDEX(_xlfn.ANCHORARRAY($C$3),T_CALC[[#This Row],[DAY]]+1,2),NA())</f>
        <v>0</v>
      </c>
    </row>
    <row r="1202" spans="3:17">
      <c r="C1202" vm="161">
        <f ca="1"/>
        <v>44438</v>
      </c>
      <c r="D1202">
        <f ca="1"/>
        <v>0</v>
      </c>
      <c r="E1202" vm="2118">
        <f ca="1"/>
        <v>1.3458000000000001</v>
      </c>
      <c r="F1202" vm="2127">
        <f ca="1"/>
        <v>1.3475999999999999</v>
      </c>
      <c r="G1202" vm="2279">
        <f ca="1"/>
        <v>1.3436999999999999</v>
      </c>
      <c r="H1202" vm="2143">
        <f ca="1"/>
        <v>1.3452999999999999</v>
      </c>
      <c r="K1202">
        <f ca="1">IF(ROW(T_CALC[[#This Row],[DAY]])-ROW(T_CALC[[#Headers],[DAY]])&gt;C_N_TRADING_DAYS,"",ROW(T_CALC[[#This Row],[DAY]])-ROW(T_CALC[[#Headers],[DAY]]))</f>
        <v>1199</v>
      </c>
      <c r="L1202" cm="1" vm="161">
        <f t="array" aca="1" ref="L1202" ca="1">IFERROR(INDEX(_xlfn.ANCHORARRAY($C$3),T_CALC[[#This Row],[DAY]]+1,1),NA())</f>
        <v>44438</v>
      </c>
      <c r="M1202" cm="1" vm="2118">
        <f t="array" aca="1" ref="M1202" ca="1">IFERROR(INDEX(_xlfn.ANCHORARRAY($C$3),T_CALC[[#This Row],[DAY]]+1,3),NA())</f>
        <v>1.3458000000000001</v>
      </c>
      <c r="N1202" cm="1" vm="2127">
        <f t="array" aca="1" ref="N1202" ca="1">IFERROR(INDEX(_xlfn.ANCHORARRAY($C$3),T_CALC[[#This Row],[DAY]]+1,4),NA())</f>
        <v>1.3475999999999999</v>
      </c>
      <c r="O1202" cm="1" vm="2279">
        <f t="array" aca="1" ref="O1202" ca="1">IFERROR(INDEX(_xlfn.ANCHORARRAY($C$3),T_CALC[[#This Row],[DAY]]+1,5),NA())</f>
        <v>1.3436999999999999</v>
      </c>
      <c r="P1202" cm="1" vm="2143">
        <f t="array" aca="1" ref="P1202" ca="1">IFERROR(INDEX(_xlfn.ANCHORARRAY($C$3),T_CALC[[#This Row],[DAY]]+1,6),NA())</f>
        <v>1.3452999999999999</v>
      </c>
      <c r="Q1202" cm="1">
        <f t="array" aca="1" ref="Q1202" ca="1">IFERROR(INDEX(_xlfn.ANCHORARRAY($C$3),T_CALC[[#This Row],[DAY]]+1,2),NA())</f>
        <v>0</v>
      </c>
    </row>
    <row r="1203" spans="3:17">
      <c r="C1203" vm="162">
        <f ca="1"/>
        <v>44439</v>
      </c>
      <c r="D1203">
        <f ca="1"/>
        <v>0</v>
      </c>
      <c r="E1203" vm="2235">
        <f ca="1"/>
        <v>1.3452</v>
      </c>
      <c r="F1203" vm="2248">
        <f ca="1"/>
        <v>1.3456999999999999</v>
      </c>
      <c r="G1203" vm="2251">
        <f ca="1"/>
        <v>1.3414999999999999</v>
      </c>
      <c r="H1203" vm="2274">
        <f ca="1"/>
        <v>1.3447</v>
      </c>
      <c r="K1203">
        <f ca="1">IF(ROW(T_CALC[[#This Row],[DAY]])-ROW(T_CALC[[#Headers],[DAY]])&gt;C_N_TRADING_DAYS,"",ROW(T_CALC[[#This Row],[DAY]])-ROW(T_CALC[[#Headers],[DAY]]))</f>
        <v>1200</v>
      </c>
      <c r="L1203" cm="1" vm="162">
        <f t="array" aca="1" ref="L1203" ca="1">IFERROR(INDEX(_xlfn.ANCHORARRAY($C$3),T_CALC[[#This Row],[DAY]]+1,1),NA())</f>
        <v>44439</v>
      </c>
      <c r="M1203" cm="1" vm="2235">
        <f t="array" aca="1" ref="M1203" ca="1">IFERROR(INDEX(_xlfn.ANCHORARRAY($C$3),T_CALC[[#This Row],[DAY]]+1,3),NA())</f>
        <v>1.3452</v>
      </c>
      <c r="N1203" cm="1" vm="2248">
        <f t="array" aca="1" ref="N1203" ca="1">IFERROR(INDEX(_xlfn.ANCHORARRAY($C$3),T_CALC[[#This Row],[DAY]]+1,4),NA())</f>
        <v>1.3456999999999999</v>
      </c>
      <c r="O1203" cm="1" vm="2251">
        <f t="array" aca="1" ref="O1203" ca="1">IFERROR(INDEX(_xlfn.ANCHORARRAY($C$3),T_CALC[[#This Row],[DAY]]+1,5),NA())</f>
        <v>1.3414999999999999</v>
      </c>
      <c r="P1203" cm="1" vm="2274">
        <f t="array" aca="1" ref="P1203" ca="1">IFERROR(INDEX(_xlfn.ANCHORARRAY($C$3),T_CALC[[#This Row],[DAY]]+1,6),NA())</f>
        <v>1.3447</v>
      </c>
      <c r="Q1203" cm="1">
        <f t="array" aca="1" ref="Q1203" ca="1">IFERROR(INDEX(_xlfn.ANCHORARRAY($C$3),T_CALC[[#This Row],[DAY]]+1,2),NA())</f>
        <v>0</v>
      </c>
    </row>
    <row r="1204" spans="3:17">
      <c r="C1204" vm="163">
        <f ca="1"/>
        <v>44440</v>
      </c>
      <c r="D1204">
        <f ca="1"/>
        <v>0</v>
      </c>
      <c r="E1204" vm="2609">
        <f ca="1"/>
        <v>1.3446</v>
      </c>
      <c r="F1204" vm="2257">
        <f ca="1"/>
        <v>1.3471</v>
      </c>
      <c r="G1204" vm="2287">
        <f ca="1"/>
        <v>1.3427</v>
      </c>
      <c r="H1204" vm="2286">
        <f ca="1"/>
        <v>1.3443000000000001</v>
      </c>
      <c r="K1204">
        <f ca="1">IF(ROW(T_CALC[[#This Row],[DAY]])-ROW(T_CALC[[#Headers],[DAY]])&gt;C_N_TRADING_DAYS,"",ROW(T_CALC[[#This Row],[DAY]])-ROW(T_CALC[[#Headers],[DAY]]))</f>
        <v>1201</v>
      </c>
      <c r="L1204" cm="1" vm="163">
        <f t="array" aca="1" ref="L1204" ca="1">IFERROR(INDEX(_xlfn.ANCHORARRAY($C$3),T_CALC[[#This Row],[DAY]]+1,1),NA())</f>
        <v>44440</v>
      </c>
      <c r="M1204" cm="1" vm="2609">
        <f t="array" aca="1" ref="M1204" ca="1">IFERROR(INDEX(_xlfn.ANCHORARRAY($C$3),T_CALC[[#This Row],[DAY]]+1,3),NA())</f>
        <v>1.3446</v>
      </c>
      <c r="N1204" cm="1" vm="2257">
        <f t="array" aca="1" ref="N1204" ca="1">IFERROR(INDEX(_xlfn.ANCHORARRAY($C$3),T_CALC[[#This Row],[DAY]]+1,4),NA())</f>
        <v>1.3471</v>
      </c>
      <c r="O1204" cm="1" vm="2287">
        <f t="array" aca="1" ref="O1204" ca="1">IFERROR(INDEX(_xlfn.ANCHORARRAY($C$3),T_CALC[[#This Row],[DAY]]+1,5),NA())</f>
        <v>1.3427</v>
      </c>
      <c r="P1204" cm="1" vm="2286">
        <f t="array" aca="1" ref="P1204" ca="1">IFERROR(INDEX(_xlfn.ANCHORARRAY($C$3),T_CALC[[#This Row],[DAY]]+1,6),NA())</f>
        <v>1.3443000000000001</v>
      </c>
      <c r="Q1204" cm="1">
        <f t="array" aca="1" ref="Q1204" ca="1">IFERROR(INDEX(_xlfn.ANCHORARRAY($C$3),T_CALC[[#This Row],[DAY]]+1,2),NA())</f>
        <v>0</v>
      </c>
    </row>
    <row r="1205" spans="3:17">
      <c r="C1205" vm="164">
        <f ca="1"/>
        <v>44441</v>
      </c>
      <c r="D1205">
        <f ca="1"/>
        <v>0</v>
      </c>
      <c r="E1205" vm="2237">
        <f ca="1"/>
        <v>1.3442000000000001</v>
      </c>
      <c r="F1205" vm="2611">
        <f ca="1"/>
        <v>1.3455999999999999</v>
      </c>
      <c r="G1205" vm="3593">
        <f ca="1"/>
        <v>1.3418000000000001</v>
      </c>
      <c r="H1205" vm="2627">
        <f ca="1"/>
        <v>1.3423</v>
      </c>
      <c r="K1205">
        <f ca="1">IF(ROW(T_CALC[[#This Row],[DAY]])-ROW(T_CALC[[#Headers],[DAY]])&gt;C_N_TRADING_DAYS,"",ROW(T_CALC[[#This Row],[DAY]])-ROW(T_CALC[[#Headers],[DAY]]))</f>
        <v>1202</v>
      </c>
      <c r="L1205" cm="1" vm="164">
        <f t="array" aca="1" ref="L1205" ca="1">IFERROR(INDEX(_xlfn.ANCHORARRAY($C$3),T_CALC[[#This Row],[DAY]]+1,1),NA())</f>
        <v>44441</v>
      </c>
      <c r="M1205" cm="1" vm="2237">
        <f t="array" aca="1" ref="M1205" ca="1">IFERROR(INDEX(_xlfn.ANCHORARRAY($C$3),T_CALC[[#This Row],[DAY]]+1,3),NA())</f>
        <v>1.3442000000000001</v>
      </c>
      <c r="N1205" cm="1" vm="2611">
        <f t="array" aca="1" ref="N1205" ca="1">IFERROR(INDEX(_xlfn.ANCHORARRAY($C$3),T_CALC[[#This Row],[DAY]]+1,4),NA())</f>
        <v>1.3455999999999999</v>
      </c>
      <c r="O1205" cm="1" vm="3593">
        <f t="array" aca="1" ref="O1205" ca="1">IFERROR(INDEX(_xlfn.ANCHORARRAY($C$3),T_CALC[[#This Row],[DAY]]+1,5),NA())</f>
        <v>1.3418000000000001</v>
      </c>
      <c r="P1205" cm="1" vm="2627">
        <f t="array" aca="1" ref="P1205" ca="1">IFERROR(INDEX(_xlfn.ANCHORARRAY($C$3),T_CALC[[#This Row],[DAY]]+1,6),NA())</f>
        <v>1.3423</v>
      </c>
      <c r="Q1205" cm="1">
        <f t="array" aca="1" ref="Q1205" ca="1">IFERROR(INDEX(_xlfn.ANCHORARRAY($C$3),T_CALC[[#This Row],[DAY]]+1,2),NA())</f>
        <v>0</v>
      </c>
    </row>
    <row r="1206" spans="3:17">
      <c r="C1206" vm="165">
        <f ca="1"/>
        <v>44442</v>
      </c>
      <c r="D1206">
        <f ca="1"/>
        <v>0</v>
      </c>
      <c r="E1206" vm="2099">
        <f ca="1"/>
        <v>1.3425</v>
      </c>
      <c r="F1206" vm="2243">
        <f ca="1"/>
        <v>1.3434999999999999</v>
      </c>
      <c r="G1206" vm="2626">
        <f ca="1"/>
        <v>1.3391999999999999</v>
      </c>
      <c r="H1206" vm="2251">
        <f ca="1"/>
        <v>1.3414999999999999</v>
      </c>
      <c r="K1206">
        <f ca="1">IF(ROW(T_CALC[[#This Row],[DAY]])-ROW(T_CALC[[#Headers],[DAY]])&gt;C_N_TRADING_DAYS,"",ROW(T_CALC[[#This Row],[DAY]])-ROW(T_CALC[[#Headers],[DAY]]))</f>
        <v>1203</v>
      </c>
      <c r="L1206" cm="1" vm="165">
        <f t="array" aca="1" ref="L1206" ca="1">IFERROR(INDEX(_xlfn.ANCHORARRAY($C$3),T_CALC[[#This Row],[DAY]]+1,1),NA())</f>
        <v>44442</v>
      </c>
      <c r="M1206" cm="1" vm="2099">
        <f t="array" aca="1" ref="M1206" ca="1">IFERROR(INDEX(_xlfn.ANCHORARRAY($C$3),T_CALC[[#This Row],[DAY]]+1,3),NA())</f>
        <v>1.3425</v>
      </c>
      <c r="N1206" cm="1" vm="2243">
        <f t="array" aca="1" ref="N1206" ca="1">IFERROR(INDEX(_xlfn.ANCHORARRAY($C$3),T_CALC[[#This Row],[DAY]]+1,4),NA())</f>
        <v>1.3434999999999999</v>
      </c>
      <c r="O1206" cm="1" vm="2626">
        <f t="array" aca="1" ref="O1206" ca="1">IFERROR(INDEX(_xlfn.ANCHORARRAY($C$3),T_CALC[[#This Row],[DAY]]+1,5),NA())</f>
        <v>1.3391999999999999</v>
      </c>
      <c r="P1206" cm="1" vm="2251">
        <f t="array" aca="1" ref="P1206" ca="1">IFERROR(INDEX(_xlfn.ANCHORARRAY($C$3),T_CALC[[#This Row],[DAY]]+1,6),NA())</f>
        <v>1.3414999999999999</v>
      </c>
      <c r="Q1206" cm="1">
        <f t="array" aca="1" ref="Q1206" ca="1">IFERROR(INDEX(_xlfn.ANCHORARRAY($C$3),T_CALC[[#This Row],[DAY]]+1,2),NA())</f>
        <v>0</v>
      </c>
    </row>
    <row r="1207" spans="3:17">
      <c r="C1207" vm="166">
        <f ca="1"/>
        <v>44445</v>
      </c>
      <c r="D1207">
        <f ca="1"/>
        <v>0</v>
      </c>
      <c r="E1207" vm="3597">
        <f ca="1"/>
        <v>1.3411999999999999</v>
      </c>
      <c r="F1207" vm="2284">
        <f ca="1"/>
        <v>1.3431</v>
      </c>
      <c r="G1207" vm="2613">
        <f ca="1"/>
        <v>1.3402000000000001</v>
      </c>
      <c r="H1207" vm="3713">
        <f ca="1"/>
        <v>1.3422000000000001</v>
      </c>
      <c r="K1207">
        <f ca="1">IF(ROW(T_CALC[[#This Row],[DAY]])-ROW(T_CALC[[#Headers],[DAY]])&gt;C_N_TRADING_DAYS,"",ROW(T_CALC[[#This Row],[DAY]])-ROW(T_CALC[[#Headers],[DAY]]))</f>
        <v>1204</v>
      </c>
      <c r="L1207" cm="1" vm="166">
        <f t="array" aca="1" ref="L1207" ca="1">IFERROR(INDEX(_xlfn.ANCHORARRAY($C$3),T_CALC[[#This Row],[DAY]]+1,1),NA())</f>
        <v>44445</v>
      </c>
      <c r="M1207" cm="1" vm="3597">
        <f t="array" aca="1" ref="M1207" ca="1">IFERROR(INDEX(_xlfn.ANCHORARRAY($C$3),T_CALC[[#This Row],[DAY]]+1,3),NA())</f>
        <v>1.3411999999999999</v>
      </c>
      <c r="N1207" cm="1" vm="2284">
        <f t="array" aca="1" ref="N1207" ca="1">IFERROR(INDEX(_xlfn.ANCHORARRAY($C$3),T_CALC[[#This Row],[DAY]]+1,4),NA())</f>
        <v>1.3431</v>
      </c>
      <c r="O1207" cm="1" vm="2613">
        <f t="array" aca="1" ref="O1207" ca="1">IFERROR(INDEX(_xlfn.ANCHORARRAY($C$3),T_CALC[[#This Row],[DAY]]+1,5),NA())</f>
        <v>1.3402000000000001</v>
      </c>
      <c r="P1207" cm="1" vm="3713">
        <f t="array" aca="1" ref="P1207" ca="1">IFERROR(INDEX(_xlfn.ANCHORARRAY($C$3),T_CALC[[#This Row],[DAY]]+1,6),NA())</f>
        <v>1.3422000000000001</v>
      </c>
      <c r="Q1207" cm="1">
        <f t="array" aca="1" ref="Q1207" ca="1">IFERROR(INDEX(_xlfn.ANCHORARRAY($C$3),T_CALC[[#This Row],[DAY]]+1,2),NA())</f>
        <v>0</v>
      </c>
    </row>
    <row r="1208" spans="3:17">
      <c r="C1208" vm="167">
        <f ca="1"/>
        <v>44446</v>
      </c>
      <c r="D1208">
        <f ca="1"/>
        <v>0</v>
      </c>
      <c r="E1208" vm="3690">
        <f ca="1"/>
        <v>1.3421000000000001</v>
      </c>
      <c r="F1208" vm="2108">
        <f ca="1"/>
        <v>1.3465</v>
      </c>
      <c r="G1208" vm="3631">
        <f ca="1"/>
        <v>1.3403</v>
      </c>
      <c r="H1208" vm="2143">
        <f ca="1"/>
        <v>1.3452999999999999</v>
      </c>
      <c r="K1208">
        <f ca="1">IF(ROW(T_CALC[[#This Row],[DAY]])-ROW(T_CALC[[#Headers],[DAY]])&gt;C_N_TRADING_DAYS,"",ROW(T_CALC[[#This Row],[DAY]])-ROW(T_CALC[[#Headers],[DAY]]))</f>
        <v>1205</v>
      </c>
      <c r="L1208" cm="1" vm="167">
        <f t="array" aca="1" ref="L1208" ca="1">IFERROR(INDEX(_xlfn.ANCHORARRAY($C$3),T_CALC[[#This Row],[DAY]]+1,1),NA())</f>
        <v>44446</v>
      </c>
      <c r="M1208" cm="1" vm="3690">
        <f t="array" aca="1" ref="M1208" ca="1">IFERROR(INDEX(_xlfn.ANCHORARRAY($C$3),T_CALC[[#This Row],[DAY]]+1,3),NA())</f>
        <v>1.3421000000000001</v>
      </c>
      <c r="N1208" cm="1" vm="2108">
        <f t="array" aca="1" ref="N1208" ca="1">IFERROR(INDEX(_xlfn.ANCHORARRAY($C$3),T_CALC[[#This Row],[DAY]]+1,4),NA())</f>
        <v>1.3465</v>
      </c>
      <c r="O1208" cm="1" vm="3631">
        <f t="array" aca="1" ref="O1208" ca="1">IFERROR(INDEX(_xlfn.ANCHORARRAY($C$3),T_CALC[[#This Row],[DAY]]+1,5),NA())</f>
        <v>1.3403</v>
      </c>
      <c r="P1208" cm="1" vm="2143">
        <f t="array" aca="1" ref="P1208" ca="1">IFERROR(INDEX(_xlfn.ANCHORARRAY($C$3),T_CALC[[#This Row],[DAY]]+1,6),NA())</f>
        <v>1.3452999999999999</v>
      </c>
      <c r="Q1208" cm="1">
        <f t="array" aca="1" ref="Q1208" ca="1">IFERROR(INDEX(_xlfn.ANCHORARRAY($C$3),T_CALC[[#This Row],[DAY]]+1,2),NA())</f>
        <v>0</v>
      </c>
    </row>
    <row r="1209" spans="3:17">
      <c r="C1209" vm="168">
        <f ca="1"/>
        <v>44447</v>
      </c>
      <c r="D1209">
        <f ca="1"/>
        <v>0</v>
      </c>
      <c r="E1209" vm="2611">
        <f ca="1"/>
        <v>1.3455999999999999</v>
      </c>
      <c r="F1209" vm="3217">
        <f ca="1"/>
        <v>1.347</v>
      </c>
      <c r="G1209" vm="2289">
        <f ca="1"/>
        <v>1.3444</v>
      </c>
      <c r="H1209" vm="2141">
        <f ca="1"/>
        <v>1.3453999999999999</v>
      </c>
      <c r="K1209">
        <f ca="1">IF(ROW(T_CALC[[#This Row],[DAY]])-ROW(T_CALC[[#Headers],[DAY]])&gt;C_N_TRADING_DAYS,"",ROW(T_CALC[[#This Row],[DAY]])-ROW(T_CALC[[#Headers],[DAY]]))</f>
        <v>1206</v>
      </c>
      <c r="L1209" cm="1" vm="168">
        <f t="array" aca="1" ref="L1209" ca="1">IFERROR(INDEX(_xlfn.ANCHORARRAY($C$3),T_CALC[[#This Row],[DAY]]+1,1),NA())</f>
        <v>44447</v>
      </c>
      <c r="M1209" cm="1" vm="2611">
        <f t="array" aca="1" ref="M1209" ca="1">IFERROR(INDEX(_xlfn.ANCHORARRAY($C$3),T_CALC[[#This Row],[DAY]]+1,3),NA())</f>
        <v>1.3455999999999999</v>
      </c>
      <c r="N1209" cm="1" vm="3217">
        <f t="array" aca="1" ref="N1209" ca="1">IFERROR(INDEX(_xlfn.ANCHORARRAY($C$3),T_CALC[[#This Row],[DAY]]+1,4),NA())</f>
        <v>1.347</v>
      </c>
      <c r="O1209" cm="1" vm="2289">
        <f t="array" aca="1" ref="O1209" ca="1">IFERROR(INDEX(_xlfn.ANCHORARRAY($C$3),T_CALC[[#This Row],[DAY]]+1,5),NA())</f>
        <v>1.3444</v>
      </c>
      <c r="P1209" cm="1" vm="2141">
        <f t="array" aca="1" ref="P1209" ca="1">IFERROR(INDEX(_xlfn.ANCHORARRAY($C$3),T_CALC[[#This Row],[DAY]]+1,6),NA())</f>
        <v>1.3453999999999999</v>
      </c>
      <c r="Q1209" cm="1">
        <f t="array" aca="1" ref="Q1209" ca="1">IFERROR(INDEX(_xlfn.ANCHORARRAY($C$3),T_CALC[[#This Row],[DAY]]+1,2),NA())</f>
        <v>0</v>
      </c>
    </row>
    <row r="1210" spans="3:17">
      <c r="C1210" vm="169">
        <f ca="1"/>
        <v>44448</v>
      </c>
      <c r="D1210">
        <f ca="1"/>
        <v>0</v>
      </c>
      <c r="E1210" vm="2141">
        <f ca="1"/>
        <v>1.3453999999999999</v>
      </c>
      <c r="F1210" vm="2257">
        <f ca="1"/>
        <v>1.3471</v>
      </c>
      <c r="G1210" vm="3696">
        <f ca="1"/>
        <v>1.3411</v>
      </c>
      <c r="H1210" vm="2140">
        <f ca="1"/>
        <v>1.343</v>
      </c>
      <c r="K1210">
        <f ca="1">IF(ROW(T_CALC[[#This Row],[DAY]])-ROW(T_CALC[[#Headers],[DAY]])&gt;C_N_TRADING_DAYS,"",ROW(T_CALC[[#This Row],[DAY]])-ROW(T_CALC[[#Headers],[DAY]]))</f>
        <v>1207</v>
      </c>
      <c r="L1210" cm="1" vm="169">
        <f t="array" aca="1" ref="L1210" ca="1">IFERROR(INDEX(_xlfn.ANCHORARRAY($C$3),T_CALC[[#This Row],[DAY]]+1,1),NA())</f>
        <v>44448</v>
      </c>
      <c r="M1210" cm="1" vm="2141">
        <f t="array" aca="1" ref="M1210" ca="1">IFERROR(INDEX(_xlfn.ANCHORARRAY($C$3),T_CALC[[#This Row],[DAY]]+1,3),NA())</f>
        <v>1.3453999999999999</v>
      </c>
      <c r="N1210" cm="1" vm="2257">
        <f t="array" aca="1" ref="N1210" ca="1">IFERROR(INDEX(_xlfn.ANCHORARRAY($C$3),T_CALC[[#This Row],[DAY]]+1,4),NA())</f>
        <v>1.3471</v>
      </c>
      <c r="O1210" cm="1" vm="3696">
        <f t="array" aca="1" ref="O1210" ca="1">IFERROR(INDEX(_xlfn.ANCHORARRAY($C$3),T_CALC[[#This Row],[DAY]]+1,5),NA())</f>
        <v>1.3411</v>
      </c>
      <c r="P1210" cm="1" vm="2140">
        <f t="array" aca="1" ref="P1210" ca="1">IFERROR(INDEX(_xlfn.ANCHORARRAY($C$3),T_CALC[[#This Row],[DAY]]+1,6),NA())</f>
        <v>1.343</v>
      </c>
      <c r="Q1210" cm="1">
        <f t="array" aca="1" ref="Q1210" ca="1">IFERROR(INDEX(_xlfn.ANCHORARRAY($C$3),T_CALC[[#This Row],[DAY]]+1,2),NA())</f>
        <v>0</v>
      </c>
    </row>
    <row r="1211" spans="3:17">
      <c r="C1211" vm="170">
        <f ca="1"/>
        <v>44449</v>
      </c>
      <c r="D1211">
        <f ca="1"/>
        <v>0</v>
      </c>
      <c r="E1211" vm="2629">
        <f ca="1"/>
        <v>1.3428</v>
      </c>
      <c r="F1211" vm="2115">
        <f ca="1"/>
        <v>1.3433999999999999</v>
      </c>
      <c r="G1211" vm="2656">
        <f ca="1"/>
        <v>1.3375999999999999</v>
      </c>
      <c r="H1211" vm="3695">
        <f ca="1"/>
        <v>1.3412999999999999</v>
      </c>
      <c r="K1211">
        <f ca="1">IF(ROW(T_CALC[[#This Row],[DAY]])-ROW(T_CALC[[#Headers],[DAY]])&gt;C_N_TRADING_DAYS,"",ROW(T_CALC[[#This Row],[DAY]])-ROW(T_CALC[[#Headers],[DAY]]))</f>
        <v>1208</v>
      </c>
      <c r="L1211" cm="1" vm="170">
        <f t="array" aca="1" ref="L1211" ca="1">IFERROR(INDEX(_xlfn.ANCHORARRAY($C$3),T_CALC[[#This Row],[DAY]]+1,1),NA())</f>
        <v>44449</v>
      </c>
      <c r="M1211" cm="1" vm="2629">
        <f t="array" aca="1" ref="M1211" ca="1">IFERROR(INDEX(_xlfn.ANCHORARRAY($C$3),T_CALC[[#This Row],[DAY]]+1,3),NA())</f>
        <v>1.3428</v>
      </c>
      <c r="N1211" cm="1" vm="2115">
        <f t="array" aca="1" ref="N1211" ca="1">IFERROR(INDEX(_xlfn.ANCHORARRAY($C$3),T_CALC[[#This Row],[DAY]]+1,4),NA())</f>
        <v>1.3433999999999999</v>
      </c>
      <c r="O1211" cm="1" vm="2656">
        <f t="array" aca="1" ref="O1211" ca="1">IFERROR(INDEX(_xlfn.ANCHORARRAY($C$3),T_CALC[[#This Row],[DAY]]+1,5),NA())</f>
        <v>1.3375999999999999</v>
      </c>
      <c r="P1211" cm="1" vm="3695">
        <f t="array" aca="1" ref="P1211" ca="1">IFERROR(INDEX(_xlfn.ANCHORARRAY($C$3),T_CALC[[#This Row],[DAY]]+1,6),NA())</f>
        <v>1.3412999999999999</v>
      </c>
      <c r="Q1211" cm="1">
        <f t="array" aca="1" ref="Q1211" ca="1">IFERROR(INDEX(_xlfn.ANCHORARRAY($C$3),T_CALC[[#This Row],[DAY]]+1,2),NA())</f>
        <v>0</v>
      </c>
    </row>
    <row r="1212" spans="3:17">
      <c r="C1212" vm="171">
        <f ca="1"/>
        <v>44452</v>
      </c>
      <c r="D1212">
        <f ca="1"/>
        <v>0</v>
      </c>
      <c r="E1212" vm="2596">
        <f ca="1"/>
        <v>1.3415999999999999</v>
      </c>
      <c r="F1212" vm="3214">
        <f ca="1"/>
        <v>1.3441000000000001</v>
      </c>
      <c r="G1212" vm="3693">
        <f ca="1"/>
        <v>1.3408</v>
      </c>
      <c r="H1212" vm="2633">
        <f ca="1"/>
        <v>1.3416999999999999</v>
      </c>
      <c r="K1212">
        <f ca="1">IF(ROW(T_CALC[[#This Row],[DAY]])-ROW(T_CALC[[#Headers],[DAY]])&gt;C_N_TRADING_DAYS,"",ROW(T_CALC[[#This Row],[DAY]])-ROW(T_CALC[[#Headers],[DAY]]))</f>
        <v>1209</v>
      </c>
      <c r="L1212" cm="1" vm="171">
        <f t="array" aca="1" ref="L1212" ca="1">IFERROR(INDEX(_xlfn.ANCHORARRAY($C$3),T_CALC[[#This Row],[DAY]]+1,1),NA())</f>
        <v>44452</v>
      </c>
      <c r="M1212" cm="1" vm="2596">
        <f t="array" aca="1" ref="M1212" ca="1">IFERROR(INDEX(_xlfn.ANCHORARRAY($C$3),T_CALC[[#This Row],[DAY]]+1,3),NA())</f>
        <v>1.3415999999999999</v>
      </c>
      <c r="N1212" cm="1" vm="3214">
        <f t="array" aca="1" ref="N1212" ca="1">IFERROR(INDEX(_xlfn.ANCHORARRAY($C$3),T_CALC[[#This Row],[DAY]]+1,4),NA())</f>
        <v>1.3441000000000001</v>
      </c>
      <c r="O1212" cm="1" vm="3693">
        <f t="array" aca="1" ref="O1212" ca="1">IFERROR(INDEX(_xlfn.ANCHORARRAY($C$3),T_CALC[[#This Row],[DAY]]+1,5),NA())</f>
        <v>1.3408</v>
      </c>
      <c r="P1212" cm="1" vm="2633">
        <f t="array" aca="1" ref="P1212" ca="1">IFERROR(INDEX(_xlfn.ANCHORARRAY($C$3),T_CALC[[#This Row],[DAY]]+1,6),NA())</f>
        <v>1.3416999999999999</v>
      </c>
      <c r="Q1212" cm="1">
        <f t="array" aca="1" ref="Q1212" ca="1">IFERROR(INDEX(_xlfn.ANCHORARRAY($C$3),T_CALC[[#This Row],[DAY]]+1,2),NA())</f>
        <v>0</v>
      </c>
    </row>
    <row r="1213" spans="3:17">
      <c r="C1213" vm="172">
        <f ca="1"/>
        <v>44453</v>
      </c>
      <c r="D1213">
        <f ca="1"/>
        <v>0</v>
      </c>
      <c r="E1213" vm="3593">
        <f ca="1"/>
        <v>1.3418000000000001</v>
      </c>
      <c r="F1213" vm="3214">
        <f ca="1"/>
        <v>1.3441000000000001</v>
      </c>
      <c r="G1213" vm="3591">
        <f ca="1"/>
        <v>1.3398000000000001</v>
      </c>
      <c r="H1213" vm="2246">
        <f ca="1"/>
        <v>1.3435999999999999</v>
      </c>
      <c r="K1213">
        <f ca="1">IF(ROW(T_CALC[[#This Row],[DAY]])-ROW(T_CALC[[#Headers],[DAY]])&gt;C_N_TRADING_DAYS,"",ROW(T_CALC[[#This Row],[DAY]])-ROW(T_CALC[[#Headers],[DAY]]))</f>
        <v>1210</v>
      </c>
      <c r="L1213" cm="1" vm="172">
        <f t="array" aca="1" ref="L1213" ca="1">IFERROR(INDEX(_xlfn.ANCHORARRAY($C$3),T_CALC[[#This Row],[DAY]]+1,1),NA())</f>
        <v>44453</v>
      </c>
      <c r="M1213" cm="1" vm="3593">
        <f t="array" aca="1" ref="M1213" ca="1">IFERROR(INDEX(_xlfn.ANCHORARRAY($C$3),T_CALC[[#This Row],[DAY]]+1,3),NA())</f>
        <v>1.3418000000000001</v>
      </c>
      <c r="N1213" cm="1" vm="3214">
        <f t="array" aca="1" ref="N1213" ca="1">IFERROR(INDEX(_xlfn.ANCHORARRAY($C$3),T_CALC[[#This Row],[DAY]]+1,4),NA())</f>
        <v>1.3441000000000001</v>
      </c>
      <c r="O1213" cm="1" vm="3591">
        <f t="array" aca="1" ref="O1213" ca="1">IFERROR(INDEX(_xlfn.ANCHORARRAY($C$3),T_CALC[[#This Row],[DAY]]+1,5),NA())</f>
        <v>1.3398000000000001</v>
      </c>
      <c r="P1213" cm="1" vm="2246">
        <f t="array" aca="1" ref="P1213" ca="1">IFERROR(INDEX(_xlfn.ANCHORARRAY($C$3),T_CALC[[#This Row],[DAY]]+1,6),NA())</f>
        <v>1.3435999999999999</v>
      </c>
      <c r="Q1213" cm="1">
        <f t="array" aca="1" ref="Q1213" ca="1">IFERROR(INDEX(_xlfn.ANCHORARRAY($C$3),T_CALC[[#This Row],[DAY]]+1,2),NA())</f>
        <v>0</v>
      </c>
    </row>
    <row r="1214" spans="3:17">
      <c r="C1214" vm="173">
        <f ca="1"/>
        <v>44454</v>
      </c>
      <c r="D1214">
        <f ca="1"/>
        <v>0</v>
      </c>
      <c r="E1214" vm="2279">
        <f ca="1"/>
        <v>1.3436999999999999</v>
      </c>
      <c r="F1214" vm="3214">
        <f ca="1"/>
        <v>1.3441000000000001</v>
      </c>
      <c r="G1214" vm="3714">
        <f ca="1"/>
        <v>1.3404</v>
      </c>
      <c r="H1214" vm="2295">
        <f ca="1"/>
        <v>1.3407</v>
      </c>
      <c r="K1214">
        <f ca="1">IF(ROW(T_CALC[[#This Row],[DAY]])-ROW(T_CALC[[#Headers],[DAY]])&gt;C_N_TRADING_DAYS,"",ROW(T_CALC[[#This Row],[DAY]])-ROW(T_CALC[[#Headers],[DAY]]))</f>
        <v>1211</v>
      </c>
      <c r="L1214" cm="1" vm="173">
        <f t="array" aca="1" ref="L1214" ca="1">IFERROR(INDEX(_xlfn.ANCHORARRAY($C$3),T_CALC[[#This Row],[DAY]]+1,1),NA())</f>
        <v>44454</v>
      </c>
      <c r="M1214" cm="1" vm="2279">
        <f t="array" aca="1" ref="M1214" ca="1">IFERROR(INDEX(_xlfn.ANCHORARRAY($C$3),T_CALC[[#This Row],[DAY]]+1,3),NA())</f>
        <v>1.3436999999999999</v>
      </c>
      <c r="N1214" cm="1" vm="3214">
        <f t="array" aca="1" ref="N1214" ca="1">IFERROR(INDEX(_xlfn.ANCHORARRAY($C$3),T_CALC[[#This Row],[DAY]]+1,4),NA())</f>
        <v>1.3441000000000001</v>
      </c>
      <c r="O1214" cm="1" vm="3714">
        <f t="array" aca="1" ref="O1214" ca="1">IFERROR(INDEX(_xlfn.ANCHORARRAY($C$3),T_CALC[[#This Row],[DAY]]+1,5),NA())</f>
        <v>1.3404</v>
      </c>
      <c r="P1214" cm="1" vm="2295">
        <f t="array" aca="1" ref="P1214" ca="1">IFERROR(INDEX(_xlfn.ANCHORARRAY($C$3),T_CALC[[#This Row],[DAY]]+1,6),NA())</f>
        <v>1.3407</v>
      </c>
      <c r="Q1214" cm="1">
        <f t="array" aca="1" ref="Q1214" ca="1">IFERROR(INDEX(_xlfn.ANCHORARRAY($C$3),T_CALC[[#This Row],[DAY]]+1,2),NA())</f>
        <v>0</v>
      </c>
    </row>
    <row r="1215" spans="3:17">
      <c r="C1215" vm="174">
        <f ca="1"/>
        <v>44455</v>
      </c>
      <c r="D1215">
        <f ca="1"/>
        <v>0</v>
      </c>
      <c r="E1215" vm="3597">
        <f ca="1"/>
        <v>1.3411999999999999</v>
      </c>
      <c r="F1215" vm="2281">
        <f ca="1"/>
        <v>1.3461000000000001</v>
      </c>
      <c r="G1215" vm="2613">
        <f ca="1"/>
        <v>1.3402000000000001</v>
      </c>
      <c r="H1215" vm="2143">
        <f ca="1"/>
        <v>1.3452999999999999</v>
      </c>
      <c r="K1215">
        <f ca="1">IF(ROW(T_CALC[[#This Row],[DAY]])-ROW(T_CALC[[#Headers],[DAY]])&gt;C_N_TRADING_DAYS,"",ROW(T_CALC[[#This Row],[DAY]])-ROW(T_CALC[[#Headers],[DAY]]))</f>
        <v>1212</v>
      </c>
      <c r="L1215" cm="1" vm="174">
        <f t="array" aca="1" ref="L1215" ca="1">IFERROR(INDEX(_xlfn.ANCHORARRAY($C$3),T_CALC[[#This Row],[DAY]]+1,1),NA())</f>
        <v>44455</v>
      </c>
      <c r="M1215" cm="1" vm="3597">
        <f t="array" aca="1" ref="M1215" ca="1">IFERROR(INDEX(_xlfn.ANCHORARRAY($C$3),T_CALC[[#This Row],[DAY]]+1,3),NA())</f>
        <v>1.3411999999999999</v>
      </c>
      <c r="N1215" cm="1" vm="2281">
        <f t="array" aca="1" ref="N1215" ca="1">IFERROR(INDEX(_xlfn.ANCHORARRAY($C$3),T_CALC[[#This Row],[DAY]]+1,4),NA())</f>
        <v>1.3461000000000001</v>
      </c>
      <c r="O1215" cm="1" vm="2613">
        <f t="array" aca="1" ref="O1215" ca="1">IFERROR(INDEX(_xlfn.ANCHORARRAY($C$3),T_CALC[[#This Row],[DAY]]+1,5),NA())</f>
        <v>1.3402000000000001</v>
      </c>
      <c r="P1215" cm="1" vm="2143">
        <f t="array" aca="1" ref="P1215" ca="1">IFERROR(INDEX(_xlfn.ANCHORARRAY($C$3),T_CALC[[#This Row],[DAY]]+1,6),NA())</f>
        <v>1.3452999999999999</v>
      </c>
      <c r="Q1215" cm="1">
        <f t="array" aca="1" ref="Q1215" ca="1">IFERROR(INDEX(_xlfn.ANCHORARRAY($C$3),T_CALC[[#This Row],[DAY]]+1,2),NA())</f>
        <v>0</v>
      </c>
    </row>
    <row r="1216" spans="3:17">
      <c r="C1216" vm="175">
        <f ca="1"/>
        <v>44456</v>
      </c>
      <c r="D1216">
        <f ca="1"/>
        <v>0</v>
      </c>
      <c r="E1216" vm="2256">
        <f ca="1"/>
        <v>1.3448</v>
      </c>
      <c r="F1216" vm="2922">
        <f ca="1"/>
        <v>1.3492999999999999</v>
      </c>
      <c r="G1216" vm="2286">
        <f ca="1"/>
        <v>1.3443000000000001</v>
      </c>
      <c r="H1216" vm="2181">
        <f ca="1"/>
        <v>1.3488</v>
      </c>
      <c r="K1216">
        <f ca="1">IF(ROW(T_CALC[[#This Row],[DAY]])-ROW(T_CALC[[#Headers],[DAY]])&gt;C_N_TRADING_DAYS,"",ROW(T_CALC[[#This Row],[DAY]])-ROW(T_CALC[[#Headers],[DAY]]))</f>
        <v>1213</v>
      </c>
      <c r="L1216" cm="1" vm="175">
        <f t="array" aca="1" ref="L1216" ca="1">IFERROR(INDEX(_xlfn.ANCHORARRAY($C$3),T_CALC[[#This Row],[DAY]]+1,1),NA())</f>
        <v>44456</v>
      </c>
      <c r="M1216" cm="1" vm="2256">
        <f t="array" aca="1" ref="M1216" ca="1">IFERROR(INDEX(_xlfn.ANCHORARRAY($C$3),T_CALC[[#This Row],[DAY]]+1,3),NA())</f>
        <v>1.3448</v>
      </c>
      <c r="N1216" cm="1" vm="2922">
        <f t="array" aca="1" ref="N1216" ca="1">IFERROR(INDEX(_xlfn.ANCHORARRAY($C$3),T_CALC[[#This Row],[DAY]]+1,4),NA())</f>
        <v>1.3492999999999999</v>
      </c>
      <c r="O1216" cm="1" vm="2286">
        <f t="array" aca="1" ref="O1216" ca="1">IFERROR(INDEX(_xlfn.ANCHORARRAY($C$3),T_CALC[[#This Row],[DAY]]+1,5),NA())</f>
        <v>1.3443000000000001</v>
      </c>
      <c r="P1216" cm="1" vm="2181">
        <f t="array" aca="1" ref="P1216" ca="1">IFERROR(INDEX(_xlfn.ANCHORARRAY($C$3),T_CALC[[#This Row],[DAY]]+1,6),NA())</f>
        <v>1.3488</v>
      </c>
      <c r="Q1216" cm="1">
        <f t="array" aca="1" ref="Q1216" ca="1">IFERROR(INDEX(_xlfn.ANCHORARRAY($C$3),T_CALC[[#This Row],[DAY]]+1,2),NA())</f>
        <v>0</v>
      </c>
    </row>
    <row r="1217" spans="3:17">
      <c r="C1217" vm="176">
        <f ca="1"/>
        <v>44459</v>
      </c>
      <c r="D1217">
        <f ca="1"/>
        <v>0</v>
      </c>
      <c r="E1217" vm="3226">
        <f ca="1"/>
        <v>1.3487</v>
      </c>
      <c r="F1217" vm="2073">
        <f ca="1"/>
        <v>1.3532</v>
      </c>
      <c r="G1217" vm="2109">
        <f ca="1"/>
        <v>1.3481000000000001</v>
      </c>
      <c r="H1217" vm="2178">
        <f ca="1"/>
        <v>1.3523000000000001</v>
      </c>
      <c r="K1217">
        <f ca="1">IF(ROW(T_CALC[[#This Row],[DAY]])-ROW(T_CALC[[#Headers],[DAY]])&gt;C_N_TRADING_DAYS,"",ROW(T_CALC[[#This Row],[DAY]])-ROW(T_CALC[[#Headers],[DAY]]))</f>
        <v>1214</v>
      </c>
      <c r="L1217" cm="1" vm="176">
        <f t="array" aca="1" ref="L1217" ca="1">IFERROR(INDEX(_xlfn.ANCHORARRAY($C$3),T_CALC[[#This Row],[DAY]]+1,1),NA())</f>
        <v>44459</v>
      </c>
      <c r="M1217" cm="1" vm="3226">
        <f t="array" aca="1" ref="M1217" ca="1">IFERROR(INDEX(_xlfn.ANCHORARRAY($C$3),T_CALC[[#This Row],[DAY]]+1,3),NA())</f>
        <v>1.3487</v>
      </c>
      <c r="N1217" cm="1" vm="2073">
        <f t="array" aca="1" ref="N1217" ca="1">IFERROR(INDEX(_xlfn.ANCHORARRAY($C$3),T_CALC[[#This Row],[DAY]]+1,4),NA())</f>
        <v>1.3532</v>
      </c>
      <c r="O1217" cm="1" vm="2109">
        <f t="array" aca="1" ref="O1217" ca="1">IFERROR(INDEX(_xlfn.ANCHORARRAY($C$3),T_CALC[[#This Row],[DAY]]+1,5),NA())</f>
        <v>1.3481000000000001</v>
      </c>
      <c r="P1217" cm="1" vm="2178">
        <f t="array" aca="1" ref="P1217" ca="1">IFERROR(INDEX(_xlfn.ANCHORARRAY($C$3),T_CALC[[#This Row],[DAY]]+1,6),NA())</f>
        <v>1.3523000000000001</v>
      </c>
      <c r="Q1217" cm="1">
        <f t="array" aca="1" ref="Q1217" ca="1">IFERROR(INDEX(_xlfn.ANCHORARRAY($C$3),T_CALC[[#This Row],[DAY]]+1,2),NA())</f>
        <v>0</v>
      </c>
    </row>
    <row r="1218" spans="3:17">
      <c r="C1218" vm="177">
        <f ca="1"/>
        <v>44460</v>
      </c>
      <c r="D1218">
        <f ca="1"/>
        <v>0</v>
      </c>
      <c r="E1218" vm="2094">
        <f ca="1"/>
        <v>1.3508</v>
      </c>
      <c r="F1218" vm="2671">
        <f ca="1"/>
        <v>1.3531</v>
      </c>
      <c r="G1218" vm="2129">
        <f ca="1"/>
        <v>1.3493999999999999</v>
      </c>
      <c r="H1218" vm="2265">
        <f ca="1"/>
        <v>1.3520000000000001</v>
      </c>
      <c r="K1218">
        <f ca="1">IF(ROW(T_CALC[[#This Row],[DAY]])-ROW(T_CALC[[#Headers],[DAY]])&gt;C_N_TRADING_DAYS,"",ROW(T_CALC[[#This Row],[DAY]])-ROW(T_CALC[[#Headers],[DAY]]))</f>
        <v>1215</v>
      </c>
      <c r="L1218" cm="1" vm="177">
        <f t="array" aca="1" ref="L1218" ca="1">IFERROR(INDEX(_xlfn.ANCHORARRAY($C$3),T_CALC[[#This Row],[DAY]]+1,1),NA())</f>
        <v>44460</v>
      </c>
      <c r="M1218" cm="1" vm="2094">
        <f t="array" aca="1" ref="M1218" ca="1">IFERROR(INDEX(_xlfn.ANCHORARRAY($C$3),T_CALC[[#This Row],[DAY]]+1,3),NA())</f>
        <v>1.3508</v>
      </c>
      <c r="N1218" cm="1" vm="2671">
        <f t="array" aca="1" ref="N1218" ca="1">IFERROR(INDEX(_xlfn.ANCHORARRAY($C$3),T_CALC[[#This Row],[DAY]]+1,4),NA())</f>
        <v>1.3531</v>
      </c>
      <c r="O1218" cm="1" vm="2129">
        <f t="array" aca="1" ref="O1218" ca="1">IFERROR(INDEX(_xlfn.ANCHORARRAY($C$3),T_CALC[[#This Row],[DAY]]+1,5),NA())</f>
        <v>1.3493999999999999</v>
      </c>
      <c r="P1218" cm="1" vm="2265">
        <f t="array" aca="1" ref="P1218" ca="1">IFERROR(INDEX(_xlfn.ANCHORARRAY($C$3),T_CALC[[#This Row],[DAY]]+1,6),NA())</f>
        <v>1.3520000000000001</v>
      </c>
      <c r="Q1218" cm="1">
        <f t="array" aca="1" ref="Q1218" ca="1">IFERROR(INDEX(_xlfn.ANCHORARRAY($C$3),T_CALC[[#This Row],[DAY]]+1,2),NA())</f>
        <v>0</v>
      </c>
    </row>
    <row r="1219" spans="3:17">
      <c r="C1219" vm="178">
        <f ca="1"/>
        <v>44461</v>
      </c>
      <c r="D1219">
        <f ca="1"/>
        <v>0</v>
      </c>
      <c r="E1219" vm="2663">
        <f ca="1"/>
        <v>1.3517999999999999</v>
      </c>
      <c r="F1219" vm="2061">
        <f ca="1"/>
        <v>1.3547</v>
      </c>
      <c r="G1219" vm="2133">
        <f ca="1"/>
        <v>1.3484</v>
      </c>
      <c r="H1219" vm="1993">
        <f ca="1"/>
        <v>1.3535999999999999</v>
      </c>
      <c r="K1219">
        <f ca="1">IF(ROW(T_CALC[[#This Row],[DAY]])-ROW(T_CALC[[#Headers],[DAY]])&gt;C_N_TRADING_DAYS,"",ROW(T_CALC[[#This Row],[DAY]])-ROW(T_CALC[[#Headers],[DAY]]))</f>
        <v>1216</v>
      </c>
      <c r="L1219" cm="1" vm="178">
        <f t="array" aca="1" ref="L1219" ca="1">IFERROR(INDEX(_xlfn.ANCHORARRAY($C$3),T_CALC[[#This Row],[DAY]]+1,1),NA())</f>
        <v>44461</v>
      </c>
      <c r="M1219" cm="1" vm="2663">
        <f t="array" aca="1" ref="M1219" ca="1">IFERROR(INDEX(_xlfn.ANCHORARRAY($C$3),T_CALC[[#This Row],[DAY]]+1,3),NA())</f>
        <v>1.3517999999999999</v>
      </c>
      <c r="N1219" cm="1" vm="2061">
        <f t="array" aca="1" ref="N1219" ca="1">IFERROR(INDEX(_xlfn.ANCHORARRAY($C$3),T_CALC[[#This Row],[DAY]]+1,4),NA())</f>
        <v>1.3547</v>
      </c>
      <c r="O1219" cm="1" vm="2133">
        <f t="array" aca="1" ref="O1219" ca="1">IFERROR(INDEX(_xlfn.ANCHORARRAY($C$3),T_CALC[[#This Row],[DAY]]+1,5),NA())</f>
        <v>1.3484</v>
      </c>
      <c r="P1219" cm="1" vm="1993">
        <f t="array" aca="1" ref="P1219" ca="1">IFERROR(INDEX(_xlfn.ANCHORARRAY($C$3),T_CALC[[#This Row],[DAY]]+1,6),NA())</f>
        <v>1.3535999999999999</v>
      </c>
      <c r="Q1219" cm="1">
        <f t="array" aca="1" ref="Q1219" ca="1">IFERROR(INDEX(_xlfn.ANCHORARRAY($C$3),T_CALC[[#This Row],[DAY]]+1,2),NA())</f>
        <v>0</v>
      </c>
    </row>
    <row r="1220" spans="3:17">
      <c r="C1220" vm="179">
        <f ca="1"/>
        <v>44462</v>
      </c>
      <c r="D1220">
        <f ca="1"/>
        <v>0</v>
      </c>
      <c r="E1220" vm="2928">
        <f ca="1"/>
        <v>1.3534999999999999</v>
      </c>
      <c r="F1220" vm="2153">
        <f ca="1"/>
        <v>1.3551</v>
      </c>
      <c r="G1220" vm="2130">
        <f ca="1"/>
        <v>1.3464</v>
      </c>
      <c r="H1220" vm="2259">
        <f ca="1"/>
        <v>1.3489</v>
      </c>
      <c r="K1220">
        <f ca="1">IF(ROW(T_CALC[[#This Row],[DAY]])-ROW(T_CALC[[#Headers],[DAY]])&gt;C_N_TRADING_DAYS,"",ROW(T_CALC[[#This Row],[DAY]])-ROW(T_CALC[[#Headers],[DAY]]))</f>
        <v>1217</v>
      </c>
      <c r="L1220" cm="1" vm="179">
        <f t="array" aca="1" ref="L1220" ca="1">IFERROR(INDEX(_xlfn.ANCHORARRAY($C$3),T_CALC[[#This Row],[DAY]]+1,1),NA())</f>
        <v>44462</v>
      </c>
      <c r="M1220" cm="1" vm="2928">
        <f t="array" aca="1" ref="M1220" ca="1">IFERROR(INDEX(_xlfn.ANCHORARRAY($C$3),T_CALC[[#This Row],[DAY]]+1,3),NA())</f>
        <v>1.3534999999999999</v>
      </c>
      <c r="N1220" cm="1" vm="2153">
        <f t="array" aca="1" ref="N1220" ca="1">IFERROR(INDEX(_xlfn.ANCHORARRAY($C$3),T_CALC[[#This Row],[DAY]]+1,4),NA())</f>
        <v>1.3551</v>
      </c>
      <c r="O1220" cm="1" vm="2130">
        <f t="array" aca="1" ref="O1220" ca="1">IFERROR(INDEX(_xlfn.ANCHORARRAY($C$3),T_CALC[[#This Row],[DAY]]+1,5),NA())</f>
        <v>1.3464</v>
      </c>
      <c r="P1220" cm="1" vm="2259">
        <f t="array" aca="1" ref="P1220" ca="1">IFERROR(INDEX(_xlfn.ANCHORARRAY($C$3),T_CALC[[#This Row],[DAY]]+1,6),NA())</f>
        <v>1.3489</v>
      </c>
      <c r="Q1220" cm="1">
        <f t="array" aca="1" ref="Q1220" ca="1">IFERROR(INDEX(_xlfn.ANCHORARRAY($C$3),T_CALC[[#This Row],[DAY]]+1,2),NA())</f>
        <v>0</v>
      </c>
    </row>
    <row r="1221" spans="3:17">
      <c r="C1221" vm="180">
        <f ca="1"/>
        <v>44463</v>
      </c>
      <c r="D1221">
        <f ca="1"/>
        <v>0</v>
      </c>
      <c r="E1221" vm="2135">
        <f ca="1"/>
        <v>1.3486</v>
      </c>
      <c r="F1221" vm="2062">
        <f ca="1"/>
        <v>1.3553999999999999</v>
      </c>
      <c r="G1221" vm="2242">
        <f ca="1"/>
        <v>1.3474999999999999</v>
      </c>
      <c r="H1221" vm="2136">
        <f ca="1"/>
        <v>1.3532999999999999</v>
      </c>
      <c r="K1221">
        <f ca="1">IF(ROW(T_CALC[[#This Row],[DAY]])-ROW(T_CALC[[#Headers],[DAY]])&gt;C_N_TRADING_DAYS,"",ROW(T_CALC[[#This Row],[DAY]])-ROW(T_CALC[[#Headers],[DAY]]))</f>
        <v>1218</v>
      </c>
      <c r="L1221" cm="1" vm="180">
        <f t="array" aca="1" ref="L1221" ca="1">IFERROR(INDEX(_xlfn.ANCHORARRAY($C$3),T_CALC[[#This Row],[DAY]]+1,1),NA())</f>
        <v>44463</v>
      </c>
      <c r="M1221" cm="1" vm="2135">
        <f t="array" aca="1" ref="M1221" ca="1">IFERROR(INDEX(_xlfn.ANCHORARRAY($C$3),T_CALC[[#This Row],[DAY]]+1,3),NA())</f>
        <v>1.3486</v>
      </c>
      <c r="N1221" cm="1" vm="2062">
        <f t="array" aca="1" ref="N1221" ca="1">IFERROR(INDEX(_xlfn.ANCHORARRAY($C$3),T_CALC[[#This Row],[DAY]]+1,4),NA())</f>
        <v>1.3553999999999999</v>
      </c>
      <c r="O1221" cm="1" vm="2242">
        <f t="array" aca="1" ref="O1221" ca="1">IFERROR(INDEX(_xlfn.ANCHORARRAY($C$3),T_CALC[[#This Row],[DAY]]+1,5),NA())</f>
        <v>1.3474999999999999</v>
      </c>
      <c r="P1221" cm="1" vm="2136">
        <f t="array" aca="1" ref="P1221" ca="1">IFERROR(INDEX(_xlfn.ANCHORARRAY($C$3),T_CALC[[#This Row],[DAY]]+1,6),NA())</f>
        <v>1.3532999999999999</v>
      </c>
      <c r="Q1221" cm="1">
        <f t="array" aca="1" ref="Q1221" ca="1">IFERROR(INDEX(_xlfn.ANCHORARRAY($C$3),T_CALC[[#This Row],[DAY]]+1,2),NA())</f>
        <v>0</v>
      </c>
    </row>
    <row r="1222" spans="3:17">
      <c r="C1222" vm="181">
        <f ca="1"/>
        <v>44466</v>
      </c>
      <c r="D1222">
        <f ca="1"/>
        <v>0</v>
      </c>
      <c r="E1222" vm="2136">
        <f ca="1"/>
        <v>1.3532999999999999</v>
      </c>
      <c r="F1222" vm="2920">
        <f ca="1"/>
        <v>1.3546</v>
      </c>
      <c r="G1222" vm="2940">
        <f ca="1"/>
        <v>1.3509</v>
      </c>
      <c r="H1222" vm="2136">
        <f ca="1"/>
        <v>1.3532999999999999</v>
      </c>
      <c r="K1222">
        <f ca="1">IF(ROW(T_CALC[[#This Row],[DAY]])-ROW(T_CALC[[#Headers],[DAY]])&gt;C_N_TRADING_DAYS,"",ROW(T_CALC[[#This Row],[DAY]])-ROW(T_CALC[[#Headers],[DAY]]))</f>
        <v>1219</v>
      </c>
      <c r="L1222" cm="1" vm="181">
        <f t="array" aca="1" ref="L1222" ca="1">IFERROR(INDEX(_xlfn.ANCHORARRAY($C$3),T_CALC[[#This Row],[DAY]]+1,1),NA())</f>
        <v>44466</v>
      </c>
      <c r="M1222" cm="1" vm="2136">
        <f t="array" aca="1" ref="M1222" ca="1">IFERROR(INDEX(_xlfn.ANCHORARRAY($C$3),T_CALC[[#This Row],[DAY]]+1,3),NA())</f>
        <v>1.3532999999999999</v>
      </c>
      <c r="N1222" cm="1" vm="2920">
        <f t="array" aca="1" ref="N1222" ca="1">IFERROR(INDEX(_xlfn.ANCHORARRAY($C$3),T_CALC[[#This Row],[DAY]]+1,4),NA())</f>
        <v>1.3546</v>
      </c>
      <c r="O1222" cm="1" vm="2940">
        <f t="array" aca="1" ref="O1222" ca="1">IFERROR(INDEX(_xlfn.ANCHORARRAY($C$3),T_CALC[[#This Row],[DAY]]+1,5),NA())</f>
        <v>1.3509</v>
      </c>
      <c r="P1222" cm="1" vm="2136">
        <f t="array" aca="1" ref="P1222" ca="1">IFERROR(INDEX(_xlfn.ANCHORARRAY($C$3),T_CALC[[#This Row],[DAY]]+1,6),NA())</f>
        <v>1.3532999999999999</v>
      </c>
      <c r="Q1222" cm="1">
        <f t="array" aca="1" ref="Q1222" ca="1">IFERROR(INDEX(_xlfn.ANCHORARRAY($C$3),T_CALC[[#This Row],[DAY]]+1,2),NA())</f>
        <v>0</v>
      </c>
    </row>
    <row r="1223" spans="3:17">
      <c r="C1223" vm="182">
        <f ca="1"/>
        <v>44467</v>
      </c>
      <c r="D1223">
        <f ca="1"/>
        <v>0</v>
      </c>
      <c r="E1223" vm="2069">
        <f ca="1"/>
        <v>1.353</v>
      </c>
      <c r="F1223" vm="2221">
        <f ca="1"/>
        <v>1.3589</v>
      </c>
      <c r="G1223" vm="2923">
        <f ca="1"/>
        <v>1.3527</v>
      </c>
      <c r="H1223" vm="2010">
        <f ca="1"/>
        <v>1.3576999999999999</v>
      </c>
      <c r="K1223">
        <f ca="1">IF(ROW(T_CALC[[#This Row],[DAY]])-ROW(T_CALC[[#Headers],[DAY]])&gt;C_N_TRADING_DAYS,"",ROW(T_CALC[[#This Row],[DAY]])-ROW(T_CALC[[#Headers],[DAY]]))</f>
        <v>1220</v>
      </c>
      <c r="L1223" cm="1" vm="182">
        <f t="array" aca="1" ref="L1223" ca="1">IFERROR(INDEX(_xlfn.ANCHORARRAY($C$3),T_CALC[[#This Row],[DAY]]+1,1),NA())</f>
        <v>44467</v>
      </c>
      <c r="M1223" cm="1" vm="2069">
        <f t="array" aca="1" ref="M1223" ca="1">IFERROR(INDEX(_xlfn.ANCHORARRAY($C$3),T_CALC[[#This Row],[DAY]]+1,3),NA())</f>
        <v>1.353</v>
      </c>
      <c r="N1223" cm="1" vm="2221">
        <f t="array" aca="1" ref="N1223" ca="1">IFERROR(INDEX(_xlfn.ANCHORARRAY($C$3),T_CALC[[#This Row],[DAY]]+1,4),NA())</f>
        <v>1.3589</v>
      </c>
      <c r="O1223" cm="1" vm="2923">
        <f t="array" aca="1" ref="O1223" ca="1">IFERROR(INDEX(_xlfn.ANCHORARRAY($C$3),T_CALC[[#This Row],[DAY]]+1,5),NA())</f>
        <v>1.3527</v>
      </c>
      <c r="P1223" cm="1" vm="2010">
        <f t="array" aca="1" ref="P1223" ca="1">IFERROR(INDEX(_xlfn.ANCHORARRAY($C$3),T_CALC[[#This Row],[DAY]]+1,6),NA())</f>
        <v>1.3576999999999999</v>
      </c>
      <c r="Q1223" cm="1">
        <f t="array" aca="1" ref="Q1223" ca="1">IFERROR(INDEX(_xlfn.ANCHORARRAY($C$3),T_CALC[[#This Row],[DAY]]+1,2),NA())</f>
        <v>0</v>
      </c>
    </row>
    <row r="1224" spans="3:17">
      <c r="C1224" vm="183">
        <f ca="1"/>
        <v>44468</v>
      </c>
      <c r="D1224">
        <f ca="1"/>
        <v>0</v>
      </c>
      <c r="E1224" vm="2038">
        <f ca="1"/>
        <v>1.3582000000000001</v>
      </c>
      <c r="F1224" vm="2168">
        <f ca="1"/>
        <v>1.3631</v>
      </c>
      <c r="G1224" vm="2170">
        <f ca="1"/>
        <v>1.3559000000000001</v>
      </c>
      <c r="H1224" vm="1992">
        <f ca="1"/>
        <v>1.3607</v>
      </c>
      <c r="K1224">
        <f ca="1">IF(ROW(T_CALC[[#This Row],[DAY]])-ROW(T_CALC[[#Headers],[DAY]])&gt;C_N_TRADING_DAYS,"",ROW(T_CALC[[#This Row],[DAY]])-ROW(T_CALC[[#Headers],[DAY]]))</f>
        <v>1221</v>
      </c>
      <c r="L1224" cm="1" vm="183">
        <f t="array" aca="1" ref="L1224" ca="1">IFERROR(INDEX(_xlfn.ANCHORARRAY($C$3),T_CALC[[#This Row],[DAY]]+1,1),NA())</f>
        <v>44468</v>
      </c>
      <c r="M1224" cm="1" vm="2038">
        <f t="array" aca="1" ref="M1224" ca="1">IFERROR(INDEX(_xlfn.ANCHORARRAY($C$3),T_CALC[[#This Row],[DAY]]+1,3),NA())</f>
        <v>1.3582000000000001</v>
      </c>
      <c r="N1224" cm="1" vm="2168">
        <f t="array" aca="1" ref="N1224" ca="1">IFERROR(INDEX(_xlfn.ANCHORARRAY($C$3),T_CALC[[#This Row],[DAY]]+1,4),NA())</f>
        <v>1.3631</v>
      </c>
      <c r="O1224" cm="1" vm="2170">
        <f t="array" aca="1" ref="O1224" ca="1">IFERROR(INDEX(_xlfn.ANCHORARRAY($C$3),T_CALC[[#This Row],[DAY]]+1,5),NA())</f>
        <v>1.3559000000000001</v>
      </c>
      <c r="P1224" cm="1" vm="1992">
        <f t="array" aca="1" ref="P1224" ca="1">IFERROR(INDEX(_xlfn.ANCHORARRAY($C$3),T_CALC[[#This Row],[DAY]]+1,6),NA())</f>
        <v>1.3607</v>
      </c>
      <c r="Q1224" cm="1">
        <f t="array" aca="1" ref="Q1224" ca="1">IFERROR(INDEX(_xlfn.ANCHORARRAY($C$3),T_CALC[[#This Row],[DAY]]+1,2),NA())</f>
        <v>0</v>
      </c>
    </row>
    <row r="1225" spans="3:17">
      <c r="C1225" vm="184">
        <f ca="1"/>
        <v>44469</v>
      </c>
      <c r="D1225">
        <f ca="1"/>
        <v>0</v>
      </c>
      <c r="E1225" vm="2076">
        <f ca="1"/>
        <v>1.361</v>
      </c>
      <c r="F1225" vm="2675">
        <f ca="1"/>
        <v>1.3627</v>
      </c>
      <c r="G1225" vm="2170">
        <f ca="1"/>
        <v>1.3559000000000001</v>
      </c>
      <c r="H1225" vm="2154">
        <f ca="1"/>
        <v>1.3572</v>
      </c>
      <c r="K1225">
        <f ca="1">IF(ROW(T_CALC[[#This Row],[DAY]])-ROW(T_CALC[[#Headers],[DAY]])&gt;C_N_TRADING_DAYS,"",ROW(T_CALC[[#This Row],[DAY]])-ROW(T_CALC[[#Headers],[DAY]]))</f>
        <v>1222</v>
      </c>
      <c r="L1225" cm="1" vm="184">
        <f t="array" aca="1" ref="L1225" ca="1">IFERROR(INDEX(_xlfn.ANCHORARRAY($C$3),T_CALC[[#This Row],[DAY]]+1,1),NA())</f>
        <v>44469</v>
      </c>
      <c r="M1225" cm="1" vm="2076">
        <f t="array" aca="1" ref="M1225" ca="1">IFERROR(INDEX(_xlfn.ANCHORARRAY($C$3),T_CALC[[#This Row],[DAY]]+1,3),NA())</f>
        <v>1.361</v>
      </c>
      <c r="N1225" cm="1" vm="2675">
        <f t="array" aca="1" ref="N1225" ca="1">IFERROR(INDEX(_xlfn.ANCHORARRAY($C$3),T_CALC[[#This Row],[DAY]]+1,4),NA())</f>
        <v>1.3627</v>
      </c>
      <c r="O1225" cm="1" vm="2170">
        <f t="array" aca="1" ref="O1225" ca="1">IFERROR(INDEX(_xlfn.ANCHORARRAY($C$3),T_CALC[[#This Row],[DAY]]+1,5),NA())</f>
        <v>1.3559000000000001</v>
      </c>
      <c r="P1225" cm="1" vm="2154">
        <f t="array" aca="1" ref="P1225" ca="1">IFERROR(INDEX(_xlfn.ANCHORARRAY($C$3),T_CALC[[#This Row],[DAY]]+1,6),NA())</f>
        <v>1.3572</v>
      </c>
      <c r="Q1225" cm="1">
        <f t="array" aca="1" ref="Q1225" ca="1">IFERROR(INDEX(_xlfn.ANCHORARRAY($C$3),T_CALC[[#This Row],[DAY]]+1,2),NA())</f>
        <v>0</v>
      </c>
    </row>
    <row r="1226" spans="3:17">
      <c r="C1226" vm="185">
        <f ca="1"/>
        <v>44470</v>
      </c>
      <c r="D1226">
        <f ca="1"/>
        <v>0</v>
      </c>
      <c r="E1226" vm="2008">
        <f ca="1"/>
        <v>1.3574999999999999</v>
      </c>
      <c r="F1226" vm="2053">
        <f ca="1"/>
        <v>1.3609</v>
      </c>
      <c r="G1226" vm="2173">
        <f ca="1"/>
        <v>1.3541000000000001</v>
      </c>
      <c r="H1226" vm="2070">
        <f ca="1"/>
        <v>1.3563000000000001</v>
      </c>
      <c r="K1226">
        <f ca="1">IF(ROW(T_CALC[[#This Row],[DAY]])-ROW(T_CALC[[#Headers],[DAY]])&gt;C_N_TRADING_DAYS,"",ROW(T_CALC[[#This Row],[DAY]])-ROW(T_CALC[[#Headers],[DAY]]))</f>
        <v>1223</v>
      </c>
      <c r="L1226" cm="1" vm="185">
        <f t="array" aca="1" ref="L1226" ca="1">IFERROR(INDEX(_xlfn.ANCHORARRAY($C$3),T_CALC[[#This Row],[DAY]]+1,1),NA())</f>
        <v>44470</v>
      </c>
      <c r="M1226" cm="1" vm="2008">
        <f t="array" aca="1" ref="M1226" ca="1">IFERROR(INDEX(_xlfn.ANCHORARRAY($C$3),T_CALC[[#This Row],[DAY]]+1,3),NA())</f>
        <v>1.3574999999999999</v>
      </c>
      <c r="N1226" cm="1" vm="2053">
        <f t="array" aca="1" ref="N1226" ca="1">IFERROR(INDEX(_xlfn.ANCHORARRAY($C$3),T_CALC[[#This Row],[DAY]]+1,4),NA())</f>
        <v>1.3609</v>
      </c>
      <c r="O1226" cm="1" vm="2173">
        <f t="array" aca="1" ref="O1226" ca="1">IFERROR(INDEX(_xlfn.ANCHORARRAY($C$3),T_CALC[[#This Row],[DAY]]+1,5),NA())</f>
        <v>1.3541000000000001</v>
      </c>
      <c r="P1226" cm="1" vm="2070">
        <f t="array" aca="1" ref="P1226" ca="1">IFERROR(INDEX(_xlfn.ANCHORARRAY($C$3),T_CALC[[#This Row],[DAY]]+1,6),NA())</f>
        <v>1.3563000000000001</v>
      </c>
      <c r="Q1226" cm="1">
        <f t="array" aca="1" ref="Q1226" ca="1">IFERROR(INDEX(_xlfn.ANCHORARRAY($C$3),T_CALC[[#This Row],[DAY]]+1,2),NA())</f>
        <v>0</v>
      </c>
    </row>
    <row r="1227" spans="3:17">
      <c r="C1227" vm="186">
        <f ca="1"/>
        <v>44473</v>
      </c>
      <c r="D1227">
        <f ca="1"/>
        <v>0</v>
      </c>
      <c r="E1227" vm="1997">
        <f ca="1"/>
        <v>1.3554999999999999</v>
      </c>
      <c r="F1227" vm="2221">
        <f ca="1"/>
        <v>1.3589</v>
      </c>
      <c r="G1227" vm="2089">
        <f ca="1"/>
        <v>1.3537999999999999</v>
      </c>
      <c r="H1227" vm="1998">
        <f ca="1"/>
        <v>1.3564000000000001</v>
      </c>
      <c r="K1227">
        <f ca="1">IF(ROW(T_CALC[[#This Row],[DAY]])-ROW(T_CALC[[#Headers],[DAY]])&gt;C_N_TRADING_DAYS,"",ROW(T_CALC[[#This Row],[DAY]])-ROW(T_CALC[[#Headers],[DAY]]))</f>
        <v>1224</v>
      </c>
      <c r="L1227" cm="1" vm="186">
        <f t="array" aca="1" ref="L1227" ca="1">IFERROR(INDEX(_xlfn.ANCHORARRAY($C$3),T_CALC[[#This Row],[DAY]]+1,1),NA())</f>
        <v>44473</v>
      </c>
      <c r="M1227" cm="1" vm="1997">
        <f t="array" aca="1" ref="M1227" ca="1">IFERROR(INDEX(_xlfn.ANCHORARRAY($C$3),T_CALC[[#This Row],[DAY]]+1,3),NA())</f>
        <v>1.3554999999999999</v>
      </c>
      <c r="N1227" cm="1" vm="2221">
        <f t="array" aca="1" ref="N1227" ca="1">IFERROR(INDEX(_xlfn.ANCHORARRAY($C$3),T_CALC[[#This Row],[DAY]]+1,4),NA())</f>
        <v>1.3589</v>
      </c>
      <c r="O1227" cm="1" vm="2089">
        <f t="array" aca="1" ref="O1227" ca="1">IFERROR(INDEX(_xlfn.ANCHORARRAY($C$3),T_CALC[[#This Row],[DAY]]+1,5),NA())</f>
        <v>1.3537999999999999</v>
      </c>
      <c r="P1227" cm="1" vm="1998">
        <f t="array" aca="1" ref="P1227" ca="1">IFERROR(INDEX(_xlfn.ANCHORARRAY($C$3),T_CALC[[#This Row],[DAY]]+1,6),NA())</f>
        <v>1.3564000000000001</v>
      </c>
      <c r="Q1227" cm="1">
        <f t="array" aca="1" ref="Q1227" ca="1">IFERROR(INDEX(_xlfn.ANCHORARRAY($C$3),T_CALC[[#This Row],[DAY]]+1,2),NA())</f>
        <v>0</v>
      </c>
    </row>
    <row r="1228" spans="3:17">
      <c r="C1228" vm="187">
        <f ca="1"/>
        <v>44474</v>
      </c>
      <c r="D1228">
        <f ca="1"/>
        <v>0</v>
      </c>
      <c r="E1228" vm="1998">
        <f ca="1"/>
        <v>1.3564000000000001</v>
      </c>
      <c r="F1228" vm="1994">
        <f ca="1"/>
        <v>1.359</v>
      </c>
      <c r="G1228" vm="2170">
        <f ca="1"/>
        <v>1.3559000000000001</v>
      </c>
      <c r="H1228" vm="2065">
        <f ca="1"/>
        <v>1.3568</v>
      </c>
      <c r="K1228">
        <f ca="1">IF(ROW(T_CALC[[#This Row],[DAY]])-ROW(T_CALC[[#Headers],[DAY]])&gt;C_N_TRADING_DAYS,"",ROW(T_CALC[[#This Row],[DAY]])-ROW(T_CALC[[#Headers],[DAY]]))</f>
        <v>1225</v>
      </c>
      <c r="L1228" cm="1" vm="187">
        <f t="array" aca="1" ref="L1228" ca="1">IFERROR(INDEX(_xlfn.ANCHORARRAY($C$3),T_CALC[[#This Row],[DAY]]+1,1),NA())</f>
        <v>44474</v>
      </c>
      <c r="M1228" cm="1" vm="1998">
        <f t="array" aca="1" ref="M1228" ca="1">IFERROR(INDEX(_xlfn.ANCHORARRAY($C$3),T_CALC[[#This Row],[DAY]]+1,3),NA())</f>
        <v>1.3564000000000001</v>
      </c>
      <c r="N1228" cm="1" vm="1994">
        <f t="array" aca="1" ref="N1228" ca="1">IFERROR(INDEX(_xlfn.ANCHORARRAY($C$3),T_CALC[[#This Row],[DAY]]+1,4),NA())</f>
        <v>1.359</v>
      </c>
      <c r="O1228" cm="1" vm="2170">
        <f t="array" aca="1" ref="O1228" ca="1">IFERROR(INDEX(_xlfn.ANCHORARRAY($C$3),T_CALC[[#This Row],[DAY]]+1,5),NA())</f>
        <v>1.3559000000000001</v>
      </c>
      <c r="P1228" cm="1" vm="2065">
        <f t="array" aca="1" ref="P1228" ca="1">IFERROR(INDEX(_xlfn.ANCHORARRAY($C$3),T_CALC[[#This Row],[DAY]]+1,6),NA())</f>
        <v>1.3568</v>
      </c>
      <c r="Q1228" cm="1">
        <f t="array" aca="1" ref="Q1228" ca="1">IFERROR(INDEX(_xlfn.ANCHORARRAY($C$3),T_CALC[[#This Row],[DAY]]+1,2),NA())</f>
        <v>0</v>
      </c>
    </row>
    <row r="1229" spans="3:17">
      <c r="C1229" vm="188">
        <f ca="1"/>
        <v>44475</v>
      </c>
      <c r="D1229">
        <f ca="1"/>
        <v>0</v>
      </c>
      <c r="E1229" vm="2000">
        <f ca="1"/>
        <v>1.3569</v>
      </c>
      <c r="F1229" vm="2023">
        <f ca="1"/>
        <v>1.3626</v>
      </c>
      <c r="G1229" vm="1998">
        <f ca="1"/>
        <v>1.3564000000000001</v>
      </c>
      <c r="H1229" vm="2006">
        <f ca="1"/>
        <v>1.3585</v>
      </c>
      <c r="K1229">
        <f ca="1">IF(ROW(T_CALC[[#This Row],[DAY]])-ROW(T_CALC[[#Headers],[DAY]])&gt;C_N_TRADING_DAYS,"",ROW(T_CALC[[#This Row],[DAY]])-ROW(T_CALC[[#Headers],[DAY]]))</f>
        <v>1226</v>
      </c>
      <c r="L1229" cm="1" vm="188">
        <f t="array" aca="1" ref="L1229" ca="1">IFERROR(INDEX(_xlfn.ANCHORARRAY($C$3),T_CALC[[#This Row],[DAY]]+1,1),NA())</f>
        <v>44475</v>
      </c>
      <c r="M1229" cm="1" vm="2000">
        <f t="array" aca="1" ref="M1229" ca="1">IFERROR(INDEX(_xlfn.ANCHORARRAY($C$3),T_CALC[[#This Row],[DAY]]+1,3),NA())</f>
        <v>1.3569</v>
      </c>
      <c r="N1229" cm="1" vm="2023">
        <f t="array" aca="1" ref="N1229" ca="1">IFERROR(INDEX(_xlfn.ANCHORARRAY($C$3),T_CALC[[#This Row],[DAY]]+1,4),NA())</f>
        <v>1.3626</v>
      </c>
      <c r="O1229" cm="1" vm="1998">
        <f t="array" aca="1" ref="O1229" ca="1">IFERROR(INDEX(_xlfn.ANCHORARRAY($C$3),T_CALC[[#This Row],[DAY]]+1,5),NA())</f>
        <v>1.3564000000000001</v>
      </c>
      <c r="P1229" cm="1" vm="2006">
        <f t="array" aca="1" ref="P1229" ca="1">IFERROR(INDEX(_xlfn.ANCHORARRAY($C$3),T_CALC[[#This Row],[DAY]]+1,6),NA())</f>
        <v>1.3585</v>
      </c>
      <c r="Q1229" cm="1">
        <f t="array" aca="1" ref="Q1229" ca="1">IFERROR(INDEX(_xlfn.ANCHORARRAY($C$3),T_CALC[[#This Row],[DAY]]+1,2),NA())</f>
        <v>0</v>
      </c>
    </row>
    <row r="1230" spans="3:17">
      <c r="C1230" vm="189">
        <f ca="1"/>
        <v>44476</v>
      </c>
      <c r="D1230">
        <f ca="1"/>
        <v>0</v>
      </c>
      <c r="E1230" vm="2006">
        <f ca="1"/>
        <v>1.3585</v>
      </c>
      <c r="F1230" vm="2714">
        <f ca="1"/>
        <v>1.3595999999999999</v>
      </c>
      <c r="G1230" vm="2070">
        <f ca="1"/>
        <v>1.3563000000000001</v>
      </c>
      <c r="H1230" vm="2075">
        <f ca="1"/>
        <v>1.3581000000000001</v>
      </c>
      <c r="K1230">
        <f ca="1">IF(ROW(T_CALC[[#This Row],[DAY]])-ROW(T_CALC[[#Headers],[DAY]])&gt;C_N_TRADING_DAYS,"",ROW(T_CALC[[#This Row],[DAY]])-ROW(T_CALC[[#Headers],[DAY]]))</f>
        <v>1227</v>
      </c>
      <c r="L1230" cm="1" vm="189">
        <f t="array" aca="1" ref="L1230" ca="1">IFERROR(INDEX(_xlfn.ANCHORARRAY($C$3),T_CALC[[#This Row],[DAY]]+1,1),NA())</f>
        <v>44476</v>
      </c>
      <c r="M1230" cm="1" vm="2006">
        <f t="array" aca="1" ref="M1230" ca="1">IFERROR(INDEX(_xlfn.ANCHORARRAY($C$3),T_CALC[[#This Row],[DAY]]+1,3),NA())</f>
        <v>1.3585</v>
      </c>
      <c r="N1230" cm="1" vm="2714">
        <f t="array" aca="1" ref="N1230" ca="1">IFERROR(INDEX(_xlfn.ANCHORARRAY($C$3),T_CALC[[#This Row],[DAY]]+1,4),NA())</f>
        <v>1.3595999999999999</v>
      </c>
      <c r="O1230" cm="1" vm="2070">
        <f t="array" aca="1" ref="O1230" ca="1">IFERROR(INDEX(_xlfn.ANCHORARRAY($C$3),T_CALC[[#This Row],[DAY]]+1,5),NA())</f>
        <v>1.3563000000000001</v>
      </c>
      <c r="P1230" cm="1" vm="2075">
        <f t="array" aca="1" ref="P1230" ca="1">IFERROR(INDEX(_xlfn.ANCHORARRAY($C$3),T_CALC[[#This Row],[DAY]]+1,6),NA())</f>
        <v>1.3581000000000001</v>
      </c>
      <c r="Q1230" cm="1">
        <f t="array" aca="1" ref="Q1230" ca="1">IFERROR(INDEX(_xlfn.ANCHORARRAY($C$3),T_CALC[[#This Row],[DAY]]+1,2),NA())</f>
        <v>0</v>
      </c>
    </row>
    <row r="1231" spans="3:17">
      <c r="C1231" vm="190">
        <f ca="1"/>
        <v>44477</v>
      </c>
      <c r="D1231">
        <f ca="1"/>
        <v>0</v>
      </c>
      <c r="E1231" vm="2160">
        <f ca="1"/>
        <v>1.3580000000000001</v>
      </c>
      <c r="F1231" vm="1994">
        <f ca="1"/>
        <v>1.359</v>
      </c>
      <c r="G1231" vm="2923">
        <f ca="1"/>
        <v>1.3527</v>
      </c>
      <c r="H1231" vm="2153">
        <f ca="1"/>
        <v>1.3551</v>
      </c>
      <c r="K1231">
        <f ca="1">IF(ROW(T_CALC[[#This Row],[DAY]])-ROW(T_CALC[[#Headers],[DAY]])&gt;C_N_TRADING_DAYS,"",ROW(T_CALC[[#This Row],[DAY]])-ROW(T_CALC[[#Headers],[DAY]]))</f>
        <v>1228</v>
      </c>
      <c r="L1231" cm="1" vm="190">
        <f t="array" aca="1" ref="L1231" ca="1">IFERROR(INDEX(_xlfn.ANCHORARRAY($C$3),T_CALC[[#This Row],[DAY]]+1,1),NA())</f>
        <v>44477</v>
      </c>
      <c r="M1231" cm="1" vm="2160">
        <f t="array" aca="1" ref="M1231" ca="1">IFERROR(INDEX(_xlfn.ANCHORARRAY($C$3),T_CALC[[#This Row],[DAY]]+1,3),NA())</f>
        <v>1.3580000000000001</v>
      </c>
      <c r="N1231" cm="1" vm="1994">
        <f t="array" aca="1" ref="N1231" ca="1">IFERROR(INDEX(_xlfn.ANCHORARRAY($C$3),T_CALC[[#This Row],[DAY]]+1,4),NA())</f>
        <v>1.359</v>
      </c>
      <c r="O1231" cm="1" vm="2923">
        <f t="array" aca="1" ref="O1231" ca="1">IFERROR(INDEX(_xlfn.ANCHORARRAY($C$3),T_CALC[[#This Row],[DAY]]+1,5),NA())</f>
        <v>1.3527</v>
      </c>
      <c r="P1231" cm="1" vm="2153">
        <f t="array" aca="1" ref="P1231" ca="1">IFERROR(INDEX(_xlfn.ANCHORARRAY($C$3),T_CALC[[#This Row],[DAY]]+1,6),NA())</f>
        <v>1.3551</v>
      </c>
      <c r="Q1231" cm="1">
        <f t="array" aca="1" ref="Q1231" ca="1">IFERROR(INDEX(_xlfn.ANCHORARRAY($C$3),T_CALC[[#This Row],[DAY]]+1,2),NA())</f>
        <v>0</v>
      </c>
    </row>
    <row r="1232" spans="3:17">
      <c r="C1232" vm="191">
        <f ca="1"/>
        <v>44480</v>
      </c>
      <c r="D1232">
        <f ca="1"/>
        <v>0</v>
      </c>
      <c r="E1232" vm="2153">
        <f ca="1"/>
        <v>1.3551</v>
      </c>
      <c r="F1232" vm="2930">
        <f ca="1"/>
        <v>1.3556999999999999</v>
      </c>
      <c r="G1232" vm="2663">
        <f ca="1"/>
        <v>1.3517999999999999</v>
      </c>
      <c r="H1232" vm="2017">
        <f ca="1"/>
        <v>1.3549</v>
      </c>
      <c r="K1232">
        <f ca="1">IF(ROW(T_CALC[[#This Row],[DAY]])-ROW(T_CALC[[#Headers],[DAY]])&gt;C_N_TRADING_DAYS,"",ROW(T_CALC[[#This Row],[DAY]])-ROW(T_CALC[[#Headers],[DAY]]))</f>
        <v>1229</v>
      </c>
      <c r="L1232" cm="1" vm="191">
        <f t="array" aca="1" ref="L1232" ca="1">IFERROR(INDEX(_xlfn.ANCHORARRAY($C$3),T_CALC[[#This Row],[DAY]]+1,1),NA())</f>
        <v>44480</v>
      </c>
      <c r="M1232" cm="1" vm="2153">
        <f t="array" aca="1" ref="M1232" ca="1">IFERROR(INDEX(_xlfn.ANCHORARRAY($C$3),T_CALC[[#This Row],[DAY]]+1,3),NA())</f>
        <v>1.3551</v>
      </c>
      <c r="N1232" cm="1" vm="2930">
        <f t="array" aca="1" ref="N1232" ca="1">IFERROR(INDEX(_xlfn.ANCHORARRAY($C$3),T_CALC[[#This Row],[DAY]]+1,4),NA())</f>
        <v>1.3556999999999999</v>
      </c>
      <c r="O1232" cm="1" vm="2663">
        <f t="array" aca="1" ref="O1232" ca="1">IFERROR(INDEX(_xlfn.ANCHORARRAY($C$3),T_CALC[[#This Row],[DAY]]+1,5),NA())</f>
        <v>1.3517999999999999</v>
      </c>
      <c r="P1232" cm="1" vm="2017">
        <f t="array" aca="1" ref="P1232" ca="1">IFERROR(INDEX(_xlfn.ANCHORARRAY($C$3),T_CALC[[#This Row],[DAY]]+1,6),NA())</f>
        <v>1.3549</v>
      </c>
      <c r="Q1232" cm="1">
        <f t="array" aca="1" ref="Q1232" ca="1">IFERROR(INDEX(_xlfn.ANCHORARRAY($C$3),T_CALC[[#This Row],[DAY]]+1,2),NA())</f>
        <v>0</v>
      </c>
    </row>
    <row r="1233" spans="3:17">
      <c r="C1233" vm="192">
        <f ca="1"/>
        <v>44481</v>
      </c>
      <c r="D1233">
        <f ca="1"/>
        <v>0</v>
      </c>
      <c r="E1233" vm="2064">
        <f ca="1"/>
        <v>1.3548</v>
      </c>
      <c r="F1233" vm="2010">
        <f ca="1"/>
        <v>1.3576999999999999</v>
      </c>
      <c r="G1233" vm="2003">
        <f ca="1"/>
        <v>1.3545</v>
      </c>
      <c r="H1233" vm="2000">
        <f ca="1"/>
        <v>1.3569</v>
      </c>
      <c r="K1233">
        <f ca="1">IF(ROW(T_CALC[[#This Row],[DAY]])-ROW(T_CALC[[#Headers],[DAY]])&gt;C_N_TRADING_DAYS,"",ROW(T_CALC[[#This Row],[DAY]])-ROW(T_CALC[[#Headers],[DAY]]))</f>
        <v>1230</v>
      </c>
      <c r="L1233" cm="1" vm="192">
        <f t="array" aca="1" ref="L1233" ca="1">IFERROR(INDEX(_xlfn.ANCHORARRAY($C$3),T_CALC[[#This Row],[DAY]]+1,1),NA())</f>
        <v>44481</v>
      </c>
      <c r="M1233" cm="1" vm="2064">
        <f t="array" aca="1" ref="M1233" ca="1">IFERROR(INDEX(_xlfn.ANCHORARRAY($C$3),T_CALC[[#This Row],[DAY]]+1,3),NA())</f>
        <v>1.3548</v>
      </c>
      <c r="N1233" cm="1" vm="2010">
        <f t="array" aca="1" ref="N1233" ca="1">IFERROR(INDEX(_xlfn.ANCHORARRAY($C$3),T_CALC[[#This Row],[DAY]]+1,4),NA())</f>
        <v>1.3576999999999999</v>
      </c>
      <c r="O1233" cm="1" vm="2003">
        <f t="array" aca="1" ref="O1233" ca="1">IFERROR(INDEX(_xlfn.ANCHORARRAY($C$3),T_CALC[[#This Row],[DAY]]+1,5),NA())</f>
        <v>1.3545</v>
      </c>
      <c r="P1233" cm="1" vm="2000">
        <f t="array" aca="1" ref="P1233" ca="1">IFERROR(INDEX(_xlfn.ANCHORARRAY($C$3),T_CALC[[#This Row],[DAY]]+1,6),NA())</f>
        <v>1.3569</v>
      </c>
      <c r="Q1233" cm="1">
        <f t="array" aca="1" ref="Q1233" ca="1">IFERROR(INDEX(_xlfn.ANCHORARRAY($C$3),T_CALC[[#This Row],[DAY]]+1,2),NA())</f>
        <v>0</v>
      </c>
    </row>
    <row r="1234" spans="3:17">
      <c r="C1234" vm="193">
        <f ca="1"/>
        <v>44482</v>
      </c>
      <c r="D1234">
        <f ca="1"/>
        <v>0</v>
      </c>
      <c r="E1234" vm="2084">
        <f ca="1"/>
        <v>1.3566</v>
      </c>
      <c r="F1234" vm="2008">
        <f ca="1"/>
        <v>1.3574999999999999</v>
      </c>
      <c r="G1234" vm="2666">
        <f ca="1"/>
        <v>1.3511</v>
      </c>
      <c r="H1234" vm="2956">
        <f ca="1"/>
        <v>1.3515999999999999</v>
      </c>
      <c r="K1234">
        <f ca="1">IF(ROW(T_CALC[[#This Row],[DAY]])-ROW(T_CALC[[#Headers],[DAY]])&gt;C_N_TRADING_DAYS,"",ROW(T_CALC[[#This Row],[DAY]])-ROW(T_CALC[[#Headers],[DAY]]))</f>
        <v>1231</v>
      </c>
      <c r="L1234" cm="1" vm="193">
        <f t="array" aca="1" ref="L1234" ca="1">IFERROR(INDEX(_xlfn.ANCHORARRAY($C$3),T_CALC[[#This Row],[DAY]]+1,1),NA())</f>
        <v>44482</v>
      </c>
      <c r="M1234" cm="1" vm="2084">
        <f t="array" aca="1" ref="M1234" ca="1">IFERROR(INDEX(_xlfn.ANCHORARRAY($C$3),T_CALC[[#This Row],[DAY]]+1,3),NA())</f>
        <v>1.3566</v>
      </c>
      <c r="N1234" cm="1" vm="2008">
        <f t="array" aca="1" ref="N1234" ca="1">IFERROR(INDEX(_xlfn.ANCHORARRAY($C$3),T_CALC[[#This Row],[DAY]]+1,4),NA())</f>
        <v>1.3574999999999999</v>
      </c>
      <c r="O1234" cm="1" vm="2666">
        <f t="array" aca="1" ref="O1234" ca="1">IFERROR(INDEX(_xlfn.ANCHORARRAY($C$3),T_CALC[[#This Row],[DAY]]+1,5),NA())</f>
        <v>1.3511</v>
      </c>
      <c r="P1234" cm="1" vm="2956">
        <f t="array" aca="1" ref="P1234" ca="1">IFERROR(INDEX(_xlfn.ANCHORARRAY($C$3),T_CALC[[#This Row],[DAY]]+1,6),NA())</f>
        <v>1.3515999999999999</v>
      </c>
      <c r="Q1234" cm="1">
        <f t="array" aca="1" ref="Q1234" ca="1">IFERROR(INDEX(_xlfn.ANCHORARRAY($C$3),T_CALC[[#This Row],[DAY]]+1,2),NA())</f>
        <v>0</v>
      </c>
    </row>
    <row r="1235" spans="3:17">
      <c r="C1235" vm="194">
        <f ca="1"/>
        <v>44483</v>
      </c>
      <c r="D1235">
        <f ca="1"/>
        <v>0</v>
      </c>
      <c r="E1235" vm="2956">
        <f ca="1"/>
        <v>1.3515999999999999</v>
      </c>
      <c r="F1235" vm="2132">
        <f ca="1"/>
        <v>1.3516999999999999</v>
      </c>
      <c r="G1235" vm="2979">
        <f ca="1"/>
        <v>1.3467</v>
      </c>
      <c r="H1235" vm="2240">
        <f ca="1"/>
        <v>1.3480000000000001</v>
      </c>
      <c r="K1235">
        <f ca="1">IF(ROW(T_CALC[[#This Row],[DAY]])-ROW(T_CALC[[#Headers],[DAY]])&gt;C_N_TRADING_DAYS,"",ROW(T_CALC[[#This Row],[DAY]])-ROW(T_CALC[[#Headers],[DAY]]))</f>
        <v>1232</v>
      </c>
      <c r="L1235" cm="1" vm="194">
        <f t="array" aca="1" ref="L1235" ca="1">IFERROR(INDEX(_xlfn.ANCHORARRAY($C$3),T_CALC[[#This Row],[DAY]]+1,1),NA())</f>
        <v>44483</v>
      </c>
      <c r="M1235" cm="1" vm="2956">
        <f t="array" aca="1" ref="M1235" ca="1">IFERROR(INDEX(_xlfn.ANCHORARRAY($C$3),T_CALC[[#This Row],[DAY]]+1,3),NA())</f>
        <v>1.3515999999999999</v>
      </c>
      <c r="N1235" cm="1" vm="2132">
        <f t="array" aca="1" ref="N1235" ca="1">IFERROR(INDEX(_xlfn.ANCHORARRAY($C$3),T_CALC[[#This Row],[DAY]]+1,4),NA())</f>
        <v>1.3516999999999999</v>
      </c>
      <c r="O1235" cm="1" vm="2979">
        <f t="array" aca="1" ref="O1235" ca="1">IFERROR(INDEX(_xlfn.ANCHORARRAY($C$3),T_CALC[[#This Row],[DAY]]+1,5),NA())</f>
        <v>1.3467</v>
      </c>
      <c r="P1235" cm="1" vm="2240">
        <f t="array" aca="1" ref="P1235" ca="1">IFERROR(INDEX(_xlfn.ANCHORARRAY($C$3),T_CALC[[#This Row],[DAY]]+1,6),NA())</f>
        <v>1.3480000000000001</v>
      </c>
      <c r="Q1235" cm="1">
        <f t="array" aca="1" ref="Q1235" ca="1">IFERROR(INDEX(_xlfn.ANCHORARRAY($C$3),T_CALC[[#This Row],[DAY]]+1,2),NA())</f>
        <v>0</v>
      </c>
    </row>
    <row r="1236" spans="3:17">
      <c r="C1236" vm="195">
        <f ca="1"/>
        <v>44484</v>
      </c>
      <c r="D1236">
        <f ca="1"/>
        <v>0</v>
      </c>
      <c r="E1236" vm="2240">
        <f ca="1"/>
        <v>1.3480000000000001</v>
      </c>
      <c r="F1236" vm="2179">
        <f ca="1"/>
        <v>1.349</v>
      </c>
      <c r="G1236" vm="2104">
        <f ca="1"/>
        <v>1.3469</v>
      </c>
      <c r="H1236" vm="2121">
        <f ca="1"/>
        <v>1.3479000000000001</v>
      </c>
      <c r="K1236">
        <f ca="1">IF(ROW(T_CALC[[#This Row],[DAY]])-ROW(T_CALC[[#Headers],[DAY]])&gt;C_N_TRADING_DAYS,"",ROW(T_CALC[[#This Row],[DAY]])-ROW(T_CALC[[#Headers],[DAY]]))</f>
        <v>1233</v>
      </c>
      <c r="L1236" cm="1" vm="195">
        <f t="array" aca="1" ref="L1236" ca="1">IFERROR(INDEX(_xlfn.ANCHORARRAY($C$3),T_CALC[[#This Row],[DAY]]+1,1),NA())</f>
        <v>44484</v>
      </c>
      <c r="M1236" cm="1" vm="2240">
        <f t="array" aca="1" ref="M1236" ca="1">IFERROR(INDEX(_xlfn.ANCHORARRAY($C$3),T_CALC[[#This Row],[DAY]]+1,3),NA())</f>
        <v>1.3480000000000001</v>
      </c>
      <c r="N1236" cm="1" vm="2179">
        <f t="array" aca="1" ref="N1236" ca="1">IFERROR(INDEX(_xlfn.ANCHORARRAY($C$3),T_CALC[[#This Row],[DAY]]+1,4),NA())</f>
        <v>1.349</v>
      </c>
      <c r="O1236" cm="1" vm="2104">
        <f t="array" aca="1" ref="O1236" ca="1">IFERROR(INDEX(_xlfn.ANCHORARRAY($C$3),T_CALC[[#This Row],[DAY]]+1,5),NA())</f>
        <v>1.3469</v>
      </c>
      <c r="P1236" cm="1" vm="2121">
        <f t="array" aca="1" ref="P1236" ca="1">IFERROR(INDEX(_xlfn.ANCHORARRAY($C$3),T_CALC[[#This Row],[DAY]]+1,6),NA())</f>
        <v>1.3479000000000001</v>
      </c>
      <c r="Q1236" cm="1">
        <f t="array" aca="1" ref="Q1236" ca="1">IFERROR(INDEX(_xlfn.ANCHORARRAY($C$3),T_CALC[[#This Row],[DAY]]+1,2),NA())</f>
        <v>0</v>
      </c>
    </row>
    <row r="1237" spans="3:17">
      <c r="C1237" vm="196">
        <f ca="1"/>
        <v>44487</v>
      </c>
      <c r="D1237">
        <f ca="1"/>
        <v>0</v>
      </c>
      <c r="E1237" vm="2121">
        <f ca="1"/>
        <v>1.3479000000000001</v>
      </c>
      <c r="F1237" vm="2088">
        <f ca="1"/>
        <v>1.3526</v>
      </c>
      <c r="G1237" vm="2262">
        <f ca="1"/>
        <v>1.3473999999999999</v>
      </c>
      <c r="H1237" vm="2954">
        <f ca="1"/>
        <v>1.3491</v>
      </c>
      <c r="K1237">
        <f ca="1">IF(ROW(T_CALC[[#This Row],[DAY]])-ROW(T_CALC[[#Headers],[DAY]])&gt;C_N_TRADING_DAYS,"",ROW(T_CALC[[#This Row],[DAY]])-ROW(T_CALC[[#Headers],[DAY]]))</f>
        <v>1234</v>
      </c>
      <c r="L1237" cm="1" vm="196">
        <f t="array" aca="1" ref="L1237" ca="1">IFERROR(INDEX(_xlfn.ANCHORARRAY($C$3),T_CALC[[#This Row],[DAY]]+1,1),NA())</f>
        <v>44487</v>
      </c>
      <c r="M1237" cm="1" vm="2121">
        <f t="array" aca="1" ref="M1237" ca="1">IFERROR(INDEX(_xlfn.ANCHORARRAY($C$3),T_CALC[[#This Row],[DAY]]+1,3),NA())</f>
        <v>1.3479000000000001</v>
      </c>
      <c r="N1237" cm="1" vm="2088">
        <f t="array" aca="1" ref="N1237" ca="1">IFERROR(INDEX(_xlfn.ANCHORARRAY($C$3),T_CALC[[#This Row],[DAY]]+1,4),NA())</f>
        <v>1.3526</v>
      </c>
      <c r="O1237" cm="1" vm="2262">
        <f t="array" aca="1" ref="O1237" ca="1">IFERROR(INDEX(_xlfn.ANCHORARRAY($C$3),T_CALC[[#This Row],[DAY]]+1,5),NA())</f>
        <v>1.3473999999999999</v>
      </c>
      <c r="P1237" cm="1" vm="2954">
        <f t="array" aca="1" ref="P1237" ca="1">IFERROR(INDEX(_xlfn.ANCHORARRAY($C$3),T_CALC[[#This Row],[DAY]]+1,6),NA())</f>
        <v>1.3491</v>
      </c>
      <c r="Q1237" cm="1">
        <f t="array" aca="1" ref="Q1237" ca="1">IFERROR(INDEX(_xlfn.ANCHORARRAY($C$3),T_CALC[[#This Row],[DAY]]+1,2),NA())</f>
        <v>0</v>
      </c>
    </row>
    <row r="1238" spans="3:17">
      <c r="C1238" vm="197">
        <f ca="1"/>
        <v>44488</v>
      </c>
      <c r="D1238">
        <f ca="1"/>
        <v>0</v>
      </c>
      <c r="E1238" vm="2954">
        <f ca="1"/>
        <v>1.3491</v>
      </c>
      <c r="F1238" vm="2129">
        <f ca="1"/>
        <v>1.3493999999999999</v>
      </c>
      <c r="G1238" vm="2278">
        <f ca="1"/>
        <v>1.3429</v>
      </c>
      <c r="H1238" vm="2234">
        <f ca="1"/>
        <v>1.3445</v>
      </c>
      <c r="K1238">
        <f ca="1">IF(ROW(T_CALC[[#This Row],[DAY]])-ROW(T_CALC[[#Headers],[DAY]])&gt;C_N_TRADING_DAYS,"",ROW(T_CALC[[#This Row],[DAY]])-ROW(T_CALC[[#Headers],[DAY]]))</f>
        <v>1235</v>
      </c>
      <c r="L1238" cm="1" vm="197">
        <f t="array" aca="1" ref="L1238" ca="1">IFERROR(INDEX(_xlfn.ANCHORARRAY($C$3),T_CALC[[#This Row],[DAY]]+1,1),NA())</f>
        <v>44488</v>
      </c>
      <c r="M1238" cm="1" vm="2954">
        <f t="array" aca="1" ref="M1238" ca="1">IFERROR(INDEX(_xlfn.ANCHORARRAY($C$3),T_CALC[[#This Row],[DAY]]+1,3),NA())</f>
        <v>1.3491</v>
      </c>
      <c r="N1238" cm="1" vm="2129">
        <f t="array" aca="1" ref="N1238" ca="1">IFERROR(INDEX(_xlfn.ANCHORARRAY($C$3),T_CALC[[#This Row],[DAY]]+1,4),NA())</f>
        <v>1.3493999999999999</v>
      </c>
      <c r="O1238" cm="1" vm="2278">
        <f t="array" aca="1" ref="O1238" ca="1">IFERROR(INDEX(_xlfn.ANCHORARRAY($C$3),T_CALC[[#This Row],[DAY]]+1,5),NA())</f>
        <v>1.3429</v>
      </c>
      <c r="P1238" cm="1" vm="2234">
        <f t="array" aca="1" ref="P1238" ca="1">IFERROR(INDEX(_xlfn.ANCHORARRAY($C$3),T_CALC[[#This Row],[DAY]]+1,6),NA())</f>
        <v>1.3445</v>
      </c>
      <c r="Q1238" cm="1">
        <f t="array" aca="1" ref="Q1238" ca="1">IFERROR(INDEX(_xlfn.ANCHORARRAY($C$3),T_CALC[[#This Row],[DAY]]+1,2),NA())</f>
        <v>0</v>
      </c>
    </row>
    <row r="1239" spans="3:17">
      <c r="C1239" vm="198">
        <f ca="1"/>
        <v>44489</v>
      </c>
      <c r="D1239">
        <f ca="1"/>
        <v>0</v>
      </c>
      <c r="E1239" vm="2289">
        <f ca="1"/>
        <v>1.3444</v>
      </c>
      <c r="F1239" vm="3213">
        <f ca="1"/>
        <v>1.3460000000000001</v>
      </c>
      <c r="G1239" vm="2282">
        <f ca="1"/>
        <v>1.3426</v>
      </c>
      <c r="H1239" vm="2115">
        <f ca="1"/>
        <v>1.3433999999999999</v>
      </c>
      <c r="K1239">
        <f ca="1">IF(ROW(T_CALC[[#This Row],[DAY]])-ROW(T_CALC[[#Headers],[DAY]])&gt;C_N_TRADING_DAYS,"",ROW(T_CALC[[#This Row],[DAY]])-ROW(T_CALC[[#Headers],[DAY]]))</f>
        <v>1236</v>
      </c>
      <c r="L1239" cm="1" vm="198">
        <f t="array" aca="1" ref="L1239" ca="1">IFERROR(INDEX(_xlfn.ANCHORARRAY($C$3),T_CALC[[#This Row],[DAY]]+1,1),NA())</f>
        <v>44489</v>
      </c>
      <c r="M1239" cm="1" vm="2289">
        <f t="array" aca="1" ref="M1239" ca="1">IFERROR(INDEX(_xlfn.ANCHORARRAY($C$3),T_CALC[[#This Row],[DAY]]+1,3),NA())</f>
        <v>1.3444</v>
      </c>
      <c r="N1239" cm="1" vm="3213">
        <f t="array" aca="1" ref="N1239" ca="1">IFERROR(INDEX(_xlfn.ANCHORARRAY($C$3),T_CALC[[#This Row],[DAY]]+1,4),NA())</f>
        <v>1.3460000000000001</v>
      </c>
      <c r="O1239" cm="1" vm="2282">
        <f t="array" aca="1" ref="O1239" ca="1">IFERROR(INDEX(_xlfn.ANCHORARRAY($C$3),T_CALC[[#This Row],[DAY]]+1,5),NA())</f>
        <v>1.3426</v>
      </c>
      <c r="P1239" cm="1" vm="2115">
        <f t="array" aca="1" ref="P1239" ca="1">IFERROR(INDEX(_xlfn.ANCHORARRAY($C$3),T_CALC[[#This Row],[DAY]]+1,6),NA())</f>
        <v>1.3433999999999999</v>
      </c>
      <c r="Q1239" cm="1">
        <f t="array" aca="1" ref="Q1239" ca="1">IFERROR(INDEX(_xlfn.ANCHORARRAY($C$3),T_CALC[[#This Row],[DAY]]+1,2),NA())</f>
        <v>0</v>
      </c>
    </row>
    <row r="1240" spans="3:17">
      <c r="C1240" vm="199">
        <f ca="1"/>
        <v>44490</v>
      </c>
      <c r="D1240">
        <f ca="1"/>
        <v>0</v>
      </c>
      <c r="E1240" vm="2243">
        <f ca="1"/>
        <v>1.3434999999999999</v>
      </c>
      <c r="F1240" vm="2090">
        <f ca="1"/>
        <v>1.3476999999999999</v>
      </c>
      <c r="G1240" vm="2596">
        <f ca="1"/>
        <v>1.3415999999999999</v>
      </c>
      <c r="H1240" vm="2127">
        <f ca="1"/>
        <v>1.3475999999999999</v>
      </c>
      <c r="K1240">
        <f ca="1">IF(ROW(T_CALC[[#This Row],[DAY]])-ROW(T_CALC[[#Headers],[DAY]])&gt;C_N_TRADING_DAYS,"",ROW(T_CALC[[#This Row],[DAY]])-ROW(T_CALC[[#Headers],[DAY]]))</f>
        <v>1237</v>
      </c>
      <c r="L1240" cm="1" vm="199">
        <f t="array" aca="1" ref="L1240" ca="1">IFERROR(INDEX(_xlfn.ANCHORARRAY($C$3),T_CALC[[#This Row],[DAY]]+1,1),NA())</f>
        <v>44490</v>
      </c>
      <c r="M1240" cm="1" vm="2243">
        <f t="array" aca="1" ref="M1240" ca="1">IFERROR(INDEX(_xlfn.ANCHORARRAY($C$3),T_CALC[[#This Row],[DAY]]+1,3),NA())</f>
        <v>1.3434999999999999</v>
      </c>
      <c r="N1240" cm="1" vm="2090">
        <f t="array" aca="1" ref="N1240" ca="1">IFERROR(INDEX(_xlfn.ANCHORARRAY($C$3),T_CALC[[#This Row],[DAY]]+1,4),NA())</f>
        <v>1.3476999999999999</v>
      </c>
      <c r="O1240" cm="1" vm="2596">
        <f t="array" aca="1" ref="O1240" ca="1">IFERROR(INDEX(_xlfn.ANCHORARRAY($C$3),T_CALC[[#This Row],[DAY]]+1,5),NA())</f>
        <v>1.3415999999999999</v>
      </c>
      <c r="P1240" cm="1" vm="2127">
        <f t="array" aca="1" ref="P1240" ca="1">IFERROR(INDEX(_xlfn.ANCHORARRAY($C$3),T_CALC[[#This Row],[DAY]]+1,6),NA())</f>
        <v>1.3475999999999999</v>
      </c>
      <c r="Q1240" cm="1">
        <f t="array" aca="1" ref="Q1240" ca="1">IFERROR(INDEX(_xlfn.ANCHORARRAY($C$3),T_CALC[[#This Row],[DAY]]+1,2),NA())</f>
        <v>0</v>
      </c>
    </row>
    <row r="1241" spans="3:17">
      <c r="C1241" vm="200">
        <f ca="1"/>
        <v>44491</v>
      </c>
      <c r="D1241">
        <f ca="1"/>
        <v>0</v>
      </c>
      <c r="E1241" vm="2262">
        <f ca="1"/>
        <v>1.3473999999999999</v>
      </c>
      <c r="F1241" vm="2146">
        <f ca="1"/>
        <v>1.3496999999999999</v>
      </c>
      <c r="G1241" vm="2237">
        <f ca="1"/>
        <v>1.3442000000000001</v>
      </c>
      <c r="H1241" vm="2090">
        <f ca="1"/>
        <v>1.3476999999999999</v>
      </c>
      <c r="K1241">
        <f ca="1">IF(ROW(T_CALC[[#This Row],[DAY]])-ROW(T_CALC[[#Headers],[DAY]])&gt;C_N_TRADING_DAYS,"",ROW(T_CALC[[#This Row],[DAY]])-ROW(T_CALC[[#Headers],[DAY]]))</f>
        <v>1238</v>
      </c>
      <c r="L1241" cm="1" vm="200">
        <f t="array" aca="1" ref="L1241" ca="1">IFERROR(INDEX(_xlfn.ANCHORARRAY($C$3),T_CALC[[#This Row],[DAY]]+1,1),NA())</f>
        <v>44491</v>
      </c>
      <c r="M1241" cm="1" vm="2262">
        <f t="array" aca="1" ref="M1241" ca="1">IFERROR(INDEX(_xlfn.ANCHORARRAY($C$3),T_CALC[[#This Row],[DAY]]+1,3),NA())</f>
        <v>1.3473999999999999</v>
      </c>
      <c r="N1241" cm="1" vm="2146">
        <f t="array" aca="1" ref="N1241" ca="1">IFERROR(INDEX(_xlfn.ANCHORARRAY($C$3),T_CALC[[#This Row],[DAY]]+1,4),NA())</f>
        <v>1.3496999999999999</v>
      </c>
      <c r="O1241" cm="1" vm="2237">
        <f t="array" aca="1" ref="O1241" ca="1">IFERROR(INDEX(_xlfn.ANCHORARRAY($C$3),T_CALC[[#This Row],[DAY]]+1,5),NA())</f>
        <v>1.3442000000000001</v>
      </c>
      <c r="P1241" cm="1" vm="2090">
        <f t="array" aca="1" ref="P1241" ca="1">IFERROR(INDEX(_xlfn.ANCHORARRAY($C$3),T_CALC[[#This Row],[DAY]]+1,6),NA())</f>
        <v>1.3476999999999999</v>
      </c>
      <c r="Q1241" cm="1">
        <f t="array" aca="1" ref="Q1241" ca="1">IFERROR(INDEX(_xlfn.ANCHORARRAY($C$3),T_CALC[[#This Row],[DAY]]+1,2),NA())</f>
        <v>0</v>
      </c>
    </row>
    <row r="1242" spans="3:17">
      <c r="C1242" vm="201">
        <f ca="1"/>
        <v>44494</v>
      </c>
      <c r="D1242">
        <f ca="1"/>
        <v>0</v>
      </c>
      <c r="E1242" vm="2242">
        <f ca="1"/>
        <v>1.3474999999999999</v>
      </c>
      <c r="F1242" vm="2181">
        <f ca="1"/>
        <v>1.3488</v>
      </c>
      <c r="G1242" vm="2243">
        <f ca="1"/>
        <v>1.3434999999999999</v>
      </c>
      <c r="H1242" vm="2104">
        <f ca="1"/>
        <v>1.3469</v>
      </c>
      <c r="K1242">
        <f ca="1">IF(ROW(T_CALC[[#This Row],[DAY]])-ROW(T_CALC[[#Headers],[DAY]])&gt;C_N_TRADING_DAYS,"",ROW(T_CALC[[#This Row],[DAY]])-ROW(T_CALC[[#Headers],[DAY]]))</f>
        <v>1239</v>
      </c>
      <c r="L1242" cm="1" vm="201">
        <f t="array" aca="1" ref="L1242" ca="1">IFERROR(INDEX(_xlfn.ANCHORARRAY($C$3),T_CALC[[#This Row],[DAY]]+1,1),NA())</f>
        <v>44494</v>
      </c>
      <c r="M1242" cm="1" vm="2242">
        <f t="array" aca="1" ref="M1242" ca="1">IFERROR(INDEX(_xlfn.ANCHORARRAY($C$3),T_CALC[[#This Row],[DAY]]+1,3),NA())</f>
        <v>1.3474999999999999</v>
      </c>
      <c r="N1242" cm="1" vm="2181">
        <f t="array" aca="1" ref="N1242" ca="1">IFERROR(INDEX(_xlfn.ANCHORARRAY($C$3),T_CALC[[#This Row],[DAY]]+1,4),NA())</f>
        <v>1.3488</v>
      </c>
      <c r="O1242" cm="1" vm="2243">
        <f t="array" aca="1" ref="O1242" ca="1">IFERROR(INDEX(_xlfn.ANCHORARRAY($C$3),T_CALC[[#This Row],[DAY]]+1,5),NA())</f>
        <v>1.3434999999999999</v>
      </c>
      <c r="P1242" cm="1" vm="2104">
        <f t="array" aca="1" ref="P1242" ca="1">IFERROR(INDEX(_xlfn.ANCHORARRAY($C$3),T_CALC[[#This Row],[DAY]]+1,6),NA())</f>
        <v>1.3469</v>
      </c>
      <c r="Q1242" cm="1">
        <f t="array" aca="1" ref="Q1242" ca="1">IFERROR(INDEX(_xlfn.ANCHORARRAY($C$3),T_CALC[[#This Row],[DAY]]+1,2),NA())</f>
        <v>0</v>
      </c>
    </row>
    <row r="1243" spans="3:17">
      <c r="C1243" vm="202">
        <f ca="1"/>
        <v>44495</v>
      </c>
      <c r="D1243">
        <f ca="1"/>
        <v>0</v>
      </c>
      <c r="E1243" vm="2106">
        <f ca="1"/>
        <v>1.3466</v>
      </c>
      <c r="F1243" vm="2135">
        <f ca="1"/>
        <v>1.3486</v>
      </c>
      <c r="G1243" vm="2661">
        <f ca="1"/>
        <v>1.3449</v>
      </c>
      <c r="H1243" vm="2109">
        <f ca="1"/>
        <v>1.3481000000000001</v>
      </c>
      <c r="K1243">
        <f ca="1">IF(ROW(T_CALC[[#This Row],[DAY]])-ROW(T_CALC[[#Headers],[DAY]])&gt;C_N_TRADING_DAYS,"",ROW(T_CALC[[#This Row],[DAY]])-ROW(T_CALC[[#Headers],[DAY]]))</f>
        <v>1240</v>
      </c>
      <c r="L1243" cm="1" vm="202">
        <f t="array" aca="1" ref="L1243" ca="1">IFERROR(INDEX(_xlfn.ANCHORARRAY($C$3),T_CALC[[#This Row],[DAY]]+1,1),NA())</f>
        <v>44495</v>
      </c>
      <c r="M1243" cm="1" vm="2106">
        <f t="array" aca="1" ref="M1243" ca="1">IFERROR(INDEX(_xlfn.ANCHORARRAY($C$3),T_CALC[[#This Row],[DAY]]+1,3),NA())</f>
        <v>1.3466</v>
      </c>
      <c r="N1243" cm="1" vm="2135">
        <f t="array" aca="1" ref="N1243" ca="1">IFERROR(INDEX(_xlfn.ANCHORARRAY($C$3),T_CALC[[#This Row],[DAY]]+1,4),NA())</f>
        <v>1.3486</v>
      </c>
      <c r="O1243" cm="1" vm="2661">
        <f t="array" aca="1" ref="O1243" ca="1">IFERROR(INDEX(_xlfn.ANCHORARRAY($C$3),T_CALC[[#This Row],[DAY]]+1,5),NA())</f>
        <v>1.3449</v>
      </c>
      <c r="P1243" cm="1" vm="2109">
        <f t="array" aca="1" ref="P1243" ca="1">IFERROR(INDEX(_xlfn.ANCHORARRAY($C$3),T_CALC[[#This Row],[DAY]]+1,6),NA())</f>
        <v>1.3481000000000001</v>
      </c>
      <c r="Q1243" cm="1">
        <f t="array" aca="1" ref="Q1243" ca="1">IFERROR(INDEX(_xlfn.ANCHORARRAY($C$3),T_CALC[[#This Row],[DAY]]+1,2),NA())</f>
        <v>0</v>
      </c>
    </row>
    <row r="1244" spans="3:17">
      <c r="C1244" vm="203">
        <f ca="1"/>
        <v>44496</v>
      </c>
      <c r="D1244">
        <f ca="1"/>
        <v>0</v>
      </c>
      <c r="E1244" vm="2090">
        <f ca="1"/>
        <v>1.3476999999999999</v>
      </c>
      <c r="F1244" vm="2080">
        <f ca="1"/>
        <v>1.3501000000000001</v>
      </c>
      <c r="G1244" vm="3213">
        <f ca="1"/>
        <v>1.3460000000000001</v>
      </c>
      <c r="H1244" vm="2255">
        <f ca="1"/>
        <v>1.3482000000000001</v>
      </c>
      <c r="K1244">
        <f ca="1">IF(ROW(T_CALC[[#This Row],[DAY]])-ROW(T_CALC[[#Headers],[DAY]])&gt;C_N_TRADING_DAYS,"",ROW(T_CALC[[#This Row],[DAY]])-ROW(T_CALC[[#Headers],[DAY]]))</f>
        <v>1241</v>
      </c>
      <c r="L1244" cm="1" vm="203">
        <f t="array" aca="1" ref="L1244" ca="1">IFERROR(INDEX(_xlfn.ANCHORARRAY($C$3),T_CALC[[#This Row],[DAY]]+1,1),NA())</f>
        <v>44496</v>
      </c>
      <c r="M1244" cm="1" vm="2090">
        <f t="array" aca="1" ref="M1244" ca="1">IFERROR(INDEX(_xlfn.ANCHORARRAY($C$3),T_CALC[[#This Row],[DAY]]+1,3),NA())</f>
        <v>1.3476999999999999</v>
      </c>
      <c r="N1244" cm="1" vm="2080">
        <f t="array" aca="1" ref="N1244" ca="1">IFERROR(INDEX(_xlfn.ANCHORARRAY($C$3),T_CALC[[#This Row],[DAY]]+1,4),NA())</f>
        <v>1.3501000000000001</v>
      </c>
      <c r="O1244" cm="1" vm="3213">
        <f t="array" aca="1" ref="O1244" ca="1">IFERROR(INDEX(_xlfn.ANCHORARRAY($C$3),T_CALC[[#This Row],[DAY]]+1,5),NA())</f>
        <v>1.3460000000000001</v>
      </c>
      <c r="P1244" cm="1" vm="2255">
        <f t="array" aca="1" ref="P1244" ca="1">IFERROR(INDEX(_xlfn.ANCHORARRAY($C$3),T_CALC[[#This Row],[DAY]]+1,6),NA())</f>
        <v>1.3482000000000001</v>
      </c>
      <c r="Q1244" cm="1">
        <f t="array" aca="1" ref="Q1244" ca="1">IFERROR(INDEX(_xlfn.ANCHORARRAY($C$3),T_CALC[[#This Row],[DAY]]+1,2),NA())</f>
        <v>0</v>
      </c>
    </row>
    <row r="1245" spans="3:17">
      <c r="C1245" vm="204">
        <f ca="1"/>
        <v>44497</v>
      </c>
      <c r="D1245">
        <f ca="1"/>
        <v>0</v>
      </c>
      <c r="E1245" vm="2255">
        <f ca="1"/>
        <v>1.3482000000000001</v>
      </c>
      <c r="F1245" vm="2071">
        <f ca="1"/>
        <v>1.3502000000000001</v>
      </c>
      <c r="G1245" vm="2284">
        <f ca="1"/>
        <v>1.3431</v>
      </c>
      <c r="H1245" vm="2234">
        <f ca="1"/>
        <v>1.3445</v>
      </c>
      <c r="K1245">
        <f ca="1">IF(ROW(T_CALC[[#This Row],[DAY]])-ROW(T_CALC[[#Headers],[DAY]])&gt;C_N_TRADING_DAYS,"",ROW(T_CALC[[#This Row],[DAY]])-ROW(T_CALC[[#Headers],[DAY]]))</f>
        <v>1242</v>
      </c>
      <c r="L1245" cm="1" vm="204">
        <f t="array" aca="1" ref="L1245" ca="1">IFERROR(INDEX(_xlfn.ANCHORARRAY($C$3),T_CALC[[#This Row],[DAY]]+1,1),NA())</f>
        <v>44497</v>
      </c>
      <c r="M1245" cm="1" vm="2255">
        <f t="array" aca="1" ref="M1245" ca="1">IFERROR(INDEX(_xlfn.ANCHORARRAY($C$3),T_CALC[[#This Row],[DAY]]+1,3),NA())</f>
        <v>1.3482000000000001</v>
      </c>
      <c r="N1245" cm="1" vm="2071">
        <f t="array" aca="1" ref="N1245" ca="1">IFERROR(INDEX(_xlfn.ANCHORARRAY($C$3),T_CALC[[#This Row],[DAY]]+1,4),NA())</f>
        <v>1.3502000000000001</v>
      </c>
      <c r="O1245" cm="1" vm="2284">
        <f t="array" aca="1" ref="O1245" ca="1">IFERROR(INDEX(_xlfn.ANCHORARRAY($C$3),T_CALC[[#This Row],[DAY]]+1,5),NA())</f>
        <v>1.3431</v>
      </c>
      <c r="P1245" cm="1" vm="2234">
        <f t="array" aca="1" ref="P1245" ca="1">IFERROR(INDEX(_xlfn.ANCHORARRAY($C$3),T_CALC[[#This Row],[DAY]]+1,6),NA())</f>
        <v>1.3445</v>
      </c>
      <c r="Q1245" cm="1">
        <f t="array" aca="1" ref="Q1245" ca="1">IFERROR(INDEX(_xlfn.ANCHORARRAY($C$3),T_CALC[[#This Row],[DAY]]+1,2),NA())</f>
        <v>0</v>
      </c>
    </row>
    <row r="1246" spans="3:17">
      <c r="C1246" vm="205">
        <f ca="1"/>
        <v>44498</v>
      </c>
      <c r="D1246">
        <f ca="1"/>
        <v>0</v>
      </c>
      <c r="E1246" vm="2272">
        <f ca="1"/>
        <v>1.3438000000000001</v>
      </c>
      <c r="F1246" vm="2093">
        <f ca="1"/>
        <v>1.3499000000000001</v>
      </c>
      <c r="G1246" vm="2284">
        <f ca="1"/>
        <v>1.3431</v>
      </c>
      <c r="H1246" vm="2181">
        <f ca="1"/>
        <v>1.3488</v>
      </c>
      <c r="K1246">
        <f ca="1">IF(ROW(T_CALC[[#This Row],[DAY]])-ROW(T_CALC[[#Headers],[DAY]])&gt;C_N_TRADING_DAYS,"",ROW(T_CALC[[#This Row],[DAY]])-ROW(T_CALC[[#Headers],[DAY]]))</f>
        <v>1243</v>
      </c>
      <c r="L1246" cm="1" vm="205">
        <f t="array" aca="1" ref="L1246" ca="1">IFERROR(INDEX(_xlfn.ANCHORARRAY($C$3),T_CALC[[#This Row],[DAY]]+1,1),NA())</f>
        <v>44498</v>
      </c>
      <c r="M1246" cm="1" vm="2272">
        <f t="array" aca="1" ref="M1246" ca="1">IFERROR(INDEX(_xlfn.ANCHORARRAY($C$3),T_CALC[[#This Row],[DAY]]+1,3),NA())</f>
        <v>1.3438000000000001</v>
      </c>
      <c r="N1246" cm="1" vm="2093">
        <f t="array" aca="1" ref="N1246" ca="1">IFERROR(INDEX(_xlfn.ANCHORARRAY($C$3),T_CALC[[#This Row],[DAY]]+1,4),NA())</f>
        <v>1.3499000000000001</v>
      </c>
      <c r="O1246" cm="1" vm="2284">
        <f t="array" aca="1" ref="O1246" ca="1">IFERROR(INDEX(_xlfn.ANCHORARRAY($C$3),T_CALC[[#This Row],[DAY]]+1,5),NA())</f>
        <v>1.3431</v>
      </c>
      <c r="P1246" cm="1" vm="2181">
        <f t="array" aca="1" ref="P1246" ca="1">IFERROR(INDEX(_xlfn.ANCHORARRAY($C$3),T_CALC[[#This Row],[DAY]]+1,6),NA())</f>
        <v>1.3488</v>
      </c>
      <c r="Q1246" cm="1">
        <f t="array" aca="1" ref="Q1246" ca="1">IFERROR(INDEX(_xlfn.ANCHORARRAY($C$3),T_CALC[[#This Row],[DAY]]+1,2),NA())</f>
        <v>0</v>
      </c>
    </row>
    <row r="1247" spans="3:17">
      <c r="C1247" vm="206">
        <f ca="1"/>
        <v>44501</v>
      </c>
      <c r="D1247">
        <f ca="1"/>
        <v>0</v>
      </c>
      <c r="E1247" vm="2181">
        <f ca="1"/>
        <v>1.3488</v>
      </c>
      <c r="F1247" vm="2666">
        <f ca="1"/>
        <v>1.3511</v>
      </c>
      <c r="G1247" vm="2111">
        <f ca="1"/>
        <v>1.3472999999999999</v>
      </c>
      <c r="H1247" vm="2133">
        <f ca="1"/>
        <v>1.3484</v>
      </c>
      <c r="K1247">
        <f ca="1">IF(ROW(T_CALC[[#This Row],[DAY]])-ROW(T_CALC[[#Headers],[DAY]])&gt;C_N_TRADING_DAYS,"",ROW(T_CALC[[#This Row],[DAY]])-ROW(T_CALC[[#Headers],[DAY]]))</f>
        <v>1244</v>
      </c>
      <c r="L1247" cm="1" vm="206">
        <f t="array" aca="1" ref="L1247" ca="1">IFERROR(INDEX(_xlfn.ANCHORARRAY($C$3),T_CALC[[#This Row],[DAY]]+1,1),NA())</f>
        <v>44501</v>
      </c>
      <c r="M1247" cm="1" vm="2181">
        <f t="array" aca="1" ref="M1247" ca="1">IFERROR(INDEX(_xlfn.ANCHORARRAY($C$3),T_CALC[[#This Row],[DAY]]+1,3),NA())</f>
        <v>1.3488</v>
      </c>
      <c r="N1247" cm="1" vm="2666">
        <f t="array" aca="1" ref="N1247" ca="1">IFERROR(INDEX(_xlfn.ANCHORARRAY($C$3),T_CALC[[#This Row],[DAY]]+1,4),NA())</f>
        <v>1.3511</v>
      </c>
      <c r="O1247" cm="1" vm="2111">
        <f t="array" aca="1" ref="O1247" ca="1">IFERROR(INDEX(_xlfn.ANCHORARRAY($C$3),T_CALC[[#This Row],[DAY]]+1,5),NA())</f>
        <v>1.3472999999999999</v>
      </c>
      <c r="P1247" cm="1" vm="2133">
        <f t="array" aca="1" ref="P1247" ca="1">IFERROR(INDEX(_xlfn.ANCHORARRAY($C$3),T_CALC[[#This Row],[DAY]]+1,6),NA())</f>
        <v>1.3484</v>
      </c>
      <c r="Q1247" cm="1">
        <f t="array" aca="1" ref="Q1247" ca="1">IFERROR(INDEX(_xlfn.ANCHORARRAY($C$3),T_CALC[[#This Row],[DAY]]+1,2),NA())</f>
        <v>0</v>
      </c>
    </row>
    <row r="1248" spans="3:17">
      <c r="C1248" vm="207">
        <f ca="1"/>
        <v>44502</v>
      </c>
      <c r="D1248">
        <f ca="1"/>
        <v>0</v>
      </c>
      <c r="E1248" vm="2133">
        <f ca="1"/>
        <v>1.3484</v>
      </c>
      <c r="F1248" vm="2267">
        <f ca="1"/>
        <v>1.3498000000000001</v>
      </c>
      <c r="G1248" vm="3219">
        <f ca="1"/>
        <v>1.3463000000000001</v>
      </c>
      <c r="H1248" vm="2179">
        <f ca="1"/>
        <v>1.349</v>
      </c>
      <c r="K1248">
        <f ca="1">IF(ROW(T_CALC[[#This Row],[DAY]])-ROW(T_CALC[[#Headers],[DAY]])&gt;C_N_TRADING_DAYS,"",ROW(T_CALC[[#This Row],[DAY]])-ROW(T_CALC[[#Headers],[DAY]]))</f>
        <v>1245</v>
      </c>
      <c r="L1248" cm="1" vm="207">
        <f t="array" aca="1" ref="L1248" ca="1">IFERROR(INDEX(_xlfn.ANCHORARRAY($C$3),T_CALC[[#This Row],[DAY]]+1,1),NA())</f>
        <v>44502</v>
      </c>
      <c r="M1248" cm="1" vm="2133">
        <f t="array" aca="1" ref="M1248" ca="1">IFERROR(INDEX(_xlfn.ANCHORARRAY($C$3),T_CALC[[#This Row],[DAY]]+1,3),NA())</f>
        <v>1.3484</v>
      </c>
      <c r="N1248" cm="1" vm="2267">
        <f t="array" aca="1" ref="N1248" ca="1">IFERROR(INDEX(_xlfn.ANCHORARRAY($C$3),T_CALC[[#This Row],[DAY]]+1,4),NA())</f>
        <v>1.3498000000000001</v>
      </c>
      <c r="O1248" cm="1" vm="3219">
        <f t="array" aca="1" ref="O1248" ca="1">IFERROR(INDEX(_xlfn.ANCHORARRAY($C$3),T_CALC[[#This Row],[DAY]]+1,5),NA())</f>
        <v>1.3463000000000001</v>
      </c>
      <c r="P1248" cm="1" vm="2179">
        <f t="array" aca="1" ref="P1248" ca="1">IFERROR(INDEX(_xlfn.ANCHORARRAY($C$3),T_CALC[[#This Row],[DAY]]+1,6),NA())</f>
        <v>1.349</v>
      </c>
      <c r="Q1248" cm="1">
        <f t="array" aca="1" ref="Q1248" ca="1">IFERROR(INDEX(_xlfn.ANCHORARRAY($C$3),T_CALC[[#This Row],[DAY]]+1,2),NA())</f>
        <v>0</v>
      </c>
    </row>
    <row r="1249" spans="3:17">
      <c r="C1249" vm="208">
        <f ca="1"/>
        <v>44503</v>
      </c>
      <c r="D1249">
        <f ca="1"/>
        <v>0</v>
      </c>
      <c r="E1249" vm="2179">
        <f ca="1"/>
        <v>1.349</v>
      </c>
      <c r="F1249" vm="2663">
        <f ca="1"/>
        <v>1.3517999999999999</v>
      </c>
      <c r="G1249" vm="2253">
        <f ca="1"/>
        <v>1.3472</v>
      </c>
      <c r="H1249" vm="2127">
        <f ca="1"/>
        <v>1.3475999999999999</v>
      </c>
      <c r="K1249">
        <f ca="1">IF(ROW(T_CALC[[#This Row],[DAY]])-ROW(T_CALC[[#Headers],[DAY]])&gt;C_N_TRADING_DAYS,"",ROW(T_CALC[[#This Row],[DAY]])-ROW(T_CALC[[#Headers],[DAY]]))</f>
        <v>1246</v>
      </c>
      <c r="L1249" cm="1" vm="208">
        <f t="array" aca="1" ref="L1249" ca="1">IFERROR(INDEX(_xlfn.ANCHORARRAY($C$3),T_CALC[[#This Row],[DAY]]+1,1),NA())</f>
        <v>44503</v>
      </c>
      <c r="M1249" cm="1" vm="2179">
        <f t="array" aca="1" ref="M1249" ca="1">IFERROR(INDEX(_xlfn.ANCHORARRAY($C$3),T_CALC[[#This Row],[DAY]]+1,3),NA())</f>
        <v>1.349</v>
      </c>
      <c r="N1249" cm="1" vm="2663">
        <f t="array" aca="1" ref="N1249" ca="1">IFERROR(INDEX(_xlfn.ANCHORARRAY($C$3),T_CALC[[#This Row],[DAY]]+1,4),NA())</f>
        <v>1.3517999999999999</v>
      </c>
      <c r="O1249" cm="1" vm="2253">
        <f t="array" aca="1" ref="O1249" ca="1">IFERROR(INDEX(_xlfn.ANCHORARRAY($C$3),T_CALC[[#This Row],[DAY]]+1,5),NA())</f>
        <v>1.3472</v>
      </c>
      <c r="P1249" cm="1" vm="2127">
        <f t="array" aca="1" ref="P1249" ca="1">IFERROR(INDEX(_xlfn.ANCHORARRAY($C$3),T_CALC[[#This Row],[DAY]]+1,6),NA())</f>
        <v>1.3475999999999999</v>
      </c>
      <c r="Q1249" cm="1">
        <f t="array" aca="1" ref="Q1249" ca="1">IFERROR(INDEX(_xlfn.ANCHORARRAY($C$3),T_CALC[[#This Row],[DAY]]+1,2),NA())</f>
        <v>0</v>
      </c>
    </row>
    <row r="1250" spans="3:17">
      <c r="C1250" vm="209">
        <f ca="1"/>
        <v>44504</v>
      </c>
      <c r="D1250">
        <f ca="1"/>
        <v>0</v>
      </c>
      <c r="E1250" vm="2090">
        <f ca="1"/>
        <v>1.3476999999999999</v>
      </c>
      <c r="F1250" vm="2923">
        <f ca="1"/>
        <v>1.3527</v>
      </c>
      <c r="G1250" vm="2106">
        <f ca="1"/>
        <v>1.3466</v>
      </c>
      <c r="H1250" vm="2094">
        <f ca="1"/>
        <v>1.3508</v>
      </c>
      <c r="K1250">
        <f ca="1">IF(ROW(T_CALC[[#This Row],[DAY]])-ROW(T_CALC[[#Headers],[DAY]])&gt;C_N_TRADING_DAYS,"",ROW(T_CALC[[#This Row],[DAY]])-ROW(T_CALC[[#Headers],[DAY]]))</f>
        <v>1247</v>
      </c>
      <c r="L1250" cm="1" vm="209">
        <f t="array" aca="1" ref="L1250" ca="1">IFERROR(INDEX(_xlfn.ANCHORARRAY($C$3),T_CALC[[#This Row],[DAY]]+1,1),NA())</f>
        <v>44504</v>
      </c>
      <c r="M1250" cm="1" vm="2090">
        <f t="array" aca="1" ref="M1250" ca="1">IFERROR(INDEX(_xlfn.ANCHORARRAY($C$3),T_CALC[[#This Row],[DAY]]+1,3),NA())</f>
        <v>1.3476999999999999</v>
      </c>
      <c r="N1250" cm="1" vm="2923">
        <f t="array" aca="1" ref="N1250" ca="1">IFERROR(INDEX(_xlfn.ANCHORARRAY($C$3),T_CALC[[#This Row],[DAY]]+1,4),NA())</f>
        <v>1.3527</v>
      </c>
      <c r="O1250" cm="1" vm="2106">
        <f t="array" aca="1" ref="O1250" ca="1">IFERROR(INDEX(_xlfn.ANCHORARRAY($C$3),T_CALC[[#This Row],[DAY]]+1,5),NA())</f>
        <v>1.3466</v>
      </c>
      <c r="P1250" cm="1" vm="2094">
        <f t="array" aca="1" ref="P1250" ca="1">IFERROR(INDEX(_xlfn.ANCHORARRAY($C$3),T_CALC[[#This Row],[DAY]]+1,6),NA())</f>
        <v>1.3508</v>
      </c>
      <c r="Q1250" cm="1">
        <f t="array" aca="1" ref="Q1250" ca="1">IFERROR(INDEX(_xlfn.ANCHORARRAY($C$3),T_CALC[[#This Row],[DAY]]+1,2),NA())</f>
        <v>0</v>
      </c>
    </row>
    <row r="1251" spans="3:17">
      <c r="C1251" vm="210">
        <f ca="1"/>
        <v>44505</v>
      </c>
      <c r="D1251">
        <f ca="1"/>
        <v>0</v>
      </c>
      <c r="E1251" vm="2666">
        <f ca="1"/>
        <v>1.3511</v>
      </c>
      <c r="F1251" vm="2003">
        <f ca="1"/>
        <v>1.3545</v>
      </c>
      <c r="G1251" vm="2129">
        <f ca="1"/>
        <v>1.3493999999999999</v>
      </c>
      <c r="H1251" vm="2071">
        <f ca="1"/>
        <v>1.3502000000000001</v>
      </c>
      <c r="K1251">
        <f ca="1">IF(ROW(T_CALC[[#This Row],[DAY]])-ROW(T_CALC[[#Headers],[DAY]])&gt;C_N_TRADING_DAYS,"",ROW(T_CALC[[#This Row],[DAY]])-ROW(T_CALC[[#Headers],[DAY]]))</f>
        <v>1248</v>
      </c>
      <c r="L1251" cm="1" vm="210">
        <f t="array" aca="1" ref="L1251" ca="1">IFERROR(INDEX(_xlfn.ANCHORARRAY($C$3),T_CALC[[#This Row],[DAY]]+1,1),NA())</f>
        <v>44505</v>
      </c>
      <c r="M1251" cm="1" vm="2666">
        <f t="array" aca="1" ref="M1251" ca="1">IFERROR(INDEX(_xlfn.ANCHORARRAY($C$3),T_CALC[[#This Row],[DAY]]+1,3),NA())</f>
        <v>1.3511</v>
      </c>
      <c r="N1251" cm="1" vm="2003">
        <f t="array" aca="1" ref="N1251" ca="1">IFERROR(INDEX(_xlfn.ANCHORARRAY($C$3),T_CALC[[#This Row],[DAY]]+1,4),NA())</f>
        <v>1.3545</v>
      </c>
      <c r="O1251" cm="1" vm="2129">
        <f t="array" aca="1" ref="O1251" ca="1">IFERROR(INDEX(_xlfn.ANCHORARRAY($C$3),T_CALC[[#This Row],[DAY]]+1,5),NA())</f>
        <v>1.3493999999999999</v>
      </c>
      <c r="P1251" cm="1" vm="2071">
        <f t="array" aca="1" ref="P1251" ca="1">IFERROR(INDEX(_xlfn.ANCHORARRAY($C$3),T_CALC[[#This Row],[DAY]]+1,6),NA())</f>
        <v>1.3502000000000001</v>
      </c>
      <c r="Q1251" cm="1">
        <f t="array" aca="1" ref="Q1251" ca="1">IFERROR(INDEX(_xlfn.ANCHORARRAY($C$3),T_CALC[[#This Row],[DAY]]+1,2),NA())</f>
        <v>0</v>
      </c>
    </row>
    <row r="1252" spans="3:17">
      <c r="C1252" vm="211">
        <f ca="1"/>
        <v>44508</v>
      </c>
      <c r="D1252">
        <f ca="1"/>
        <v>0</v>
      </c>
      <c r="E1252" vm="2071">
        <f ca="1"/>
        <v>1.3502000000000001</v>
      </c>
      <c r="F1252" vm="2269">
        <f ca="1"/>
        <v>1.3519000000000001</v>
      </c>
      <c r="G1252" vm="2106">
        <f ca="1"/>
        <v>1.3466</v>
      </c>
      <c r="H1252" vm="2111">
        <f ca="1"/>
        <v>1.3472999999999999</v>
      </c>
      <c r="K1252">
        <f ca="1">IF(ROW(T_CALC[[#This Row],[DAY]])-ROW(T_CALC[[#Headers],[DAY]])&gt;C_N_TRADING_DAYS,"",ROW(T_CALC[[#This Row],[DAY]])-ROW(T_CALC[[#Headers],[DAY]]))</f>
        <v>1249</v>
      </c>
      <c r="L1252" cm="1" vm="211">
        <f t="array" aca="1" ref="L1252" ca="1">IFERROR(INDEX(_xlfn.ANCHORARRAY($C$3),T_CALC[[#This Row],[DAY]]+1,1),NA())</f>
        <v>44508</v>
      </c>
      <c r="M1252" cm="1" vm="2071">
        <f t="array" aca="1" ref="M1252" ca="1">IFERROR(INDEX(_xlfn.ANCHORARRAY($C$3),T_CALC[[#This Row],[DAY]]+1,3),NA())</f>
        <v>1.3502000000000001</v>
      </c>
      <c r="N1252" cm="1" vm="2269">
        <f t="array" aca="1" ref="N1252" ca="1">IFERROR(INDEX(_xlfn.ANCHORARRAY($C$3),T_CALC[[#This Row],[DAY]]+1,4),NA())</f>
        <v>1.3519000000000001</v>
      </c>
      <c r="O1252" cm="1" vm="2106">
        <f t="array" aca="1" ref="O1252" ca="1">IFERROR(INDEX(_xlfn.ANCHORARRAY($C$3),T_CALC[[#This Row],[DAY]]+1,5),NA())</f>
        <v>1.3466</v>
      </c>
      <c r="P1252" cm="1" vm="2111">
        <f t="array" aca="1" ref="P1252" ca="1">IFERROR(INDEX(_xlfn.ANCHORARRAY($C$3),T_CALC[[#This Row],[DAY]]+1,6),NA())</f>
        <v>1.3472999999999999</v>
      </c>
      <c r="Q1252" cm="1">
        <f t="array" aca="1" ref="Q1252" ca="1">IFERROR(INDEX(_xlfn.ANCHORARRAY($C$3),T_CALC[[#This Row],[DAY]]+1,2),NA())</f>
        <v>0</v>
      </c>
    </row>
    <row r="1253" spans="3:17">
      <c r="C1253" vm="212">
        <f ca="1"/>
        <v>44509</v>
      </c>
      <c r="D1253">
        <f ca="1"/>
        <v>0</v>
      </c>
      <c r="E1253" vm="2262">
        <f ca="1"/>
        <v>1.3473999999999999</v>
      </c>
      <c r="F1253" vm="2984">
        <f ca="1"/>
        <v>1.3485</v>
      </c>
      <c r="G1253" vm="2123">
        <f ca="1"/>
        <v>1.345</v>
      </c>
      <c r="H1253" vm="2106">
        <f ca="1"/>
        <v>1.3466</v>
      </c>
      <c r="K1253">
        <f ca="1">IF(ROW(T_CALC[[#This Row],[DAY]])-ROW(T_CALC[[#Headers],[DAY]])&gt;C_N_TRADING_DAYS,"",ROW(T_CALC[[#This Row],[DAY]])-ROW(T_CALC[[#Headers],[DAY]]))</f>
        <v>1250</v>
      </c>
      <c r="L1253" cm="1" vm="212">
        <f t="array" aca="1" ref="L1253" ca="1">IFERROR(INDEX(_xlfn.ANCHORARRAY($C$3),T_CALC[[#This Row],[DAY]]+1,1),NA())</f>
        <v>44509</v>
      </c>
      <c r="M1253" cm="1" vm="2262">
        <f t="array" aca="1" ref="M1253" ca="1">IFERROR(INDEX(_xlfn.ANCHORARRAY($C$3),T_CALC[[#This Row],[DAY]]+1,3),NA())</f>
        <v>1.3473999999999999</v>
      </c>
      <c r="N1253" cm="1" vm="2984">
        <f t="array" aca="1" ref="N1253" ca="1">IFERROR(INDEX(_xlfn.ANCHORARRAY($C$3),T_CALC[[#This Row],[DAY]]+1,4),NA())</f>
        <v>1.3485</v>
      </c>
      <c r="O1253" cm="1" vm="2123">
        <f t="array" aca="1" ref="O1253" ca="1">IFERROR(INDEX(_xlfn.ANCHORARRAY($C$3),T_CALC[[#This Row],[DAY]]+1,5),NA())</f>
        <v>1.345</v>
      </c>
      <c r="P1253" cm="1" vm="2106">
        <f t="array" aca="1" ref="P1253" ca="1">IFERROR(INDEX(_xlfn.ANCHORARRAY($C$3),T_CALC[[#This Row],[DAY]]+1,6),NA())</f>
        <v>1.3466</v>
      </c>
      <c r="Q1253" cm="1">
        <f t="array" aca="1" ref="Q1253" ca="1">IFERROR(INDEX(_xlfn.ANCHORARRAY($C$3),T_CALC[[#This Row],[DAY]]+1,2),NA())</f>
        <v>0</v>
      </c>
    </row>
    <row r="1254" spans="3:17">
      <c r="C1254" vm="213">
        <f ca="1"/>
        <v>44510</v>
      </c>
      <c r="D1254">
        <f ca="1"/>
        <v>0</v>
      </c>
      <c r="E1254" vm="2108">
        <f ca="1"/>
        <v>1.3465</v>
      </c>
      <c r="F1254" vm="2928">
        <f ca="1"/>
        <v>1.3534999999999999</v>
      </c>
      <c r="G1254" vm="2108">
        <f ca="1"/>
        <v>1.3465</v>
      </c>
      <c r="H1254" vm="2923">
        <f ca="1"/>
        <v>1.3527</v>
      </c>
      <c r="K1254">
        <f ca="1">IF(ROW(T_CALC[[#This Row],[DAY]])-ROW(T_CALC[[#Headers],[DAY]])&gt;C_N_TRADING_DAYS,"",ROW(T_CALC[[#This Row],[DAY]])-ROW(T_CALC[[#Headers],[DAY]]))</f>
        <v>1251</v>
      </c>
      <c r="L1254" cm="1" vm="213">
        <f t="array" aca="1" ref="L1254" ca="1">IFERROR(INDEX(_xlfn.ANCHORARRAY($C$3),T_CALC[[#This Row],[DAY]]+1,1),NA())</f>
        <v>44510</v>
      </c>
      <c r="M1254" cm="1" vm="2108">
        <f t="array" aca="1" ref="M1254" ca="1">IFERROR(INDEX(_xlfn.ANCHORARRAY($C$3),T_CALC[[#This Row],[DAY]]+1,3),NA())</f>
        <v>1.3465</v>
      </c>
      <c r="N1254" cm="1" vm="2928">
        <f t="array" aca="1" ref="N1254" ca="1">IFERROR(INDEX(_xlfn.ANCHORARRAY($C$3),T_CALC[[#This Row],[DAY]]+1,4),NA())</f>
        <v>1.3534999999999999</v>
      </c>
      <c r="O1254" cm="1" vm="2108">
        <f t="array" aca="1" ref="O1254" ca="1">IFERROR(INDEX(_xlfn.ANCHORARRAY($C$3),T_CALC[[#This Row],[DAY]]+1,5),NA())</f>
        <v>1.3465</v>
      </c>
      <c r="P1254" cm="1" vm="2923">
        <f t="array" aca="1" ref="P1254" ca="1">IFERROR(INDEX(_xlfn.ANCHORARRAY($C$3),T_CALC[[#This Row],[DAY]]+1,6),NA())</f>
        <v>1.3527</v>
      </c>
      <c r="Q1254" cm="1">
        <f t="array" aca="1" ref="Q1254" ca="1">IFERROR(INDEX(_xlfn.ANCHORARRAY($C$3),T_CALC[[#This Row],[DAY]]+1,2),NA())</f>
        <v>0</v>
      </c>
    </row>
    <row r="1255" spans="3:17">
      <c r="C1255" vm="214">
        <f ca="1"/>
        <v>44511</v>
      </c>
      <c r="D1255">
        <f ca="1"/>
        <v>0</v>
      </c>
      <c r="E1255" vm="2088">
        <f ca="1"/>
        <v>1.3526</v>
      </c>
      <c r="F1255" vm="2065">
        <f ca="1"/>
        <v>1.3568</v>
      </c>
      <c r="G1255" vm="2663">
        <f ca="1"/>
        <v>1.3517999999999999</v>
      </c>
      <c r="H1255" vm="2173">
        <f ca="1"/>
        <v>1.3541000000000001</v>
      </c>
      <c r="K1255">
        <f ca="1">IF(ROW(T_CALC[[#This Row],[DAY]])-ROW(T_CALC[[#Headers],[DAY]])&gt;C_N_TRADING_DAYS,"",ROW(T_CALC[[#This Row],[DAY]])-ROW(T_CALC[[#Headers],[DAY]]))</f>
        <v>1252</v>
      </c>
      <c r="L1255" cm="1" vm="214">
        <f t="array" aca="1" ref="L1255" ca="1">IFERROR(INDEX(_xlfn.ANCHORARRAY($C$3),T_CALC[[#This Row],[DAY]]+1,1),NA())</f>
        <v>44511</v>
      </c>
      <c r="M1255" cm="1" vm="2088">
        <f t="array" aca="1" ref="M1255" ca="1">IFERROR(INDEX(_xlfn.ANCHORARRAY($C$3),T_CALC[[#This Row],[DAY]]+1,3),NA())</f>
        <v>1.3526</v>
      </c>
      <c r="N1255" cm="1" vm="2065">
        <f t="array" aca="1" ref="N1255" ca="1">IFERROR(INDEX(_xlfn.ANCHORARRAY($C$3),T_CALC[[#This Row],[DAY]]+1,4),NA())</f>
        <v>1.3568</v>
      </c>
      <c r="O1255" cm="1" vm="2663">
        <f t="array" aca="1" ref="O1255" ca="1">IFERROR(INDEX(_xlfn.ANCHORARRAY($C$3),T_CALC[[#This Row],[DAY]]+1,5),NA())</f>
        <v>1.3517999999999999</v>
      </c>
      <c r="P1255" cm="1" vm="2173">
        <f t="array" aca="1" ref="P1255" ca="1">IFERROR(INDEX(_xlfn.ANCHORARRAY($C$3),T_CALC[[#This Row],[DAY]]+1,6),NA())</f>
        <v>1.3541000000000001</v>
      </c>
      <c r="Q1255" cm="1">
        <f t="array" aca="1" ref="Q1255" ca="1">IFERROR(INDEX(_xlfn.ANCHORARRAY($C$3),T_CALC[[#This Row],[DAY]]+1,2),NA())</f>
        <v>0</v>
      </c>
    </row>
    <row r="1256" spans="3:17">
      <c r="C1256" vm="215">
        <f ca="1"/>
        <v>44512</v>
      </c>
      <c r="D1256">
        <f ca="1"/>
        <v>0</v>
      </c>
      <c r="E1256" vm="2002">
        <f ca="1"/>
        <v>1.3540000000000001</v>
      </c>
      <c r="F1256" vm="2916">
        <f ca="1"/>
        <v>1.3560000000000001</v>
      </c>
      <c r="G1256" vm="2145">
        <f ca="1"/>
        <v>1.3512</v>
      </c>
      <c r="H1256" vm="2956">
        <f ca="1"/>
        <v>1.3515999999999999</v>
      </c>
      <c r="K1256">
        <f ca="1">IF(ROW(T_CALC[[#This Row],[DAY]])-ROW(T_CALC[[#Headers],[DAY]])&gt;C_N_TRADING_DAYS,"",ROW(T_CALC[[#This Row],[DAY]])-ROW(T_CALC[[#Headers],[DAY]]))</f>
        <v>1253</v>
      </c>
      <c r="L1256" cm="1" vm="215">
        <f t="array" aca="1" ref="L1256" ca="1">IFERROR(INDEX(_xlfn.ANCHORARRAY($C$3),T_CALC[[#This Row],[DAY]]+1,1),NA())</f>
        <v>44512</v>
      </c>
      <c r="M1256" cm="1" vm="2002">
        <f t="array" aca="1" ref="M1256" ca="1">IFERROR(INDEX(_xlfn.ANCHORARRAY($C$3),T_CALC[[#This Row],[DAY]]+1,3),NA())</f>
        <v>1.3540000000000001</v>
      </c>
      <c r="N1256" cm="1" vm="2916">
        <f t="array" aca="1" ref="N1256" ca="1">IFERROR(INDEX(_xlfn.ANCHORARRAY($C$3),T_CALC[[#This Row],[DAY]]+1,4),NA())</f>
        <v>1.3560000000000001</v>
      </c>
      <c r="O1256" cm="1" vm="2145">
        <f t="array" aca="1" ref="O1256" ca="1">IFERROR(INDEX(_xlfn.ANCHORARRAY($C$3),T_CALC[[#This Row],[DAY]]+1,5),NA())</f>
        <v>1.3512</v>
      </c>
      <c r="P1256" cm="1" vm="2956">
        <f t="array" aca="1" ref="P1256" ca="1">IFERROR(INDEX(_xlfn.ANCHORARRAY($C$3),T_CALC[[#This Row],[DAY]]+1,6),NA())</f>
        <v>1.3515999999999999</v>
      </c>
      <c r="Q1256" cm="1">
        <f t="array" aca="1" ref="Q1256" ca="1">IFERROR(INDEX(_xlfn.ANCHORARRAY($C$3),T_CALC[[#This Row],[DAY]]+1,2),NA())</f>
        <v>0</v>
      </c>
    </row>
    <row r="1257" spans="3:17">
      <c r="C1257" vm="216">
        <f ca="1"/>
        <v>44515</v>
      </c>
      <c r="D1257">
        <f ca="1"/>
        <v>0</v>
      </c>
      <c r="E1257" vm="2663">
        <f ca="1"/>
        <v>1.3517999999999999</v>
      </c>
      <c r="F1257" vm="2148">
        <f ca="1"/>
        <v>1.3543000000000001</v>
      </c>
      <c r="G1257" vm="2093">
        <f ca="1"/>
        <v>1.3499000000000001</v>
      </c>
      <c r="H1257" vm="2073">
        <f ca="1"/>
        <v>1.3532</v>
      </c>
      <c r="K1257">
        <f ca="1">IF(ROW(T_CALC[[#This Row],[DAY]])-ROW(T_CALC[[#Headers],[DAY]])&gt;C_N_TRADING_DAYS,"",ROW(T_CALC[[#This Row],[DAY]])-ROW(T_CALC[[#Headers],[DAY]]))</f>
        <v>1254</v>
      </c>
      <c r="L1257" cm="1" vm="216">
        <f t="array" aca="1" ref="L1257" ca="1">IFERROR(INDEX(_xlfn.ANCHORARRAY($C$3),T_CALC[[#This Row],[DAY]]+1,1),NA())</f>
        <v>44515</v>
      </c>
      <c r="M1257" cm="1" vm="2663">
        <f t="array" aca="1" ref="M1257" ca="1">IFERROR(INDEX(_xlfn.ANCHORARRAY($C$3),T_CALC[[#This Row],[DAY]]+1,3),NA())</f>
        <v>1.3517999999999999</v>
      </c>
      <c r="N1257" cm="1" vm="2148">
        <f t="array" aca="1" ref="N1257" ca="1">IFERROR(INDEX(_xlfn.ANCHORARRAY($C$3),T_CALC[[#This Row],[DAY]]+1,4),NA())</f>
        <v>1.3543000000000001</v>
      </c>
      <c r="O1257" cm="1" vm="2093">
        <f t="array" aca="1" ref="O1257" ca="1">IFERROR(INDEX(_xlfn.ANCHORARRAY($C$3),T_CALC[[#This Row],[DAY]]+1,5),NA())</f>
        <v>1.3499000000000001</v>
      </c>
      <c r="P1257" cm="1" vm="2073">
        <f t="array" aca="1" ref="P1257" ca="1">IFERROR(INDEX(_xlfn.ANCHORARRAY($C$3),T_CALC[[#This Row],[DAY]]+1,6),NA())</f>
        <v>1.3532</v>
      </c>
      <c r="Q1257" cm="1">
        <f t="array" aca="1" ref="Q1257" ca="1">IFERROR(INDEX(_xlfn.ANCHORARRAY($C$3),T_CALC[[#This Row],[DAY]]+1,2),NA())</f>
        <v>0</v>
      </c>
    </row>
    <row r="1258" spans="3:17">
      <c r="C1258" vm="217">
        <f ca="1"/>
        <v>44516</v>
      </c>
      <c r="D1258">
        <f ca="1"/>
        <v>0</v>
      </c>
      <c r="E1258" vm="2136">
        <f ca="1"/>
        <v>1.3532999999999999</v>
      </c>
      <c r="F1258" vm="2010">
        <f ca="1"/>
        <v>1.3576999999999999</v>
      </c>
      <c r="G1258" vm="2666">
        <f ca="1"/>
        <v>1.3511</v>
      </c>
      <c r="H1258" vm="2065">
        <f ca="1"/>
        <v>1.3568</v>
      </c>
      <c r="K1258">
        <f ca="1">IF(ROW(T_CALC[[#This Row],[DAY]])-ROW(T_CALC[[#Headers],[DAY]])&gt;C_N_TRADING_DAYS,"",ROW(T_CALC[[#This Row],[DAY]])-ROW(T_CALC[[#Headers],[DAY]]))</f>
        <v>1255</v>
      </c>
      <c r="L1258" cm="1" vm="217">
        <f t="array" aca="1" ref="L1258" ca="1">IFERROR(INDEX(_xlfn.ANCHORARRAY($C$3),T_CALC[[#This Row],[DAY]]+1,1),NA())</f>
        <v>44516</v>
      </c>
      <c r="M1258" cm="1" vm="2136">
        <f t="array" aca="1" ref="M1258" ca="1">IFERROR(INDEX(_xlfn.ANCHORARRAY($C$3),T_CALC[[#This Row],[DAY]]+1,3),NA())</f>
        <v>1.3532999999999999</v>
      </c>
      <c r="N1258" cm="1" vm="2010">
        <f t="array" aca="1" ref="N1258" ca="1">IFERROR(INDEX(_xlfn.ANCHORARRAY($C$3),T_CALC[[#This Row],[DAY]]+1,4),NA())</f>
        <v>1.3576999999999999</v>
      </c>
      <c r="O1258" cm="1" vm="2666">
        <f t="array" aca="1" ref="O1258" ca="1">IFERROR(INDEX(_xlfn.ANCHORARRAY($C$3),T_CALC[[#This Row],[DAY]]+1,5),NA())</f>
        <v>1.3511</v>
      </c>
      <c r="P1258" cm="1" vm="2065">
        <f t="array" aca="1" ref="P1258" ca="1">IFERROR(INDEX(_xlfn.ANCHORARRAY($C$3),T_CALC[[#This Row],[DAY]]+1,6),NA())</f>
        <v>1.3568</v>
      </c>
      <c r="Q1258" cm="1">
        <f t="array" aca="1" ref="Q1258" ca="1">IFERROR(INDEX(_xlfn.ANCHORARRAY($C$3),T_CALC[[#This Row],[DAY]]+1,2),NA())</f>
        <v>0</v>
      </c>
    </row>
    <row r="1259" spans="3:17">
      <c r="C1259" vm="218">
        <f ca="1"/>
        <v>44517</v>
      </c>
      <c r="D1259">
        <f ca="1"/>
        <v>0</v>
      </c>
      <c r="E1259" vm="2070">
        <f ca="1"/>
        <v>1.3563000000000001</v>
      </c>
      <c r="F1259" vm="2695">
        <f ca="1"/>
        <v>1.3601000000000001</v>
      </c>
      <c r="G1259" vm="2077">
        <f ca="1"/>
        <v>1.355</v>
      </c>
      <c r="H1259" vm="1997">
        <f ca="1"/>
        <v>1.3554999999999999</v>
      </c>
      <c r="K1259">
        <f ca="1">IF(ROW(T_CALC[[#This Row],[DAY]])-ROW(T_CALC[[#Headers],[DAY]])&gt;C_N_TRADING_DAYS,"",ROW(T_CALC[[#This Row],[DAY]])-ROW(T_CALC[[#Headers],[DAY]]))</f>
        <v>1256</v>
      </c>
      <c r="L1259" cm="1" vm="218">
        <f t="array" aca="1" ref="L1259" ca="1">IFERROR(INDEX(_xlfn.ANCHORARRAY($C$3),T_CALC[[#This Row],[DAY]]+1,1),NA())</f>
        <v>44517</v>
      </c>
      <c r="M1259" cm="1" vm="2070">
        <f t="array" aca="1" ref="M1259" ca="1">IFERROR(INDEX(_xlfn.ANCHORARRAY($C$3),T_CALC[[#This Row],[DAY]]+1,3),NA())</f>
        <v>1.3563000000000001</v>
      </c>
      <c r="N1259" cm="1" vm="2695">
        <f t="array" aca="1" ref="N1259" ca="1">IFERROR(INDEX(_xlfn.ANCHORARRAY($C$3),T_CALC[[#This Row],[DAY]]+1,4),NA())</f>
        <v>1.3601000000000001</v>
      </c>
      <c r="O1259" cm="1" vm="2077">
        <f t="array" aca="1" ref="O1259" ca="1">IFERROR(INDEX(_xlfn.ANCHORARRAY($C$3),T_CALC[[#This Row],[DAY]]+1,5),NA())</f>
        <v>1.355</v>
      </c>
      <c r="P1259" cm="1" vm="1997">
        <f t="array" aca="1" ref="P1259" ca="1">IFERROR(INDEX(_xlfn.ANCHORARRAY($C$3),T_CALC[[#This Row],[DAY]]+1,6),NA())</f>
        <v>1.3554999999999999</v>
      </c>
      <c r="Q1259" cm="1">
        <f t="array" aca="1" ref="Q1259" ca="1">IFERROR(INDEX(_xlfn.ANCHORARRAY($C$3),T_CALC[[#This Row],[DAY]]+1,2),NA())</f>
        <v>0</v>
      </c>
    </row>
    <row r="1260" spans="3:17">
      <c r="C1260" vm="219">
        <f ca="1"/>
        <v>44518</v>
      </c>
      <c r="D1260">
        <f ca="1"/>
        <v>0</v>
      </c>
      <c r="E1260" vm="1997">
        <f ca="1"/>
        <v>1.3554999999999999</v>
      </c>
      <c r="F1260" vm="2695">
        <f ca="1"/>
        <v>1.3601000000000001</v>
      </c>
      <c r="G1260" vm="2017">
        <f ca="1"/>
        <v>1.3549</v>
      </c>
      <c r="H1260" vm="1998">
        <f ca="1"/>
        <v>1.3564000000000001</v>
      </c>
      <c r="K1260">
        <f ca="1">IF(ROW(T_CALC[[#This Row],[DAY]])-ROW(T_CALC[[#Headers],[DAY]])&gt;C_N_TRADING_DAYS,"",ROW(T_CALC[[#This Row],[DAY]])-ROW(T_CALC[[#Headers],[DAY]]))</f>
        <v>1257</v>
      </c>
      <c r="L1260" cm="1" vm="219">
        <f t="array" aca="1" ref="L1260" ca="1">IFERROR(INDEX(_xlfn.ANCHORARRAY($C$3),T_CALC[[#This Row],[DAY]]+1,1),NA())</f>
        <v>44518</v>
      </c>
      <c r="M1260" cm="1" vm="1997">
        <f t="array" aca="1" ref="M1260" ca="1">IFERROR(INDEX(_xlfn.ANCHORARRAY($C$3),T_CALC[[#This Row],[DAY]]+1,3),NA())</f>
        <v>1.3554999999999999</v>
      </c>
      <c r="N1260" cm="1" vm="2695">
        <f t="array" aca="1" ref="N1260" ca="1">IFERROR(INDEX(_xlfn.ANCHORARRAY($C$3),T_CALC[[#This Row],[DAY]]+1,4),NA())</f>
        <v>1.3601000000000001</v>
      </c>
      <c r="O1260" cm="1" vm="2017">
        <f t="array" aca="1" ref="O1260" ca="1">IFERROR(INDEX(_xlfn.ANCHORARRAY($C$3),T_CALC[[#This Row],[DAY]]+1,5),NA())</f>
        <v>1.3549</v>
      </c>
      <c r="P1260" cm="1" vm="1998">
        <f t="array" aca="1" ref="P1260" ca="1">IFERROR(INDEX(_xlfn.ANCHORARRAY($C$3),T_CALC[[#This Row],[DAY]]+1,6),NA())</f>
        <v>1.3564000000000001</v>
      </c>
      <c r="Q1260" cm="1">
        <f t="array" aca="1" ref="Q1260" ca="1">IFERROR(INDEX(_xlfn.ANCHORARRAY($C$3),T_CALC[[#This Row],[DAY]]+1,2),NA())</f>
        <v>0</v>
      </c>
    </row>
    <row r="1261" spans="3:17">
      <c r="C1261" vm="220">
        <f ca="1"/>
        <v>44519</v>
      </c>
      <c r="D1261">
        <f ca="1"/>
        <v>0</v>
      </c>
      <c r="E1261" vm="2170">
        <f ca="1"/>
        <v>1.3559000000000001</v>
      </c>
      <c r="F1261" vm="2054">
        <f ca="1"/>
        <v>1.3622000000000001</v>
      </c>
      <c r="G1261" vm="2062">
        <f ca="1"/>
        <v>1.3553999999999999</v>
      </c>
      <c r="H1261" vm="2032">
        <f ca="1"/>
        <v>1.3612</v>
      </c>
      <c r="K1261">
        <f ca="1">IF(ROW(T_CALC[[#This Row],[DAY]])-ROW(T_CALC[[#Headers],[DAY]])&gt;C_N_TRADING_DAYS,"",ROW(T_CALC[[#This Row],[DAY]])-ROW(T_CALC[[#Headers],[DAY]]))</f>
        <v>1258</v>
      </c>
      <c r="L1261" cm="1" vm="220">
        <f t="array" aca="1" ref="L1261" ca="1">IFERROR(INDEX(_xlfn.ANCHORARRAY($C$3),T_CALC[[#This Row],[DAY]]+1,1),NA())</f>
        <v>44519</v>
      </c>
      <c r="M1261" cm="1" vm="2170">
        <f t="array" aca="1" ref="M1261" ca="1">IFERROR(INDEX(_xlfn.ANCHORARRAY($C$3),T_CALC[[#This Row],[DAY]]+1,3),NA())</f>
        <v>1.3559000000000001</v>
      </c>
      <c r="N1261" cm="1" vm="2054">
        <f t="array" aca="1" ref="N1261" ca="1">IFERROR(INDEX(_xlfn.ANCHORARRAY($C$3),T_CALC[[#This Row],[DAY]]+1,4),NA())</f>
        <v>1.3622000000000001</v>
      </c>
      <c r="O1261" cm="1" vm="2062">
        <f t="array" aca="1" ref="O1261" ca="1">IFERROR(INDEX(_xlfn.ANCHORARRAY($C$3),T_CALC[[#This Row],[DAY]]+1,5),NA())</f>
        <v>1.3553999999999999</v>
      </c>
      <c r="P1261" cm="1" vm="2032">
        <f t="array" aca="1" ref="P1261" ca="1">IFERROR(INDEX(_xlfn.ANCHORARRAY($C$3),T_CALC[[#This Row],[DAY]]+1,6),NA())</f>
        <v>1.3612</v>
      </c>
      <c r="Q1261" cm="1">
        <f t="array" aca="1" ref="Q1261" ca="1">IFERROR(INDEX(_xlfn.ANCHORARRAY($C$3),T_CALC[[#This Row],[DAY]]+1,2),NA())</f>
        <v>0</v>
      </c>
    </row>
    <row r="1262" spans="3:17">
      <c r="C1262" vm="221">
        <f ca="1"/>
        <v>44522</v>
      </c>
      <c r="D1262">
        <f ca="1"/>
        <v>0</v>
      </c>
      <c r="E1262" vm="2032">
        <f ca="1"/>
        <v>1.3612</v>
      </c>
      <c r="F1262" vm="2166">
        <f ca="1"/>
        <v>1.3654999999999999</v>
      </c>
      <c r="G1262" vm="2036">
        <f ca="1"/>
        <v>1.3604000000000001</v>
      </c>
      <c r="H1262" vm="2169">
        <f ca="1"/>
        <v>1.3635999999999999</v>
      </c>
      <c r="K1262">
        <f ca="1">IF(ROW(T_CALC[[#This Row],[DAY]])-ROW(T_CALC[[#Headers],[DAY]])&gt;C_N_TRADING_DAYS,"",ROW(T_CALC[[#This Row],[DAY]])-ROW(T_CALC[[#Headers],[DAY]]))</f>
        <v>1259</v>
      </c>
      <c r="L1262" cm="1" vm="221">
        <f t="array" aca="1" ref="L1262" ca="1">IFERROR(INDEX(_xlfn.ANCHORARRAY($C$3),T_CALC[[#This Row],[DAY]]+1,1),NA())</f>
        <v>44522</v>
      </c>
      <c r="M1262" cm="1" vm="2032">
        <f t="array" aca="1" ref="M1262" ca="1">IFERROR(INDEX(_xlfn.ANCHORARRAY($C$3),T_CALC[[#This Row],[DAY]]+1,3),NA())</f>
        <v>1.3612</v>
      </c>
      <c r="N1262" cm="1" vm="2166">
        <f t="array" aca="1" ref="N1262" ca="1">IFERROR(INDEX(_xlfn.ANCHORARRAY($C$3),T_CALC[[#This Row],[DAY]]+1,4),NA())</f>
        <v>1.3654999999999999</v>
      </c>
      <c r="O1262" cm="1" vm="2036">
        <f t="array" aca="1" ref="O1262" ca="1">IFERROR(INDEX(_xlfn.ANCHORARRAY($C$3),T_CALC[[#This Row],[DAY]]+1,5),NA())</f>
        <v>1.3604000000000001</v>
      </c>
      <c r="P1262" cm="1" vm="2169">
        <f t="array" aca="1" ref="P1262" ca="1">IFERROR(INDEX(_xlfn.ANCHORARRAY($C$3),T_CALC[[#This Row],[DAY]]+1,6),NA())</f>
        <v>1.3635999999999999</v>
      </c>
      <c r="Q1262" cm="1">
        <f t="array" aca="1" ref="Q1262" ca="1">IFERROR(INDEX(_xlfn.ANCHORARRAY($C$3),T_CALC[[#This Row],[DAY]]+1,2),NA())</f>
        <v>0</v>
      </c>
    </row>
    <row r="1263" spans="3:17">
      <c r="C1263" vm="222">
        <f ca="1"/>
        <v>44523</v>
      </c>
      <c r="D1263">
        <f ca="1"/>
        <v>0</v>
      </c>
      <c r="E1263" vm="1978">
        <f ca="1"/>
        <v>1.3634999999999999</v>
      </c>
      <c r="F1263" vm="2727">
        <f ca="1"/>
        <v>1.3675999999999999</v>
      </c>
      <c r="G1263" vm="1978">
        <f ca="1"/>
        <v>1.3634999999999999</v>
      </c>
      <c r="H1263" vm="2702">
        <f ca="1"/>
        <v>1.365</v>
      </c>
      <c r="K1263">
        <f ca="1">IF(ROW(T_CALC[[#This Row],[DAY]])-ROW(T_CALC[[#Headers],[DAY]])&gt;C_N_TRADING_DAYS,"",ROW(T_CALC[[#This Row],[DAY]])-ROW(T_CALC[[#Headers],[DAY]]))</f>
        <v>1260</v>
      </c>
      <c r="L1263" cm="1" vm="222">
        <f t="array" aca="1" ref="L1263" ca="1">IFERROR(INDEX(_xlfn.ANCHORARRAY($C$3),T_CALC[[#This Row],[DAY]]+1,1),NA())</f>
        <v>44523</v>
      </c>
      <c r="M1263" cm="1" vm="1978">
        <f t="array" aca="1" ref="M1263" ca="1">IFERROR(INDEX(_xlfn.ANCHORARRAY($C$3),T_CALC[[#This Row],[DAY]]+1,3),NA())</f>
        <v>1.3634999999999999</v>
      </c>
      <c r="N1263" cm="1" vm="2727">
        <f t="array" aca="1" ref="N1263" ca="1">IFERROR(INDEX(_xlfn.ANCHORARRAY($C$3),T_CALC[[#This Row],[DAY]]+1,4),NA())</f>
        <v>1.3675999999999999</v>
      </c>
      <c r="O1263" cm="1" vm="1978">
        <f t="array" aca="1" ref="O1263" ca="1">IFERROR(INDEX(_xlfn.ANCHORARRAY($C$3),T_CALC[[#This Row],[DAY]]+1,5),NA())</f>
        <v>1.3634999999999999</v>
      </c>
      <c r="P1263" cm="1" vm="2702">
        <f t="array" aca="1" ref="P1263" ca="1">IFERROR(INDEX(_xlfn.ANCHORARRAY($C$3),T_CALC[[#This Row],[DAY]]+1,6),NA())</f>
        <v>1.365</v>
      </c>
      <c r="Q1263" cm="1">
        <f t="array" aca="1" ref="Q1263" ca="1">IFERROR(INDEX(_xlfn.ANCHORARRAY($C$3),T_CALC[[#This Row],[DAY]]+1,2),NA())</f>
        <v>0</v>
      </c>
    </row>
    <row r="1264" spans="3:17">
      <c r="C1264" vm="223">
        <f ca="1"/>
        <v>44524</v>
      </c>
      <c r="D1264">
        <f ca="1"/>
        <v>0</v>
      </c>
      <c r="E1264" vm="2702">
        <f ca="1"/>
        <v>1.365</v>
      </c>
      <c r="F1264" vm="2853">
        <f ca="1"/>
        <v>1.3695999999999999</v>
      </c>
      <c r="G1264" vm="1987">
        <f ca="1"/>
        <v>1.3642000000000001</v>
      </c>
      <c r="H1264" vm="1968">
        <f ca="1"/>
        <v>1.3681000000000001</v>
      </c>
      <c r="K1264">
        <f ca="1">IF(ROW(T_CALC[[#This Row],[DAY]])-ROW(T_CALC[[#Headers],[DAY]])&gt;C_N_TRADING_DAYS,"",ROW(T_CALC[[#This Row],[DAY]])-ROW(T_CALC[[#Headers],[DAY]]))</f>
        <v>1261</v>
      </c>
      <c r="L1264" cm="1" vm="223">
        <f t="array" aca="1" ref="L1264" ca="1">IFERROR(INDEX(_xlfn.ANCHORARRAY($C$3),T_CALC[[#This Row],[DAY]]+1,1),NA())</f>
        <v>44524</v>
      </c>
      <c r="M1264" cm="1" vm="2702">
        <f t="array" aca="1" ref="M1264" ca="1">IFERROR(INDEX(_xlfn.ANCHORARRAY($C$3),T_CALC[[#This Row],[DAY]]+1,3),NA())</f>
        <v>1.365</v>
      </c>
      <c r="N1264" cm="1" vm="2853">
        <f t="array" aca="1" ref="N1264" ca="1">IFERROR(INDEX(_xlfn.ANCHORARRAY($C$3),T_CALC[[#This Row],[DAY]]+1,4),NA())</f>
        <v>1.3695999999999999</v>
      </c>
      <c r="O1264" cm="1" vm="1987">
        <f t="array" aca="1" ref="O1264" ca="1">IFERROR(INDEX(_xlfn.ANCHORARRAY($C$3),T_CALC[[#This Row],[DAY]]+1,5),NA())</f>
        <v>1.3642000000000001</v>
      </c>
      <c r="P1264" cm="1" vm="1968">
        <f t="array" aca="1" ref="P1264" ca="1">IFERROR(INDEX(_xlfn.ANCHORARRAY($C$3),T_CALC[[#This Row],[DAY]]+1,6),NA())</f>
        <v>1.3681000000000001</v>
      </c>
      <c r="Q1264" cm="1">
        <f t="array" aca="1" ref="Q1264" ca="1">IFERROR(INDEX(_xlfn.ANCHORARRAY($C$3),T_CALC[[#This Row],[DAY]]+1,2),NA())</f>
        <v>0</v>
      </c>
    </row>
    <row r="1265" spans="3:17">
      <c r="C1265" vm="224">
        <f ca="1"/>
        <v>44525</v>
      </c>
      <c r="D1265">
        <f ca="1"/>
        <v>0</v>
      </c>
      <c r="E1265" vm="3155">
        <f ca="1"/>
        <v>1.3677999999999999</v>
      </c>
      <c r="F1265" vm="2721">
        <f ca="1"/>
        <v>1.3694</v>
      </c>
      <c r="G1265" vm="2725">
        <f ca="1"/>
        <v>1.3657999999999999</v>
      </c>
      <c r="H1265" vm="2727">
        <f ca="1"/>
        <v>1.3675999999999999</v>
      </c>
      <c r="K1265">
        <f ca="1">IF(ROW(T_CALC[[#This Row],[DAY]])-ROW(T_CALC[[#Headers],[DAY]])&gt;C_N_TRADING_DAYS,"",ROW(T_CALC[[#This Row],[DAY]])-ROW(T_CALC[[#Headers],[DAY]]))</f>
        <v>1262</v>
      </c>
      <c r="L1265" cm="1" vm="224">
        <f t="array" aca="1" ref="L1265" ca="1">IFERROR(INDEX(_xlfn.ANCHORARRAY($C$3),T_CALC[[#This Row],[DAY]]+1,1),NA())</f>
        <v>44525</v>
      </c>
      <c r="M1265" cm="1" vm="3155">
        <f t="array" aca="1" ref="M1265" ca="1">IFERROR(INDEX(_xlfn.ANCHORARRAY($C$3),T_CALC[[#This Row],[DAY]]+1,3),NA())</f>
        <v>1.3677999999999999</v>
      </c>
      <c r="N1265" cm="1" vm="2721">
        <f t="array" aca="1" ref="N1265" ca="1">IFERROR(INDEX(_xlfn.ANCHORARRAY($C$3),T_CALC[[#This Row],[DAY]]+1,4),NA())</f>
        <v>1.3694</v>
      </c>
      <c r="O1265" cm="1" vm="2725">
        <f t="array" aca="1" ref="O1265" ca="1">IFERROR(INDEX(_xlfn.ANCHORARRAY($C$3),T_CALC[[#This Row],[DAY]]+1,5),NA())</f>
        <v>1.3657999999999999</v>
      </c>
      <c r="P1265" cm="1" vm="2727">
        <f t="array" aca="1" ref="P1265" ca="1">IFERROR(INDEX(_xlfn.ANCHORARRAY($C$3),T_CALC[[#This Row],[DAY]]+1,6),NA())</f>
        <v>1.3675999999999999</v>
      </c>
      <c r="Q1265" cm="1">
        <f t="array" aca="1" ref="Q1265" ca="1">IFERROR(INDEX(_xlfn.ANCHORARRAY($C$3),T_CALC[[#This Row],[DAY]]+1,2),NA())</f>
        <v>0</v>
      </c>
    </row>
    <row r="1266" spans="3:17">
      <c r="C1266" vm="225">
        <f ca="1"/>
        <v>44526</v>
      </c>
      <c r="D1266">
        <f ca="1"/>
        <v>0</v>
      </c>
      <c r="E1266" vm="1973">
        <f ca="1"/>
        <v>1.3674999999999999</v>
      </c>
      <c r="F1266" vm="2776">
        <f ca="1"/>
        <v>1.3744000000000001</v>
      </c>
      <c r="G1266" vm="2757">
        <f ca="1"/>
        <v>1.367</v>
      </c>
      <c r="H1266" vm="1960">
        <f ca="1"/>
        <v>1.3706</v>
      </c>
      <c r="K1266">
        <f ca="1">IF(ROW(T_CALC[[#This Row],[DAY]])-ROW(T_CALC[[#Headers],[DAY]])&gt;C_N_TRADING_DAYS,"",ROW(T_CALC[[#This Row],[DAY]])-ROW(T_CALC[[#Headers],[DAY]]))</f>
        <v>1263</v>
      </c>
      <c r="L1266" cm="1" vm="225">
        <f t="array" aca="1" ref="L1266" ca="1">IFERROR(INDEX(_xlfn.ANCHORARRAY($C$3),T_CALC[[#This Row],[DAY]]+1,1),NA())</f>
        <v>44526</v>
      </c>
      <c r="M1266" cm="1" vm="1973">
        <f t="array" aca="1" ref="M1266" ca="1">IFERROR(INDEX(_xlfn.ANCHORARRAY($C$3),T_CALC[[#This Row],[DAY]]+1,3),NA())</f>
        <v>1.3674999999999999</v>
      </c>
      <c r="N1266" cm="1" vm="2776">
        <f t="array" aca="1" ref="N1266" ca="1">IFERROR(INDEX(_xlfn.ANCHORARRAY($C$3),T_CALC[[#This Row],[DAY]]+1,4),NA())</f>
        <v>1.3744000000000001</v>
      </c>
      <c r="O1266" cm="1" vm="2757">
        <f t="array" aca="1" ref="O1266" ca="1">IFERROR(INDEX(_xlfn.ANCHORARRAY($C$3),T_CALC[[#This Row],[DAY]]+1,5),NA())</f>
        <v>1.367</v>
      </c>
      <c r="P1266" cm="1" vm="1960">
        <f t="array" aca="1" ref="P1266" ca="1">IFERROR(INDEX(_xlfn.ANCHORARRAY($C$3),T_CALC[[#This Row],[DAY]]+1,6),NA())</f>
        <v>1.3706</v>
      </c>
      <c r="Q1266" cm="1">
        <f t="array" aca="1" ref="Q1266" ca="1">IFERROR(INDEX(_xlfn.ANCHORARRAY($C$3),T_CALC[[#This Row],[DAY]]+1,2),NA())</f>
        <v>0</v>
      </c>
    </row>
    <row r="1267" spans="3:17">
      <c r="C1267" vm="226">
        <f ca="1"/>
        <v>44529</v>
      </c>
      <c r="D1267">
        <f ca="1"/>
        <v>0</v>
      </c>
      <c r="E1267" vm="2678">
        <f ca="1"/>
        <v>1.3705000000000001</v>
      </c>
      <c r="F1267" vm="2767">
        <f ca="1"/>
        <v>1.3732</v>
      </c>
      <c r="G1267" vm="2047">
        <f ca="1"/>
        <v>1.3673</v>
      </c>
      <c r="H1267" vm="1952">
        <f ca="1"/>
        <v>1.3688</v>
      </c>
      <c r="K1267">
        <f ca="1">IF(ROW(T_CALC[[#This Row],[DAY]])-ROW(T_CALC[[#Headers],[DAY]])&gt;C_N_TRADING_DAYS,"",ROW(T_CALC[[#This Row],[DAY]])-ROW(T_CALC[[#Headers],[DAY]]))</f>
        <v>1264</v>
      </c>
      <c r="L1267" cm="1" vm="226">
        <f t="array" aca="1" ref="L1267" ca="1">IFERROR(INDEX(_xlfn.ANCHORARRAY($C$3),T_CALC[[#This Row],[DAY]]+1,1),NA())</f>
        <v>44529</v>
      </c>
      <c r="M1267" cm="1" vm="2678">
        <f t="array" aca="1" ref="M1267" ca="1">IFERROR(INDEX(_xlfn.ANCHORARRAY($C$3),T_CALC[[#This Row],[DAY]]+1,3),NA())</f>
        <v>1.3705000000000001</v>
      </c>
      <c r="N1267" cm="1" vm="2767">
        <f t="array" aca="1" ref="N1267" ca="1">IFERROR(INDEX(_xlfn.ANCHORARRAY($C$3),T_CALC[[#This Row],[DAY]]+1,4),NA())</f>
        <v>1.3732</v>
      </c>
      <c r="O1267" cm="1" vm="2047">
        <f t="array" aca="1" ref="O1267" ca="1">IFERROR(INDEX(_xlfn.ANCHORARRAY($C$3),T_CALC[[#This Row],[DAY]]+1,5),NA())</f>
        <v>1.3673</v>
      </c>
      <c r="P1267" cm="1" vm="1952">
        <f t="array" aca="1" ref="P1267" ca="1">IFERROR(INDEX(_xlfn.ANCHORARRAY($C$3),T_CALC[[#This Row],[DAY]]+1,6),NA())</f>
        <v>1.3688</v>
      </c>
      <c r="Q1267" cm="1">
        <f t="array" aca="1" ref="Q1267" ca="1">IFERROR(INDEX(_xlfn.ANCHORARRAY($C$3),T_CALC[[#This Row],[DAY]]+1,2),NA())</f>
        <v>0</v>
      </c>
    </row>
    <row r="1268" spans="3:17">
      <c r="C1268" vm="227">
        <f ca="1"/>
        <v>44530</v>
      </c>
      <c r="D1268">
        <f ca="1"/>
        <v>0</v>
      </c>
      <c r="E1268" vm="2680">
        <f ca="1"/>
        <v>1.3687</v>
      </c>
      <c r="F1268" vm="2742">
        <f ca="1"/>
        <v>1.3729</v>
      </c>
      <c r="G1268" vm="2675">
        <f ca="1"/>
        <v>1.3627</v>
      </c>
      <c r="H1268" vm="2026">
        <f ca="1"/>
        <v>1.3641000000000001</v>
      </c>
      <c r="K1268">
        <f ca="1">IF(ROW(T_CALC[[#This Row],[DAY]])-ROW(T_CALC[[#Headers],[DAY]])&gt;C_N_TRADING_DAYS,"",ROW(T_CALC[[#This Row],[DAY]])-ROW(T_CALC[[#Headers],[DAY]]))</f>
        <v>1265</v>
      </c>
      <c r="L1268" cm="1" vm="227">
        <f t="array" aca="1" ref="L1268" ca="1">IFERROR(INDEX(_xlfn.ANCHORARRAY($C$3),T_CALC[[#This Row],[DAY]]+1,1),NA())</f>
        <v>44530</v>
      </c>
      <c r="M1268" cm="1" vm="2680">
        <f t="array" aca="1" ref="M1268" ca="1">IFERROR(INDEX(_xlfn.ANCHORARRAY($C$3),T_CALC[[#This Row],[DAY]]+1,3),NA())</f>
        <v>1.3687</v>
      </c>
      <c r="N1268" cm="1" vm="2742">
        <f t="array" aca="1" ref="N1268" ca="1">IFERROR(INDEX(_xlfn.ANCHORARRAY($C$3),T_CALC[[#This Row],[DAY]]+1,4),NA())</f>
        <v>1.3729</v>
      </c>
      <c r="O1268" cm="1" vm="2675">
        <f t="array" aca="1" ref="O1268" ca="1">IFERROR(INDEX(_xlfn.ANCHORARRAY($C$3),T_CALC[[#This Row],[DAY]]+1,5),NA())</f>
        <v>1.3627</v>
      </c>
      <c r="P1268" cm="1" vm="2026">
        <f t="array" aca="1" ref="P1268" ca="1">IFERROR(INDEX(_xlfn.ANCHORARRAY($C$3),T_CALC[[#This Row],[DAY]]+1,6),NA())</f>
        <v>1.3641000000000001</v>
      </c>
      <c r="Q1268" cm="1">
        <f t="array" aca="1" ref="Q1268" ca="1">IFERROR(INDEX(_xlfn.ANCHORARRAY($C$3),T_CALC[[#This Row],[DAY]]+1,2),NA())</f>
        <v>0</v>
      </c>
    </row>
    <row r="1269" spans="3:17">
      <c r="C1269" vm="228">
        <f ca="1"/>
        <v>44531</v>
      </c>
      <c r="D1269">
        <f ca="1"/>
        <v>0</v>
      </c>
      <c r="E1269" vm="2162">
        <f ca="1"/>
        <v>1.3640000000000001</v>
      </c>
      <c r="F1269" vm="2720">
        <f ca="1"/>
        <v>1.3664000000000001</v>
      </c>
      <c r="G1269" vm="1992">
        <f ca="1"/>
        <v>1.3607</v>
      </c>
      <c r="H1269" vm="2165">
        <f ca="1"/>
        <v>1.3653</v>
      </c>
      <c r="K1269">
        <f ca="1">IF(ROW(T_CALC[[#This Row],[DAY]])-ROW(T_CALC[[#Headers],[DAY]])&gt;C_N_TRADING_DAYS,"",ROW(T_CALC[[#This Row],[DAY]])-ROW(T_CALC[[#Headers],[DAY]]))</f>
        <v>1266</v>
      </c>
      <c r="L1269" cm="1" vm="228">
        <f t="array" aca="1" ref="L1269" ca="1">IFERROR(INDEX(_xlfn.ANCHORARRAY($C$3),T_CALC[[#This Row],[DAY]]+1,1),NA())</f>
        <v>44531</v>
      </c>
      <c r="M1269" cm="1" vm="2162">
        <f t="array" aca="1" ref="M1269" ca="1">IFERROR(INDEX(_xlfn.ANCHORARRAY($C$3),T_CALC[[#This Row],[DAY]]+1,3),NA())</f>
        <v>1.3640000000000001</v>
      </c>
      <c r="N1269" cm="1" vm="2720">
        <f t="array" aca="1" ref="N1269" ca="1">IFERROR(INDEX(_xlfn.ANCHORARRAY($C$3),T_CALC[[#This Row],[DAY]]+1,4),NA())</f>
        <v>1.3664000000000001</v>
      </c>
      <c r="O1269" cm="1" vm="1992">
        <f t="array" aca="1" ref="O1269" ca="1">IFERROR(INDEX(_xlfn.ANCHORARRAY($C$3),T_CALC[[#This Row],[DAY]]+1,5),NA())</f>
        <v>1.3607</v>
      </c>
      <c r="P1269" cm="1" vm="2165">
        <f t="array" aca="1" ref="P1269" ca="1">IFERROR(INDEX(_xlfn.ANCHORARRAY($C$3),T_CALC[[#This Row],[DAY]]+1,6),NA())</f>
        <v>1.3653</v>
      </c>
      <c r="Q1269" cm="1">
        <f t="array" aca="1" ref="Q1269" ca="1">IFERROR(INDEX(_xlfn.ANCHORARRAY($C$3),T_CALC[[#This Row],[DAY]]+1,2),NA())</f>
        <v>0</v>
      </c>
    </row>
    <row r="1270" spans="3:17">
      <c r="C1270" vm="229">
        <f ca="1"/>
        <v>44532</v>
      </c>
      <c r="D1270">
        <f ca="1"/>
        <v>0</v>
      </c>
      <c r="E1270" vm="2208">
        <f ca="1"/>
        <v>1.3651</v>
      </c>
      <c r="F1270" vm="2871">
        <f ca="1"/>
        <v>1.3697999999999999</v>
      </c>
      <c r="G1270" vm="2033">
        <f ca="1"/>
        <v>1.3632</v>
      </c>
      <c r="H1270" vm="1958">
        <f ca="1"/>
        <v>1.369</v>
      </c>
      <c r="K1270">
        <f ca="1">IF(ROW(T_CALC[[#This Row],[DAY]])-ROW(T_CALC[[#Headers],[DAY]])&gt;C_N_TRADING_DAYS,"",ROW(T_CALC[[#This Row],[DAY]])-ROW(T_CALC[[#Headers],[DAY]]))</f>
        <v>1267</v>
      </c>
      <c r="L1270" cm="1" vm="229">
        <f t="array" aca="1" ref="L1270" ca="1">IFERROR(INDEX(_xlfn.ANCHORARRAY($C$3),T_CALC[[#This Row],[DAY]]+1,1),NA())</f>
        <v>44532</v>
      </c>
      <c r="M1270" cm="1" vm="2208">
        <f t="array" aca="1" ref="M1270" ca="1">IFERROR(INDEX(_xlfn.ANCHORARRAY($C$3),T_CALC[[#This Row],[DAY]]+1,3),NA())</f>
        <v>1.3651</v>
      </c>
      <c r="N1270" cm="1" vm="2871">
        <f t="array" aca="1" ref="N1270" ca="1">IFERROR(INDEX(_xlfn.ANCHORARRAY($C$3),T_CALC[[#This Row],[DAY]]+1,4),NA())</f>
        <v>1.3697999999999999</v>
      </c>
      <c r="O1270" cm="1" vm="2033">
        <f t="array" aca="1" ref="O1270" ca="1">IFERROR(INDEX(_xlfn.ANCHORARRAY($C$3),T_CALC[[#This Row],[DAY]]+1,5),NA())</f>
        <v>1.3632</v>
      </c>
      <c r="P1270" cm="1" vm="1958">
        <f t="array" aca="1" ref="P1270" ca="1">IFERROR(INDEX(_xlfn.ANCHORARRAY($C$3),T_CALC[[#This Row],[DAY]]+1,6),NA())</f>
        <v>1.369</v>
      </c>
      <c r="Q1270" cm="1">
        <f t="array" aca="1" ref="Q1270" ca="1">IFERROR(INDEX(_xlfn.ANCHORARRAY($C$3),T_CALC[[#This Row],[DAY]]+1,2),NA())</f>
        <v>0</v>
      </c>
    </row>
    <row r="1271" spans="3:17">
      <c r="C1271" vm="230">
        <f ca="1"/>
        <v>44533</v>
      </c>
      <c r="D1271">
        <f ca="1"/>
        <v>0</v>
      </c>
      <c r="E1271" vm="2889">
        <f ca="1"/>
        <v>1.3692</v>
      </c>
      <c r="F1271" vm="2742">
        <f ca="1"/>
        <v>1.3729</v>
      </c>
      <c r="G1271" vm="2198">
        <f ca="1"/>
        <v>1.3672</v>
      </c>
      <c r="H1271" vm="2737">
        <f ca="1"/>
        <v>1.3714</v>
      </c>
      <c r="K1271">
        <f ca="1">IF(ROW(T_CALC[[#This Row],[DAY]])-ROW(T_CALC[[#Headers],[DAY]])&gt;C_N_TRADING_DAYS,"",ROW(T_CALC[[#This Row],[DAY]])-ROW(T_CALC[[#Headers],[DAY]]))</f>
        <v>1268</v>
      </c>
      <c r="L1271" cm="1" vm="230">
        <f t="array" aca="1" ref="L1271" ca="1">IFERROR(INDEX(_xlfn.ANCHORARRAY($C$3),T_CALC[[#This Row],[DAY]]+1,1),NA())</f>
        <v>44533</v>
      </c>
      <c r="M1271" cm="1" vm="2889">
        <f t="array" aca="1" ref="M1271" ca="1">IFERROR(INDEX(_xlfn.ANCHORARRAY($C$3),T_CALC[[#This Row],[DAY]]+1,3),NA())</f>
        <v>1.3692</v>
      </c>
      <c r="N1271" cm="1" vm="2742">
        <f t="array" aca="1" ref="N1271" ca="1">IFERROR(INDEX(_xlfn.ANCHORARRAY($C$3),T_CALC[[#This Row],[DAY]]+1,4),NA())</f>
        <v>1.3729</v>
      </c>
      <c r="O1271" cm="1" vm="2198">
        <f t="array" aca="1" ref="O1271" ca="1">IFERROR(INDEX(_xlfn.ANCHORARRAY($C$3),T_CALC[[#This Row],[DAY]]+1,5),NA())</f>
        <v>1.3672</v>
      </c>
      <c r="P1271" cm="1" vm="2737">
        <f t="array" aca="1" ref="P1271" ca="1">IFERROR(INDEX(_xlfn.ANCHORARRAY($C$3),T_CALC[[#This Row],[DAY]]+1,6),NA())</f>
        <v>1.3714</v>
      </c>
      <c r="Q1271" cm="1">
        <f t="array" aca="1" ref="Q1271" ca="1">IFERROR(INDEX(_xlfn.ANCHORARRAY($C$3),T_CALC[[#This Row],[DAY]]+1,2),NA())</f>
        <v>0</v>
      </c>
    </row>
    <row r="1272" spans="3:17">
      <c r="C1272" vm="231">
        <f ca="1"/>
        <v>44536</v>
      </c>
      <c r="D1272">
        <f ca="1"/>
        <v>0</v>
      </c>
      <c r="E1272" vm="2791">
        <f ca="1"/>
        <v>1.3707</v>
      </c>
      <c r="F1272" vm="2682">
        <f ca="1"/>
        <v>1.3714999999999999</v>
      </c>
      <c r="G1272" vm="2760">
        <f ca="1"/>
        <v>1.3678999999999999</v>
      </c>
      <c r="H1272" vm="2680">
        <f ca="1"/>
        <v>1.3687</v>
      </c>
      <c r="K1272">
        <f ca="1">IF(ROW(T_CALC[[#This Row],[DAY]])-ROW(T_CALC[[#Headers],[DAY]])&gt;C_N_TRADING_DAYS,"",ROW(T_CALC[[#This Row],[DAY]])-ROW(T_CALC[[#Headers],[DAY]]))</f>
        <v>1269</v>
      </c>
      <c r="L1272" cm="1" vm="231">
        <f t="array" aca="1" ref="L1272" ca="1">IFERROR(INDEX(_xlfn.ANCHORARRAY($C$3),T_CALC[[#This Row],[DAY]]+1,1),NA())</f>
        <v>44536</v>
      </c>
      <c r="M1272" cm="1" vm="2791">
        <f t="array" aca="1" ref="M1272" ca="1">IFERROR(INDEX(_xlfn.ANCHORARRAY($C$3),T_CALC[[#This Row],[DAY]]+1,3),NA())</f>
        <v>1.3707</v>
      </c>
      <c r="N1272" cm="1" vm="2682">
        <f t="array" aca="1" ref="N1272" ca="1">IFERROR(INDEX(_xlfn.ANCHORARRAY($C$3),T_CALC[[#This Row],[DAY]]+1,4),NA())</f>
        <v>1.3714999999999999</v>
      </c>
      <c r="O1272" cm="1" vm="2760">
        <f t="array" aca="1" ref="O1272" ca="1">IFERROR(INDEX(_xlfn.ANCHORARRAY($C$3),T_CALC[[#This Row],[DAY]]+1,5),NA())</f>
        <v>1.3678999999999999</v>
      </c>
      <c r="P1272" cm="1" vm="2680">
        <f t="array" aca="1" ref="P1272" ca="1">IFERROR(INDEX(_xlfn.ANCHORARRAY($C$3),T_CALC[[#This Row],[DAY]]+1,6),NA())</f>
        <v>1.3687</v>
      </c>
      <c r="Q1272" cm="1">
        <f t="array" aca="1" ref="Q1272" ca="1">IFERROR(INDEX(_xlfn.ANCHORARRAY($C$3),T_CALC[[#This Row],[DAY]]+1,2),NA())</f>
        <v>0</v>
      </c>
    </row>
    <row r="1273" spans="3:17">
      <c r="C1273" vm="232">
        <f ca="1"/>
        <v>44537</v>
      </c>
      <c r="D1273">
        <f ca="1"/>
        <v>0</v>
      </c>
      <c r="E1273" vm="2762">
        <f ca="1"/>
        <v>1.3686</v>
      </c>
      <c r="F1273" vm="2786">
        <f ca="1"/>
        <v>1.3701000000000001</v>
      </c>
      <c r="G1273" vm="2035">
        <f ca="1"/>
        <v>1.3644000000000001</v>
      </c>
      <c r="H1273" vm="2165">
        <f ca="1"/>
        <v>1.3653</v>
      </c>
      <c r="K1273">
        <f ca="1">IF(ROW(T_CALC[[#This Row],[DAY]])-ROW(T_CALC[[#Headers],[DAY]])&gt;C_N_TRADING_DAYS,"",ROW(T_CALC[[#This Row],[DAY]])-ROW(T_CALC[[#Headers],[DAY]]))</f>
        <v>1270</v>
      </c>
      <c r="L1273" cm="1" vm="232">
        <f t="array" aca="1" ref="L1273" ca="1">IFERROR(INDEX(_xlfn.ANCHORARRAY($C$3),T_CALC[[#This Row],[DAY]]+1,1),NA())</f>
        <v>44537</v>
      </c>
      <c r="M1273" cm="1" vm="2762">
        <f t="array" aca="1" ref="M1273" ca="1">IFERROR(INDEX(_xlfn.ANCHORARRAY($C$3),T_CALC[[#This Row],[DAY]]+1,3),NA())</f>
        <v>1.3686</v>
      </c>
      <c r="N1273" cm="1" vm="2786">
        <f t="array" aca="1" ref="N1273" ca="1">IFERROR(INDEX(_xlfn.ANCHORARRAY($C$3),T_CALC[[#This Row],[DAY]]+1,4),NA())</f>
        <v>1.3701000000000001</v>
      </c>
      <c r="O1273" cm="1" vm="2035">
        <f t="array" aca="1" ref="O1273" ca="1">IFERROR(INDEX(_xlfn.ANCHORARRAY($C$3),T_CALC[[#This Row],[DAY]]+1,5),NA())</f>
        <v>1.3644000000000001</v>
      </c>
      <c r="P1273" cm="1" vm="2165">
        <f t="array" aca="1" ref="P1273" ca="1">IFERROR(INDEX(_xlfn.ANCHORARRAY($C$3),T_CALC[[#This Row],[DAY]]+1,6),NA())</f>
        <v>1.3653</v>
      </c>
      <c r="Q1273" cm="1">
        <f t="array" aca="1" ref="Q1273" ca="1">IFERROR(INDEX(_xlfn.ANCHORARRAY($C$3),T_CALC[[#This Row],[DAY]]+1,2),NA())</f>
        <v>0</v>
      </c>
    </row>
    <row r="1274" spans="3:17">
      <c r="C1274" vm="233">
        <f ca="1"/>
        <v>44538</v>
      </c>
      <c r="D1274">
        <f ca="1"/>
        <v>0</v>
      </c>
      <c r="E1274" vm="2702">
        <f ca="1"/>
        <v>1.365</v>
      </c>
      <c r="F1274" vm="1957">
        <f ca="1"/>
        <v>1.3663000000000001</v>
      </c>
      <c r="G1274" vm="2194">
        <f ca="1"/>
        <v>1.3602000000000001</v>
      </c>
      <c r="H1274" vm="2018">
        <f ca="1"/>
        <v>1.3606</v>
      </c>
      <c r="K1274">
        <f ca="1">IF(ROW(T_CALC[[#This Row],[DAY]])-ROW(T_CALC[[#Headers],[DAY]])&gt;C_N_TRADING_DAYS,"",ROW(T_CALC[[#This Row],[DAY]])-ROW(T_CALC[[#Headers],[DAY]]))</f>
        <v>1271</v>
      </c>
      <c r="L1274" cm="1" vm="233">
        <f t="array" aca="1" ref="L1274" ca="1">IFERROR(INDEX(_xlfn.ANCHORARRAY($C$3),T_CALC[[#This Row],[DAY]]+1,1),NA())</f>
        <v>44538</v>
      </c>
      <c r="M1274" cm="1" vm="2702">
        <f t="array" aca="1" ref="M1274" ca="1">IFERROR(INDEX(_xlfn.ANCHORARRAY($C$3),T_CALC[[#This Row],[DAY]]+1,3),NA())</f>
        <v>1.365</v>
      </c>
      <c r="N1274" cm="1" vm="1957">
        <f t="array" aca="1" ref="N1274" ca="1">IFERROR(INDEX(_xlfn.ANCHORARRAY($C$3),T_CALC[[#This Row],[DAY]]+1,4),NA())</f>
        <v>1.3663000000000001</v>
      </c>
      <c r="O1274" cm="1" vm="2194">
        <f t="array" aca="1" ref="O1274" ca="1">IFERROR(INDEX(_xlfn.ANCHORARRAY($C$3),T_CALC[[#This Row],[DAY]]+1,5),NA())</f>
        <v>1.3602000000000001</v>
      </c>
      <c r="P1274" cm="1" vm="2018">
        <f t="array" aca="1" ref="P1274" ca="1">IFERROR(INDEX(_xlfn.ANCHORARRAY($C$3),T_CALC[[#This Row],[DAY]]+1,6),NA())</f>
        <v>1.3606</v>
      </c>
      <c r="Q1274" cm="1">
        <f t="array" aca="1" ref="Q1274" ca="1">IFERROR(INDEX(_xlfn.ANCHORARRAY($C$3),T_CALC[[#This Row],[DAY]]+1,2),NA())</f>
        <v>0</v>
      </c>
    </row>
    <row r="1275" spans="3:17">
      <c r="C1275" vm="234">
        <f ca="1"/>
        <v>44539</v>
      </c>
      <c r="D1275">
        <f ca="1"/>
        <v>0</v>
      </c>
      <c r="E1275" vm="2036">
        <f ca="1"/>
        <v>1.3604000000000001</v>
      </c>
      <c r="F1275" vm="2043">
        <f ca="1"/>
        <v>1.3666</v>
      </c>
      <c r="G1275" vm="2194">
        <f ca="1"/>
        <v>1.3602000000000001</v>
      </c>
      <c r="H1275" vm="2035">
        <f ca="1"/>
        <v>1.3644000000000001</v>
      </c>
      <c r="K1275">
        <f ca="1">IF(ROW(T_CALC[[#This Row],[DAY]])-ROW(T_CALC[[#Headers],[DAY]])&gt;C_N_TRADING_DAYS,"",ROW(T_CALC[[#This Row],[DAY]])-ROW(T_CALC[[#Headers],[DAY]]))</f>
        <v>1272</v>
      </c>
      <c r="L1275" cm="1" vm="234">
        <f t="array" aca="1" ref="L1275" ca="1">IFERROR(INDEX(_xlfn.ANCHORARRAY($C$3),T_CALC[[#This Row],[DAY]]+1,1),NA())</f>
        <v>44539</v>
      </c>
      <c r="M1275" cm="1" vm="2036">
        <f t="array" aca="1" ref="M1275" ca="1">IFERROR(INDEX(_xlfn.ANCHORARRAY($C$3),T_CALC[[#This Row],[DAY]]+1,3),NA())</f>
        <v>1.3604000000000001</v>
      </c>
      <c r="N1275" cm="1" vm="2043">
        <f t="array" aca="1" ref="N1275" ca="1">IFERROR(INDEX(_xlfn.ANCHORARRAY($C$3),T_CALC[[#This Row],[DAY]]+1,4),NA())</f>
        <v>1.3666</v>
      </c>
      <c r="O1275" cm="1" vm="2194">
        <f t="array" aca="1" ref="O1275" ca="1">IFERROR(INDEX(_xlfn.ANCHORARRAY($C$3),T_CALC[[#This Row],[DAY]]+1,5),NA())</f>
        <v>1.3602000000000001</v>
      </c>
      <c r="P1275" cm="1" vm="2035">
        <f t="array" aca="1" ref="P1275" ca="1">IFERROR(INDEX(_xlfn.ANCHORARRAY($C$3),T_CALC[[#This Row],[DAY]]+1,6),NA())</f>
        <v>1.3644000000000001</v>
      </c>
      <c r="Q1275" cm="1">
        <f t="array" aca="1" ref="Q1275" ca="1">IFERROR(INDEX(_xlfn.ANCHORARRAY($C$3),T_CALC[[#This Row],[DAY]]+1,2),NA())</f>
        <v>0</v>
      </c>
    </row>
    <row r="1276" spans="3:17">
      <c r="C1276" vm="235">
        <f ca="1"/>
        <v>44540</v>
      </c>
      <c r="D1276">
        <f ca="1"/>
        <v>0</v>
      </c>
      <c r="E1276" vm="1970">
        <f ca="1"/>
        <v>1.3643000000000001</v>
      </c>
      <c r="F1276" vm="2196">
        <f ca="1"/>
        <v>1.3668</v>
      </c>
      <c r="G1276" vm="2054">
        <f ca="1"/>
        <v>1.3622000000000001</v>
      </c>
      <c r="H1276" vm="2707">
        <f ca="1"/>
        <v>1.3636999999999999</v>
      </c>
      <c r="K1276">
        <f ca="1">IF(ROW(T_CALC[[#This Row],[DAY]])-ROW(T_CALC[[#Headers],[DAY]])&gt;C_N_TRADING_DAYS,"",ROW(T_CALC[[#This Row],[DAY]])-ROW(T_CALC[[#Headers],[DAY]]))</f>
        <v>1273</v>
      </c>
      <c r="L1276" cm="1" vm="235">
        <f t="array" aca="1" ref="L1276" ca="1">IFERROR(INDEX(_xlfn.ANCHORARRAY($C$3),T_CALC[[#This Row],[DAY]]+1,1),NA())</f>
        <v>44540</v>
      </c>
      <c r="M1276" cm="1" vm="1970">
        <f t="array" aca="1" ref="M1276" ca="1">IFERROR(INDEX(_xlfn.ANCHORARRAY($C$3),T_CALC[[#This Row],[DAY]]+1,3),NA())</f>
        <v>1.3643000000000001</v>
      </c>
      <c r="N1276" cm="1" vm="2196">
        <f t="array" aca="1" ref="N1276" ca="1">IFERROR(INDEX(_xlfn.ANCHORARRAY($C$3),T_CALC[[#This Row],[DAY]]+1,4),NA())</f>
        <v>1.3668</v>
      </c>
      <c r="O1276" cm="1" vm="2054">
        <f t="array" aca="1" ref="O1276" ca="1">IFERROR(INDEX(_xlfn.ANCHORARRAY($C$3),T_CALC[[#This Row],[DAY]]+1,5),NA())</f>
        <v>1.3622000000000001</v>
      </c>
      <c r="P1276" cm="1" vm="2707">
        <f t="array" aca="1" ref="P1276" ca="1">IFERROR(INDEX(_xlfn.ANCHORARRAY($C$3),T_CALC[[#This Row],[DAY]]+1,6),NA())</f>
        <v>1.3636999999999999</v>
      </c>
      <c r="Q1276" cm="1">
        <f t="array" aca="1" ref="Q1276" ca="1">IFERROR(INDEX(_xlfn.ANCHORARRAY($C$3),T_CALC[[#This Row],[DAY]]+1,2),NA())</f>
        <v>0</v>
      </c>
    </row>
    <row r="1277" spans="3:17">
      <c r="C1277" vm="236">
        <f ca="1"/>
        <v>44543</v>
      </c>
      <c r="D1277">
        <f ca="1"/>
        <v>0</v>
      </c>
      <c r="E1277" vm="1977">
        <f ca="1"/>
        <v>1.3633999999999999</v>
      </c>
      <c r="F1277" vm="2680">
        <f ca="1"/>
        <v>1.3687</v>
      </c>
      <c r="G1277" vm="2023">
        <f ca="1"/>
        <v>1.3626</v>
      </c>
      <c r="H1277" vm="2047">
        <f ca="1"/>
        <v>1.3673</v>
      </c>
      <c r="K1277">
        <f ca="1">IF(ROW(T_CALC[[#This Row],[DAY]])-ROW(T_CALC[[#Headers],[DAY]])&gt;C_N_TRADING_DAYS,"",ROW(T_CALC[[#This Row],[DAY]])-ROW(T_CALC[[#Headers],[DAY]]))</f>
        <v>1274</v>
      </c>
      <c r="L1277" cm="1" vm="236">
        <f t="array" aca="1" ref="L1277" ca="1">IFERROR(INDEX(_xlfn.ANCHORARRAY($C$3),T_CALC[[#This Row],[DAY]]+1,1),NA())</f>
        <v>44543</v>
      </c>
      <c r="M1277" cm="1" vm="1977">
        <f t="array" aca="1" ref="M1277" ca="1">IFERROR(INDEX(_xlfn.ANCHORARRAY($C$3),T_CALC[[#This Row],[DAY]]+1,3),NA())</f>
        <v>1.3633999999999999</v>
      </c>
      <c r="N1277" cm="1" vm="2680">
        <f t="array" aca="1" ref="N1277" ca="1">IFERROR(INDEX(_xlfn.ANCHORARRAY($C$3),T_CALC[[#This Row],[DAY]]+1,4),NA())</f>
        <v>1.3687</v>
      </c>
      <c r="O1277" cm="1" vm="2023">
        <f t="array" aca="1" ref="O1277" ca="1">IFERROR(INDEX(_xlfn.ANCHORARRAY($C$3),T_CALC[[#This Row],[DAY]]+1,5),NA())</f>
        <v>1.3626</v>
      </c>
      <c r="P1277" cm="1" vm="2047">
        <f t="array" aca="1" ref="P1277" ca="1">IFERROR(INDEX(_xlfn.ANCHORARRAY($C$3),T_CALC[[#This Row],[DAY]]+1,6),NA())</f>
        <v>1.3673</v>
      </c>
      <c r="Q1277" cm="1">
        <f t="array" aca="1" ref="Q1277" ca="1">IFERROR(INDEX(_xlfn.ANCHORARRAY($C$3),T_CALC[[#This Row],[DAY]]+1,2),NA())</f>
        <v>0</v>
      </c>
    </row>
    <row r="1278" spans="3:17">
      <c r="C1278" vm="237">
        <f ca="1"/>
        <v>44544</v>
      </c>
      <c r="D1278">
        <f ca="1"/>
        <v>0</v>
      </c>
      <c r="E1278" vm="2045">
        <f ca="1"/>
        <v>1.3671</v>
      </c>
      <c r="F1278" vm="2746">
        <f ca="1"/>
        <v>1.3703000000000001</v>
      </c>
      <c r="G1278" vm="3047">
        <f ca="1"/>
        <v>1.3665</v>
      </c>
      <c r="H1278" vm="1965">
        <f ca="1"/>
        <v>1.3698999999999999</v>
      </c>
      <c r="K1278">
        <f ca="1">IF(ROW(T_CALC[[#This Row],[DAY]])-ROW(T_CALC[[#Headers],[DAY]])&gt;C_N_TRADING_DAYS,"",ROW(T_CALC[[#This Row],[DAY]])-ROW(T_CALC[[#Headers],[DAY]]))</f>
        <v>1275</v>
      </c>
      <c r="L1278" cm="1" vm="237">
        <f t="array" aca="1" ref="L1278" ca="1">IFERROR(INDEX(_xlfn.ANCHORARRAY($C$3),T_CALC[[#This Row],[DAY]]+1,1),NA())</f>
        <v>44544</v>
      </c>
      <c r="M1278" cm="1" vm="2045">
        <f t="array" aca="1" ref="M1278" ca="1">IFERROR(INDEX(_xlfn.ANCHORARRAY($C$3),T_CALC[[#This Row],[DAY]]+1,3),NA())</f>
        <v>1.3671</v>
      </c>
      <c r="N1278" cm="1" vm="2746">
        <f t="array" aca="1" ref="N1278" ca="1">IFERROR(INDEX(_xlfn.ANCHORARRAY($C$3),T_CALC[[#This Row],[DAY]]+1,4),NA())</f>
        <v>1.3703000000000001</v>
      </c>
      <c r="O1278" cm="1" vm="3047">
        <f t="array" aca="1" ref="O1278" ca="1">IFERROR(INDEX(_xlfn.ANCHORARRAY($C$3),T_CALC[[#This Row],[DAY]]+1,5),NA())</f>
        <v>1.3665</v>
      </c>
      <c r="P1278" cm="1" vm="1965">
        <f t="array" aca="1" ref="P1278" ca="1">IFERROR(INDEX(_xlfn.ANCHORARRAY($C$3),T_CALC[[#This Row],[DAY]]+1,6),NA())</f>
        <v>1.3698999999999999</v>
      </c>
      <c r="Q1278" cm="1">
        <f t="array" aca="1" ref="Q1278" ca="1">IFERROR(INDEX(_xlfn.ANCHORARRAY($C$3),T_CALC[[#This Row],[DAY]]+1,2),NA())</f>
        <v>0</v>
      </c>
    </row>
    <row r="1279" spans="3:17">
      <c r="C1279" vm="238">
        <f ca="1"/>
        <v>44545</v>
      </c>
      <c r="D1279">
        <f ca="1"/>
        <v>0</v>
      </c>
      <c r="E1279" vm="2750">
        <f ca="1"/>
        <v>1.3693</v>
      </c>
      <c r="F1279" vm="2805">
        <f ca="1"/>
        <v>1.371</v>
      </c>
      <c r="G1279" vm="2029">
        <f ca="1"/>
        <v>1.3647</v>
      </c>
      <c r="H1279" vm="2208">
        <f ca="1"/>
        <v>1.3651</v>
      </c>
      <c r="K1279">
        <f ca="1">IF(ROW(T_CALC[[#This Row],[DAY]])-ROW(T_CALC[[#Headers],[DAY]])&gt;C_N_TRADING_DAYS,"",ROW(T_CALC[[#This Row],[DAY]])-ROW(T_CALC[[#Headers],[DAY]]))</f>
        <v>1276</v>
      </c>
      <c r="L1279" cm="1" vm="238">
        <f t="array" aca="1" ref="L1279" ca="1">IFERROR(INDEX(_xlfn.ANCHORARRAY($C$3),T_CALC[[#This Row],[DAY]]+1,1),NA())</f>
        <v>44545</v>
      </c>
      <c r="M1279" cm="1" vm="2750">
        <f t="array" aca="1" ref="M1279" ca="1">IFERROR(INDEX(_xlfn.ANCHORARRAY($C$3),T_CALC[[#This Row],[DAY]]+1,3),NA())</f>
        <v>1.3693</v>
      </c>
      <c r="N1279" cm="1" vm="2805">
        <f t="array" aca="1" ref="N1279" ca="1">IFERROR(INDEX(_xlfn.ANCHORARRAY($C$3),T_CALC[[#This Row],[DAY]]+1,4),NA())</f>
        <v>1.371</v>
      </c>
      <c r="O1279" cm="1" vm="2029">
        <f t="array" aca="1" ref="O1279" ca="1">IFERROR(INDEX(_xlfn.ANCHORARRAY($C$3),T_CALC[[#This Row],[DAY]]+1,5),NA())</f>
        <v>1.3647</v>
      </c>
      <c r="P1279" cm="1" vm="2208">
        <f t="array" aca="1" ref="P1279" ca="1">IFERROR(INDEX(_xlfn.ANCHORARRAY($C$3),T_CALC[[#This Row],[DAY]]+1,6),NA())</f>
        <v>1.3651</v>
      </c>
      <c r="Q1279" cm="1">
        <f t="array" aca="1" ref="Q1279" ca="1">IFERROR(INDEX(_xlfn.ANCHORARRAY($C$3),T_CALC[[#This Row],[DAY]]+1,2),NA())</f>
        <v>0</v>
      </c>
    </row>
    <row r="1280" spans="3:17">
      <c r="C1280" vm="239">
        <f ca="1"/>
        <v>44546</v>
      </c>
      <c r="D1280">
        <f ca="1"/>
        <v>0</v>
      </c>
      <c r="E1280" vm="2208">
        <f ca="1"/>
        <v>1.3651</v>
      </c>
      <c r="F1280" vm="2047">
        <f ca="1"/>
        <v>1.3673</v>
      </c>
      <c r="G1280" vm="2025">
        <f ca="1"/>
        <v>1.3624000000000001</v>
      </c>
      <c r="H1280" vm="2050">
        <f ca="1"/>
        <v>1.363</v>
      </c>
      <c r="K1280">
        <f ca="1">IF(ROW(T_CALC[[#This Row],[DAY]])-ROW(T_CALC[[#Headers],[DAY]])&gt;C_N_TRADING_DAYS,"",ROW(T_CALC[[#This Row],[DAY]])-ROW(T_CALC[[#Headers],[DAY]]))</f>
        <v>1277</v>
      </c>
      <c r="L1280" cm="1" vm="239">
        <f t="array" aca="1" ref="L1280" ca="1">IFERROR(INDEX(_xlfn.ANCHORARRAY($C$3),T_CALC[[#This Row],[DAY]]+1,1),NA())</f>
        <v>44546</v>
      </c>
      <c r="M1280" cm="1" vm="2208">
        <f t="array" aca="1" ref="M1280" ca="1">IFERROR(INDEX(_xlfn.ANCHORARRAY($C$3),T_CALC[[#This Row],[DAY]]+1,3),NA())</f>
        <v>1.3651</v>
      </c>
      <c r="N1280" cm="1" vm="2047">
        <f t="array" aca="1" ref="N1280" ca="1">IFERROR(INDEX(_xlfn.ANCHORARRAY($C$3),T_CALC[[#This Row],[DAY]]+1,4),NA())</f>
        <v>1.3673</v>
      </c>
      <c r="O1280" cm="1" vm="2025">
        <f t="array" aca="1" ref="O1280" ca="1">IFERROR(INDEX(_xlfn.ANCHORARRAY($C$3),T_CALC[[#This Row],[DAY]]+1,5),NA())</f>
        <v>1.3624000000000001</v>
      </c>
      <c r="P1280" cm="1" vm="2050">
        <f t="array" aca="1" ref="P1280" ca="1">IFERROR(INDEX(_xlfn.ANCHORARRAY($C$3),T_CALC[[#This Row],[DAY]]+1,6),NA())</f>
        <v>1.363</v>
      </c>
      <c r="Q1280" cm="1">
        <f t="array" aca="1" ref="Q1280" ca="1">IFERROR(INDEX(_xlfn.ANCHORARRAY($C$3),T_CALC[[#This Row],[DAY]]+1,2),NA())</f>
        <v>0</v>
      </c>
    </row>
    <row r="1281" spans="3:17">
      <c r="C1281" vm="240">
        <f ca="1"/>
        <v>44547</v>
      </c>
      <c r="D1281">
        <f ca="1"/>
        <v>0</v>
      </c>
      <c r="E1281" vm="2169">
        <f ca="1"/>
        <v>1.3635999999999999</v>
      </c>
      <c r="F1281" vm="3155">
        <f ca="1"/>
        <v>1.3677999999999999</v>
      </c>
      <c r="G1281" vm="2023">
        <f ca="1"/>
        <v>1.3626</v>
      </c>
      <c r="H1281" vm="2757">
        <f ca="1"/>
        <v>1.367</v>
      </c>
      <c r="K1281">
        <f ca="1">IF(ROW(T_CALC[[#This Row],[DAY]])-ROW(T_CALC[[#Headers],[DAY]])&gt;C_N_TRADING_DAYS,"",ROW(T_CALC[[#This Row],[DAY]])-ROW(T_CALC[[#Headers],[DAY]]))</f>
        <v>1278</v>
      </c>
      <c r="L1281" cm="1" vm="240">
        <f t="array" aca="1" ref="L1281" ca="1">IFERROR(INDEX(_xlfn.ANCHORARRAY($C$3),T_CALC[[#This Row],[DAY]]+1,1),NA())</f>
        <v>44547</v>
      </c>
      <c r="M1281" cm="1" vm="2169">
        <f t="array" aca="1" ref="M1281" ca="1">IFERROR(INDEX(_xlfn.ANCHORARRAY($C$3),T_CALC[[#This Row],[DAY]]+1,3),NA())</f>
        <v>1.3635999999999999</v>
      </c>
      <c r="N1281" cm="1" vm="3155">
        <f t="array" aca="1" ref="N1281" ca="1">IFERROR(INDEX(_xlfn.ANCHORARRAY($C$3),T_CALC[[#This Row],[DAY]]+1,4),NA())</f>
        <v>1.3677999999999999</v>
      </c>
      <c r="O1281" cm="1" vm="2023">
        <f t="array" aca="1" ref="O1281" ca="1">IFERROR(INDEX(_xlfn.ANCHORARRAY($C$3),T_CALC[[#This Row],[DAY]]+1,5),NA())</f>
        <v>1.3626</v>
      </c>
      <c r="P1281" cm="1" vm="2757">
        <f t="array" aca="1" ref="P1281" ca="1">IFERROR(INDEX(_xlfn.ANCHORARRAY($C$3),T_CALC[[#This Row],[DAY]]+1,6),NA())</f>
        <v>1.367</v>
      </c>
      <c r="Q1281" cm="1">
        <f t="array" aca="1" ref="Q1281" ca="1">IFERROR(INDEX(_xlfn.ANCHORARRAY($C$3),T_CALC[[#This Row],[DAY]]+1,2),NA())</f>
        <v>0</v>
      </c>
    </row>
    <row r="1282" spans="3:17">
      <c r="C1282" vm="241">
        <f ca="1"/>
        <v>44550</v>
      </c>
      <c r="D1282">
        <f ca="1"/>
        <v>0</v>
      </c>
      <c r="E1282" vm="1957">
        <f ca="1"/>
        <v>1.3663000000000001</v>
      </c>
      <c r="F1282" vm="2697">
        <f ca="1"/>
        <v>1.3689</v>
      </c>
      <c r="G1282" vm="2166">
        <f ca="1"/>
        <v>1.3654999999999999</v>
      </c>
      <c r="H1282" vm="3047">
        <f ca="1"/>
        <v>1.3665</v>
      </c>
      <c r="K1282">
        <f ca="1">IF(ROW(T_CALC[[#This Row],[DAY]])-ROW(T_CALC[[#Headers],[DAY]])&gt;C_N_TRADING_DAYS,"",ROW(T_CALC[[#This Row],[DAY]])-ROW(T_CALC[[#Headers],[DAY]]))</f>
        <v>1279</v>
      </c>
      <c r="L1282" cm="1" vm="241">
        <f t="array" aca="1" ref="L1282" ca="1">IFERROR(INDEX(_xlfn.ANCHORARRAY($C$3),T_CALC[[#This Row],[DAY]]+1,1),NA())</f>
        <v>44550</v>
      </c>
      <c r="M1282" cm="1" vm="1957">
        <f t="array" aca="1" ref="M1282" ca="1">IFERROR(INDEX(_xlfn.ANCHORARRAY($C$3),T_CALC[[#This Row],[DAY]]+1,3),NA())</f>
        <v>1.3663000000000001</v>
      </c>
      <c r="N1282" cm="1" vm="2697">
        <f t="array" aca="1" ref="N1282" ca="1">IFERROR(INDEX(_xlfn.ANCHORARRAY($C$3),T_CALC[[#This Row],[DAY]]+1,4),NA())</f>
        <v>1.3689</v>
      </c>
      <c r="O1282" cm="1" vm="2166">
        <f t="array" aca="1" ref="O1282" ca="1">IFERROR(INDEX(_xlfn.ANCHORARRAY($C$3),T_CALC[[#This Row],[DAY]]+1,5),NA())</f>
        <v>1.3654999999999999</v>
      </c>
      <c r="P1282" cm="1" vm="3047">
        <f t="array" aca="1" ref="P1282" ca="1">IFERROR(INDEX(_xlfn.ANCHORARRAY($C$3),T_CALC[[#This Row],[DAY]]+1,6),NA())</f>
        <v>1.3665</v>
      </c>
      <c r="Q1282" cm="1">
        <f t="array" aca="1" ref="Q1282" ca="1">IFERROR(INDEX(_xlfn.ANCHORARRAY($C$3),T_CALC[[#This Row],[DAY]]+1,2),NA())</f>
        <v>0</v>
      </c>
    </row>
    <row r="1283" spans="3:17">
      <c r="C1283" vm="242">
        <f ca="1"/>
        <v>44551</v>
      </c>
      <c r="D1283">
        <f ca="1"/>
        <v>0</v>
      </c>
      <c r="E1283" vm="2705">
        <f ca="1"/>
        <v>1.3660000000000001</v>
      </c>
      <c r="F1283" vm="1966">
        <f ca="1"/>
        <v>1.3676999999999999</v>
      </c>
      <c r="G1283" vm="1977">
        <f ca="1"/>
        <v>1.3633999999999999</v>
      </c>
      <c r="H1283" vm="2162">
        <f ca="1"/>
        <v>1.3640000000000001</v>
      </c>
      <c r="K1283">
        <f ca="1">IF(ROW(T_CALC[[#This Row],[DAY]])-ROW(T_CALC[[#Headers],[DAY]])&gt;C_N_TRADING_DAYS,"",ROW(T_CALC[[#This Row],[DAY]])-ROW(T_CALC[[#Headers],[DAY]]))</f>
        <v>1280</v>
      </c>
      <c r="L1283" cm="1" vm="242">
        <f t="array" aca="1" ref="L1283" ca="1">IFERROR(INDEX(_xlfn.ANCHORARRAY($C$3),T_CALC[[#This Row],[DAY]]+1,1),NA())</f>
        <v>44551</v>
      </c>
      <c r="M1283" cm="1" vm="2705">
        <f t="array" aca="1" ref="M1283" ca="1">IFERROR(INDEX(_xlfn.ANCHORARRAY($C$3),T_CALC[[#This Row],[DAY]]+1,3),NA())</f>
        <v>1.3660000000000001</v>
      </c>
      <c r="N1283" cm="1" vm="1966">
        <f t="array" aca="1" ref="N1283" ca="1">IFERROR(INDEX(_xlfn.ANCHORARRAY($C$3),T_CALC[[#This Row],[DAY]]+1,4),NA())</f>
        <v>1.3676999999999999</v>
      </c>
      <c r="O1283" cm="1" vm="1977">
        <f t="array" aca="1" ref="O1283" ca="1">IFERROR(INDEX(_xlfn.ANCHORARRAY($C$3),T_CALC[[#This Row],[DAY]]+1,5),NA())</f>
        <v>1.3633999999999999</v>
      </c>
      <c r="P1283" cm="1" vm="2162">
        <f t="array" aca="1" ref="P1283" ca="1">IFERROR(INDEX(_xlfn.ANCHORARRAY($C$3),T_CALC[[#This Row],[DAY]]+1,6),NA())</f>
        <v>1.3640000000000001</v>
      </c>
      <c r="Q1283" cm="1">
        <f t="array" aca="1" ref="Q1283" ca="1">IFERROR(INDEX(_xlfn.ANCHORARRAY($C$3),T_CALC[[#This Row],[DAY]]+1,2),NA())</f>
        <v>0</v>
      </c>
    </row>
    <row r="1284" spans="3:17">
      <c r="C1284" vm="243">
        <f ca="1"/>
        <v>44552</v>
      </c>
      <c r="D1284">
        <f ca="1"/>
        <v>0</v>
      </c>
      <c r="E1284" vm="2026">
        <f ca="1"/>
        <v>1.3641000000000001</v>
      </c>
      <c r="F1284" vm="2720">
        <f ca="1"/>
        <v>1.3664000000000001</v>
      </c>
      <c r="G1284" vm="1974">
        <f ca="1"/>
        <v>1.3608</v>
      </c>
      <c r="H1284" vm="2032">
        <f ca="1"/>
        <v>1.3612</v>
      </c>
      <c r="K1284">
        <f ca="1">IF(ROW(T_CALC[[#This Row],[DAY]])-ROW(T_CALC[[#Headers],[DAY]])&gt;C_N_TRADING_DAYS,"",ROW(T_CALC[[#This Row],[DAY]])-ROW(T_CALC[[#Headers],[DAY]]))</f>
        <v>1281</v>
      </c>
      <c r="L1284" cm="1" vm="243">
        <f t="array" aca="1" ref="L1284" ca="1">IFERROR(INDEX(_xlfn.ANCHORARRAY($C$3),T_CALC[[#This Row],[DAY]]+1,1),NA())</f>
        <v>44552</v>
      </c>
      <c r="M1284" cm="1" vm="2026">
        <f t="array" aca="1" ref="M1284" ca="1">IFERROR(INDEX(_xlfn.ANCHORARRAY($C$3),T_CALC[[#This Row],[DAY]]+1,3),NA())</f>
        <v>1.3641000000000001</v>
      </c>
      <c r="N1284" cm="1" vm="2720">
        <f t="array" aca="1" ref="N1284" ca="1">IFERROR(INDEX(_xlfn.ANCHORARRAY($C$3),T_CALC[[#This Row],[DAY]]+1,4),NA())</f>
        <v>1.3664000000000001</v>
      </c>
      <c r="O1284" cm="1" vm="1974">
        <f t="array" aca="1" ref="O1284" ca="1">IFERROR(INDEX(_xlfn.ANCHORARRAY($C$3),T_CALC[[#This Row],[DAY]]+1,5),NA())</f>
        <v>1.3608</v>
      </c>
      <c r="P1284" cm="1" vm="2032">
        <f t="array" aca="1" ref="P1284" ca="1">IFERROR(INDEX(_xlfn.ANCHORARRAY($C$3),T_CALC[[#This Row],[DAY]]+1,6),NA())</f>
        <v>1.3612</v>
      </c>
      <c r="Q1284" cm="1">
        <f t="array" aca="1" ref="Q1284" ca="1">IFERROR(INDEX(_xlfn.ANCHORARRAY($C$3),T_CALC[[#This Row],[DAY]]+1,2),NA())</f>
        <v>0</v>
      </c>
    </row>
    <row r="1285" spans="3:17">
      <c r="C1285" vm="244">
        <f ca="1"/>
        <v>44553</v>
      </c>
      <c r="D1285">
        <f ca="1"/>
        <v>0</v>
      </c>
      <c r="E1285" vm="1986">
        <f ca="1"/>
        <v>1.3619000000000001</v>
      </c>
      <c r="F1285" vm="2192">
        <f ca="1"/>
        <v>1.3623000000000001</v>
      </c>
      <c r="G1285" vm="2151">
        <f ca="1"/>
        <v>1.3575999999999999</v>
      </c>
      <c r="H1285" vm="2038">
        <f ca="1"/>
        <v>1.3582000000000001</v>
      </c>
      <c r="K1285">
        <f ca="1">IF(ROW(T_CALC[[#This Row],[DAY]])-ROW(T_CALC[[#Headers],[DAY]])&gt;C_N_TRADING_DAYS,"",ROW(T_CALC[[#This Row],[DAY]])-ROW(T_CALC[[#Headers],[DAY]]))</f>
        <v>1282</v>
      </c>
      <c r="L1285" cm="1" vm="244">
        <f t="array" aca="1" ref="L1285" ca="1">IFERROR(INDEX(_xlfn.ANCHORARRAY($C$3),T_CALC[[#This Row],[DAY]]+1,1),NA())</f>
        <v>44553</v>
      </c>
      <c r="M1285" cm="1" vm="1986">
        <f t="array" aca="1" ref="M1285" ca="1">IFERROR(INDEX(_xlfn.ANCHORARRAY($C$3),T_CALC[[#This Row],[DAY]]+1,3),NA())</f>
        <v>1.3619000000000001</v>
      </c>
      <c r="N1285" cm="1" vm="2192">
        <f t="array" aca="1" ref="N1285" ca="1">IFERROR(INDEX(_xlfn.ANCHORARRAY($C$3),T_CALC[[#This Row],[DAY]]+1,4),NA())</f>
        <v>1.3623000000000001</v>
      </c>
      <c r="O1285" cm="1" vm="2151">
        <f t="array" aca="1" ref="O1285" ca="1">IFERROR(INDEX(_xlfn.ANCHORARRAY($C$3),T_CALC[[#This Row],[DAY]]+1,5),NA())</f>
        <v>1.3575999999999999</v>
      </c>
      <c r="P1285" cm="1" vm="2038">
        <f t="array" aca="1" ref="P1285" ca="1">IFERROR(INDEX(_xlfn.ANCHORARRAY($C$3),T_CALC[[#This Row],[DAY]]+1,6),NA())</f>
        <v>1.3582000000000001</v>
      </c>
      <c r="Q1285" cm="1">
        <f t="array" aca="1" ref="Q1285" ca="1">IFERROR(INDEX(_xlfn.ANCHORARRAY($C$3),T_CALC[[#This Row],[DAY]]+1,2),NA())</f>
        <v>0</v>
      </c>
    </row>
    <row r="1286" spans="3:17">
      <c r="C1286" vm="245">
        <f ca="1"/>
        <v>44554</v>
      </c>
      <c r="D1286">
        <f ca="1"/>
        <v>0</v>
      </c>
      <c r="E1286" vm="2075">
        <f ca="1"/>
        <v>1.3581000000000001</v>
      </c>
      <c r="F1286" vm="2695">
        <f ca="1"/>
        <v>1.3601000000000001</v>
      </c>
      <c r="G1286" vm="2153">
        <f ca="1"/>
        <v>1.3551</v>
      </c>
      <c r="H1286" vm="1979">
        <f ca="1"/>
        <v>1.3592</v>
      </c>
      <c r="K1286">
        <f ca="1">IF(ROW(T_CALC[[#This Row],[DAY]])-ROW(T_CALC[[#Headers],[DAY]])&gt;C_N_TRADING_DAYS,"",ROW(T_CALC[[#This Row],[DAY]])-ROW(T_CALC[[#Headers],[DAY]]))</f>
        <v>1283</v>
      </c>
      <c r="L1286" cm="1" vm="245">
        <f t="array" aca="1" ref="L1286" ca="1">IFERROR(INDEX(_xlfn.ANCHORARRAY($C$3),T_CALC[[#This Row],[DAY]]+1,1),NA())</f>
        <v>44554</v>
      </c>
      <c r="M1286" cm="1" vm="2075">
        <f t="array" aca="1" ref="M1286" ca="1">IFERROR(INDEX(_xlfn.ANCHORARRAY($C$3),T_CALC[[#This Row],[DAY]]+1,3),NA())</f>
        <v>1.3581000000000001</v>
      </c>
      <c r="N1286" cm="1" vm="2695">
        <f t="array" aca="1" ref="N1286" ca="1">IFERROR(INDEX(_xlfn.ANCHORARRAY($C$3),T_CALC[[#This Row],[DAY]]+1,4),NA())</f>
        <v>1.3601000000000001</v>
      </c>
      <c r="O1286" cm="1" vm="2153">
        <f t="array" aca="1" ref="O1286" ca="1">IFERROR(INDEX(_xlfn.ANCHORARRAY($C$3),T_CALC[[#This Row],[DAY]]+1,5),NA())</f>
        <v>1.3551</v>
      </c>
      <c r="P1286" cm="1" vm="1979">
        <f t="array" aca="1" ref="P1286" ca="1">IFERROR(INDEX(_xlfn.ANCHORARRAY($C$3),T_CALC[[#This Row],[DAY]]+1,6),NA())</f>
        <v>1.3592</v>
      </c>
      <c r="Q1286" cm="1">
        <f t="array" aca="1" ref="Q1286" ca="1">IFERROR(INDEX(_xlfn.ANCHORARRAY($C$3),T_CALC[[#This Row],[DAY]]+1,2),NA())</f>
        <v>0</v>
      </c>
    </row>
    <row r="1287" spans="3:17">
      <c r="C1287" vm="3715">
        <f ca="1"/>
        <v>44557</v>
      </c>
      <c r="D1287">
        <f ca="1"/>
        <v>0</v>
      </c>
      <c r="E1287" vm="1983">
        <f ca="1"/>
        <v>1.3586</v>
      </c>
      <c r="F1287" vm="2058">
        <f ca="1"/>
        <v>1.3593999999999999</v>
      </c>
      <c r="G1287" vm="2965">
        <f ca="1"/>
        <v>1.3544</v>
      </c>
      <c r="H1287" vm="2065">
        <f ca="1"/>
        <v>1.3568</v>
      </c>
      <c r="K1287">
        <f ca="1">IF(ROW(T_CALC[[#This Row],[DAY]])-ROW(T_CALC[[#Headers],[DAY]])&gt;C_N_TRADING_DAYS,"",ROW(T_CALC[[#This Row],[DAY]])-ROW(T_CALC[[#Headers],[DAY]]))</f>
        <v>1284</v>
      </c>
      <c r="L1287" cm="1" vm="3715">
        <f t="array" aca="1" ref="L1287" ca="1">IFERROR(INDEX(_xlfn.ANCHORARRAY($C$3),T_CALC[[#This Row],[DAY]]+1,1),NA())</f>
        <v>44557</v>
      </c>
      <c r="M1287" cm="1" vm="1983">
        <f t="array" aca="1" ref="M1287" ca="1">IFERROR(INDEX(_xlfn.ANCHORARRAY($C$3),T_CALC[[#This Row],[DAY]]+1,3),NA())</f>
        <v>1.3586</v>
      </c>
      <c r="N1287" cm="1" vm="2058">
        <f t="array" aca="1" ref="N1287" ca="1">IFERROR(INDEX(_xlfn.ANCHORARRAY($C$3),T_CALC[[#This Row],[DAY]]+1,4),NA())</f>
        <v>1.3593999999999999</v>
      </c>
      <c r="O1287" cm="1" vm="2965">
        <f t="array" aca="1" ref="O1287" ca="1">IFERROR(INDEX(_xlfn.ANCHORARRAY($C$3),T_CALC[[#This Row],[DAY]]+1,5),NA())</f>
        <v>1.3544</v>
      </c>
      <c r="P1287" cm="1" vm="2065">
        <f t="array" aca="1" ref="P1287" ca="1">IFERROR(INDEX(_xlfn.ANCHORARRAY($C$3),T_CALC[[#This Row],[DAY]]+1,6),NA())</f>
        <v>1.3568</v>
      </c>
      <c r="Q1287" cm="1">
        <f t="array" aca="1" ref="Q1287" ca="1">IFERROR(INDEX(_xlfn.ANCHORARRAY($C$3),T_CALC[[#This Row],[DAY]]+1,2),NA())</f>
        <v>0</v>
      </c>
    </row>
    <row r="1288" spans="3:17">
      <c r="C1288" vm="3716">
        <f ca="1"/>
        <v>44558</v>
      </c>
      <c r="D1288">
        <f ca="1"/>
        <v>0</v>
      </c>
      <c r="E1288" vm="2230">
        <f ca="1"/>
        <v>1.3567</v>
      </c>
      <c r="F1288" vm="1989">
        <f ca="1"/>
        <v>1.3571</v>
      </c>
      <c r="G1288" vm="2226">
        <f ca="1"/>
        <v>1.3529</v>
      </c>
      <c r="H1288" vm="2067">
        <f ca="1"/>
        <v>1.3533999999999999</v>
      </c>
      <c r="K1288">
        <f ca="1">IF(ROW(T_CALC[[#This Row],[DAY]])-ROW(T_CALC[[#Headers],[DAY]])&gt;C_N_TRADING_DAYS,"",ROW(T_CALC[[#This Row],[DAY]])-ROW(T_CALC[[#Headers],[DAY]]))</f>
        <v>1285</v>
      </c>
      <c r="L1288" cm="1" vm="3716">
        <f t="array" aca="1" ref="L1288" ca="1">IFERROR(INDEX(_xlfn.ANCHORARRAY($C$3),T_CALC[[#This Row],[DAY]]+1,1),NA())</f>
        <v>44558</v>
      </c>
      <c r="M1288" cm="1" vm="2230">
        <f t="array" aca="1" ref="M1288" ca="1">IFERROR(INDEX(_xlfn.ANCHORARRAY($C$3),T_CALC[[#This Row],[DAY]]+1,3),NA())</f>
        <v>1.3567</v>
      </c>
      <c r="N1288" cm="1" vm="1989">
        <f t="array" aca="1" ref="N1288" ca="1">IFERROR(INDEX(_xlfn.ANCHORARRAY($C$3),T_CALC[[#This Row],[DAY]]+1,4),NA())</f>
        <v>1.3571</v>
      </c>
      <c r="O1288" cm="1" vm="2226">
        <f t="array" aca="1" ref="O1288" ca="1">IFERROR(INDEX(_xlfn.ANCHORARRAY($C$3),T_CALC[[#This Row],[DAY]]+1,5),NA())</f>
        <v>1.3529</v>
      </c>
      <c r="P1288" cm="1" vm="2067">
        <f t="array" aca="1" ref="P1288" ca="1">IFERROR(INDEX(_xlfn.ANCHORARRAY($C$3),T_CALC[[#This Row],[DAY]]+1,6),NA())</f>
        <v>1.3533999999999999</v>
      </c>
      <c r="Q1288" cm="1">
        <f t="array" aca="1" ref="Q1288" ca="1">IFERROR(INDEX(_xlfn.ANCHORARRAY($C$3),T_CALC[[#This Row],[DAY]]+1,2),NA())</f>
        <v>0</v>
      </c>
    </row>
    <row r="1289" spans="3:17">
      <c r="C1289" vm="246">
        <f ca="1"/>
        <v>44559</v>
      </c>
      <c r="D1289">
        <f ca="1"/>
        <v>0</v>
      </c>
      <c r="E1289" vm="2928">
        <f ca="1"/>
        <v>1.3534999999999999</v>
      </c>
      <c r="F1289" vm="2062">
        <f ca="1"/>
        <v>1.3553999999999999</v>
      </c>
      <c r="G1289" vm="2139">
        <f ca="1"/>
        <v>1.3506</v>
      </c>
      <c r="H1289" vm="2176">
        <f ca="1"/>
        <v>1.3521000000000001</v>
      </c>
      <c r="K1289">
        <f ca="1">IF(ROW(T_CALC[[#This Row],[DAY]])-ROW(T_CALC[[#Headers],[DAY]])&gt;C_N_TRADING_DAYS,"",ROW(T_CALC[[#This Row],[DAY]])-ROW(T_CALC[[#Headers],[DAY]]))</f>
        <v>1286</v>
      </c>
      <c r="L1289" cm="1" vm="246">
        <f t="array" aca="1" ref="L1289" ca="1">IFERROR(INDEX(_xlfn.ANCHORARRAY($C$3),T_CALC[[#This Row],[DAY]]+1,1),NA())</f>
        <v>44559</v>
      </c>
      <c r="M1289" cm="1" vm="2928">
        <f t="array" aca="1" ref="M1289" ca="1">IFERROR(INDEX(_xlfn.ANCHORARRAY($C$3),T_CALC[[#This Row],[DAY]]+1,3),NA())</f>
        <v>1.3534999999999999</v>
      </c>
      <c r="N1289" cm="1" vm="2062">
        <f t="array" aca="1" ref="N1289" ca="1">IFERROR(INDEX(_xlfn.ANCHORARRAY($C$3),T_CALC[[#This Row],[DAY]]+1,4),NA())</f>
        <v>1.3553999999999999</v>
      </c>
      <c r="O1289" cm="1" vm="2139">
        <f t="array" aca="1" ref="O1289" ca="1">IFERROR(INDEX(_xlfn.ANCHORARRAY($C$3),T_CALC[[#This Row],[DAY]]+1,5),NA())</f>
        <v>1.3506</v>
      </c>
      <c r="P1289" cm="1" vm="2176">
        <f t="array" aca="1" ref="P1289" ca="1">IFERROR(INDEX(_xlfn.ANCHORARRAY($C$3),T_CALC[[#This Row],[DAY]]+1,6),NA())</f>
        <v>1.3521000000000001</v>
      </c>
      <c r="Q1289" cm="1">
        <f t="array" aca="1" ref="Q1289" ca="1">IFERROR(INDEX(_xlfn.ANCHORARRAY($C$3),T_CALC[[#This Row],[DAY]]+1,2),NA())</f>
        <v>0</v>
      </c>
    </row>
    <row r="1290" spans="3:17">
      <c r="C1290" vm="247">
        <f ca="1"/>
        <v>44560</v>
      </c>
      <c r="D1290">
        <f ca="1"/>
        <v>0</v>
      </c>
      <c r="E1290" vm="2176">
        <f ca="1"/>
        <v>1.3521000000000001</v>
      </c>
      <c r="F1290" vm="2920">
        <f ca="1"/>
        <v>1.3546</v>
      </c>
      <c r="G1290" vm="2091">
        <f ca="1"/>
        <v>1.35</v>
      </c>
      <c r="H1290" vm="2265">
        <f ca="1"/>
        <v>1.3520000000000001</v>
      </c>
      <c r="K1290">
        <f ca="1">IF(ROW(T_CALC[[#This Row],[DAY]])-ROW(T_CALC[[#Headers],[DAY]])&gt;C_N_TRADING_DAYS,"",ROW(T_CALC[[#This Row],[DAY]])-ROW(T_CALC[[#Headers],[DAY]]))</f>
        <v>1287</v>
      </c>
      <c r="L1290" cm="1" vm="247">
        <f t="array" aca="1" ref="L1290" ca="1">IFERROR(INDEX(_xlfn.ANCHORARRAY($C$3),T_CALC[[#This Row],[DAY]]+1,1),NA())</f>
        <v>44560</v>
      </c>
      <c r="M1290" cm="1" vm="2176">
        <f t="array" aca="1" ref="M1290" ca="1">IFERROR(INDEX(_xlfn.ANCHORARRAY($C$3),T_CALC[[#This Row],[DAY]]+1,3),NA())</f>
        <v>1.3521000000000001</v>
      </c>
      <c r="N1290" cm="1" vm="2920">
        <f t="array" aca="1" ref="N1290" ca="1">IFERROR(INDEX(_xlfn.ANCHORARRAY($C$3),T_CALC[[#This Row],[DAY]]+1,4),NA())</f>
        <v>1.3546</v>
      </c>
      <c r="O1290" cm="1" vm="2091">
        <f t="array" aca="1" ref="O1290" ca="1">IFERROR(INDEX(_xlfn.ANCHORARRAY($C$3),T_CALC[[#This Row],[DAY]]+1,5),NA())</f>
        <v>1.35</v>
      </c>
      <c r="P1290" cm="1" vm="2265">
        <f t="array" aca="1" ref="P1290" ca="1">IFERROR(INDEX(_xlfn.ANCHORARRAY($C$3),T_CALC[[#This Row],[DAY]]+1,6),NA())</f>
        <v>1.3520000000000001</v>
      </c>
      <c r="Q1290" cm="1">
        <f t="array" aca="1" ref="Q1290" ca="1">IFERROR(INDEX(_xlfn.ANCHORARRAY($C$3),T_CALC[[#This Row],[DAY]]+1,2),NA())</f>
        <v>0</v>
      </c>
    </row>
    <row r="1291" spans="3:17">
      <c r="C1291" vm="248">
        <f ca="1"/>
        <v>44561</v>
      </c>
      <c r="D1291">
        <f ca="1"/>
        <v>0</v>
      </c>
      <c r="E1291" vm="2176">
        <f ca="1"/>
        <v>1.3521000000000001</v>
      </c>
      <c r="F1291" vm="2178">
        <f ca="1"/>
        <v>1.3523000000000001</v>
      </c>
      <c r="G1291" vm="3217">
        <f ca="1"/>
        <v>1.347</v>
      </c>
      <c r="H1291" vm="2179">
        <f ca="1"/>
        <v>1.349</v>
      </c>
      <c r="K1291">
        <f ca="1">IF(ROW(T_CALC[[#This Row],[DAY]])-ROW(T_CALC[[#Headers],[DAY]])&gt;C_N_TRADING_DAYS,"",ROW(T_CALC[[#This Row],[DAY]])-ROW(T_CALC[[#Headers],[DAY]]))</f>
        <v>1288</v>
      </c>
      <c r="L1291" cm="1" vm="248">
        <f t="array" aca="1" ref="L1291" ca="1">IFERROR(INDEX(_xlfn.ANCHORARRAY($C$3),T_CALC[[#This Row],[DAY]]+1,1),NA())</f>
        <v>44561</v>
      </c>
      <c r="M1291" cm="1" vm="2176">
        <f t="array" aca="1" ref="M1291" ca="1">IFERROR(INDEX(_xlfn.ANCHORARRAY($C$3),T_CALC[[#This Row],[DAY]]+1,3),NA())</f>
        <v>1.3521000000000001</v>
      </c>
      <c r="N1291" cm="1" vm="2178">
        <f t="array" aca="1" ref="N1291" ca="1">IFERROR(INDEX(_xlfn.ANCHORARRAY($C$3),T_CALC[[#This Row],[DAY]]+1,4),NA())</f>
        <v>1.3523000000000001</v>
      </c>
      <c r="O1291" cm="1" vm="3217">
        <f t="array" aca="1" ref="O1291" ca="1">IFERROR(INDEX(_xlfn.ANCHORARRAY($C$3),T_CALC[[#This Row],[DAY]]+1,5),NA())</f>
        <v>1.347</v>
      </c>
      <c r="P1291" cm="1" vm="2179">
        <f t="array" aca="1" ref="P1291" ca="1">IFERROR(INDEX(_xlfn.ANCHORARRAY($C$3),T_CALC[[#This Row],[DAY]]+1,6),NA())</f>
        <v>1.349</v>
      </c>
      <c r="Q1291" cm="1">
        <f t="array" aca="1" ref="Q1291" ca="1">IFERROR(INDEX(_xlfn.ANCHORARRAY($C$3),T_CALC[[#This Row],[DAY]]+1,2),NA())</f>
        <v>0</v>
      </c>
    </row>
    <row r="1292" spans="3:17">
      <c r="C1292" vm="3717">
        <f ca="1"/>
        <v>44564</v>
      </c>
      <c r="D1292">
        <f ca="1"/>
        <v>0</v>
      </c>
      <c r="E1292" vm="2179">
        <f ca="1"/>
        <v>1.349</v>
      </c>
      <c r="F1292" vm="2005">
        <f ca="1"/>
        <v>1.3542000000000001</v>
      </c>
      <c r="G1292" vm="2127">
        <f ca="1"/>
        <v>1.3475999999999999</v>
      </c>
      <c r="H1292" vm="2067">
        <f ca="1"/>
        <v>1.3533999999999999</v>
      </c>
      <c r="K1292">
        <f ca="1">IF(ROW(T_CALC[[#This Row],[DAY]])-ROW(T_CALC[[#Headers],[DAY]])&gt;C_N_TRADING_DAYS,"",ROW(T_CALC[[#This Row],[DAY]])-ROW(T_CALC[[#Headers],[DAY]]))</f>
        <v>1289</v>
      </c>
      <c r="L1292" cm="1" vm="3717">
        <f t="array" aca="1" ref="L1292" ca="1">IFERROR(INDEX(_xlfn.ANCHORARRAY($C$3),T_CALC[[#This Row],[DAY]]+1,1),NA())</f>
        <v>44564</v>
      </c>
      <c r="M1292" cm="1" vm="2179">
        <f t="array" aca="1" ref="M1292" ca="1">IFERROR(INDEX(_xlfn.ANCHORARRAY($C$3),T_CALC[[#This Row],[DAY]]+1,3),NA())</f>
        <v>1.349</v>
      </c>
      <c r="N1292" cm="1" vm="2005">
        <f t="array" aca="1" ref="N1292" ca="1">IFERROR(INDEX(_xlfn.ANCHORARRAY($C$3),T_CALC[[#This Row],[DAY]]+1,4),NA())</f>
        <v>1.3542000000000001</v>
      </c>
      <c r="O1292" cm="1" vm="2127">
        <f t="array" aca="1" ref="O1292" ca="1">IFERROR(INDEX(_xlfn.ANCHORARRAY($C$3),T_CALC[[#This Row],[DAY]]+1,5),NA())</f>
        <v>1.3475999999999999</v>
      </c>
      <c r="P1292" cm="1" vm="2067">
        <f t="array" aca="1" ref="P1292" ca="1">IFERROR(INDEX(_xlfn.ANCHORARRAY($C$3),T_CALC[[#This Row],[DAY]]+1,6),NA())</f>
        <v>1.3533999999999999</v>
      </c>
      <c r="Q1292" cm="1">
        <f t="array" aca="1" ref="Q1292" ca="1">IFERROR(INDEX(_xlfn.ANCHORARRAY($C$3),T_CALC[[#This Row],[DAY]]+1,2),NA())</f>
        <v>0</v>
      </c>
    </row>
    <row r="1293" spans="3:17">
      <c r="C1293" vm="249">
        <f ca="1"/>
        <v>44565</v>
      </c>
      <c r="D1293">
        <f ca="1"/>
        <v>0</v>
      </c>
      <c r="E1293" vm="1993">
        <f ca="1"/>
        <v>1.3535999999999999</v>
      </c>
      <c r="F1293" vm="2083">
        <f ca="1"/>
        <v>1.3584000000000001</v>
      </c>
      <c r="G1293" vm="2066">
        <f ca="1"/>
        <v>1.3524</v>
      </c>
      <c r="H1293" vm="2078">
        <f ca="1"/>
        <v>1.3555999999999999</v>
      </c>
      <c r="K1293">
        <f ca="1">IF(ROW(T_CALC[[#This Row],[DAY]])-ROW(T_CALC[[#Headers],[DAY]])&gt;C_N_TRADING_DAYS,"",ROW(T_CALC[[#This Row],[DAY]])-ROW(T_CALC[[#Headers],[DAY]]))</f>
        <v>1290</v>
      </c>
      <c r="L1293" cm="1" vm="249">
        <f t="array" aca="1" ref="L1293" ca="1">IFERROR(INDEX(_xlfn.ANCHORARRAY($C$3),T_CALC[[#This Row],[DAY]]+1,1),NA())</f>
        <v>44565</v>
      </c>
      <c r="M1293" cm="1" vm="1993">
        <f t="array" aca="1" ref="M1293" ca="1">IFERROR(INDEX(_xlfn.ANCHORARRAY($C$3),T_CALC[[#This Row],[DAY]]+1,3),NA())</f>
        <v>1.3535999999999999</v>
      </c>
      <c r="N1293" cm="1" vm="2083">
        <f t="array" aca="1" ref="N1293" ca="1">IFERROR(INDEX(_xlfn.ANCHORARRAY($C$3),T_CALC[[#This Row],[DAY]]+1,4),NA())</f>
        <v>1.3584000000000001</v>
      </c>
      <c r="O1293" cm="1" vm="2066">
        <f t="array" aca="1" ref="O1293" ca="1">IFERROR(INDEX(_xlfn.ANCHORARRAY($C$3),T_CALC[[#This Row],[DAY]]+1,5),NA())</f>
        <v>1.3524</v>
      </c>
      <c r="P1293" cm="1" vm="2078">
        <f t="array" aca="1" ref="P1293" ca="1">IFERROR(INDEX(_xlfn.ANCHORARRAY($C$3),T_CALC[[#This Row],[DAY]]+1,6),NA())</f>
        <v>1.3555999999999999</v>
      </c>
      <c r="Q1293" cm="1">
        <f t="array" aca="1" ref="Q1293" ca="1">IFERROR(INDEX(_xlfn.ANCHORARRAY($C$3),T_CALC[[#This Row],[DAY]]+1,2),NA())</f>
        <v>0</v>
      </c>
    </row>
    <row r="1294" spans="3:17">
      <c r="C1294" vm="250">
        <f ca="1"/>
        <v>44566</v>
      </c>
      <c r="D1294">
        <f ca="1"/>
        <v>0</v>
      </c>
      <c r="E1294" vm="1997">
        <f ca="1"/>
        <v>1.3554999999999999</v>
      </c>
      <c r="F1294" vm="2231">
        <f ca="1"/>
        <v>1.3579000000000001</v>
      </c>
      <c r="G1294" vm="2136">
        <f ca="1"/>
        <v>1.3532999999999999</v>
      </c>
      <c r="H1294" vm="2151">
        <f ca="1"/>
        <v>1.3575999999999999</v>
      </c>
      <c r="K1294">
        <f ca="1">IF(ROW(T_CALC[[#This Row],[DAY]])-ROW(T_CALC[[#Headers],[DAY]])&gt;C_N_TRADING_DAYS,"",ROW(T_CALC[[#This Row],[DAY]])-ROW(T_CALC[[#Headers],[DAY]]))</f>
        <v>1291</v>
      </c>
      <c r="L1294" cm="1" vm="250">
        <f t="array" aca="1" ref="L1294" ca="1">IFERROR(INDEX(_xlfn.ANCHORARRAY($C$3),T_CALC[[#This Row],[DAY]]+1,1),NA())</f>
        <v>44566</v>
      </c>
      <c r="M1294" cm="1" vm="1997">
        <f t="array" aca="1" ref="M1294" ca="1">IFERROR(INDEX(_xlfn.ANCHORARRAY($C$3),T_CALC[[#This Row],[DAY]]+1,3),NA())</f>
        <v>1.3554999999999999</v>
      </c>
      <c r="N1294" cm="1" vm="2231">
        <f t="array" aca="1" ref="N1294" ca="1">IFERROR(INDEX(_xlfn.ANCHORARRAY($C$3),T_CALC[[#This Row],[DAY]]+1,4),NA())</f>
        <v>1.3579000000000001</v>
      </c>
      <c r="O1294" cm="1" vm="2136">
        <f t="array" aca="1" ref="O1294" ca="1">IFERROR(INDEX(_xlfn.ANCHORARRAY($C$3),T_CALC[[#This Row],[DAY]]+1,5),NA())</f>
        <v>1.3532999999999999</v>
      </c>
      <c r="P1294" cm="1" vm="2151">
        <f t="array" aca="1" ref="P1294" ca="1">IFERROR(INDEX(_xlfn.ANCHORARRAY($C$3),T_CALC[[#This Row],[DAY]]+1,6),NA())</f>
        <v>1.3575999999999999</v>
      </c>
      <c r="Q1294" cm="1">
        <f t="array" aca="1" ref="Q1294" ca="1">IFERROR(INDEX(_xlfn.ANCHORARRAY($C$3),T_CALC[[#This Row],[DAY]]+1,2),NA())</f>
        <v>0</v>
      </c>
    </row>
    <row r="1295" spans="3:17">
      <c r="C1295" vm="251">
        <f ca="1"/>
        <v>44567</v>
      </c>
      <c r="D1295">
        <f ca="1"/>
        <v>0</v>
      </c>
      <c r="E1295" vm="2015">
        <f ca="1"/>
        <v>1.3573999999999999</v>
      </c>
      <c r="F1295" vm="1996">
        <f ca="1"/>
        <v>1.3613999999999999</v>
      </c>
      <c r="G1295" vm="1998">
        <f ca="1"/>
        <v>1.3564000000000001</v>
      </c>
      <c r="H1295" vm="2158">
        <f ca="1"/>
        <v>1.3605</v>
      </c>
      <c r="K1295">
        <f ca="1">IF(ROW(T_CALC[[#This Row],[DAY]])-ROW(T_CALC[[#Headers],[DAY]])&gt;C_N_TRADING_DAYS,"",ROW(T_CALC[[#This Row],[DAY]])-ROW(T_CALC[[#Headers],[DAY]]))</f>
        <v>1292</v>
      </c>
      <c r="L1295" cm="1" vm="251">
        <f t="array" aca="1" ref="L1295" ca="1">IFERROR(INDEX(_xlfn.ANCHORARRAY($C$3),T_CALC[[#This Row],[DAY]]+1,1),NA())</f>
        <v>44567</v>
      </c>
      <c r="M1295" cm="1" vm="2015">
        <f t="array" aca="1" ref="M1295" ca="1">IFERROR(INDEX(_xlfn.ANCHORARRAY($C$3),T_CALC[[#This Row],[DAY]]+1,3),NA())</f>
        <v>1.3573999999999999</v>
      </c>
      <c r="N1295" cm="1" vm="1996">
        <f t="array" aca="1" ref="N1295" ca="1">IFERROR(INDEX(_xlfn.ANCHORARRAY($C$3),T_CALC[[#This Row],[DAY]]+1,4),NA())</f>
        <v>1.3613999999999999</v>
      </c>
      <c r="O1295" cm="1" vm="1998">
        <f t="array" aca="1" ref="O1295" ca="1">IFERROR(INDEX(_xlfn.ANCHORARRAY($C$3),T_CALC[[#This Row],[DAY]]+1,5),NA())</f>
        <v>1.3564000000000001</v>
      </c>
      <c r="P1295" cm="1" vm="2158">
        <f t="array" aca="1" ref="P1295" ca="1">IFERROR(INDEX(_xlfn.ANCHORARRAY($C$3),T_CALC[[#This Row],[DAY]]+1,6),NA())</f>
        <v>1.3605</v>
      </c>
      <c r="Q1295" cm="1">
        <f t="array" aca="1" ref="Q1295" ca="1">IFERROR(INDEX(_xlfn.ANCHORARRAY($C$3),T_CALC[[#This Row],[DAY]]+1,2),NA())</f>
        <v>0</v>
      </c>
    </row>
    <row r="1296" spans="3:17">
      <c r="C1296" vm="252">
        <f ca="1"/>
        <v>44568</v>
      </c>
      <c r="D1296">
        <f ca="1"/>
        <v>0</v>
      </c>
      <c r="E1296" vm="2158">
        <f ca="1"/>
        <v>1.3605</v>
      </c>
      <c r="F1296" vm="2156">
        <f ca="1"/>
        <v>1.3613</v>
      </c>
      <c r="G1296" vm="2920">
        <f ca="1"/>
        <v>1.3546</v>
      </c>
      <c r="H1296" vm="1997">
        <f ca="1"/>
        <v>1.3554999999999999</v>
      </c>
      <c r="K1296">
        <f ca="1">IF(ROW(T_CALC[[#This Row],[DAY]])-ROW(T_CALC[[#Headers],[DAY]])&gt;C_N_TRADING_DAYS,"",ROW(T_CALC[[#This Row],[DAY]])-ROW(T_CALC[[#Headers],[DAY]]))</f>
        <v>1293</v>
      </c>
      <c r="L1296" cm="1" vm="252">
        <f t="array" aca="1" ref="L1296" ca="1">IFERROR(INDEX(_xlfn.ANCHORARRAY($C$3),T_CALC[[#This Row],[DAY]]+1,1),NA())</f>
        <v>44568</v>
      </c>
      <c r="M1296" cm="1" vm="2158">
        <f t="array" aca="1" ref="M1296" ca="1">IFERROR(INDEX(_xlfn.ANCHORARRAY($C$3),T_CALC[[#This Row],[DAY]]+1,3),NA())</f>
        <v>1.3605</v>
      </c>
      <c r="N1296" cm="1" vm="2156">
        <f t="array" aca="1" ref="N1296" ca="1">IFERROR(INDEX(_xlfn.ANCHORARRAY($C$3),T_CALC[[#This Row],[DAY]]+1,4),NA())</f>
        <v>1.3613</v>
      </c>
      <c r="O1296" cm="1" vm="2920">
        <f t="array" aca="1" ref="O1296" ca="1">IFERROR(INDEX(_xlfn.ANCHORARRAY($C$3),T_CALC[[#This Row],[DAY]]+1,5),NA())</f>
        <v>1.3546</v>
      </c>
      <c r="P1296" cm="1" vm="1997">
        <f t="array" aca="1" ref="P1296" ca="1">IFERROR(INDEX(_xlfn.ANCHORARRAY($C$3),T_CALC[[#This Row],[DAY]]+1,6),NA())</f>
        <v>1.3554999999999999</v>
      </c>
      <c r="Q1296" cm="1">
        <f t="array" aca="1" ref="Q1296" ca="1">IFERROR(INDEX(_xlfn.ANCHORARRAY($C$3),T_CALC[[#This Row],[DAY]]+1,2),NA())</f>
        <v>0</v>
      </c>
    </row>
    <row r="1297" spans="3:17">
      <c r="C1297" vm="253">
        <f ca="1"/>
        <v>44571</v>
      </c>
      <c r="D1297">
        <f ca="1"/>
        <v>0</v>
      </c>
      <c r="E1297" vm="1997">
        <f ca="1"/>
        <v>1.3554999999999999</v>
      </c>
      <c r="F1297" vm="2160">
        <f ca="1"/>
        <v>1.3580000000000001</v>
      </c>
      <c r="G1297" vm="2089">
        <f ca="1"/>
        <v>1.3537999999999999</v>
      </c>
      <c r="H1297" vm="2223">
        <f ca="1"/>
        <v>1.3562000000000001</v>
      </c>
      <c r="K1297">
        <f ca="1">IF(ROW(T_CALC[[#This Row],[DAY]])-ROW(T_CALC[[#Headers],[DAY]])&gt;C_N_TRADING_DAYS,"",ROW(T_CALC[[#This Row],[DAY]])-ROW(T_CALC[[#Headers],[DAY]]))</f>
        <v>1294</v>
      </c>
      <c r="L1297" cm="1" vm="253">
        <f t="array" aca="1" ref="L1297" ca="1">IFERROR(INDEX(_xlfn.ANCHORARRAY($C$3),T_CALC[[#This Row],[DAY]]+1,1),NA())</f>
        <v>44571</v>
      </c>
      <c r="M1297" cm="1" vm="1997">
        <f t="array" aca="1" ref="M1297" ca="1">IFERROR(INDEX(_xlfn.ANCHORARRAY($C$3),T_CALC[[#This Row],[DAY]]+1,3),NA())</f>
        <v>1.3554999999999999</v>
      </c>
      <c r="N1297" cm="1" vm="2160">
        <f t="array" aca="1" ref="N1297" ca="1">IFERROR(INDEX(_xlfn.ANCHORARRAY($C$3),T_CALC[[#This Row],[DAY]]+1,4),NA())</f>
        <v>1.3580000000000001</v>
      </c>
      <c r="O1297" cm="1" vm="2089">
        <f t="array" aca="1" ref="O1297" ca="1">IFERROR(INDEX(_xlfn.ANCHORARRAY($C$3),T_CALC[[#This Row],[DAY]]+1,5),NA())</f>
        <v>1.3537999999999999</v>
      </c>
      <c r="P1297" cm="1" vm="2223">
        <f t="array" aca="1" ref="P1297" ca="1">IFERROR(INDEX(_xlfn.ANCHORARRAY($C$3),T_CALC[[#This Row],[DAY]]+1,6),NA())</f>
        <v>1.3562000000000001</v>
      </c>
      <c r="Q1297" cm="1">
        <f t="array" aca="1" ref="Q1297" ca="1">IFERROR(INDEX(_xlfn.ANCHORARRAY($C$3),T_CALC[[#This Row],[DAY]]+1,2),NA())</f>
        <v>0</v>
      </c>
    </row>
    <row r="1298" spans="3:17">
      <c r="C1298" vm="254">
        <f ca="1"/>
        <v>44572</v>
      </c>
      <c r="D1298">
        <f ca="1"/>
        <v>0</v>
      </c>
      <c r="E1298" vm="2070">
        <f ca="1"/>
        <v>1.3563000000000001</v>
      </c>
      <c r="F1298" vm="2084">
        <f ca="1"/>
        <v>1.3566</v>
      </c>
      <c r="G1298" vm="2080">
        <f ca="1"/>
        <v>1.3501000000000001</v>
      </c>
      <c r="H1298" vm="3582">
        <f ca="1"/>
        <v>1.3503000000000001</v>
      </c>
      <c r="K1298">
        <f ca="1">IF(ROW(T_CALC[[#This Row],[DAY]])-ROW(T_CALC[[#Headers],[DAY]])&gt;C_N_TRADING_DAYS,"",ROW(T_CALC[[#This Row],[DAY]])-ROW(T_CALC[[#Headers],[DAY]]))</f>
        <v>1295</v>
      </c>
      <c r="L1298" cm="1" vm="254">
        <f t="array" aca="1" ref="L1298" ca="1">IFERROR(INDEX(_xlfn.ANCHORARRAY($C$3),T_CALC[[#This Row],[DAY]]+1,1),NA())</f>
        <v>44572</v>
      </c>
      <c r="M1298" cm="1" vm="2070">
        <f t="array" aca="1" ref="M1298" ca="1">IFERROR(INDEX(_xlfn.ANCHORARRAY($C$3),T_CALC[[#This Row],[DAY]]+1,3),NA())</f>
        <v>1.3563000000000001</v>
      </c>
      <c r="N1298" cm="1" vm="2084">
        <f t="array" aca="1" ref="N1298" ca="1">IFERROR(INDEX(_xlfn.ANCHORARRAY($C$3),T_CALC[[#This Row],[DAY]]+1,4),NA())</f>
        <v>1.3566</v>
      </c>
      <c r="O1298" cm="1" vm="2080">
        <f t="array" aca="1" ref="O1298" ca="1">IFERROR(INDEX(_xlfn.ANCHORARRAY($C$3),T_CALC[[#This Row],[DAY]]+1,5),NA())</f>
        <v>1.3501000000000001</v>
      </c>
      <c r="P1298" cm="1" vm="3582">
        <f t="array" aca="1" ref="P1298" ca="1">IFERROR(INDEX(_xlfn.ANCHORARRAY($C$3),T_CALC[[#This Row],[DAY]]+1,6),NA())</f>
        <v>1.3503000000000001</v>
      </c>
      <c r="Q1298" cm="1">
        <f t="array" aca="1" ref="Q1298" ca="1">IFERROR(INDEX(_xlfn.ANCHORARRAY($C$3),T_CALC[[#This Row],[DAY]]+1,2),NA())</f>
        <v>0</v>
      </c>
    </row>
    <row r="1299" spans="3:17">
      <c r="C1299" vm="255">
        <f ca="1"/>
        <v>44573</v>
      </c>
      <c r="D1299">
        <f ca="1"/>
        <v>0</v>
      </c>
      <c r="E1299" vm="2139">
        <f ca="1"/>
        <v>1.3506</v>
      </c>
      <c r="F1299" vm="2956">
        <f ca="1"/>
        <v>1.3515999999999999</v>
      </c>
      <c r="G1299" vm="2125">
        <f ca="1"/>
        <v>1.3451</v>
      </c>
      <c r="H1299" vm="2611">
        <f ca="1"/>
        <v>1.3455999999999999</v>
      </c>
      <c r="K1299">
        <f ca="1">IF(ROW(T_CALC[[#This Row],[DAY]])-ROW(T_CALC[[#Headers],[DAY]])&gt;C_N_TRADING_DAYS,"",ROW(T_CALC[[#This Row],[DAY]])-ROW(T_CALC[[#Headers],[DAY]]))</f>
        <v>1296</v>
      </c>
      <c r="L1299" cm="1" vm="255">
        <f t="array" aca="1" ref="L1299" ca="1">IFERROR(INDEX(_xlfn.ANCHORARRAY($C$3),T_CALC[[#This Row],[DAY]]+1,1),NA())</f>
        <v>44573</v>
      </c>
      <c r="M1299" cm="1" vm="2139">
        <f t="array" aca="1" ref="M1299" ca="1">IFERROR(INDEX(_xlfn.ANCHORARRAY($C$3),T_CALC[[#This Row],[DAY]]+1,3),NA())</f>
        <v>1.3506</v>
      </c>
      <c r="N1299" cm="1" vm="2956">
        <f t="array" aca="1" ref="N1299" ca="1">IFERROR(INDEX(_xlfn.ANCHORARRAY($C$3),T_CALC[[#This Row],[DAY]]+1,4),NA())</f>
        <v>1.3515999999999999</v>
      </c>
      <c r="O1299" cm="1" vm="2125">
        <f t="array" aca="1" ref="O1299" ca="1">IFERROR(INDEX(_xlfn.ANCHORARRAY($C$3),T_CALC[[#This Row],[DAY]]+1,5),NA())</f>
        <v>1.3451</v>
      </c>
      <c r="P1299" cm="1" vm="2611">
        <f t="array" aca="1" ref="P1299" ca="1">IFERROR(INDEX(_xlfn.ANCHORARRAY($C$3),T_CALC[[#This Row],[DAY]]+1,6),NA())</f>
        <v>1.3455999999999999</v>
      </c>
      <c r="Q1299" cm="1">
        <f t="array" aca="1" ref="Q1299" ca="1">IFERROR(INDEX(_xlfn.ANCHORARRAY($C$3),T_CALC[[#This Row],[DAY]]+1,2),NA())</f>
        <v>0</v>
      </c>
    </row>
    <row r="1300" spans="3:17">
      <c r="C1300" vm="256">
        <f ca="1"/>
        <v>44574</v>
      </c>
      <c r="D1300">
        <f ca="1"/>
        <v>0</v>
      </c>
      <c r="E1300" vm="2281">
        <f ca="1"/>
        <v>1.3461000000000001</v>
      </c>
      <c r="F1300" vm="2113">
        <f ca="1"/>
        <v>1.3468</v>
      </c>
      <c r="G1300" vm="3211">
        <f ca="1"/>
        <v>1.3439000000000001</v>
      </c>
      <c r="H1300" vm="2118">
        <f ca="1"/>
        <v>1.3458000000000001</v>
      </c>
      <c r="K1300">
        <f ca="1">IF(ROW(T_CALC[[#This Row],[DAY]])-ROW(T_CALC[[#Headers],[DAY]])&gt;C_N_TRADING_DAYS,"",ROW(T_CALC[[#This Row],[DAY]])-ROW(T_CALC[[#Headers],[DAY]]))</f>
        <v>1297</v>
      </c>
      <c r="L1300" cm="1" vm="256">
        <f t="array" aca="1" ref="L1300" ca="1">IFERROR(INDEX(_xlfn.ANCHORARRAY($C$3),T_CALC[[#This Row],[DAY]]+1,1),NA())</f>
        <v>44574</v>
      </c>
      <c r="M1300" cm="1" vm="2281">
        <f t="array" aca="1" ref="M1300" ca="1">IFERROR(INDEX(_xlfn.ANCHORARRAY($C$3),T_CALC[[#This Row],[DAY]]+1,3),NA())</f>
        <v>1.3461000000000001</v>
      </c>
      <c r="N1300" cm="1" vm="2113">
        <f t="array" aca="1" ref="N1300" ca="1">IFERROR(INDEX(_xlfn.ANCHORARRAY($C$3),T_CALC[[#This Row],[DAY]]+1,4),NA())</f>
        <v>1.3468</v>
      </c>
      <c r="O1300" cm="1" vm="3211">
        <f t="array" aca="1" ref="O1300" ca="1">IFERROR(INDEX(_xlfn.ANCHORARRAY($C$3),T_CALC[[#This Row],[DAY]]+1,5),NA())</f>
        <v>1.3439000000000001</v>
      </c>
      <c r="P1300" cm="1" vm="2118">
        <f t="array" aca="1" ref="P1300" ca="1">IFERROR(INDEX(_xlfn.ANCHORARRAY($C$3),T_CALC[[#This Row],[DAY]]+1,6),NA())</f>
        <v>1.3458000000000001</v>
      </c>
      <c r="Q1300" cm="1">
        <f t="array" aca="1" ref="Q1300" ca="1">IFERROR(INDEX(_xlfn.ANCHORARRAY($C$3),T_CALC[[#This Row],[DAY]]+1,2),NA())</f>
        <v>0</v>
      </c>
    </row>
    <row r="1301" spans="3:17">
      <c r="C1301" vm="257">
        <f ca="1"/>
        <v>44575</v>
      </c>
      <c r="D1301">
        <f ca="1"/>
        <v>0</v>
      </c>
      <c r="E1301" vm="2248">
        <f ca="1"/>
        <v>1.3456999999999999</v>
      </c>
      <c r="F1301" vm="3586">
        <f ca="1"/>
        <v>1.3492</v>
      </c>
      <c r="G1301" vm="2278">
        <f ca="1"/>
        <v>1.3429</v>
      </c>
      <c r="H1301" vm="2253">
        <f ca="1"/>
        <v>1.3472</v>
      </c>
      <c r="K1301">
        <f ca="1">IF(ROW(T_CALC[[#This Row],[DAY]])-ROW(T_CALC[[#Headers],[DAY]])&gt;C_N_TRADING_DAYS,"",ROW(T_CALC[[#This Row],[DAY]])-ROW(T_CALC[[#Headers],[DAY]]))</f>
        <v>1298</v>
      </c>
      <c r="L1301" cm="1" vm="257">
        <f t="array" aca="1" ref="L1301" ca="1">IFERROR(INDEX(_xlfn.ANCHORARRAY($C$3),T_CALC[[#This Row],[DAY]]+1,1),NA())</f>
        <v>44575</v>
      </c>
      <c r="M1301" cm="1" vm="2248">
        <f t="array" aca="1" ref="M1301" ca="1">IFERROR(INDEX(_xlfn.ANCHORARRAY($C$3),T_CALC[[#This Row],[DAY]]+1,3),NA())</f>
        <v>1.3456999999999999</v>
      </c>
      <c r="N1301" cm="1" vm="3586">
        <f t="array" aca="1" ref="N1301" ca="1">IFERROR(INDEX(_xlfn.ANCHORARRAY($C$3),T_CALC[[#This Row],[DAY]]+1,4),NA())</f>
        <v>1.3492</v>
      </c>
      <c r="O1301" cm="1" vm="2278">
        <f t="array" aca="1" ref="O1301" ca="1">IFERROR(INDEX(_xlfn.ANCHORARRAY($C$3),T_CALC[[#This Row],[DAY]]+1,5),NA())</f>
        <v>1.3429</v>
      </c>
      <c r="P1301" cm="1" vm="2253">
        <f t="array" aca="1" ref="P1301" ca="1">IFERROR(INDEX(_xlfn.ANCHORARRAY($C$3),T_CALC[[#This Row],[DAY]]+1,6),NA())</f>
        <v>1.3472</v>
      </c>
      <c r="Q1301" cm="1">
        <f t="array" aca="1" ref="Q1301" ca="1">IFERROR(INDEX(_xlfn.ANCHORARRAY($C$3),T_CALC[[#This Row],[DAY]]+1,2),NA())</f>
        <v>0</v>
      </c>
    </row>
    <row r="1302" spans="3:17">
      <c r="C1302" vm="258">
        <f ca="1"/>
        <v>44578</v>
      </c>
      <c r="D1302">
        <f ca="1"/>
        <v>0</v>
      </c>
      <c r="E1302" vm="2111">
        <f ca="1"/>
        <v>1.3472999999999999</v>
      </c>
      <c r="F1302" vm="2146">
        <f ca="1"/>
        <v>1.3496999999999999</v>
      </c>
      <c r="G1302" vm="2113">
        <f ca="1"/>
        <v>1.3468</v>
      </c>
      <c r="H1302" vm="2240">
        <f ca="1"/>
        <v>1.3480000000000001</v>
      </c>
      <c r="K1302">
        <f ca="1">IF(ROW(T_CALC[[#This Row],[DAY]])-ROW(T_CALC[[#Headers],[DAY]])&gt;C_N_TRADING_DAYS,"",ROW(T_CALC[[#This Row],[DAY]])-ROW(T_CALC[[#Headers],[DAY]]))</f>
        <v>1299</v>
      </c>
      <c r="L1302" cm="1" vm="258">
        <f t="array" aca="1" ref="L1302" ca="1">IFERROR(INDEX(_xlfn.ANCHORARRAY($C$3),T_CALC[[#This Row],[DAY]]+1,1),NA())</f>
        <v>44578</v>
      </c>
      <c r="M1302" cm="1" vm="2111">
        <f t="array" aca="1" ref="M1302" ca="1">IFERROR(INDEX(_xlfn.ANCHORARRAY($C$3),T_CALC[[#This Row],[DAY]]+1,3),NA())</f>
        <v>1.3472999999999999</v>
      </c>
      <c r="N1302" cm="1" vm="2146">
        <f t="array" aca="1" ref="N1302" ca="1">IFERROR(INDEX(_xlfn.ANCHORARRAY($C$3),T_CALC[[#This Row],[DAY]]+1,4),NA())</f>
        <v>1.3496999999999999</v>
      </c>
      <c r="O1302" cm="1" vm="2113">
        <f t="array" aca="1" ref="O1302" ca="1">IFERROR(INDEX(_xlfn.ANCHORARRAY($C$3),T_CALC[[#This Row],[DAY]]+1,5),NA())</f>
        <v>1.3468</v>
      </c>
      <c r="P1302" cm="1" vm="2240">
        <f t="array" aca="1" ref="P1302" ca="1">IFERROR(INDEX(_xlfn.ANCHORARRAY($C$3),T_CALC[[#This Row],[DAY]]+1,6),NA())</f>
        <v>1.3480000000000001</v>
      </c>
      <c r="Q1302" cm="1">
        <f t="array" aca="1" ref="Q1302" ca="1">IFERROR(INDEX(_xlfn.ANCHORARRAY($C$3),T_CALC[[#This Row],[DAY]]+1,2),NA())</f>
        <v>0</v>
      </c>
    </row>
    <row r="1303" spans="3:17">
      <c r="C1303" vm="259">
        <f ca="1"/>
        <v>44579</v>
      </c>
      <c r="D1303">
        <f ca="1"/>
        <v>0</v>
      </c>
      <c r="E1303" vm="2090">
        <f ca="1"/>
        <v>1.3476999999999999</v>
      </c>
      <c r="F1303" vm="2663">
        <f ca="1"/>
        <v>1.3517999999999999</v>
      </c>
      <c r="G1303" vm="2239">
        <f ca="1"/>
        <v>1.3454999999999999</v>
      </c>
      <c r="H1303" vm="2139">
        <f ca="1"/>
        <v>1.3506</v>
      </c>
      <c r="K1303">
        <f ca="1">IF(ROW(T_CALC[[#This Row],[DAY]])-ROW(T_CALC[[#Headers],[DAY]])&gt;C_N_TRADING_DAYS,"",ROW(T_CALC[[#This Row],[DAY]])-ROW(T_CALC[[#Headers],[DAY]]))</f>
        <v>1300</v>
      </c>
      <c r="L1303" cm="1" vm="259">
        <f t="array" aca="1" ref="L1303" ca="1">IFERROR(INDEX(_xlfn.ANCHORARRAY($C$3),T_CALC[[#This Row],[DAY]]+1,1),NA())</f>
        <v>44579</v>
      </c>
      <c r="M1303" cm="1" vm="2090">
        <f t="array" aca="1" ref="M1303" ca="1">IFERROR(INDEX(_xlfn.ANCHORARRAY($C$3),T_CALC[[#This Row],[DAY]]+1,3),NA())</f>
        <v>1.3476999999999999</v>
      </c>
      <c r="N1303" cm="1" vm="2663">
        <f t="array" aca="1" ref="N1303" ca="1">IFERROR(INDEX(_xlfn.ANCHORARRAY($C$3),T_CALC[[#This Row],[DAY]]+1,4),NA())</f>
        <v>1.3517999999999999</v>
      </c>
      <c r="O1303" cm="1" vm="2239">
        <f t="array" aca="1" ref="O1303" ca="1">IFERROR(INDEX(_xlfn.ANCHORARRAY($C$3),T_CALC[[#This Row],[DAY]]+1,5),NA())</f>
        <v>1.3454999999999999</v>
      </c>
      <c r="P1303" cm="1" vm="2139">
        <f t="array" aca="1" ref="P1303" ca="1">IFERROR(INDEX(_xlfn.ANCHORARRAY($C$3),T_CALC[[#This Row],[DAY]]+1,6),NA())</f>
        <v>1.3506</v>
      </c>
      <c r="Q1303" cm="1">
        <f t="array" aca="1" ref="Q1303" ca="1">IFERROR(INDEX(_xlfn.ANCHORARRAY($C$3),T_CALC[[#This Row],[DAY]]+1,2),NA())</f>
        <v>0</v>
      </c>
    </row>
    <row r="1304" spans="3:17">
      <c r="C1304" vm="260">
        <f ca="1"/>
        <v>44580</v>
      </c>
      <c r="D1304">
        <f ca="1"/>
        <v>0</v>
      </c>
      <c r="E1304" vm="2139">
        <f ca="1"/>
        <v>1.3506</v>
      </c>
      <c r="F1304" vm="2263">
        <f ca="1"/>
        <v>1.3513999999999999</v>
      </c>
      <c r="G1304" vm="2130">
        <f ca="1"/>
        <v>1.3464</v>
      </c>
      <c r="H1304" vm="2242">
        <f ca="1"/>
        <v>1.3474999999999999</v>
      </c>
      <c r="K1304">
        <f ca="1">IF(ROW(T_CALC[[#This Row],[DAY]])-ROW(T_CALC[[#Headers],[DAY]])&gt;C_N_TRADING_DAYS,"",ROW(T_CALC[[#This Row],[DAY]])-ROW(T_CALC[[#Headers],[DAY]]))</f>
        <v>1301</v>
      </c>
      <c r="L1304" cm="1" vm="260">
        <f t="array" aca="1" ref="L1304" ca="1">IFERROR(INDEX(_xlfn.ANCHORARRAY($C$3),T_CALC[[#This Row],[DAY]]+1,1),NA())</f>
        <v>44580</v>
      </c>
      <c r="M1304" cm="1" vm="2139">
        <f t="array" aca="1" ref="M1304" ca="1">IFERROR(INDEX(_xlfn.ANCHORARRAY($C$3),T_CALC[[#This Row],[DAY]]+1,3),NA())</f>
        <v>1.3506</v>
      </c>
      <c r="N1304" cm="1" vm="2263">
        <f t="array" aca="1" ref="N1304" ca="1">IFERROR(INDEX(_xlfn.ANCHORARRAY($C$3),T_CALC[[#This Row],[DAY]]+1,4),NA())</f>
        <v>1.3513999999999999</v>
      </c>
      <c r="O1304" cm="1" vm="2130">
        <f t="array" aca="1" ref="O1304" ca="1">IFERROR(INDEX(_xlfn.ANCHORARRAY($C$3),T_CALC[[#This Row],[DAY]]+1,5),NA())</f>
        <v>1.3464</v>
      </c>
      <c r="P1304" cm="1" vm="2242">
        <f t="array" aca="1" ref="P1304" ca="1">IFERROR(INDEX(_xlfn.ANCHORARRAY($C$3),T_CALC[[#This Row],[DAY]]+1,6),NA())</f>
        <v>1.3474999999999999</v>
      </c>
      <c r="Q1304" cm="1">
        <f t="array" aca="1" ref="Q1304" ca="1">IFERROR(INDEX(_xlfn.ANCHORARRAY($C$3),T_CALC[[#This Row],[DAY]]+1,2),NA())</f>
        <v>0</v>
      </c>
    </row>
    <row r="1305" spans="3:17">
      <c r="C1305" vm="261">
        <f ca="1"/>
        <v>44581</v>
      </c>
      <c r="D1305">
        <f ca="1"/>
        <v>0</v>
      </c>
      <c r="E1305" vm="2242">
        <f ca="1"/>
        <v>1.3474999999999999</v>
      </c>
      <c r="F1305" vm="2240">
        <f ca="1"/>
        <v>1.3480000000000001</v>
      </c>
      <c r="G1305" vm="2140">
        <f ca="1"/>
        <v>1.343</v>
      </c>
      <c r="H1305" vm="2253">
        <f ca="1"/>
        <v>1.3472</v>
      </c>
      <c r="K1305">
        <f ca="1">IF(ROW(T_CALC[[#This Row],[DAY]])-ROW(T_CALC[[#Headers],[DAY]])&gt;C_N_TRADING_DAYS,"",ROW(T_CALC[[#This Row],[DAY]])-ROW(T_CALC[[#Headers],[DAY]]))</f>
        <v>1302</v>
      </c>
      <c r="L1305" cm="1" vm="261">
        <f t="array" aca="1" ref="L1305" ca="1">IFERROR(INDEX(_xlfn.ANCHORARRAY($C$3),T_CALC[[#This Row],[DAY]]+1,1),NA())</f>
        <v>44581</v>
      </c>
      <c r="M1305" cm="1" vm="2242">
        <f t="array" aca="1" ref="M1305" ca="1">IFERROR(INDEX(_xlfn.ANCHORARRAY($C$3),T_CALC[[#This Row],[DAY]]+1,3),NA())</f>
        <v>1.3474999999999999</v>
      </c>
      <c r="N1305" cm="1" vm="2240">
        <f t="array" aca="1" ref="N1305" ca="1">IFERROR(INDEX(_xlfn.ANCHORARRAY($C$3),T_CALC[[#This Row],[DAY]]+1,4),NA())</f>
        <v>1.3480000000000001</v>
      </c>
      <c r="O1305" cm="1" vm="2140">
        <f t="array" aca="1" ref="O1305" ca="1">IFERROR(INDEX(_xlfn.ANCHORARRAY($C$3),T_CALC[[#This Row],[DAY]]+1,5),NA())</f>
        <v>1.343</v>
      </c>
      <c r="P1305" cm="1" vm="2253">
        <f t="array" aca="1" ref="P1305" ca="1">IFERROR(INDEX(_xlfn.ANCHORARRAY($C$3),T_CALC[[#This Row],[DAY]]+1,6),NA())</f>
        <v>1.3472</v>
      </c>
      <c r="Q1305" cm="1">
        <f t="array" aca="1" ref="Q1305" ca="1">IFERROR(INDEX(_xlfn.ANCHORARRAY($C$3),T_CALC[[#This Row],[DAY]]+1,2),NA())</f>
        <v>0</v>
      </c>
    </row>
    <row r="1306" spans="3:17">
      <c r="C1306" vm="262">
        <f ca="1"/>
        <v>44582</v>
      </c>
      <c r="D1306">
        <f ca="1"/>
        <v>0</v>
      </c>
      <c r="E1306" vm="2257">
        <f ca="1"/>
        <v>1.3471</v>
      </c>
      <c r="F1306" vm="2121">
        <f ca="1"/>
        <v>1.3479000000000001</v>
      </c>
      <c r="G1306" vm="2115">
        <f ca="1"/>
        <v>1.3433999999999999</v>
      </c>
      <c r="H1306" vm="2237">
        <f ca="1"/>
        <v>1.3442000000000001</v>
      </c>
      <c r="K1306">
        <f ca="1">IF(ROW(T_CALC[[#This Row],[DAY]])-ROW(T_CALC[[#Headers],[DAY]])&gt;C_N_TRADING_DAYS,"",ROW(T_CALC[[#This Row],[DAY]])-ROW(T_CALC[[#Headers],[DAY]]))</f>
        <v>1303</v>
      </c>
      <c r="L1306" cm="1" vm="262">
        <f t="array" aca="1" ref="L1306" ca="1">IFERROR(INDEX(_xlfn.ANCHORARRAY($C$3),T_CALC[[#This Row],[DAY]]+1,1),NA())</f>
        <v>44582</v>
      </c>
      <c r="M1306" cm="1" vm="2257">
        <f t="array" aca="1" ref="M1306" ca="1">IFERROR(INDEX(_xlfn.ANCHORARRAY($C$3),T_CALC[[#This Row],[DAY]]+1,3),NA())</f>
        <v>1.3471</v>
      </c>
      <c r="N1306" cm="1" vm="2121">
        <f t="array" aca="1" ref="N1306" ca="1">IFERROR(INDEX(_xlfn.ANCHORARRAY($C$3),T_CALC[[#This Row],[DAY]]+1,4),NA())</f>
        <v>1.3479000000000001</v>
      </c>
      <c r="O1306" cm="1" vm="2115">
        <f t="array" aca="1" ref="O1306" ca="1">IFERROR(INDEX(_xlfn.ANCHORARRAY($C$3),T_CALC[[#This Row],[DAY]]+1,5),NA())</f>
        <v>1.3433999999999999</v>
      </c>
      <c r="P1306" cm="1" vm="2237">
        <f t="array" aca="1" ref="P1306" ca="1">IFERROR(INDEX(_xlfn.ANCHORARRAY($C$3),T_CALC[[#This Row],[DAY]]+1,6),NA())</f>
        <v>1.3442000000000001</v>
      </c>
      <c r="Q1306" cm="1">
        <f t="array" aca="1" ref="Q1306" ca="1">IFERROR(INDEX(_xlfn.ANCHORARRAY($C$3),T_CALC[[#This Row],[DAY]]+1,2),NA())</f>
        <v>0</v>
      </c>
    </row>
    <row r="1307" spans="3:17">
      <c r="C1307" vm="263">
        <f ca="1"/>
        <v>44585</v>
      </c>
      <c r="D1307">
        <f ca="1"/>
        <v>0</v>
      </c>
      <c r="E1307" vm="2235">
        <f ca="1"/>
        <v>1.3452</v>
      </c>
      <c r="F1307" vm="2121">
        <f ca="1"/>
        <v>1.3479000000000001</v>
      </c>
      <c r="G1307" vm="2629">
        <f ca="1"/>
        <v>1.3428</v>
      </c>
      <c r="H1307" vm="2611">
        <f ca="1"/>
        <v>1.3455999999999999</v>
      </c>
      <c r="K1307">
        <f ca="1">IF(ROW(T_CALC[[#This Row],[DAY]])-ROW(T_CALC[[#Headers],[DAY]])&gt;C_N_TRADING_DAYS,"",ROW(T_CALC[[#This Row],[DAY]])-ROW(T_CALC[[#Headers],[DAY]]))</f>
        <v>1304</v>
      </c>
      <c r="L1307" cm="1" vm="263">
        <f t="array" aca="1" ref="L1307" ca="1">IFERROR(INDEX(_xlfn.ANCHORARRAY($C$3),T_CALC[[#This Row],[DAY]]+1,1),NA())</f>
        <v>44585</v>
      </c>
      <c r="M1307" cm="1" vm="2235">
        <f t="array" aca="1" ref="M1307" ca="1">IFERROR(INDEX(_xlfn.ANCHORARRAY($C$3),T_CALC[[#This Row],[DAY]]+1,3),NA())</f>
        <v>1.3452</v>
      </c>
      <c r="N1307" cm="1" vm="2121">
        <f t="array" aca="1" ref="N1307" ca="1">IFERROR(INDEX(_xlfn.ANCHORARRAY($C$3),T_CALC[[#This Row],[DAY]]+1,4),NA())</f>
        <v>1.3479000000000001</v>
      </c>
      <c r="O1307" cm="1" vm="2629">
        <f t="array" aca="1" ref="O1307" ca="1">IFERROR(INDEX(_xlfn.ANCHORARRAY($C$3),T_CALC[[#This Row],[DAY]]+1,5),NA())</f>
        <v>1.3428</v>
      </c>
      <c r="P1307" cm="1" vm="2611">
        <f t="array" aca="1" ref="P1307" ca="1">IFERROR(INDEX(_xlfn.ANCHORARRAY($C$3),T_CALC[[#This Row],[DAY]]+1,6),NA())</f>
        <v>1.3455999999999999</v>
      </c>
      <c r="Q1307" cm="1">
        <f t="array" aca="1" ref="Q1307" ca="1">IFERROR(INDEX(_xlfn.ANCHORARRAY($C$3),T_CALC[[#This Row],[DAY]]+1,2),NA())</f>
        <v>0</v>
      </c>
    </row>
    <row r="1308" spans="3:17">
      <c r="K1308" t="str">
        <f ca="1">IF(ROW(T_CALC[[#This Row],[DAY]])-ROW(T_CALC[[#Headers],[DAY]])&gt;C_N_TRADING_DAYS,"",ROW(T_CALC[[#This Row],[DAY]])-ROW(T_CALC[[#Headers],[DAY]]))</f>
        <v/>
      </c>
      <c r="L1308" t="e" cm="1">
        <f t="array" aca="1" ref="L1308" ca="1">IFERROR(INDEX(_xlfn.ANCHORARRAY($C$3),T_CALC[[#This Row],[DAY]]+1,1),NA())</f>
        <v>#N/A</v>
      </c>
      <c r="M1308" t="e" cm="1">
        <f t="array" aca="1" ref="M1308" ca="1">IFERROR(INDEX(_xlfn.ANCHORARRAY($C$3),T_CALC[[#This Row],[DAY]]+1,3),NA())</f>
        <v>#N/A</v>
      </c>
      <c r="N1308" t="e" cm="1">
        <f t="array" aca="1" ref="N1308" ca="1">IFERROR(INDEX(_xlfn.ANCHORARRAY($C$3),T_CALC[[#This Row],[DAY]]+1,4),NA())</f>
        <v>#N/A</v>
      </c>
      <c r="O1308" t="e" cm="1">
        <f t="array" aca="1" ref="O1308" ca="1">IFERROR(INDEX(_xlfn.ANCHORARRAY($C$3),T_CALC[[#This Row],[DAY]]+1,5),NA())</f>
        <v>#N/A</v>
      </c>
      <c r="P1308" t="e" cm="1">
        <f t="array" aca="1" ref="P1308" ca="1">IFERROR(INDEX(_xlfn.ANCHORARRAY($C$3),T_CALC[[#This Row],[DAY]]+1,6),NA())</f>
        <v>#N/A</v>
      </c>
      <c r="Q1308" t="e" cm="1">
        <f t="array" aca="1" ref="Q1308" ca="1">IFERROR(INDEX(_xlfn.ANCHORARRAY($C$3),T_CALC[[#This Row],[DAY]]+1,2),NA())</f>
        <v>#N/A</v>
      </c>
    </row>
    <row r="1309" spans="3:17">
      <c r="K1309" t="str">
        <f ca="1">IF(ROW(T_CALC[[#This Row],[DAY]])-ROW(T_CALC[[#Headers],[DAY]])&gt;C_N_TRADING_DAYS,"",ROW(T_CALC[[#This Row],[DAY]])-ROW(T_CALC[[#Headers],[DAY]]))</f>
        <v/>
      </c>
      <c r="L1309" t="e" cm="1">
        <f t="array" aca="1" ref="L1309" ca="1">IFERROR(INDEX(_xlfn.ANCHORARRAY($C$3),T_CALC[[#This Row],[DAY]]+1,1),NA())</f>
        <v>#N/A</v>
      </c>
      <c r="M1309" t="e" cm="1">
        <f t="array" aca="1" ref="M1309" ca="1">IFERROR(INDEX(_xlfn.ANCHORARRAY($C$3),T_CALC[[#This Row],[DAY]]+1,3),NA())</f>
        <v>#N/A</v>
      </c>
      <c r="N1309" t="e" cm="1">
        <f t="array" aca="1" ref="N1309" ca="1">IFERROR(INDEX(_xlfn.ANCHORARRAY($C$3),T_CALC[[#This Row],[DAY]]+1,4),NA())</f>
        <v>#N/A</v>
      </c>
      <c r="O1309" t="e" cm="1">
        <f t="array" aca="1" ref="O1309" ca="1">IFERROR(INDEX(_xlfn.ANCHORARRAY($C$3),T_CALC[[#This Row],[DAY]]+1,5),NA())</f>
        <v>#N/A</v>
      </c>
      <c r="P1309" t="e" cm="1">
        <f t="array" aca="1" ref="P1309" ca="1">IFERROR(INDEX(_xlfn.ANCHORARRAY($C$3),T_CALC[[#This Row],[DAY]]+1,6),NA())</f>
        <v>#N/A</v>
      </c>
      <c r="Q1309" t="e" cm="1">
        <f t="array" aca="1" ref="Q1309" ca="1">IFERROR(INDEX(_xlfn.ANCHORARRAY($C$3),T_CALC[[#This Row],[DAY]]+1,2),NA())</f>
        <v>#N/A</v>
      </c>
    </row>
    <row r="1310" spans="3:17">
      <c r="K1310" t="str">
        <f ca="1">IF(ROW(T_CALC[[#This Row],[DAY]])-ROW(T_CALC[[#Headers],[DAY]])&gt;C_N_TRADING_DAYS,"",ROW(T_CALC[[#This Row],[DAY]])-ROW(T_CALC[[#Headers],[DAY]]))</f>
        <v/>
      </c>
      <c r="L1310" t="e" cm="1">
        <f t="array" aca="1" ref="L1310" ca="1">IFERROR(INDEX(_xlfn.ANCHORARRAY($C$3),T_CALC[[#This Row],[DAY]]+1,1),NA())</f>
        <v>#N/A</v>
      </c>
      <c r="M1310" t="e" cm="1">
        <f t="array" aca="1" ref="M1310" ca="1">IFERROR(INDEX(_xlfn.ANCHORARRAY($C$3),T_CALC[[#This Row],[DAY]]+1,3),NA())</f>
        <v>#N/A</v>
      </c>
      <c r="N1310" t="e" cm="1">
        <f t="array" aca="1" ref="N1310" ca="1">IFERROR(INDEX(_xlfn.ANCHORARRAY($C$3),T_CALC[[#This Row],[DAY]]+1,4),NA())</f>
        <v>#N/A</v>
      </c>
      <c r="O1310" t="e" cm="1">
        <f t="array" aca="1" ref="O1310" ca="1">IFERROR(INDEX(_xlfn.ANCHORARRAY($C$3),T_CALC[[#This Row],[DAY]]+1,5),NA())</f>
        <v>#N/A</v>
      </c>
      <c r="P1310" t="e" cm="1">
        <f t="array" aca="1" ref="P1310" ca="1">IFERROR(INDEX(_xlfn.ANCHORARRAY($C$3),T_CALC[[#This Row],[DAY]]+1,6),NA())</f>
        <v>#N/A</v>
      </c>
      <c r="Q1310" t="e" cm="1">
        <f t="array" aca="1" ref="Q1310" ca="1">IFERROR(INDEX(_xlfn.ANCHORARRAY($C$3),T_CALC[[#This Row],[DAY]]+1,2),NA())</f>
        <v>#N/A</v>
      </c>
    </row>
    <row r="1311" spans="3:17">
      <c r="K1311" t="str">
        <f ca="1">IF(ROW(T_CALC[[#This Row],[DAY]])-ROW(T_CALC[[#Headers],[DAY]])&gt;C_N_TRADING_DAYS,"",ROW(T_CALC[[#This Row],[DAY]])-ROW(T_CALC[[#Headers],[DAY]]))</f>
        <v/>
      </c>
      <c r="L1311" t="e" cm="1">
        <f t="array" aca="1" ref="L1311" ca="1">IFERROR(INDEX(_xlfn.ANCHORARRAY($C$3),T_CALC[[#This Row],[DAY]]+1,1),NA())</f>
        <v>#N/A</v>
      </c>
      <c r="M1311" t="e" cm="1">
        <f t="array" aca="1" ref="M1311" ca="1">IFERROR(INDEX(_xlfn.ANCHORARRAY($C$3),T_CALC[[#This Row],[DAY]]+1,3),NA())</f>
        <v>#N/A</v>
      </c>
      <c r="N1311" t="e" cm="1">
        <f t="array" aca="1" ref="N1311" ca="1">IFERROR(INDEX(_xlfn.ANCHORARRAY($C$3),T_CALC[[#This Row],[DAY]]+1,4),NA())</f>
        <v>#N/A</v>
      </c>
      <c r="O1311" t="e" cm="1">
        <f t="array" aca="1" ref="O1311" ca="1">IFERROR(INDEX(_xlfn.ANCHORARRAY($C$3),T_CALC[[#This Row],[DAY]]+1,5),NA())</f>
        <v>#N/A</v>
      </c>
      <c r="P1311" t="e" cm="1">
        <f t="array" aca="1" ref="P1311" ca="1">IFERROR(INDEX(_xlfn.ANCHORARRAY($C$3),T_CALC[[#This Row],[DAY]]+1,6),NA())</f>
        <v>#N/A</v>
      </c>
      <c r="Q1311" t="e" cm="1">
        <f t="array" aca="1" ref="Q1311" ca="1">IFERROR(INDEX(_xlfn.ANCHORARRAY($C$3),T_CALC[[#This Row],[DAY]]+1,2),NA())</f>
        <v>#N/A</v>
      </c>
    </row>
    <row r="1312" spans="3:17">
      <c r="K1312" t="str">
        <f ca="1">IF(ROW(T_CALC[[#This Row],[DAY]])-ROW(T_CALC[[#Headers],[DAY]])&gt;C_N_TRADING_DAYS,"",ROW(T_CALC[[#This Row],[DAY]])-ROW(T_CALC[[#Headers],[DAY]]))</f>
        <v/>
      </c>
      <c r="L1312" t="e" cm="1">
        <f t="array" aca="1" ref="L1312" ca="1">IFERROR(INDEX(_xlfn.ANCHORARRAY($C$3),T_CALC[[#This Row],[DAY]]+1,1),NA())</f>
        <v>#N/A</v>
      </c>
      <c r="M1312" t="e" cm="1">
        <f t="array" aca="1" ref="M1312" ca="1">IFERROR(INDEX(_xlfn.ANCHORARRAY($C$3),T_CALC[[#This Row],[DAY]]+1,3),NA())</f>
        <v>#N/A</v>
      </c>
      <c r="N1312" t="e" cm="1">
        <f t="array" aca="1" ref="N1312" ca="1">IFERROR(INDEX(_xlfn.ANCHORARRAY($C$3),T_CALC[[#This Row],[DAY]]+1,4),NA())</f>
        <v>#N/A</v>
      </c>
      <c r="O1312" t="e" cm="1">
        <f t="array" aca="1" ref="O1312" ca="1">IFERROR(INDEX(_xlfn.ANCHORARRAY($C$3),T_CALC[[#This Row],[DAY]]+1,5),NA())</f>
        <v>#N/A</v>
      </c>
      <c r="P1312" t="e" cm="1">
        <f t="array" aca="1" ref="P1312" ca="1">IFERROR(INDEX(_xlfn.ANCHORARRAY($C$3),T_CALC[[#This Row],[DAY]]+1,6),NA())</f>
        <v>#N/A</v>
      </c>
      <c r="Q1312" t="e" cm="1">
        <f t="array" aca="1" ref="Q1312" ca="1">IFERROR(INDEX(_xlfn.ANCHORARRAY($C$3),T_CALC[[#This Row],[DAY]]+1,2),NA())</f>
        <v>#N/A</v>
      </c>
    </row>
    <row r="1313" spans="11:17">
      <c r="K1313" t="str">
        <f ca="1">IF(ROW(T_CALC[[#This Row],[DAY]])-ROW(T_CALC[[#Headers],[DAY]])&gt;C_N_TRADING_DAYS,"",ROW(T_CALC[[#This Row],[DAY]])-ROW(T_CALC[[#Headers],[DAY]]))</f>
        <v/>
      </c>
      <c r="L1313" t="e" cm="1">
        <f t="array" aca="1" ref="L1313" ca="1">IFERROR(INDEX(_xlfn.ANCHORARRAY($C$3),T_CALC[[#This Row],[DAY]]+1,1),NA())</f>
        <v>#N/A</v>
      </c>
      <c r="M1313" t="e" cm="1">
        <f t="array" aca="1" ref="M1313" ca="1">IFERROR(INDEX(_xlfn.ANCHORARRAY($C$3),T_CALC[[#This Row],[DAY]]+1,3),NA())</f>
        <v>#N/A</v>
      </c>
      <c r="N1313" t="e" cm="1">
        <f t="array" aca="1" ref="N1313" ca="1">IFERROR(INDEX(_xlfn.ANCHORARRAY($C$3),T_CALC[[#This Row],[DAY]]+1,4),NA())</f>
        <v>#N/A</v>
      </c>
      <c r="O1313" t="e" cm="1">
        <f t="array" aca="1" ref="O1313" ca="1">IFERROR(INDEX(_xlfn.ANCHORARRAY($C$3),T_CALC[[#This Row],[DAY]]+1,5),NA())</f>
        <v>#N/A</v>
      </c>
      <c r="P1313" t="e" cm="1">
        <f t="array" aca="1" ref="P1313" ca="1">IFERROR(INDEX(_xlfn.ANCHORARRAY($C$3),T_CALC[[#This Row],[DAY]]+1,6),NA())</f>
        <v>#N/A</v>
      </c>
      <c r="Q1313" t="e" cm="1">
        <f t="array" aca="1" ref="Q1313" ca="1">IFERROR(INDEX(_xlfn.ANCHORARRAY($C$3),T_CALC[[#This Row],[DAY]]+1,2),NA())</f>
        <v>#N/A</v>
      </c>
    </row>
    <row r="1314" spans="11:17">
      <c r="K1314" t="str">
        <f ca="1">IF(ROW(T_CALC[[#This Row],[DAY]])-ROW(T_CALC[[#Headers],[DAY]])&gt;C_N_TRADING_DAYS,"",ROW(T_CALC[[#This Row],[DAY]])-ROW(T_CALC[[#Headers],[DAY]]))</f>
        <v/>
      </c>
      <c r="L1314" t="e" cm="1">
        <f t="array" aca="1" ref="L1314" ca="1">IFERROR(INDEX(_xlfn.ANCHORARRAY($C$3),T_CALC[[#This Row],[DAY]]+1,1),NA())</f>
        <v>#N/A</v>
      </c>
      <c r="M1314" t="e" cm="1">
        <f t="array" aca="1" ref="M1314" ca="1">IFERROR(INDEX(_xlfn.ANCHORARRAY($C$3),T_CALC[[#This Row],[DAY]]+1,3),NA())</f>
        <v>#N/A</v>
      </c>
      <c r="N1314" t="e" cm="1">
        <f t="array" aca="1" ref="N1314" ca="1">IFERROR(INDEX(_xlfn.ANCHORARRAY($C$3),T_CALC[[#This Row],[DAY]]+1,4),NA())</f>
        <v>#N/A</v>
      </c>
      <c r="O1314" t="e" cm="1">
        <f t="array" aca="1" ref="O1314" ca="1">IFERROR(INDEX(_xlfn.ANCHORARRAY($C$3),T_CALC[[#This Row],[DAY]]+1,5),NA())</f>
        <v>#N/A</v>
      </c>
      <c r="P1314" t="e" cm="1">
        <f t="array" aca="1" ref="P1314" ca="1">IFERROR(INDEX(_xlfn.ANCHORARRAY($C$3),T_CALC[[#This Row],[DAY]]+1,6),NA())</f>
        <v>#N/A</v>
      </c>
      <c r="Q1314" t="e" cm="1">
        <f t="array" aca="1" ref="Q1314" ca="1">IFERROR(INDEX(_xlfn.ANCHORARRAY($C$3),T_CALC[[#This Row],[DAY]]+1,2),NA())</f>
        <v>#N/A</v>
      </c>
    </row>
    <row r="1315" spans="11:17">
      <c r="K1315" t="str">
        <f ca="1">IF(ROW(T_CALC[[#This Row],[DAY]])-ROW(T_CALC[[#Headers],[DAY]])&gt;C_N_TRADING_DAYS,"",ROW(T_CALC[[#This Row],[DAY]])-ROW(T_CALC[[#Headers],[DAY]]))</f>
        <v/>
      </c>
      <c r="L1315" t="e" cm="1">
        <f t="array" aca="1" ref="L1315" ca="1">IFERROR(INDEX(_xlfn.ANCHORARRAY($C$3),T_CALC[[#This Row],[DAY]]+1,1),NA())</f>
        <v>#N/A</v>
      </c>
      <c r="M1315" t="e" cm="1">
        <f t="array" aca="1" ref="M1315" ca="1">IFERROR(INDEX(_xlfn.ANCHORARRAY($C$3),T_CALC[[#This Row],[DAY]]+1,3),NA())</f>
        <v>#N/A</v>
      </c>
      <c r="N1315" t="e" cm="1">
        <f t="array" aca="1" ref="N1315" ca="1">IFERROR(INDEX(_xlfn.ANCHORARRAY($C$3),T_CALC[[#This Row],[DAY]]+1,4),NA())</f>
        <v>#N/A</v>
      </c>
      <c r="O1315" t="e" cm="1">
        <f t="array" aca="1" ref="O1315" ca="1">IFERROR(INDEX(_xlfn.ANCHORARRAY($C$3),T_CALC[[#This Row],[DAY]]+1,5),NA())</f>
        <v>#N/A</v>
      </c>
      <c r="P1315" t="e" cm="1">
        <f t="array" aca="1" ref="P1315" ca="1">IFERROR(INDEX(_xlfn.ANCHORARRAY($C$3),T_CALC[[#This Row],[DAY]]+1,6),NA())</f>
        <v>#N/A</v>
      </c>
      <c r="Q1315" t="e" cm="1">
        <f t="array" aca="1" ref="Q1315" ca="1">IFERROR(INDEX(_xlfn.ANCHORARRAY($C$3),T_CALC[[#This Row],[DAY]]+1,2),NA())</f>
        <v>#N/A</v>
      </c>
    </row>
    <row r="1316" spans="11:17">
      <c r="K1316" t="str">
        <f ca="1">IF(ROW(T_CALC[[#This Row],[DAY]])-ROW(T_CALC[[#Headers],[DAY]])&gt;C_N_TRADING_DAYS,"",ROW(T_CALC[[#This Row],[DAY]])-ROW(T_CALC[[#Headers],[DAY]]))</f>
        <v/>
      </c>
      <c r="L1316" t="e" cm="1">
        <f t="array" aca="1" ref="L1316" ca="1">IFERROR(INDEX(_xlfn.ANCHORARRAY($C$3),T_CALC[[#This Row],[DAY]]+1,1),NA())</f>
        <v>#N/A</v>
      </c>
      <c r="M1316" t="e" cm="1">
        <f t="array" aca="1" ref="M1316" ca="1">IFERROR(INDEX(_xlfn.ANCHORARRAY($C$3),T_CALC[[#This Row],[DAY]]+1,3),NA())</f>
        <v>#N/A</v>
      </c>
      <c r="N1316" t="e" cm="1">
        <f t="array" aca="1" ref="N1316" ca="1">IFERROR(INDEX(_xlfn.ANCHORARRAY($C$3),T_CALC[[#This Row],[DAY]]+1,4),NA())</f>
        <v>#N/A</v>
      </c>
      <c r="O1316" t="e" cm="1">
        <f t="array" aca="1" ref="O1316" ca="1">IFERROR(INDEX(_xlfn.ANCHORARRAY($C$3),T_CALC[[#This Row],[DAY]]+1,5),NA())</f>
        <v>#N/A</v>
      </c>
      <c r="P1316" t="e" cm="1">
        <f t="array" aca="1" ref="P1316" ca="1">IFERROR(INDEX(_xlfn.ANCHORARRAY($C$3),T_CALC[[#This Row],[DAY]]+1,6),NA())</f>
        <v>#N/A</v>
      </c>
      <c r="Q1316" t="e" cm="1">
        <f t="array" aca="1" ref="Q1316" ca="1">IFERROR(INDEX(_xlfn.ANCHORARRAY($C$3),T_CALC[[#This Row],[DAY]]+1,2),NA())</f>
        <v>#N/A</v>
      </c>
    </row>
    <row r="1317" spans="11:17">
      <c r="K1317" t="str">
        <f ca="1">IF(ROW(T_CALC[[#This Row],[DAY]])-ROW(T_CALC[[#Headers],[DAY]])&gt;C_N_TRADING_DAYS,"",ROW(T_CALC[[#This Row],[DAY]])-ROW(T_CALC[[#Headers],[DAY]]))</f>
        <v/>
      </c>
      <c r="L1317" t="e" cm="1">
        <f t="array" aca="1" ref="L1317" ca="1">IFERROR(INDEX(_xlfn.ANCHORARRAY($C$3),T_CALC[[#This Row],[DAY]]+1,1),NA())</f>
        <v>#N/A</v>
      </c>
      <c r="M1317" t="e" cm="1">
        <f t="array" aca="1" ref="M1317" ca="1">IFERROR(INDEX(_xlfn.ANCHORARRAY($C$3),T_CALC[[#This Row],[DAY]]+1,3),NA())</f>
        <v>#N/A</v>
      </c>
      <c r="N1317" t="e" cm="1">
        <f t="array" aca="1" ref="N1317" ca="1">IFERROR(INDEX(_xlfn.ANCHORARRAY($C$3),T_CALC[[#This Row],[DAY]]+1,4),NA())</f>
        <v>#N/A</v>
      </c>
      <c r="O1317" t="e" cm="1">
        <f t="array" aca="1" ref="O1317" ca="1">IFERROR(INDEX(_xlfn.ANCHORARRAY($C$3),T_CALC[[#This Row],[DAY]]+1,5),NA())</f>
        <v>#N/A</v>
      </c>
      <c r="P1317" t="e" cm="1">
        <f t="array" aca="1" ref="P1317" ca="1">IFERROR(INDEX(_xlfn.ANCHORARRAY($C$3),T_CALC[[#This Row],[DAY]]+1,6),NA())</f>
        <v>#N/A</v>
      </c>
      <c r="Q1317" t="e" cm="1">
        <f t="array" aca="1" ref="Q1317" ca="1">IFERROR(INDEX(_xlfn.ANCHORARRAY($C$3),T_CALC[[#This Row],[DAY]]+1,2),NA())</f>
        <v>#N/A</v>
      </c>
    </row>
    <row r="1318" spans="11:17">
      <c r="K1318" t="str">
        <f ca="1">IF(ROW(T_CALC[[#This Row],[DAY]])-ROW(T_CALC[[#Headers],[DAY]])&gt;C_N_TRADING_DAYS,"",ROW(T_CALC[[#This Row],[DAY]])-ROW(T_CALC[[#Headers],[DAY]]))</f>
        <v/>
      </c>
      <c r="L1318" t="e" cm="1">
        <f t="array" aca="1" ref="L1318" ca="1">IFERROR(INDEX(_xlfn.ANCHORARRAY($C$3),T_CALC[[#This Row],[DAY]]+1,1),NA())</f>
        <v>#N/A</v>
      </c>
      <c r="M1318" t="e" cm="1">
        <f t="array" aca="1" ref="M1318" ca="1">IFERROR(INDEX(_xlfn.ANCHORARRAY($C$3),T_CALC[[#This Row],[DAY]]+1,3),NA())</f>
        <v>#N/A</v>
      </c>
      <c r="N1318" t="e" cm="1">
        <f t="array" aca="1" ref="N1318" ca="1">IFERROR(INDEX(_xlfn.ANCHORARRAY($C$3),T_CALC[[#This Row],[DAY]]+1,4),NA())</f>
        <v>#N/A</v>
      </c>
      <c r="O1318" t="e" cm="1">
        <f t="array" aca="1" ref="O1318" ca="1">IFERROR(INDEX(_xlfn.ANCHORARRAY($C$3),T_CALC[[#This Row],[DAY]]+1,5),NA())</f>
        <v>#N/A</v>
      </c>
      <c r="P1318" t="e" cm="1">
        <f t="array" aca="1" ref="P1318" ca="1">IFERROR(INDEX(_xlfn.ANCHORARRAY($C$3),T_CALC[[#This Row],[DAY]]+1,6),NA())</f>
        <v>#N/A</v>
      </c>
      <c r="Q1318" t="e" cm="1">
        <f t="array" aca="1" ref="Q1318" ca="1">IFERROR(INDEX(_xlfn.ANCHORARRAY($C$3),T_CALC[[#This Row],[DAY]]+1,2),NA())</f>
        <v>#N/A</v>
      </c>
    </row>
    <row r="1319" spans="11:17">
      <c r="K1319" t="str">
        <f ca="1">IF(ROW(T_CALC[[#This Row],[DAY]])-ROW(T_CALC[[#Headers],[DAY]])&gt;C_N_TRADING_DAYS,"",ROW(T_CALC[[#This Row],[DAY]])-ROW(T_CALC[[#Headers],[DAY]]))</f>
        <v/>
      </c>
      <c r="L1319" t="e" cm="1">
        <f t="array" aca="1" ref="L1319" ca="1">IFERROR(INDEX(_xlfn.ANCHORARRAY($C$3),T_CALC[[#This Row],[DAY]]+1,1),NA())</f>
        <v>#N/A</v>
      </c>
      <c r="M1319" t="e" cm="1">
        <f t="array" aca="1" ref="M1319" ca="1">IFERROR(INDEX(_xlfn.ANCHORARRAY($C$3),T_CALC[[#This Row],[DAY]]+1,3),NA())</f>
        <v>#N/A</v>
      </c>
      <c r="N1319" t="e" cm="1">
        <f t="array" aca="1" ref="N1319" ca="1">IFERROR(INDEX(_xlfn.ANCHORARRAY($C$3),T_CALC[[#This Row],[DAY]]+1,4),NA())</f>
        <v>#N/A</v>
      </c>
      <c r="O1319" t="e" cm="1">
        <f t="array" aca="1" ref="O1319" ca="1">IFERROR(INDEX(_xlfn.ANCHORARRAY($C$3),T_CALC[[#This Row],[DAY]]+1,5),NA())</f>
        <v>#N/A</v>
      </c>
      <c r="P1319" t="e" cm="1">
        <f t="array" aca="1" ref="P1319" ca="1">IFERROR(INDEX(_xlfn.ANCHORARRAY($C$3),T_CALC[[#This Row],[DAY]]+1,6),NA())</f>
        <v>#N/A</v>
      </c>
      <c r="Q1319" t="e" cm="1">
        <f t="array" aca="1" ref="Q1319" ca="1">IFERROR(INDEX(_xlfn.ANCHORARRAY($C$3),T_CALC[[#This Row],[DAY]]+1,2),NA())</f>
        <v>#N/A</v>
      </c>
    </row>
    <row r="1320" spans="11:17">
      <c r="K1320" t="str">
        <f ca="1">IF(ROW(T_CALC[[#This Row],[DAY]])-ROW(T_CALC[[#Headers],[DAY]])&gt;C_N_TRADING_DAYS,"",ROW(T_CALC[[#This Row],[DAY]])-ROW(T_CALC[[#Headers],[DAY]]))</f>
        <v/>
      </c>
      <c r="L1320" t="e" cm="1">
        <f t="array" aca="1" ref="L1320" ca="1">IFERROR(INDEX(_xlfn.ANCHORARRAY($C$3),T_CALC[[#This Row],[DAY]]+1,1),NA())</f>
        <v>#N/A</v>
      </c>
      <c r="M1320" t="e" cm="1">
        <f t="array" aca="1" ref="M1320" ca="1">IFERROR(INDEX(_xlfn.ANCHORARRAY($C$3),T_CALC[[#This Row],[DAY]]+1,3),NA())</f>
        <v>#N/A</v>
      </c>
      <c r="N1320" t="e" cm="1">
        <f t="array" aca="1" ref="N1320" ca="1">IFERROR(INDEX(_xlfn.ANCHORARRAY($C$3),T_CALC[[#This Row],[DAY]]+1,4),NA())</f>
        <v>#N/A</v>
      </c>
      <c r="O1320" t="e" cm="1">
        <f t="array" aca="1" ref="O1320" ca="1">IFERROR(INDEX(_xlfn.ANCHORARRAY($C$3),T_CALC[[#This Row],[DAY]]+1,5),NA())</f>
        <v>#N/A</v>
      </c>
      <c r="P1320" t="e" cm="1">
        <f t="array" aca="1" ref="P1320" ca="1">IFERROR(INDEX(_xlfn.ANCHORARRAY($C$3),T_CALC[[#This Row],[DAY]]+1,6),NA())</f>
        <v>#N/A</v>
      </c>
      <c r="Q1320" t="e" cm="1">
        <f t="array" aca="1" ref="Q1320" ca="1">IFERROR(INDEX(_xlfn.ANCHORARRAY($C$3),T_CALC[[#This Row],[DAY]]+1,2),NA())</f>
        <v>#N/A</v>
      </c>
    </row>
    <row r="1321" spans="11:17">
      <c r="K1321" t="str">
        <f ca="1">IF(ROW(T_CALC[[#This Row],[DAY]])-ROW(T_CALC[[#Headers],[DAY]])&gt;C_N_TRADING_DAYS,"",ROW(T_CALC[[#This Row],[DAY]])-ROW(T_CALC[[#Headers],[DAY]]))</f>
        <v/>
      </c>
      <c r="L1321" t="e" cm="1">
        <f t="array" aca="1" ref="L1321" ca="1">IFERROR(INDEX(_xlfn.ANCHORARRAY($C$3),T_CALC[[#This Row],[DAY]]+1,1),NA())</f>
        <v>#N/A</v>
      </c>
      <c r="M1321" t="e" cm="1">
        <f t="array" aca="1" ref="M1321" ca="1">IFERROR(INDEX(_xlfn.ANCHORARRAY($C$3),T_CALC[[#This Row],[DAY]]+1,3),NA())</f>
        <v>#N/A</v>
      </c>
      <c r="N1321" t="e" cm="1">
        <f t="array" aca="1" ref="N1321" ca="1">IFERROR(INDEX(_xlfn.ANCHORARRAY($C$3),T_CALC[[#This Row],[DAY]]+1,4),NA())</f>
        <v>#N/A</v>
      </c>
      <c r="O1321" t="e" cm="1">
        <f t="array" aca="1" ref="O1321" ca="1">IFERROR(INDEX(_xlfn.ANCHORARRAY($C$3),T_CALC[[#This Row],[DAY]]+1,5),NA())</f>
        <v>#N/A</v>
      </c>
      <c r="P1321" t="e" cm="1">
        <f t="array" aca="1" ref="P1321" ca="1">IFERROR(INDEX(_xlfn.ANCHORARRAY($C$3),T_CALC[[#This Row],[DAY]]+1,6),NA())</f>
        <v>#N/A</v>
      </c>
      <c r="Q1321" t="e" cm="1">
        <f t="array" aca="1" ref="Q1321" ca="1">IFERROR(INDEX(_xlfn.ANCHORARRAY($C$3),T_CALC[[#This Row],[DAY]]+1,2),NA())</f>
        <v>#N/A</v>
      </c>
    </row>
    <row r="1322" spans="11:17">
      <c r="K1322" t="str">
        <f ca="1">IF(ROW(T_CALC[[#This Row],[DAY]])-ROW(T_CALC[[#Headers],[DAY]])&gt;C_N_TRADING_DAYS,"",ROW(T_CALC[[#This Row],[DAY]])-ROW(T_CALC[[#Headers],[DAY]]))</f>
        <v/>
      </c>
      <c r="L1322" t="e" cm="1">
        <f t="array" aca="1" ref="L1322" ca="1">IFERROR(INDEX(_xlfn.ANCHORARRAY($C$3),T_CALC[[#This Row],[DAY]]+1,1),NA())</f>
        <v>#N/A</v>
      </c>
      <c r="M1322" t="e" cm="1">
        <f t="array" aca="1" ref="M1322" ca="1">IFERROR(INDEX(_xlfn.ANCHORARRAY($C$3),T_CALC[[#This Row],[DAY]]+1,3),NA())</f>
        <v>#N/A</v>
      </c>
      <c r="N1322" t="e" cm="1">
        <f t="array" aca="1" ref="N1322" ca="1">IFERROR(INDEX(_xlfn.ANCHORARRAY($C$3),T_CALC[[#This Row],[DAY]]+1,4),NA())</f>
        <v>#N/A</v>
      </c>
      <c r="O1322" t="e" cm="1">
        <f t="array" aca="1" ref="O1322" ca="1">IFERROR(INDEX(_xlfn.ANCHORARRAY($C$3),T_CALC[[#This Row],[DAY]]+1,5),NA())</f>
        <v>#N/A</v>
      </c>
      <c r="P1322" t="e" cm="1">
        <f t="array" aca="1" ref="P1322" ca="1">IFERROR(INDEX(_xlfn.ANCHORARRAY($C$3),T_CALC[[#This Row],[DAY]]+1,6),NA())</f>
        <v>#N/A</v>
      </c>
      <c r="Q1322" t="e" cm="1">
        <f t="array" aca="1" ref="Q1322" ca="1">IFERROR(INDEX(_xlfn.ANCHORARRAY($C$3),T_CALC[[#This Row],[DAY]]+1,2),NA())</f>
        <v>#N/A</v>
      </c>
    </row>
    <row r="1323" spans="11:17">
      <c r="K1323" t="str">
        <f ca="1">IF(ROW(T_CALC[[#This Row],[DAY]])-ROW(T_CALC[[#Headers],[DAY]])&gt;C_N_TRADING_DAYS,"",ROW(T_CALC[[#This Row],[DAY]])-ROW(T_CALC[[#Headers],[DAY]]))</f>
        <v/>
      </c>
      <c r="L1323" t="e" cm="1">
        <f t="array" aca="1" ref="L1323" ca="1">IFERROR(INDEX(_xlfn.ANCHORARRAY($C$3),T_CALC[[#This Row],[DAY]]+1,1),NA())</f>
        <v>#N/A</v>
      </c>
      <c r="M1323" t="e" cm="1">
        <f t="array" aca="1" ref="M1323" ca="1">IFERROR(INDEX(_xlfn.ANCHORARRAY($C$3),T_CALC[[#This Row],[DAY]]+1,3),NA())</f>
        <v>#N/A</v>
      </c>
      <c r="N1323" t="e" cm="1">
        <f t="array" aca="1" ref="N1323" ca="1">IFERROR(INDEX(_xlfn.ANCHORARRAY($C$3),T_CALC[[#This Row],[DAY]]+1,4),NA())</f>
        <v>#N/A</v>
      </c>
      <c r="O1323" t="e" cm="1">
        <f t="array" aca="1" ref="O1323" ca="1">IFERROR(INDEX(_xlfn.ANCHORARRAY($C$3),T_CALC[[#This Row],[DAY]]+1,5),NA())</f>
        <v>#N/A</v>
      </c>
      <c r="P1323" t="e" cm="1">
        <f t="array" aca="1" ref="P1323" ca="1">IFERROR(INDEX(_xlfn.ANCHORARRAY($C$3),T_CALC[[#This Row],[DAY]]+1,6),NA())</f>
        <v>#N/A</v>
      </c>
      <c r="Q1323" t="e" cm="1">
        <f t="array" aca="1" ref="Q1323" ca="1">IFERROR(INDEX(_xlfn.ANCHORARRAY($C$3),T_CALC[[#This Row],[DAY]]+1,2),NA())</f>
        <v>#N/A</v>
      </c>
    </row>
    <row r="1324" spans="11:17">
      <c r="K1324" t="str">
        <f ca="1">IF(ROW(T_CALC[[#This Row],[DAY]])-ROW(T_CALC[[#Headers],[DAY]])&gt;C_N_TRADING_DAYS,"",ROW(T_CALC[[#This Row],[DAY]])-ROW(T_CALC[[#Headers],[DAY]]))</f>
        <v/>
      </c>
      <c r="L1324" t="e" cm="1">
        <f t="array" aca="1" ref="L1324" ca="1">IFERROR(INDEX(_xlfn.ANCHORARRAY($C$3),T_CALC[[#This Row],[DAY]]+1,1),NA())</f>
        <v>#N/A</v>
      </c>
      <c r="M1324" t="e" cm="1">
        <f t="array" aca="1" ref="M1324" ca="1">IFERROR(INDEX(_xlfn.ANCHORARRAY($C$3),T_CALC[[#This Row],[DAY]]+1,3),NA())</f>
        <v>#N/A</v>
      </c>
      <c r="N1324" t="e" cm="1">
        <f t="array" aca="1" ref="N1324" ca="1">IFERROR(INDEX(_xlfn.ANCHORARRAY($C$3),T_CALC[[#This Row],[DAY]]+1,4),NA())</f>
        <v>#N/A</v>
      </c>
      <c r="O1324" t="e" cm="1">
        <f t="array" aca="1" ref="O1324" ca="1">IFERROR(INDEX(_xlfn.ANCHORARRAY($C$3),T_CALC[[#This Row],[DAY]]+1,5),NA())</f>
        <v>#N/A</v>
      </c>
      <c r="P1324" t="e" cm="1">
        <f t="array" aca="1" ref="P1324" ca="1">IFERROR(INDEX(_xlfn.ANCHORARRAY($C$3),T_CALC[[#This Row],[DAY]]+1,6),NA())</f>
        <v>#N/A</v>
      </c>
      <c r="Q1324" t="e" cm="1">
        <f t="array" aca="1" ref="Q1324" ca="1">IFERROR(INDEX(_xlfn.ANCHORARRAY($C$3),T_CALC[[#This Row],[DAY]]+1,2),NA())</f>
        <v>#N/A</v>
      </c>
    </row>
    <row r="1325" spans="11:17">
      <c r="K1325" t="str">
        <f ca="1">IF(ROW(T_CALC[[#This Row],[DAY]])-ROW(T_CALC[[#Headers],[DAY]])&gt;C_N_TRADING_DAYS,"",ROW(T_CALC[[#This Row],[DAY]])-ROW(T_CALC[[#Headers],[DAY]]))</f>
        <v/>
      </c>
      <c r="L1325" t="e" cm="1">
        <f t="array" aca="1" ref="L1325" ca="1">IFERROR(INDEX(_xlfn.ANCHORARRAY($C$3),T_CALC[[#This Row],[DAY]]+1,1),NA())</f>
        <v>#N/A</v>
      </c>
      <c r="M1325" t="e" cm="1">
        <f t="array" aca="1" ref="M1325" ca="1">IFERROR(INDEX(_xlfn.ANCHORARRAY($C$3),T_CALC[[#This Row],[DAY]]+1,3),NA())</f>
        <v>#N/A</v>
      </c>
      <c r="N1325" t="e" cm="1">
        <f t="array" aca="1" ref="N1325" ca="1">IFERROR(INDEX(_xlfn.ANCHORARRAY($C$3),T_CALC[[#This Row],[DAY]]+1,4),NA())</f>
        <v>#N/A</v>
      </c>
      <c r="O1325" t="e" cm="1">
        <f t="array" aca="1" ref="O1325" ca="1">IFERROR(INDEX(_xlfn.ANCHORARRAY($C$3),T_CALC[[#This Row],[DAY]]+1,5),NA())</f>
        <v>#N/A</v>
      </c>
      <c r="P1325" t="e" cm="1">
        <f t="array" aca="1" ref="P1325" ca="1">IFERROR(INDEX(_xlfn.ANCHORARRAY($C$3),T_CALC[[#This Row],[DAY]]+1,6),NA())</f>
        <v>#N/A</v>
      </c>
      <c r="Q1325" t="e" cm="1">
        <f t="array" aca="1" ref="Q1325" ca="1">IFERROR(INDEX(_xlfn.ANCHORARRAY($C$3),T_CALC[[#This Row],[DAY]]+1,2),NA())</f>
        <v>#N/A</v>
      </c>
    </row>
    <row r="1326" spans="11:17">
      <c r="K1326" t="str">
        <f ca="1">IF(ROW(T_CALC[[#This Row],[DAY]])-ROW(T_CALC[[#Headers],[DAY]])&gt;C_N_TRADING_DAYS,"",ROW(T_CALC[[#This Row],[DAY]])-ROW(T_CALC[[#Headers],[DAY]]))</f>
        <v/>
      </c>
      <c r="L1326" t="e" cm="1">
        <f t="array" aca="1" ref="L1326" ca="1">IFERROR(INDEX(_xlfn.ANCHORARRAY($C$3),T_CALC[[#This Row],[DAY]]+1,1),NA())</f>
        <v>#N/A</v>
      </c>
      <c r="M1326" t="e" cm="1">
        <f t="array" aca="1" ref="M1326" ca="1">IFERROR(INDEX(_xlfn.ANCHORARRAY($C$3),T_CALC[[#This Row],[DAY]]+1,3),NA())</f>
        <v>#N/A</v>
      </c>
      <c r="N1326" t="e" cm="1">
        <f t="array" aca="1" ref="N1326" ca="1">IFERROR(INDEX(_xlfn.ANCHORARRAY($C$3),T_CALC[[#This Row],[DAY]]+1,4),NA())</f>
        <v>#N/A</v>
      </c>
      <c r="O1326" t="e" cm="1">
        <f t="array" aca="1" ref="O1326" ca="1">IFERROR(INDEX(_xlfn.ANCHORARRAY($C$3),T_CALC[[#This Row],[DAY]]+1,5),NA())</f>
        <v>#N/A</v>
      </c>
      <c r="P1326" t="e" cm="1">
        <f t="array" aca="1" ref="P1326" ca="1">IFERROR(INDEX(_xlfn.ANCHORARRAY($C$3),T_CALC[[#This Row],[DAY]]+1,6),NA())</f>
        <v>#N/A</v>
      </c>
      <c r="Q1326" t="e" cm="1">
        <f t="array" aca="1" ref="Q1326" ca="1">IFERROR(INDEX(_xlfn.ANCHORARRAY($C$3),T_CALC[[#This Row],[DAY]]+1,2),NA())</f>
        <v>#N/A</v>
      </c>
    </row>
    <row r="1327" spans="11:17">
      <c r="K1327" t="str">
        <f ca="1">IF(ROW(T_CALC[[#This Row],[DAY]])-ROW(T_CALC[[#Headers],[DAY]])&gt;C_N_TRADING_DAYS,"",ROW(T_CALC[[#This Row],[DAY]])-ROW(T_CALC[[#Headers],[DAY]]))</f>
        <v/>
      </c>
      <c r="L1327" t="e" cm="1">
        <f t="array" aca="1" ref="L1327" ca="1">IFERROR(INDEX(_xlfn.ANCHORARRAY($C$3),T_CALC[[#This Row],[DAY]]+1,1),NA())</f>
        <v>#N/A</v>
      </c>
      <c r="M1327" t="e" cm="1">
        <f t="array" aca="1" ref="M1327" ca="1">IFERROR(INDEX(_xlfn.ANCHORARRAY($C$3),T_CALC[[#This Row],[DAY]]+1,3),NA())</f>
        <v>#N/A</v>
      </c>
      <c r="N1327" t="e" cm="1">
        <f t="array" aca="1" ref="N1327" ca="1">IFERROR(INDEX(_xlfn.ANCHORARRAY($C$3),T_CALC[[#This Row],[DAY]]+1,4),NA())</f>
        <v>#N/A</v>
      </c>
      <c r="O1327" t="e" cm="1">
        <f t="array" aca="1" ref="O1327" ca="1">IFERROR(INDEX(_xlfn.ANCHORARRAY($C$3),T_CALC[[#This Row],[DAY]]+1,5),NA())</f>
        <v>#N/A</v>
      </c>
      <c r="P1327" t="e" cm="1">
        <f t="array" aca="1" ref="P1327" ca="1">IFERROR(INDEX(_xlfn.ANCHORARRAY($C$3),T_CALC[[#This Row],[DAY]]+1,6),NA())</f>
        <v>#N/A</v>
      </c>
      <c r="Q1327" t="e" cm="1">
        <f t="array" aca="1" ref="Q1327" ca="1">IFERROR(INDEX(_xlfn.ANCHORARRAY($C$3),T_CALC[[#This Row],[DAY]]+1,2),NA())</f>
        <v>#N/A</v>
      </c>
    </row>
    <row r="1328" spans="11:17">
      <c r="K1328" t="str">
        <f ca="1">IF(ROW(T_CALC[[#This Row],[DAY]])-ROW(T_CALC[[#Headers],[DAY]])&gt;C_N_TRADING_DAYS,"",ROW(T_CALC[[#This Row],[DAY]])-ROW(T_CALC[[#Headers],[DAY]]))</f>
        <v/>
      </c>
      <c r="L1328" t="e" cm="1">
        <f t="array" aca="1" ref="L1328" ca="1">IFERROR(INDEX(_xlfn.ANCHORARRAY($C$3),T_CALC[[#This Row],[DAY]]+1,1),NA())</f>
        <v>#N/A</v>
      </c>
      <c r="M1328" t="e" cm="1">
        <f t="array" aca="1" ref="M1328" ca="1">IFERROR(INDEX(_xlfn.ANCHORARRAY($C$3),T_CALC[[#This Row],[DAY]]+1,3),NA())</f>
        <v>#N/A</v>
      </c>
      <c r="N1328" t="e" cm="1">
        <f t="array" aca="1" ref="N1328" ca="1">IFERROR(INDEX(_xlfn.ANCHORARRAY($C$3),T_CALC[[#This Row],[DAY]]+1,4),NA())</f>
        <v>#N/A</v>
      </c>
      <c r="O1328" t="e" cm="1">
        <f t="array" aca="1" ref="O1328" ca="1">IFERROR(INDEX(_xlfn.ANCHORARRAY($C$3),T_CALC[[#This Row],[DAY]]+1,5),NA())</f>
        <v>#N/A</v>
      </c>
      <c r="P1328" t="e" cm="1">
        <f t="array" aca="1" ref="P1328" ca="1">IFERROR(INDEX(_xlfn.ANCHORARRAY($C$3),T_CALC[[#This Row],[DAY]]+1,6),NA())</f>
        <v>#N/A</v>
      </c>
      <c r="Q1328" t="e" cm="1">
        <f t="array" aca="1" ref="Q1328" ca="1">IFERROR(INDEX(_xlfn.ANCHORARRAY($C$3),T_CALC[[#This Row],[DAY]]+1,2),NA())</f>
        <v>#N/A</v>
      </c>
    </row>
    <row r="1329" spans="11:17">
      <c r="K1329" t="str">
        <f ca="1">IF(ROW(T_CALC[[#This Row],[DAY]])-ROW(T_CALC[[#Headers],[DAY]])&gt;C_N_TRADING_DAYS,"",ROW(T_CALC[[#This Row],[DAY]])-ROW(T_CALC[[#Headers],[DAY]]))</f>
        <v/>
      </c>
      <c r="L1329" t="e" cm="1">
        <f t="array" aca="1" ref="L1329" ca="1">IFERROR(INDEX(_xlfn.ANCHORARRAY($C$3),T_CALC[[#This Row],[DAY]]+1,1),NA())</f>
        <v>#N/A</v>
      </c>
      <c r="M1329" t="e" cm="1">
        <f t="array" aca="1" ref="M1329" ca="1">IFERROR(INDEX(_xlfn.ANCHORARRAY($C$3),T_CALC[[#This Row],[DAY]]+1,3),NA())</f>
        <v>#N/A</v>
      </c>
      <c r="N1329" t="e" cm="1">
        <f t="array" aca="1" ref="N1329" ca="1">IFERROR(INDEX(_xlfn.ANCHORARRAY($C$3),T_CALC[[#This Row],[DAY]]+1,4),NA())</f>
        <v>#N/A</v>
      </c>
      <c r="O1329" t="e" cm="1">
        <f t="array" aca="1" ref="O1329" ca="1">IFERROR(INDEX(_xlfn.ANCHORARRAY($C$3),T_CALC[[#This Row],[DAY]]+1,5),NA())</f>
        <v>#N/A</v>
      </c>
      <c r="P1329" t="e" cm="1">
        <f t="array" aca="1" ref="P1329" ca="1">IFERROR(INDEX(_xlfn.ANCHORARRAY($C$3),T_CALC[[#This Row],[DAY]]+1,6),NA())</f>
        <v>#N/A</v>
      </c>
      <c r="Q1329" t="e" cm="1">
        <f t="array" aca="1" ref="Q1329" ca="1">IFERROR(INDEX(_xlfn.ANCHORARRAY($C$3),T_CALC[[#This Row],[DAY]]+1,2),NA())</f>
        <v>#N/A</v>
      </c>
    </row>
    <row r="1330" spans="11:17">
      <c r="K1330" t="str">
        <f ca="1">IF(ROW(T_CALC[[#This Row],[DAY]])-ROW(T_CALC[[#Headers],[DAY]])&gt;C_N_TRADING_DAYS,"",ROW(T_CALC[[#This Row],[DAY]])-ROW(T_CALC[[#Headers],[DAY]]))</f>
        <v/>
      </c>
      <c r="L1330" t="e" cm="1">
        <f t="array" aca="1" ref="L1330" ca="1">IFERROR(INDEX(_xlfn.ANCHORARRAY($C$3),T_CALC[[#This Row],[DAY]]+1,1),NA())</f>
        <v>#N/A</v>
      </c>
      <c r="M1330" t="e" cm="1">
        <f t="array" aca="1" ref="M1330" ca="1">IFERROR(INDEX(_xlfn.ANCHORARRAY($C$3),T_CALC[[#This Row],[DAY]]+1,3),NA())</f>
        <v>#N/A</v>
      </c>
      <c r="N1330" t="e" cm="1">
        <f t="array" aca="1" ref="N1330" ca="1">IFERROR(INDEX(_xlfn.ANCHORARRAY($C$3),T_CALC[[#This Row],[DAY]]+1,4),NA())</f>
        <v>#N/A</v>
      </c>
      <c r="O1330" t="e" cm="1">
        <f t="array" aca="1" ref="O1330" ca="1">IFERROR(INDEX(_xlfn.ANCHORARRAY($C$3),T_CALC[[#This Row],[DAY]]+1,5),NA())</f>
        <v>#N/A</v>
      </c>
      <c r="P1330" t="e" cm="1">
        <f t="array" aca="1" ref="P1330" ca="1">IFERROR(INDEX(_xlfn.ANCHORARRAY($C$3),T_CALC[[#This Row],[DAY]]+1,6),NA())</f>
        <v>#N/A</v>
      </c>
      <c r="Q1330" t="e" cm="1">
        <f t="array" aca="1" ref="Q1330" ca="1">IFERROR(INDEX(_xlfn.ANCHORARRAY($C$3),T_CALC[[#This Row],[DAY]]+1,2),NA())</f>
        <v>#N/A</v>
      </c>
    </row>
    <row r="1331" spans="11:17">
      <c r="K1331" t="str">
        <f ca="1">IF(ROW(T_CALC[[#This Row],[DAY]])-ROW(T_CALC[[#Headers],[DAY]])&gt;C_N_TRADING_DAYS,"",ROW(T_CALC[[#This Row],[DAY]])-ROW(T_CALC[[#Headers],[DAY]]))</f>
        <v/>
      </c>
      <c r="L1331" t="e" cm="1">
        <f t="array" aca="1" ref="L1331" ca="1">IFERROR(INDEX(_xlfn.ANCHORARRAY($C$3),T_CALC[[#This Row],[DAY]]+1,1),NA())</f>
        <v>#N/A</v>
      </c>
      <c r="M1331" t="e" cm="1">
        <f t="array" aca="1" ref="M1331" ca="1">IFERROR(INDEX(_xlfn.ANCHORARRAY($C$3),T_CALC[[#This Row],[DAY]]+1,3),NA())</f>
        <v>#N/A</v>
      </c>
      <c r="N1331" t="e" cm="1">
        <f t="array" aca="1" ref="N1331" ca="1">IFERROR(INDEX(_xlfn.ANCHORARRAY($C$3),T_CALC[[#This Row],[DAY]]+1,4),NA())</f>
        <v>#N/A</v>
      </c>
      <c r="O1331" t="e" cm="1">
        <f t="array" aca="1" ref="O1331" ca="1">IFERROR(INDEX(_xlfn.ANCHORARRAY($C$3),T_CALC[[#This Row],[DAY]]+1,5),NA())</f>
        <v>#N/A</v>
      </c>
      <c r="P1331" t="e" cm="1">
        <f t="array" aca="1" ref="P1331" ca="1">IFERROR(INDEX(_xlfn.ANCHORARRAY($C$3),T_CALC[[#This Row],[DAY]]+1,6),NA())</f>
        <v>#N/A</v>
      </c>
      <c r="Q1331" t="e" cm="1">
        <f t="array" aca="1" ref="Q1331" ca="1">IFERROR(INDEX(_xlfn.ANCHORARRAY($C$3),T_CALC[[#This Row],[DAY]]+1,2),NA())</f>
        <v>#N/A</v>
      </c>
    </row>
    <row r="1332" spans="11:17">
      <c r="K1332" t="str">
        <f ca="1">IF(ROW(T_CALC[[#This Row],[DAY]])-ROW(T_CALC[[#Headers],[DAY]])&gt;C_N_TRADING_DAYS,"",ROW(T_CALC[[#This Row],[DAY]])-ROW(T_CALC[[#Headers],[DAY]]))</f>
        <v/>
      </c>
      <c r="L1332" t="e" cm="1">
        <f t="array" aca="1" ref="L1332" ca="1">IFERROR(INDEX(_xlfn.ANCHORARRAY($C$3),T_CALC[[#This Row],[DAY]]+1,1),NA())</f>
        <v>#N/A</v>
      </c>
      <c r="M1332" t="e" cm="1">
        <f t="array" aca="1" ref="M1332" ca="1">IFERROR(INDEX(_xlfn.ANCHORARRAY($C$3),T_CALC[[#This Row],[DAY]]+1,3),NA())</f>
        <v>#N/A</v>
      </c>
      <c r="N1332" t="e" cm="1">
        <f t="array" aca="1" ref="N1332" ca="1">IFERROR(INDEX(_xlfn.ANCHORARRAY($C$3),T_CALC[[#This Row],[DAY]]+1,4),NA())</f>
        <v>#N/A</v>
      </c>
      <c r="O1332" t="e" cm="1">
        <f t="array" aca="1" ref="O1332" ca="1">IFERROR(INDEX(_xlfn.ANCHORARRAY($C$3),T_CALC[[#This Row],[DAY]]+1,5),NA())</f>
        <v>#N/A</v>
      </c>
      <c r="P1332" t="e" cm="1">
        <f t="array" aca="1" ref="P1332" ca="1">IFERROR(INDEX(_xlfn.ANCHORARRAY($C$3),T_CALC[[#This Row],[DAY]]+1,6),NA())</f>
        <v>#N/A</v>
      </c>
      <c r="Q1332" t="e" cm="1">
        <f t="array" aca="1" ref="Q1332" ca="1">IFERROR(INDEX(_xlfn.ANCHORARRAY($C$3),T_CALC[[#This Row],[DAY]]+1,2),NA())</f>
        <v>#N/A</v>
      </c>
    </row>
    <row r="1333" spans="11:17">
      <c r="K1333" t="str">
        <f ca="1">IF(ROW(T_CALC[[#This Row],[DAY]])-ROW(T_CALC[[#Headers],[DAY]])&gt;C_N_TRADING_DAYS,"",ROW(T_CALC[[#This Row],[DAY]])-ROW(T_CALC[[#Headers],[DAY]]))</f>
        <v/>
      </c>
      <c r="L1333" t="e" cm="1">
        <f t="array" aca="1" ref="L1333" ca="1">IFERROR(INDEX(_xlfn.ANCHORARRAY($C$3),T_CALC[[#This Row],[DAY]]+1,1),NA())</f>
        <v>#N/A</v>
      </c>
      <c r="M1333" t="e" cm="1">
        <f t="array" aca="1" ref="M1333" ca="1">IFERROR(INDEX(_xlfn.ANCHORARRAY($C$3),T_CALC[[#This Row],[DAY]]+1,3),NA())</f>
        <v>#N/A</v>
      </c>
      <c r="N1333" t="e" cm="1">
        <f t="array" aca="1" ref="N1333" ca="1">IFERROR(INDEX(_xlfn.ANCHORARRAY($C$3),T_CALC[[#This Row],[DAY]]+1,4),NA())</f>
        <v>#N/A</v>
      </c>
      <c r="O1333" t="e" cm="1">
        <f t="array" aca="1" ref="O1333" ca="1">IFERROR(INDEX(_xlfn.ANCHORARRAY($C$3),T_CALC[[#This Row],[DAY]]+1,5),NA())</f>
        <v>#N/A</v>
      </c>
      <c r="P1333" t="e" cm="1">
        <f t="array" aca="1" ref="P1333" ca="1">IFERROR(INDEX(_xlfn.ANCHORARRAY($C$3),T_CALC[[#This Row],[DAY]]+1,6),NA())</f>
        <v>#N/A</v>
      </c>
      <c r="Q1333" t="e" cm="1">
        <f t="array" aca="1" ref="Q1333" ca="1">IFERROR(INDEX(_xlfn.ANCHORARRAY($C$3),T_CALC[[#This Row],[DAY]]+1,2),NA())</f>
        <v>#N/A</v>
      </c>
    </row>
    <row r="1334" spans="11:17">
      <c r="K1334" t="str">
        <f ca="1">IF(ROW(T_CALC[[#This Row],[DAY]])-ROW(T_CALC[[#Headers],[DAY]])&gt;C_N_TRADING_DAYS,"",ROW(T_CALC[[#This Row],[DAY]])-ROW(T_CALC[[#Headers],[DAY]]))</f>
        <v/>
      </c>
      <c r="L1334" t="e" cm="1">
        <f t="array" aca="1" ref="L1334" ca="1">IFERROR(INDEX(_xlfn.ANCHORARRAY($C$3),T_CALC[[#This Row],[DAY]]+1,1),NA())</f>
        <v>#N/A</v>
      </c>
      <c r="M1334" t="e" cm="1">
        <f t="array" aca="1" ref="M1334" ca="1">IFERROR(INDEX(_xlfn.ANCHORARRAY($C$3),T_CALC[[#This Row],[DAY]]+1,3),NA())</f>
        <v>#N/A</v>
      </c>
      <c r="N1334" t="e" cm="1">
        <f t="array" aca="1" ref="N1334" ca="1">IFERROR(INDEX(_xlfn.ANCHORARRAY($C$3),T_CALC[[#This Row],[DAY]]+1,4),NA())</f>
        <v>#N/A</v>
      </c>
      <c r="O1334" t="e" cm="1">
        <f t="array" aca="1" ref="O1334" ca="1">IFERROR(INDEX(_xlfn.ANCHORARRAY($C$3),T_CALC[[#This Row],[DAY]]+1,5),NA())</f>
        <v>#N/A</v>
      </c>
      <c r="P1334" t="e" cm="1">
        <f t="array" aca="1" ref="P1334" ca="1">IFERROR(INDEX(_xlfn.ANCHORARRAY($C$3),T_CALC[[#This Row],[DAY]]+1,6),NA())</f>
        <v>#N/A</v>
      </c>
      <c r="Q1334" t="e" cm="1">
        <f t="array" aca="1" ref="Q1334" ca="1">IFERROR(INDEX(_xlfn.ANCHORARRAY($C$3),T_CALC[[#This Row],[DAY]]+1,2),NA())</f>
        <v>#N/A</v>
      </c>
    </row>
    <row r="1335" spans="11:17">
      <c r="K1335" t="str">
        <f ca="1">IF(ROW(T_CALC[[#This Row],[DAY]])-ROW(T_CALC[[#Headers],[DAY]])&gt;C_N_TRADING_DAYS,"",ROW(T_CALC[[#This Row],[DAY]])-ROW(T_CALC[[#Headers],[DAY]]))</f>
        <v/>
      </c>
      <c r="L1335" t="e" cm="1">
        <f t="array" aca="1" ref="L1335" ca="1">IFERROR(INDEX(_xlfn.ANCHORARRAY($C$3),T_CALC[[#This Row],[DAY]]+1,1),NA())</f>
        <v>#N/A</v>
      </c>
      <c r="M1335" t="e" cm="1">
        <f t="array" aca="1" ref="M1335" ca="1">IFERROR(INDEX(_xlfn.ANCHORARRAY($C$3),T_CALC[[#This Row],[DAY]]+1,3),NA())</f>
        <v>#N/A</v>
      </c>
      <c r="N1335" t="e" cm="1">
        <f t="array" aca="1" ref="N1335" ca="1">IFERROR(INDEX(_xlfn.ANCHORARRAY($C$3),T_CALC[[#This Row],[DAY]]+1,4),NA())</f>
        <v>#N/A</v>
      </c>
      <c r="O1335" t="e" cm="1">
        <f t="array" aca="1" ref="O1335" ca="1">IFERROR(INDEX(_xlfn.ANCHORARRAY($C$3),T_CALC[[#This Row],[DAY]]+1,5),NA())</f>
        <v>#N/A</v>
      </c>
      <c r="P1335" t="e" cm="1">
        <f t="array" aca="1" ref="P1335" ca="1">IFERROR(INDEX(_xlfn.ANCHORARRAY($C$3),T_CALC[[#This Row],[DAY]]+1,6),NA())</f>
        <v>#N/A</v>
      </c>
      <c r="Q1335" t="e" cm="1">
        <f t="array" aca="1" ref="Q1335" ca="1">IFERROR(INDEX(_xlfn.ANCHORARRAY($C$3),T_CALC[[#This Row],[DAY]]+1,2),NA())</f>
        <v>#N/A</v>
      </c>
    </row>
    <row r="1336" spans="11:17">
      <c r="K1336" t="str">
        <f ca="1">IF(ROW(T_CALC[[#This Row],[DAY]])-ROW(T_CALC[[#Headers],[DAY]])&gt;C_N_TRADING_DAYS,"",ROW(T_CALC[[#This Row],[DAY]])-ROW(T_CALC[[#Headers],[DAY]]))</f>
        <v/>
      </c>
      <c r="L1336" t="e" cm="1">
        <f t="array" aca="1" ref="L1336" ca="1">IFERROR(INDEX(_xlfn.ANCHORARRAY($C$3),T_CALC[[#This Row],[DAY]]+1,1),NA())</f>
        <v>#N/A</v>
      </c>
      <c r="M1336" t="e" cm="1">
        <f t="array" aca="1" ref="M1336" ca="1">IFERROR(INDEX(_xlfn.ANCHORARRAY($C$3),T_CALC[[#This Row],[DAY]]+1,3),NA())</f>
        <v>#N/A</v>
      </c>
      <c r="N1336" t="e" cm="1">
        <f t="array" aca="1" ref="N1336" ca="1">IFERROR(INDEX(_xlfn.ANCHORARRAY($C$3),T_CALC[[#This Row],[DAY]]+1,4),NA())</f>
        <v>#N/A</v>
      </c>
      <c r="O1336" t="e" cm="1">
        <f t="array" aca="1" ref="O1336" ca="1">IFERROR(INDEX(_xlfn.ANCHORARRAY($C$3),T_CALC[[#This Row],[DAY]]+1,5),NA())</f>
        <v>#N/A</v>
      </c>
      <c r="P1336" t="e" cm="1">
        <f t="array" aca="1" ref="P1336" ca="1">IFERROR(INDEX(_xlfn.ANCHORARRAY($C$3),T_CALC[[#This Row],[DAY]]+1,6),NA())</f>
        <v>#N/A</v>
      </c>
      <c r="Q1336" t="e" cm="1">
        <f t="array" aca="1" ref="Q1336" ca="1">IFERROR(INDEX(_xlfn.ANCHORARRAY($C$3),T_CALC[[#This Row],[DAY]]+1,2),NA())</f>
        <v>#N/A</v>
      </c>
    </row>
    <row r="1337" spans="11:17">
      <c r="K1337" t="str">
        <f ca="1">IF(ROW(T_CALC[[#This Row],[DAY]])-ROW(T_CALC[[#Headers],[DAY]])&gt;C_N_TRADING_DAYS,"",ROW(T_CALC[[#This Row],[DAY]])-ROW(T_CALC[[#Headers],[DAY]]))</f>
        <v/>
      </c>
      <c r="L1337" t="e" cm="1">
        <f t="array" aca="1" ref="L1337" ca="1">IFERROR(INDEX(_xlfn.ANCHORARRAY($C$3),T_CALC[[#This Row],[DAY]]+1,1),NA())</f>
        <v>#N/A</v>
      </c>
      <c r="M1337" t="e" cm="1">
        <f t="array" aca="1" ref="M1337" ca="1">IFERROR(INDEX(_xlfn.ANCHORARRAY($C$3),T_CALC[[#This Row],[DAY]]+1,3),NA())</f>
        <v>#N/A</v>
      </c>
      <c r="N1337" t="e" cm="1">
        <f t="array" aca="1" ref="N1337" ca="1">IFERROR(INDEX(_xlfn.ANCHORARRAY($C$3),T_CALC[[#This Row],[DAY]]+1,4),NA())</f>
        <v>#N/A</v>
      </c>
      <c r="O1337" t="e" cm="1">
        <f t="array" aca="1" ref="O1337" ca="1">IFERROR(INDEX(_xlfn.ANCHORARRAY($C$3),T_CALC[[#This Row],[DAY]]+1,5),NA())</f>
        <v>#N/A</v>
      </c>
      <c r="P1337" t="e" cm="1">
        <f t="array" aca="1" ref="P1337" ca="1">IFERROR(INDEX(_xlfn.ANCHORARRAY($C$3),T_CALC[[#This Row],[DAY]]+1,6),NA())</f>
        <v>#N/A</v>
      </c>
      <c r="Q1337" t="e" cm="1">
        <f t="array" aca="1" ref="Q1337" ca="1">IFERROR(INDEX(_xlfn.ANCHORARRAY($C$3),T_CALC[[#This Row],[DAY]]+1,2),NA())</f>
        <v>#N/A</v>
      </c>
    </row>
    <row r="1338" spans="11:17">
      <c r="K1338" t="str">
        <f ca="1">IF(ROW(T_CALC[[#This Row],[DAY]])-ROW(T_CALC[[#Headers],[DAY]])&gt;C_N_TRADING_DAYS,"",ROW(T_CALC[[#This Row],[DAY]])-ROW(T_CALC[[#Headers],[DAY]]))</f>
        <v/>
      </c>
      <c r="L1338" t="e" cm="1">
        <f t="array" aca="1" ref="L1338" ca="1">IFERROR(INDEX(_xlfn.ANCHORARRAY($C$3),T_CALC[[#This Row],[DAY]]+1,1),NA())</f>
        <v>#N/A</v>
      </c>
      <c r="M1338" t="e" cm="1">
        <f t="array" aca="1" ref="M1338" ca="1">IFERROR(INDEX(_xlfn.ANCHORARRAY($C$3),T_CALC[[#This Row],[DAY]]+1,3),NA())</f>
        <v>#N/A</v>
      </c>
      <c r="N1338" t="e" cm="1">
        <f t="array" aca="1" ref="N1338" ca="1">IFERROR(INDEX(_xlfn.ANCHORARRAY($C$3),T_CALC[[#This Row],[DAY]]+1,4),NA())</f>
        <v>#N/A</v>
      </c>
      <c r="O1338" t="e" cm="1">
        <f t="array" aca="1" ref="O1338" ca="1">IFERROR(INDEX(_xlfn.ANCHORARRAY($C$3),T_CALC[[#This Row],[DAY]]+1,5),NA())</f>
        <v>#N/A</v>
      </c>
      <c r="P1338" t="e" cm="1">
        <f t="array" aca="1" ref="P1338" ca="1">IFERROR(INDEX(_xlfn.ANCHORARRAY($C$3),T_CALC[[#This Row],[DAY]]+1,6),NA())</f>
        <v>#N/A</v>
      </c>
      <c r="Q1338" t="e" cm="1">
        <f t="array" aca="1" ref="Q1338" ca="1">IFERROR(INDEX(_xlfn.ANCHORARRAY($C$3),T_CALC[[#This Row],[DAY]]+1,2),NA())</f>
        <v>#N/A</v>
      </c>
    </row>
    <row r="1339" spans="11:17">
      <c r="K1339" t="str">
        <f ca="1">IF(ROW(T_CALC[[#This Row],[DAY]])-ROW(T_CALC[[#Headers],[DAY]])&gt;C_N_TRADING_DAYS,"",ROW(T_CALC[[#This Row],[DAY]])-ROW(T_CALC[[#Headers],[DAY]]))</f>
        <v/>
      </c>
      <c r="L1339" t="e" cm="1">
        <f t="array" aca="1" ref="L1339" ca="1">IFERROR(INDEX(_xlfn.ANCHORARRAY($C$3),T_CALC[[#This Row],[DAY]]+1,1),NA())</f>
        <v>#N/A</v>
      </c>
      <c r="M1339" t="e" cm="1">
        <f t="array" aca="1" ref="M1339" ca="1">IFERROR(INDEX(_xlfn.ANCHORARRAY($C$3),T_CALC[[#This Row],[DAY]]+1,3),NA())</f>
        <v>#N/A</v>
      </c>
      <c r="N1339" t="e" cm="1">
        <f t="array" aca="1" ref="N1339" ca="1">IFERROR(INDEX(_xlfn.ANCHORARRAY($C$3),T_CALC[[#This Row],[DAY]]+1,4),NA())</f>
        <v>#N/A</v>
      </c>
      <c r="O1339" t="e" cm="1">
        <f t="array" aca="1" ref="O1339" ca="1">IFERROR(INDEX(_xlfn.ANCHORARRAY($C$3),T_CALC[[#This Row],[DAY]]+1,5),NA())</f>
        <v>#N/A</v>
      </c>
      <c r="P1339" t="e" cm="1">
        <f t="array" aca="1" ref="P1339" ca="1">IFERROR(INDEX(_xlfn.ANCHORARRAY($C$3),T_CALC[[#This Row],[DAY]]+1,6),NA())</f>
        <v>#N/A</v>
      </c>
      <c r="Q1339" t="e" cm="1">
        <f t="array" aca="1" ref="Q1339" ca="1">IFERROR(INDEX(_xlfn.ANCHORARRAY($C$3),T_CALC[[#This Row],[DAY]]+1,2),NA())</f>
        <v>#N/A</v>
      </c>
    </row>
    <row r="1340" spans="11:17">
      <c r="K1340" t="str">
        <f ca="1">IF(ROW(T_CALC[[#This Row],[DAY]])-ROW(T_CALC[[#Headers],[DAY]])&gt;C_N_TRADING_DAYS,"",ROW(T_CALC[[#This Row],[DAY]])-ROW(T_CALC[[#Headers],[DAY]]))</f>
        <v/>
      </c>
      <c r="L1340" t="e" cm="1">
        <f t="array" aca="1" ref="L1340" ca="1">IFERROR(INDEX(_xlfn.ANCHORARRAY($C$3),T_CALC[[#This Row],[DAY]]+1,1),NA())</f>
        <v>#N/A</v>
      </c>
      <c r="M1340" t="e" cm="1">
        <f t="array" aca="1" ref="M1340" ca="1">IFERROR(INDEX(_xlfn.ANCHORARRAY($C$3),T_CALC[[#This Row],[DAY]]+1,3),NA())</f>
        <v>#N/A</v>
      </c>
      <c r="N1340" t="e" cm="1">
        <f t="array" aca="1" ref="N1340" ca="1">IFERROR(INDEX(_xlfn.ANCHORARRAY($C$3),T_CALC[[#This Row],[DAY]]+1,4),NA())</f>
        <v>#N/A</v>
      </c>
      <c r="O1340" t="e" cm="1">
        <f t="array" aca="1" ref="O1340" ca="1">IFERROR(INDEX(_xlfn.ANCHORARRAY($C$3),T_CALC[[#This Row],[DAY]]+1,5),NA())</f>
        <v>#N/A</v>
      </c>
      <c r="P1340" t="e" cm="1">
        <f t="array" aca="1" ref="P1340" ca="1">IFERROR(INDEX(_xlfn.ANCHORARRAY($C$3),T_CALC[[#This Row],[DAY]]+1,6),NA())</f>
        <v>#N/A</v>
      </c>
      <c r="Q1340" t="e" cm="1">
        <f t="array" aca="1" ref="Q1340" ca="1">IFERROR(INDEX(_xlfn.ANCHORARRAY($C$3),T_CALC[[#This Row],[DAY]]+1,2),NA())</f>
        <v>#N/A</v>
      </c>
    </row>
    <row r="1341" spans="11:17">
      <c r="K1341" t="str">
        <f ca="1">IF(ROW(T_CALC[[#This Row],[DAY]])-ROW(T_CALC[[#Headers],[DAY]])&gt;C_N_TRADING_DAYS,"",ROW(T_CALC[[#This Row],[DAY]])-ROW(T_CALC[[#Headers],[DAY]]))</f>
        <v/>
      </c>
      <c r="L1341" t="e" cm="1">
        <f t="array" aca="1" ref="L1341" ca="1">IFERROR(INDEX(_xlfn.ANCHORARRAY($C$3),T_CALC[[#This Row],[DAY]]+1,1),NA())</f>
        <v>#N/A</v>
      </c>
      <c r="M1341" t="e" cm="1">
        <f t="array" aca="1" ref="M1341" ca="1">IFERROR(INDEX(_xlfn.ANCHORARRAY($C$3),T_CALC[[#This Row],[DAY]]+1,3),NA())</f>
        <v>#N/A</v>
      </c>
      <c r="N1341" t="e" cm="1">
        <f t="array" aca="1" ref="N1341" ca="1">IFERROR(INDEX(_xlfn.ANCHORARRAY($C$3),T_CALC[[#This Row],[DAY]]+1,4),NA())</f>
        <v>#N/A</v>
      </c>
      <c r="O1341" t="e" cm="1">
        <f t="array" aca="1" ref="O1341" ca="1">IFERROR(INDEX(_xlfn.ANCHORARRAY($C$3),T_CALC[[#This Row],[DAY]]+1,5),NA())</f>
        <v>#N/A</v>
      </c>
      <c r="P1341" t="e" cm="1">
        <f t="array" aca="1" ref="P1341" ca="1">IFERROR(INDEX(_xlfn.ANCHORARRAY($C$3),T_CALC[[#This Row],[DAY]]+1,6),NA())</f>
        <v>#N/A</v>
      </c>
      <c r="Q1341" t="e" cm="1">
        <f t="array" aca="1" ref="Q1341" ca="1">IFERROR(INDEX(_xlfn.ANCHORARRAY($C$3),T_CALC[[#This Row],[DAY]]+1,2),NA())</f>
        <v>#N/A</v>
      </c>
    </row>
    <row r="1342" spans="11:17">
      <c r="K1342" t="str">
        <f ca="1">IF(ROW(T_CALC[[#This Row],[DAY]])-ROW(T_CALC[[#Headers],[DAY]])&gt;C_N_TRADING_DAYS,"",ROW(T_CALC[[#This Row],[DAY]])-ROW(T_CALC[[#Headers],[DAY]]))</f>
        <v/>
      </c>
      <c r="L1342" t="e" cm="1">
        <f t="array" aca="1" ref="L1342" ca="1">IFERROR(INDEX(_xlfn.ANCHORARRAY($C$3),T_CALC[[#This Row],[DAY]]+1,1),NA())</f>
        <v>#N/A</v>
      </c>
      <c r="M1342" t="e" cm="1">
        <f t="array" aca="1" ref="M1342" ca="1">IFERROR(INDEX(_xlfn.ANCHORARRAY($C$3),T_CALC[[#This Row],[DAY]]+1,3),NA())</f>
        <v>#N/A</v>
      </c>
      <c r="N1342" t="e" cm="1">
        <f t="array" aca="1" ref="N1342" ca="1">IFERROR(INDEX(_xlfn.ANCHORARRAY($C$3),T_CALC[[#This Row],[DAY]]+1,4),NA())</f>
        <v>#N/A</v>
      </c>
      <c r="O1342" t="e" cm="1">
        <f t="array" aca="1" ref="O1342" ca="1">IFERROR(INDEX(_xlfn.ANCHORARRAY($C$3),T_CALC[[#This Row],[DAY]]+1,5),NA())</f>
        <v>#N/A</v>
      </c>
      <c r="P1342" t="e" cm="1">
        <f t="array" aca="1" ref="P1342" ca="1">IFERROR(INDEX(_xlfn.ANCHORARRAY($C$3),T_CALC[[#This Row],[DAY]]+1,6),NA())</f>
        <v>#N/A</v>
      </c>
      <c r="Q1342" t="e" cm="1">
        <f t="array" aca="1" ref="Q1342" ca="1">IFERROR(INDEX(_xlfn.ANCHORARRAY($C$3),T_CALC[[#This Row],[DAY]]+1,2),NA())</f>
        <v>#N/A</v>
      </c>
    </row>
    <row r="1343" spans="11:17">
      <c r="K1343" t="str">
        <f ca="1">IF(ROW(T_CALC[[#This Row],[DAY]])-ROW(T_CALC[[#Headers],[DAY]])&gt;C_N_TRADING_DAYS,"",ROW(T_CALC[[#This Row],[DAY]])-ROW(T_CALC[[#Headers],[DAY]]))</f>
        <v/>
      </c>
      <c r="L1343" t="e" cm="1">
        <f t="array" aca="1" ref="L1343" ca="1">IFERROR(INDEX(_xlfn.ANCHORARRAY($C$3),T_CALC[[#This Row],[DAY]]+1,1),NA())</f>
        <v>#N/A</v>
      </c>
      <c r="M1343" t="e" cm="1">
        <f t="array" aca="1" ref="M1343" ca="1">IFERROR(INDEX(_xlfn.ANCHORARRAY($C$3),T_CALC[[#This Row],[DAY]]+1,3),NA())</f>
        <v>#N/A</v>
      </c>
      <c r="N1343" t="e" cm="1">
        <f t="array" aca="1" ref="N1343" ca="1">IFERROR(INDEX(_xlfn.ANCHORARRAY($C$3),T_CALC[[#This Row],[DAY]]+1,4),NA())</f>
        <v>#N/A</v>
      </c>
      <c r="O1343" t="e" cm="1">
        <f t="array" aca="1" ref="O1343" ca="1">IFERROR(INDEX(_xlfn.ANCHORARRAY($C$3),T_CALC[[#This Row],[DAY]]+1,5),NA())</f>
        <v>#N/A</v>
      </c>
      <c r="P1343" t="e" cm="1">
        <f t="array" aca="1" ref="P1343" ca="1">IFERROR(INDEX(_xlfn.ANCHORARRAY($C$3),T_CALC[[#This Row],[DAY]]+1,6),NA())</f>
        <v>#N/A</v>
      </c>
      <c r="Q1343" t="e" cm="1">
        <f t="array" aca="1" ref="Q1343" ca="1">IFERROR(INDEX(_xlfn.ANCHORARRAY($C$3),T_CALC[[#This Row],[DAY]]+1,2),NA())</f>
        <v>#N/A</v>
      </c>
    </row>
    <row r="1344" spans="11:17">
      <c r="K1344" t="str">
        <f ca="1">IF(ROW(T_CALC[[#This Row],[DAY]])-ROW(T_CALC[[#Headers],[DAY]])&gt;C_N_TRADING_DAYS,"",ROW(T_CALC[[#This Row],[DAY]])-ROW(T_CALC[[#Headers],[DAY]]))</f>
        <v/>
      </c>
      <c r="L1344" t="e" cm="1">
        <f t="array" aca="1" ref="L1344" ca="1">IFERROR(INDEX(_xlfn.ANCHORARRAY($C$3),T_CALC[[#This Row],[DAY]]+1,1),NA())</f>
        <v>#N/A</v>
      </c>
      <c r="M1344" t="e" cm="1">
        <f t="array" aca="1" ref="M1344" ca="1">IFERROR(INDEX(_xlfn.ANCHORARRAY($C$3),T_CALC[[#This Row],[DAY]]+1,3),NA())</f>
        <v>#N/A</v>
      </c>
      <c r="N1344" t="e" cm="1">
        <f t="array" aca="1" ref="N1344" ca="1">IFERROR(INDEX(_xlfn.ANCHORARRAY($C$3),T_CALC[[#This Row],[DAY]]+1,4),NA())</f>
        <v>#N/A</v>
      </c>
      <c r="O1344" t="e" cm="1">
        <f t="array" aca="1" ref="O1344" ca="1">IFERROR(INDEX(_xlfn.ANCHORARRAY($C$3),T_CALC[[#This Row],[DAY]]+1,5),NA())</f>
        <v>#N/A</v>
      </c>
      <c r="P1344" t="e" cm="1">
        <f t="array" aca="1" ref="P1344" ca="1">IFERROR(INDEX(_xlfn.ANCHORARRAY($C$3),T_CALC[[#This Row],[DAY]]+1,6),NA())</f>
        <v>#N/A</v>
      </c>
      <c r="Q1344" t="e" cm="1">
        <f t="array" aca="1" ref="Q1344" ca="1">IFERROR(INDEX(_xlfn.ANCHORARRAY($C$3),T_CALC[[#This Row],[DAY]]+1,2),NA())</f>
        <v>#N/A</v>
      </c>
    </row>
    <row r="1345" spans="11:17">
      <c r="K1345" t="str">
        <f ca="1">IF(ROW(T_CALC[[#This Row],[DAY]])-ROW(T_CALC[[#Headers],[DAY]])&gt;C_N_TRADING_DAYS,"",ROW(T_CALC[[#This Row],[DAY]])-ROW(T_CALC[[#Headers],[DAY]]))</f>
        <v/>
      </c>
      <c r="L1345" t="e" cm="1">
        <f t="array" aca="1" ref="L1345" ca="1">IFERROR(INDEX(_xlfn.ANCHORARRAY($C$3),T_CALC[[#This Row],[DAY]]+1,1),NA())</f>
        <v>#N/A</v>
      </c>
      <c r="M1345" t="e" cm="1">
        <f t="array" aca="1" ref="M1345" ca="1">IFERROR(INDEX(_xlfn.ANCHORARRAY($C$3),T_CALC[[#This Row],[DAY]]+1,3),NA())</f>
        <v>#N/A</v>
      </c>
      <c r="N1345" t="e" cm="1">
        <f t="array" aca="1" ref="N1345" ca="1">IFERROR(INDEX(_xlfn.ANCHORARRAY($C$3),T_CALC[[#This Row],[DAY]]+1,4),NA())</f>
        <v>#N/A</v>
      </c>
      <c r="O1345" t="e" cm="1">
        <f t="array" aca="1" ref="O1345" ca="1">IFERROR(INDEX(_xlfn.ANCHORARRAY($C$3),T_CALC[[#This Row],[DAY]]+1,5),NA())</f>
        <v>#N/A</v>
      </c>
      <c r="P1345" t="e" cm="1">
        <f t="array" aca="1" ref="P1345" ca="1">IFERROR(INDEX(_xlfn.ANCHORARRAY($C$3),T_CALC[[#This Row],[DAY]]+1,6),NA())</f>
        <v>#N/A</v>
      </c>
      <c r="Q1345" t="e" cm="1">
        <f t="array" aca="1" ref="Q1345" ca="1">IFERROR(INDEX(_xlfn.ANCHORARRAY($C$3),T_CALC[[#This Row],[DAY]]+1,2),NA())</f>
        <v>#N/A</v>
      </c>
    </row>
    <row r="1346" spans="11:17">
      <c r="K1346" t="str">
        <f ca="1">IF(ROW(T_CALC[[#This Row],[DAY]])-ROW(T_CALC[[#Headers],[DAY]])&gt;C_N_TRADING_DAYS,"",ROW(T_CALC[[#This Row],[DAY]])-ROW(T_CALC[[#Headers],[DAY]]))</f>
        <v/>
      </c>
      <c r="L1346" t="e" cm="1">
        <f t="array" aca="1" ref="L1346" ca="1">IFERROR(INDEX(_xlfn.ANCHORARRAY($C$3),T_CALC[[#This Row],[DAY]]+1,1),NA())</f>
        <v>#N/A</v>
      </c>
      <c r="M1346" t="e" cm="1">
        <f t="array" aca="1" ref="M1346" ca="1">IFERROR(INDEX(_xlfn.ANCHORARRAY($C$3),T_CALC[[#This Row],[DAY]]+1,3),NA())</f>
        <v>#N/A</v>
      </c>
      <c r="N1346" t="e" cm="1">
        <f t="array" aca="1" ref="N1346" ca="1">IFERROR(INDEX(_xlfn.ANCHORARRAY($C$3),T_CALC[[#This Row],[DAY]]+1,4),NA())</f>
        <v>#N/A</v>
      </c>
      <c r="O1346" t="e" cm="1">
        <f t="array" aca="1" ref="O1346" ca="1">IFERROR(INDEX(_xlfn.ANCHORARRAY($C$3),T_CALC[[#This Row],[DAY]]+1,5),NA())</f>
        <v>#N/A</v>
      </c>
      <c r="P1346" t="e" cm="1">
        <f t="array" aca="1" ref="P1346" ca="1">IFERROR(INDEX(_xlfn.ANCHORARRAY($C$3),T_CALC[[#This Row],[DAY]]+1,6),NA())</f>
        <v>#N/A</v>
      </c>
      <c r="Q1346" t="e" cm="1">
        <f t="array" aca="1" ref="Q1346" ca="1">IFERROR(INDEX(_xlfn.ANCHORARRAY($C$3),T_CALC[[#This Row],[DAY]]+1,2),NA())</f>
        <v>#N/A</v>
      </c>
    </row>
    <row r="1347" spans="11:17">
      <c r="K1347" t="str">
        <f ca="1">IF(ROW(T_CALC[[#This Row],[DAY]])-ROW(T_CALC[[#Headers],[DAY]])&gt;C_N_TRADING_DAYS,"",ROW(T_CALC[[#This Row],[DAY]])-ROW(T_CALC[[#Headers],[DAY]]))</f>
        <v/>
      </c>
      <c r="L1347" t="e" cm="1">
        <f t="array" aca="1" ref="L1347" ca="1">IFERROR(INDEX(_xlfn.ANCHORARRAY($C$3),T_CALC[[#This Row],[DAY]]+1,1),NA())</f>
        <v>#N/A</v>
      </c>
      <c r="M1347" t="e" cm="1">
        <f t="array" aca="1" ref="M1347" ca="1">IFERROR(INDEX(_xlfn.ANCHORARRAY($C$3),T_CALC[[#This Row],[DAY]]+1,3),NA())</f>
        <v>#N/A</v>
      </c>
      <c r="N1347" t="e" cm="1">
        <f t="array" aca="1" ref="N1347" ca="1">IFERROR(INDEX(_xlfn.ANCHORARRAY($C$3),T_CALC[[#This Row],[DAY]]+1,4),NA())</f>
        <v>#N/A</v>
      </c>
      <c r="O1347" t="e" cm="1">
        <f t="array" aca="1" ref="O1347" ca="1">IFERROR(INDEX(_xlfn.ANCHORARRAY($C$3),T_CALC[[#This Row],[DAY]]+1,5),NA())</f>
        <v>#N/A</v>
      </c>
      <c r="P1347" t="e" cm="1">
        <f t="array" aca="1" ref="P1347" ca="1">IFERROR(INDEX(_xlfn.ANCHORARRAY($C$3),T_CALC[[#This Row],[DAY]]+1,6),NA())</f>
        <v>#N/A</v>
      </c>
      <c r="Q1347" t="e" cm="1">
        <f t="array" aca="1" ref="Q1347" ca="1">IFERROR(INDEX(_xlfn.ANCHORARRAY($C$3),T_CALC[[#This Row],[DAY]]+1,2),NA())</f>
        <v>#N/A</v>
      </c>
    </row>
    <row r="1348" spans="11:17">
      <c r="K1348" t="str">
        <f ca="1">IF(ROW(T_CALC[[#This Row],[DAY]])-ROW(T_CALC[[#Headers],[DAY]])&gt;C_N_TRADING_DAYS,"",ROW(T_CALC[[#This Row],[DAY]])-ROW(T_CALC[[#Headers],[DAY]]))</f>
        <v/>
      </c>
      <c r="L1348" t="e" cm="1">
        <f t="array" aca="1" ref="L1348" ca="1">IFERROR(INDEX(_xlfn.ANCHORARRAY($C$3),T_CALC[[#This Row],[DAY]]+1,1),NA())</f>
        <v>#N/A</v>
      </c>
      <c r="M1348" t="e" cm="1">
        <f t="array" aca="1" ref="M1348" ca="1">IFERROR(INDEX(_xlfn.ANCHORARRAY($C$3),T_CALC[[#This Row],[DAY]]+1,3),NA())</f>
        <v>#N/A</v>
      </c>
      <c r="N1348" t="e" cm="1">
        <f t="array" aca="1" ref="N1348" ca="1">IFERROR(INDEX(_xlfn.ANCHORARRAY($C$3),T_CALC[[#This Row],[DAY]]+1,4),NA())</f>
        <v>#N/A</v>
      </c>
      <c r="O1348" t="e" cm="1">
        <f t="array" aca="1" ref="O1348" ca="1">IFERROR(INDEX(_xlfn.ANCHORARRAY($C$3),T_CALC[[#This Row],[DAY]]+1,5),NA())</f>
        <v>#N/A</v>
      </c>
      <c r="P1348" t="e" cm="1">
        <f t="array" aca="1" ref="P1348" ca="1">IFERROR(INDEX(_xlfn.ANCHORARRAY($C$3),T_CALC[[#This Row],[DAY]]+1,6),NA())</f>
        <v>#N/A</v>
      </c>
      <c r="Q1348" t="e" cm="1">
        <f t="array" aca="1" ref="Q1348" ca="1">IFERROR(INDEX(_xlfn.ANCHORARRAY($C$3),T_CALC[[#This Row],[DAY]]+1,2),NA())</f>
        <v>#N/A</v>
      </c>
    </row>
    <row r="1349" spans="11:17">
      <c r="K1349" t="str">
        <f ca="1">IF(ROW(T_CALC[[#This Row],[DAY]])-ROW(T_CALC[[#Headers],[DAY]])&gt;C_N_TRADING_DAYS,"",ROW(T_CALC[[#This Row],[DAY]])-ROW(T_CALC[[#Headers],[DAY]]))</f>
        <v/>
      </c>
      <c r="L1349" t="e" cm="1">
        <f t="array" aca="1" ref="L1349" ca="1">IFERROR(INDEX(_xlfn.ANCHORARRAY($C$3),T_CALC[[#This Row],[DAY]]+1,1),NA())</f>
        <v>#N/A</v>
      </c>
      <c r="M1349" t="e" cm="1">
        <f t="array" aca="1" ref="M1349" ca="1">IFERROR(INDEX(_xlfn.ANCHORARRAY($C$3),T_CALC[[#This Row],[DAY]]+1,3),NA())</f>
        <v>#N/A</v>
      </c>
      <c r="N1349" t="e" cm="1">
        <f t="array" aca="1" ref="N1349" ca="1">IFERROR(INDEX(_xlfn.ANCHORARRAY($C$3),T_CALC[[#This Row],[DAY]]+1,4),NA())</f>
        <v>#N/A</v>
      </c>
      <c r="O1349" t="e" cm="1">
        <f t="array" aca="1" ref="O1349" ca="1">IFERROR(INDEX(_xlfn.ANCHORARRAY($C$3),T_CALC[[#This Row],[DAY]]+1,5),NA())</f>
        <v>#N/A</v>
      </c>
      <c r="P1349" t="e" cm="1">
        <f t="array" aca="1" ref="P1349" ca="1">IFERROR(INDEX(_xlfn.ANCHORARRAY($C$3),T_CALC[[#This Row],[DAY]]+1,6),NA())</f>
        <v>#N/A</v>
      </c>
      <c r="Q1349" t="e" cm="1">
        <f t="array" aca="1" ref="Q1349" ca="1">IFERROR(INDEX(_xlfn.ANCHORARRAY($C$3),T_CALC[[#This Row],[DAY]]+1,2),NA())</f>
        <v>#N/A</v>
      </c>
    </row>
    <row r="1350" spans="11:17">
      <c r="K1350" t="str">
        <f ca="1">IF(ROW(T_CALC[[#This Row],[DAY]])-ROW(T_CALC[[#Headers],[DAY]])&gt;C_N_TRADING_DAYS,"",ROW(T_CALC[[#This Row],[DAY]])-ROW(T_CALC[[#Headers],[DAY]]))</f>
        <v/>
      </c>
      <c r="L1350" t="e" cm="1">
        <f t="array" aca="1" ref="L1350" ca="1">IFERROR(INDEX(_xlfn.ANCHORARRAY($C$3),T_CALC[[#This Row],[DAY]]+1,1),NA())</f>
        <v>#N/A</v>
      </c>
      <c r="M1350" t="e" cm="1">
        <f t="array" aca="1" ref="M1350" ca="1">IFERROR(INDEX(_xlfn.ANCHORARRAY($C$3),T_CALC[[#This Row],[DAY]]+1,3),NA())</f>
        <v>#N/A</v>
      </c>
      <c r="N1350" t="e" cm="1">
        <f t="array" aca="1" ref="N1350" ca="1">IFERROR(INDEX(_xlfn.ANCHORARRAY($C$3),T_CALC[[#This Row],[DAY]]+1,4),NA())</f>
        <v>#N/A</v>
      </c>
      <c r="O1350" t="e" cm="1">
        <f t="array" aca="1" ref="O1350" ca="1">IFERROR(INDEX(_xlfn.ANCHORARRAY($C$3),T_CALC[[#This Row],[DAY]]+1,5),NA())</f>
        <v>#N/A</v>
      </c>
      <c r="P1350" t="e" cm="1">
        <f t="array" aca="1" ref="P1350" ca="1">IFERROR(INDEX(_xlfn.ANCHORARRAY($C$3),T_CALC[[#This Row],[DAY]]+1,6),NA())</f>
        <v>#N/A</v>
      </c>
      <c r="Q1350" t="e" cm="1">
        <f t="array" aca="1" ref="Q1350" ca="1">IFERROR(INDEX(_xlfn.ANCHORARRAY($C$3),T_CALC[[#This Row],[DAY]]+1,2),NA())</f>
        <v>#N/A</v>
      </c>
    </row>
    <row r="1351" spans="11:17">
      <c r="K1351" t="str">
        <f ca="1">IF(ROW(T_CALC[[#This Row],[DAY]])-ROW(T_CALC[[#Headers],[DAY]])&gt;C_N_TRADING_DAYS,"",ROW(T_CALC[[#This Row],[DAY]])-ROW(T_CALC[[#Headers],[DAY]]))</f>
        <v/>
      </c>
      <c r="L1351" t="e" cm="1">
        <f t="array" aca="1" ref="L1351" ca="1">IFERROR(INDEX(_xlfn.ANCHORARRAY($C$3),T_CALC[[#This Row],[DAY]]+1,1),NA())</f>
        <v>#N/A</v>
      </c>
      <c r="M1351" t="e" cm="1">
        <f t="array" aca="1" ref="M1351" ca="1">IFERROR(INDEX(_xlfn.ANCHORARRAY($C$3),T_CALC[[#This Row],[DAY]]+1,3),NA())</f>
        <v>#N/A</v>
      </c>
      <c r="N1351" t="e" cm="1">
        <f t="array" aca="1" ref="N1351" ca="1">IFERROR(INDEX(_xlfn.ANCHORARRAY($C$3),T_CALC[[#This Row],[DAY]]+1,4),NA())</f>
        <v>#N/A</v>
      </c>
      <c r="O1351" t="e" cm="1">
        <f t="array" aca="1" ref="O1351" ca="1">IFERROR(INDEX(_xlfn.ANCHORARRAY($C$3),T_CALC[[#This Row],[DAY]]+1,5),NA())</f>
        <v>#N/A</v>
      </c>
      <c r="P1351" t="e" cm="1">
        <f t="array" aca="1" ref="P1351" ca="1">IFERROR(INDEX(_xlfn.ANCHORARRAY($C$3),T_CALC[[#This Row],[DAY]]+1,6),NA())</f>
        <v>#N/A</v>
      </c>
      <c r="Q1351" t="e" cm="1">
        <f t="array" aca="1" ref="Q1351" ca="1">IFERROR(INDEX(_xlfn.ANCHORARRAY($C$3),T_CALC[[#This Row],[DAY]]+1,2),NA())</f>
        <v>#N/A</v>
      </c>
    </row>
    <row r="1352" spans="11:17">
      <c r="K1352" t="str">
        <f ca="1">IF(ROW(T_CALC[[#This Row],[DAY]])-ROW(T_CALC[[#Headers],[DAY]])&gt;C_N_TRADING_DAYS,"",ROW(T_CALC[[#This Row],[DAY]])-ROW(T_CALC[[#Headers],[DAY]]))</f>
        <v/>
      </c>
      <c r="L1352" t="e" cm="1">
        <f t="array" aca="1" ref="L1352" ca="1">IFERROR(INDEX(_xlfn.ANCHORARRAY($C$3),T_CALC[[#This Row],[DAY]]+1,1),NA())</f>
        <v>#N/A</v>
      </c>
      <c r="M1352" t="e" cm="1">
        <f t="array" aca="1" ref="M1352" ca="1">IFERROR(INDEX(_xlfn.ANCHORARRAY($C$3),T_CALC[[#This Row],[DAY]]+1,3),NA())</f>
        <v>#N/A</v>
      </c>
      <c r="N1352" t="e" cm="1">
        <f t="array" aca="1" ref="N1352" ca="1">IFERROR(INDEX(_xlfn.ANCHORARRAY($C$3),T_CALC[[#This Row],[DAY]]+1,4),NA())</f>
        <v>#N/A</v>
      </c>
      <c r="O1352" t="e" cm="1">
        <f t="array" aca="1" ref="O1352" ca="1">IFERROR(INDEX(_xlfn.ANCHORARRAY($C$3),T_CALC[[#This Row],[DAY]]+1,5),NA())</f>
        <v>#N/A</v>
      </c>
      <c r="P1352" t="e" cm="1">
        <f t="array" aca="1" ref="P1352" ca="1">IFERROR(INDEX(_xlfn.ANCHORARRAY($C$3),T_CALC[[#This Row],[DAY]]+1,6),NA())</f>
        <v>#N/A</v>
      </c>
      <c r="Q1352" t="e" cm="1">
        <f t="array" aca="1" ref="Q1352" ca="1">IFERROR(INDEX(_xlfn.ANCHORARRAY($C$3),T_CALC[[#This Row],[DAY]]+1,2),NA())</f>
        <v>#N/A</v>
      </c>
    </row>
    <row r="1353" spans="11:17">
      <c r="K1353" t="str">
        <f ca="1">IF(ROW(T_CALC[[#This Row],[DAY]])-ROW(T_CALC[[#Headers],[DAY]])&gt;C_N_TRADING_DAYS,"",ROW(T_CALC[[#This Row],[DAY]])-ROW(T_CALC[[#Headers],[DAY]]))</f>
        <v/>
      </c>
      <c r="L1353" t="e" cm="1">
        <f t="array" aca="1" ref="L1353" ca="1">IFERROR(INDEX(_xlfn.ANCHORARRAY($C$3),T_CALC[[#This Row],[DAY]]+1,1),NA())</f>
        <v>#N/A</v>
      </c>
      <c r="M1353" t="e" cm="1">
        <f t="array" aca="1" ref="M1353" ca="1">IFERROR(INDEX(_xlfn.ANCHORARRAY($C$3),T_CALC[[#This Row],[DAY]]+1,3),NA())</f>
        <v>#N/A</v>
      </c>
      <c r="N1353" t="e" cm="1">
        <f t="array" aca="1" ref="N1353" ca="1">IFERROR(INDEX(_xlfn.ANCHORARRAY($C$3),T_CALC[[#This Row],[DAY]]+1,4),NA())</f>
        <v>#N/A</v>
      </c>
      <c r="O1353" t="e" cm="1">
        <f t="array" aca="1" ref="O1353" ca="1">IFERROR(INDEX(_xlfn.ANCHORARRAY($C$3),T_CALC[[#This Row],[DAY]]+1,5),NA())</f>
        <v>#N/A</v>
      </c>
      <c r="P1353" t="e" cm="1">
        <f t="array" aca="1" ref="P1353" ca="1">IFERROR(INDEX(_xlfn.ANCHORARRAY($C$3),T_CALC[[#This Row],[DAY]]+1,6),NA())</f>
        <v>#N/A</v>
      </c>
      <c r="Q1353" t="e" cm="1">
        <f t="array" aca="1" ref="Q1353" ca="1">IFERROR(INDEX(_xlfn.ANCHORARRAY($C$3),T_CALC[[#This Row],[DAY]]+1,2),NA())</f>
        <v>#N/A</v>
      </c>
    </row>
    <row r="1354" spans="11:17">
      <c r="K1354" t="str">
        <f ca="1">IF(ROW(T_CALC[[#This Row],[DAY]])-ROW(T_CALC[[#Headers],[DAY]])&gt;C_N_TRADING_DAYS,"",ROW(T_CALC[[#This Row],[DAY]])-ROW(T_CALC[[#Headers],[DAY]]))</f>
        <v/>
      </c>
      <c r="L1354" t="e" cm="1">
        <f t="array" aca="1" ref="L1354" ca="1">IFERROR(INDEX(_xlfn.ANCHORARRAY($C$3),T_CALC[[#This Row],[DAY]]+1,1),NA())</f>
        <v>#N/A</v>
      </c>
      <c r="M1354" t="e" cm="1">
        <f t="array" aca="1" ref="M1354" ca="1">IFERROR(INDEX(_xlfn.ANCHORARRAY($C$3),T_CALC[[#This Row],[DAY]]+1,3),NA())</f>
        <v>#N/A</v>
      </c>
      <c r="N1354" t="e" cm="1">
        <f t="array" aca="1" ref="N1354" ca="1">IFERROR(INDEX(_xlfn.ANCHORARRAY($C$3),T_CALC[[#This Row],[DAY]]+1,4),NA())</f>
        <v>#N/A</v>
      </c>
      <c r="O1354" t="e" cm="1">
        <f t="array" aca="1" ref="O1354" ca="1">IFERROR(INDEX(_xlfn.ANCHORARRAY($C$3),T_CALC[[#This Row],[DAY]]+1,5),NA())</f>
        <v>#N/A</v>
      </c>
      <c r="P1354" t="e" cm="1">
        <f t="array" aca="1" ref="P1354" ca="1">IFERROR(INDEX(_xlfn.ANCHORARRAY($C$3),T_CALC[[#This Row],[DAY]]+1,6),NA())</f>
        <v>#N/A</v>
      </c>
      <c r="Q1354" t="e" cm="1">
        <f t="array" aca="1" ref="Q1354" ca="1">IFERROR(INDEX(_xlfn.ANCHORARRAY($C$3),T_CALC[[#This Row],[DAY]]+1,2),NA())</f>
        <v>#N/A</v>
      </c>
    </row>
    <row r="1355" spans="11:17">
      <c r="K1355" t="str">
        <f ca="1">IF(ROW(T_CALC[[#This Row],[DAY]])-ROW(T_CALC[[#Headers],[DAY]])&gt;C_N_TRADING_DAYS,"",ROW(T_CALC[[#This Row],[DAY]])-ROW(T_CALC[[#Headers],[DAY]]))</f>
        <v/>
      </c>
      <c r="L1355" t="e" cm="1">
        <f t="array" aca="1" ref="L1355" ca="1">IFERROR(INDEX(_xlfn.ANCHORARRAY($C$3),T_CALC[[#This Row],[DAY]]+1,1),NA())</f>
        <v>#N/A</v>
      </c>
      <c r="M1355" t="e" cm="1">
        <f t="array" aca="1" ref="M1355" ca="1">IFERROR(INDEX(_xlfn.ANCHORARRAY($C$3),T_CALC[[#This Row],[DAY]]+1,3),NA())</f>
        <v>#N/A</v>
      </c>
      <c r="N1355" t="e" cm="1">
        <f t="array" aca="1" ref="N1355" ca="1">IFERROR(INDEX(_xlfn.ANCHORARRAY($C$3),T_CALC[[#This Row],[DAY]]+1,4),NA())</f>
        <v>#N/A</v>
      </c>
      <c r="O1355" t="e" cm="1">
        <f t="array" aca="1" ref="O1355" ca="1">IFERROR(INDEX(_xlfn.ANCHORARRAY($C$3),T_CALC[[#This Row],[DAY]]+1,5),NA())</f>
        <v>#N/A</v>
      </c>
      <c r="P1355" t="e" cm="1">
        <f t="array" aca="1" ref="P1355" ca="1">IFERROR(INDEX(_xlfn.ANCHORARRAY($C$3),T_CALC[[#This Row],[DAY]]+1,6),NA())</f>
        <v>#N/A</v>
      </c>
      <c r="Q1355" t="e" cm="1">
        <f t="array" aca="1" ref="Q1355" ca="1">IFERROR(INDEX(_xlfn.ANCHORARRAY($C$3),T_CALC[[#This Row],[DAY]]+1,2),NA())</f>
        <v>#N/A</v>
      </c>
    </row>
    <row r="1356" spans="11:17">
      <c r="K1356" t="str">
        <f ca="1">IF(ROW(T_CALC[[#This Row],[DAY]])-ROW(T_CALC[[#Headers],[DAY]])&gt;C_N_TRADING_DAYS,"",ROW(T_CALC[[#This Row],[DAY]])-ROW(T_CALC[[#Headers],[DAY]]))</f>
        <v/>
      </c>
      <c r="L1356" t="e" cm="1">
        <f t="array" aca="1" ref="L1356" ca="1">IFERROR(INDEX(_xlfn.ANCHORARRAY($C$3),T_CALC[[#This Row],[DAY]]+1,1),NA())</f>
        <v>#N/A</v>
      </c>
      <c r="M1356" t="e" cm="1">
        <f t="array" aca="1" ref="M1356" ca="1">IFERROR(INDEX(_xlfn.ANCHORARRAY($C$3),T_CALC[[#This Row],[DAY]]+1,3),NA())</f>
        <v>#N/A</v>
      </c>
      <c r="N1356" t="e" cm="1">
        <f t="array" aca="1" ref="N1356" ca="1">IFERROR(INDEX(_xlfn.ANCHORARRAY($C$3),T_CALC[[#This Row],[DAY]]+1,4),NA())</f>
        <v>#N/A</v>
      </c>
      <c r="O1356" t="e" cm="1">
        <f t="array" aca="1" ref="O1356" ca="1">IFERROR(INDEX(_xlfn.ANCHORARRAY($C$3),T_CALC[[#This Row],[DAY]]+1,5),NA())</f>
        <v>#N/A</v>
      </c>
      <c r="P1356" t="e" cm="1">
        <f t="array" aca="1" ref="P1356" ca="1">IFERROR(INDEX(_xlfn.ANCHORARRAY($C$3),T_CALC[[#This Row],[DAY]]+1,6),NA())</f>
        <v>#N/A</v>
      </c>
      <c r="Q1356" t="e" cm="1">
        <f t="array" aca="1" ref="Q1356" ca="1">IFERROR(INDEX(_xlfn.ANCHORARRAY($C$3),T_CALC[[#This Row],[DAY]]+1,2),NA())</f>
        <v>#N/A</v>
      </c>
    </row>
    <row r="1357" spans="11:17">
      <c r="K1357" t="str">
        <f ca="1">IF(ROW(T_CALC[[#This Row],[DAY]])-ROW(T_CALC[[#Headers],[DAY]])&gt;C_N_TRADING_DAYS,"",ROW(T_CALC[[#This Row],[DAY]])-ROW(T_CALC[[#Headers],[DAY]]))</f>
        <v/>
      </c>
      <c r="L1357" t="e" cm="1">
        <f t="array" aca="1" ref="L1357" ca="1">IFERROR(INDEX(_xlfn.ANCHORARRAY($C$3),T_CALC[[#This Row],[DAY]]+1,1),NA())</f>
        <v>#N/A</v>
      </c>
      <c r="M1357" t="e" cm="1">
        <f t="array" aca="1" ref="M1357" ca="1">IFERROR(INDEX(_xlfn.ANCHORARRAY($C$3),T_CALC[[#This Row],[DAY]]+1,3),NA())</f>
        <v>#N/A</v>
      </c>
      <c r="N1357" t="e" cm="1">
        <f t="array" aca="1" ref="N1357" ca="1">IFERROR(INDEX(_xlfn.ANCHORARRAY($C$3),T_CALC[[#This Row],[DAY]]+1,4),NA())</f>
        <v>#N/A</v>
      </c>
      <c r="O1357" t="e" cm="1">
        <f t="array" aca="1" ref="O1357" ca="1">IFERROR(INDEX(_xlfn.ANCHORARRAY($C$3),T_CALC[[#This Row],[DAY]]+1,5),NA())</f>
        <v>#N/A</v>
      </c>
      <c r="P1357" t="e" cm="1">
        <f t="array" aca="1" ref="P1357" ca="1">IFERROR(INDEX(_xlfn.ANCHORARRAY($C$3),T_CALC[[#This Row],[DAY]]+1,6),NA())</f>
        <v>#N/A</v>
      </c>
      <c r="Q1357" t="e" cm="1">
        <f t="array" aca="1" ref="Q1357" ca="1">IFERROR(INDEX(_xlfn.ANCHORARRAY($C$3),T_CALC[[#This Row],[DAY]]+1,2),NA())</f>
        <v>#N/A</v>
      </c>
    </row>
    <row r="1358" spans="11:17">
      <c r="K1358" t="str">
        <f ca="1">IF(ROW(T_CALC[[#This Row],[DAY]])-ROW(T_CALC[[#Headers],[DAY]])&gt;C_N_TRADING_DAYS,"",ROW(T_CALC[[#This Row],[DAY]])-ROW(T_CALC[[#Headers],[DAY]]))</f>
        <v/>
      </c>
      <c r="L1358" t="e" cm="1">
        <f t="array" aca="1" ref="L1358" ca="1">IFERROR(INDEX(_xlfn.ANCHORARRAY($C$3),T_CALC[[#This Row],[DAY]]+1,1),NA())</f>
        <v>#N/A</v>
      </c>
      <c r="M1358" t="e" cm="1">
        <f t="array" aca="1" ref="M1358" ca="1">IFERROR(INDEX(_xlfn.ANCHORARRAY($C$3),T_CALC[[#This Row],[DAY]]+1,3),NA())</f>
        <v>#N/A</v>
      </c>
      <c r="N1358" t="e" cm="1">
        <f t="array" aca="1" ref="N1358" ca="1">IFERROR(INDEX(_xlfn.ANCHORARRAY($C$3),T_CALC[[#This Row],[DAY]]+1,4),NA())</f>
        <v>#N/A</v>
      </c>
      <c r="O1358" t="e" cm="1">
        <f t="array" aca="1" ref="O1358" ca="1">IFERROR(INDEX(_xlfn.ANCHORARRAY($C$3),T_CALC[[#This Row],[DAY]]+1,5),NA())</f>
        <v>#N/A</v>
      </c>
      <c r="P1358" t="e" cm="1">
        <f t="array" aca="1" ref="P1358" ca="1">IFERROR(INDEX(_xlfn.ANCHORARRAY($C$3),T_CALC[[#This Row],[DAY]]+1,6),NA())</f>
        <v>#N/A</v>
      </c>
      <c r="Q1358" t="e" cm="1">
        <f t="array" aca="1" ref="Q1358" ca="1">IFERROR(INDEX(_xlfn.ANCHORARRAY($C$3),T_CALC[[#This Row],[DAY]]+1,2),NA())</f>
        <v>#N/A</v>
      </c>
    </row>
    <row r="1359" spans="11:17">
      <c r="K1359" t="str">
        <f ca="1">IF(ROW(T_CALC[[#This Row],[DAY]])-ROW(T_CALC[[#Headers],[DAY]])&gt;C_N_TRADING_DAYS,"",ROW(T_CALC[[#This Row],[DAY]])-ROW(T_CALC[[#Headers],[DAY]]))</f>
        <v/>
      </c>
      <c r="L1359" t="e" cm="1">
        <f t="array" aca="1" ref="L1359" ca="1">IFERROR(INDEX(_xlfn.ANCHORARRAY($C$3),T_CALC[[#This Row],[DAY]]+1,1),NA())</f>
        <v>#N/A</v>
      </c>
      <c r="M1359" t="e" cm="1">
        <f t="array" aca="1" ref="M1359" ca="1">IFERROR(INDEX(_xlfn.ANCHORARRAY($C$3),T_CALC[[#This Row],[DAY]]+1,3),NA())</f>
        <v>#N/A</v>
      </c>
      <c r="N1359" t="e" cm="1">
        <f t="array" aca="1" ref="N1359" ca="1">IFERROR(INDEX(_xlfn.ANCHORARRAY($C$3),T_CALC[[#This Row],[DAY]]+1,4),NA())</f>
        <v>#N/A</v>
      </c>
      <c r="O1359" t="e" cm="1">
        <f t="array" aca="1" ref="O1359" ca="1">IFERROR(INDEX(_xlfn.ANCHORARRAY($C$3),T_CALC[[#This Row],[DAY]]+1,5),NA())</f>
        <v>#N/A</v>
      </c>
      <c r="P1359" t="e" cm="1">
        <f t="array" aca="1" ref="P1359" ca="1">IFERROR(INDEX(_xlfn.ANCHORARRAY($C$3),T_CALC[[#This Row],[DAY]]+1,6),NA())</f>
        <v>#N/A</v>
      </c>
      <c r="Q1359" t="e" cm="1">
        <f t="array" aca="1" ref="Q1359" ca="1">IFERROR(INDEX(_xlfn.ANCHORARRAY($C$3),T_CALC[[#This Row],[DAY]]+1,2),NA())</f>
        <v>#N/A</v>
      </c>
    </row>
    <row r="1360" spans="11:17">
      <c r="K1360" t="str">
        <f ca="1">IF(ROW(T_CALC[[#This Row],[DAY]])-ROW(T_CALC[[#Headers],[DAY]])&gt;C_N_TRADING_DAYS,"",ROW(T_CALC[[#This Row],[DAY]])-ROW(T_CALC[[#Headers],[DAY]]))</f>
        <v/>
      </c>
      <c r="L1360" t="e" cm="1">
        <f t="array" aca="1" ref="L1360" ca="1">IFERROR(INDEX(_xlfn.ANCHORARRAY($C$3),T_CALC[[#This Row],[DAY]]+1,1),NA())</f>
        <v>#N/A</v>
      </c>
      <c r="M1360" t="e" cm="1">
        <f t="array" aca="1" ref="M1360" ca="1">IFERROR(INDEX(_xlfn.ANCHORARRAY($C$3),T_CALC[[#This Row],[DAY]]+1,3),NA())</f>
        <v>#N/A</v>
      </c>
      <c r="N1360" t="e" cm="1">
        <f t="array" aca="1" ref="N1360" ca="1">IFERROR(INDEX(_xlfn.ANCHORARRAY($C$3),T_CALC[[#This Row],[DAY]]+1,4),NA())</f>
        <v>#N/A</v>
      </c>
      <c r="O1360" t="e" cm="1">
        <f t="array" aca="1" ref="O1360" ca="1">IFERROR(INDEX(_xlfn.ANCHORARRAY($C$3),T_CALC[[#This Row],[DAY]]+1,5),NA())</f>
        <v>#N/A</v>
      </c>
      <c r="P1360" t="e" cm="1">
        <f t="array" aca="1" ref="P1360" ca="1">IFERROR(INDEX(_xlfn.ANCHORARRAY($C$3),T_CALC[[#This Row],[DAY]]+1,6),NA())</f>
        <v>#N/A</v>
      </c>
      <c r="Q1360" t="e" cm="1">
        <f t="array" aca="1" ref="Q1360" ca="1">IFERROR(INDEX(_xlfn.ANCHORARRAY($C$3),T_CALC[[#This Row],[DAY]]+1,2),NA())</f>
        <v>#N/A</v>
      </c>
    </row>
    <row r="1361" spans="11:17">
      <c r="K1361" t="str">
        <f ca="1">IF(ROW(T_CALC[[#This Row],[DAY]])-ROW(T_CALC[[#Headers],[DAY]])&gt;C_N_TRADING_DAYS,"",ROW(T_CALC[[#This Row],[DAY]])-ROW(T_CALC[[#Headers],[DAY]]))</f>
        <v/>
      </c>
      <c r="L1361" t="e" cm="1">
        <f t="array" aca="1" ref="L1361" ca="1">IFERROR(INDEX(_xlfn.ANCHORARRAY($C$3),T_CALC[[#This Row],[DAY]]+1,1),NA())</f>
        <v>#N/A</v>
      </c>
      <c r="M1361" t="e" cm="1">
        <f t="array" aca="1" ref="M1361" ca="1">IFERROR(INDEX(_xlfn.ANCHORARRAY($C$3),T_CALC[[#This Row],[DAY]]+1,3),NA())</f>
        <v>#N/A</v>
      </c>
      <c r="N1361" t="e" cm="1">
        <f t="array" aca="1" ref="N1361" ca="1">IFERROR(INDEX(_xlfn.ANCHORARRAY($C$3),T_CALC[[#This Row],[DAY]]+1,4),NA())</f>
        <v>#N/A</v>
      </c>
      <c r="O1361" t="e" cm="1">
        <f t="array" aca="1" ref="O1361" ca="1">IFERROR(INDEX(_xlfn.ANCHORARRAY($C$3),T_CALC[[#This Row],[DAY]]+1,5),NA())</f>
        <v>#N/A</v>
      </c>
      <c r="P1361" t="e" cm="1">
        <f t="array" aca="1" ref="P1361" ca="1">IFERROR(INDEX(_xlfn.ANCHORARRAY($C$3),T_CALC[[#This Row],[DAY]]+1,6),NA())</f>
        <v>#N/A</v>
      </c>
      <c r="Q1361" t="e" cm="1">
        <f t="array" aca="1" ref="Q1361" ca="1">IFERROR(INDEX(_xlfn.ANCHORARRAY($C$3),T_CALC[[#This Row],[DAY]]+1,2),NA())</f>
        <v>#N/A</v>
      </c>
    </row>
    <row r="1362" spans="11:17">
      <c r="K1362" t="str">
        <f ca="1">IF(ROW(T_CALC[[#This Row],[DAY]])-ROW(T_CALC[[#Headers],[DAY]])&gt;C_N_TRADING_DAYS,"",ROW(T_CALC[[#This Row],[DAY]])-ROW(T_CALC[[#Headers],[DAY]]))</f>
        <v/>
      </c>
      <c r="L1362" t="e" cm="1">
        <f t="array" aca="1" ref="L1362" ca="1">IFERROR(INDEX(_xlfn.ANCHORARRAY($C$3),T_CALC[[#This Row],[DAY]]+1,1),NA())</f>
        <v>#N/A</v>
      </c>
      <c r="M1362" t="e" cm="1">
        <f t="array" aca="1" ref="M1362" ca="1">IFERROR(INDEX(_xlfn.ANCHORARRAY($C$3),T_CALC[[#This Row],[DAY]]+1,3),NA())</f>
        <v>#N/A</v>
      </c>
      <c r="N1362" t="e" cm="1">
        <f t="array" aca="1" ref="N1362" ca="1">IFERROR(INDEX(_xlfn.ANCHORARRAY($C$3),T_CALC[[#This Row],[DAY]]+1,4),NA())</f>
        <v>#N/A</v>
      </c>
      <c r="O1362" t="e" cm="1">
        <f t="array" aca="1" ref="O1362" ca="1">IFERROR(INDEX(_xlfn.ANCHORARRAY($C$3),T_CALC[[#This Row],[DAY]]+1,5),NA())</f>
        <v>#N/A</v>
      </c>
      <c r="P1362" t="e" cm="1">
        <f t="array" aca="1" ref="P1362" ca="1">IFERROR(INDEX(_xlfn.ANCHORARRAY($C$3),T_CALC[[#This Row],[DAY]]+1,6),NA())</f>
        <v>#N/A</v>
      </c>
      <c r="Q1362" t="e" cm="1">
        <f t="array" aca="1" ref="Q1362" ca="1">IFERROR(INDEX(_xlfn.ANCHORARRAY($C$3),T_CALC[[#This Row],[DAY]]+1,2),NA())</f>
        <v>#N/A</v>
      </c>
    </row>
    <row r="1363" spans="11:17">
      <c r="K1363" t="str">
        <f ca="1">IF(ROW(T_CALC[[#This Row],[DAY]])-ROW(T_CALC[[#Headers],[DAY]])&gt;C_N_TRADING_DAYS,"",ROW(T_CALC[[#This Row],[DAY]])-ROW(T_CALC[[#Headers],[DAY]]))</f>
        <v/>
      </c>
      <c r="L1363" t="e" cm="1">
        <f t="array" aca="1" ref="L1363" ca="1">IFERROR(INDEX(_xlfn.ANCHORARRAY($C$3),T_CALC[[#This Row],[DAY]]+1,1),NA())</f>
        <v>#N/A</v>
      </c>
      <c r="M1363" t="e" cm="1">
        <f t="array" aca="1" ref="M1363" ca="1">IFERROR(INDEX(_xlfn.ANCHORARRAY($C$3),T_CALC[[#This Row],[DAY]]+1,3),NA())</f>
        <v>#N/A</v>
      </c>
      <c r="N1363" t="e" cm="1">
        <f t="array" aca="1" ref="N1363" ca="1">IFERROR(INDEX(_xlfn.ANCHORARRAY($C$3),T_CALC[[#This Row],[DAY]]+1,4),NA())</f>
        <v>#N/A</v>
      </c>
      <c r="O1363" t="e" cm="1">
        <f t="array" aca="1" ref="O1363" ca="1">IFERROR(INDEX(_xlfn.ANCHORARRAY($C$3),T_CALC[[#This Row],[DAY]]+1,5),NA())</f>
        <v>#N/A</v>
      </c>
      <c r="P1363" t="e" cm="1">
        <f t="array" aca="1" ref="P1363" ca="1">IFERROR(INDEX(_xlfn.ANCHORARRAY($C$3),T_CALC[[#This Row],[DAY]]+1,6),NA())</f>
        <v>#N/A</v>
      </c>
      <c r="Q1363" t="e" cm="1">
        <f t="array" aca="1" ref="Q1363" ca="1">IFERROR(INDEX(_xlfn.ANCHORARRAY($C$3),T_CALC[[#This Row],[DAY]]+1,2),NA())</f>
        <v>#N/A</v>
      </c>
    </row>
    <row r="1364" spans="11:17">
      <c r="K1364" t="str">
        <f ca="1">IF(ROW(T_CALC[[#This Row],[DAY]])-ROW(T_CALC[[#Headers],[DAY]])&gt;C_N_TRADING_DAYS,"",ROW(T_CALC[[#This Row],[DAY]])-ROW(T_CALC[[#Headers],[DAY]]))</f>
        <v/>
      </c>
      <c r="L1364" t="e" cm="1">
        <f t="array" aca="1" ref="L1364" ca="1">IFERROR(INDEX(_xlfn.ANCHORARRAY($C$3),T_CALC[[#This Row],[DAY]]+1,1),NA())</f>
        <v>#N/A</v>
      </c>
      <c r="M1364" t="e" cm="1">
        <f t="array" aca="1" ref="M1364" ca="1">IFERROR(INDEX(_xlfn.ANCHORARRAY($C$3),T_CALC[[#This Row],[DAY]]+1,3),NA())</f>
        <v>#N/A</v>
      </c>
      <c r="N1364" t="e" cm="1">
        <f t="array" aca="1" ref="N1364" ca="1">IFERROR(INDEX(_xlfn.ANCHORARRAY($C$3),T_CALC[[#This Row],[DAY]]+1,4),NA())</f>
        <v>#N/A</v>
      </c>
      <c r="O1364" t="e" cm="1">
        <f t="array" aca="1" ref="O1364" ca="1">IFERROR(INDEX(_xlfn.ANCHORARRAY($C$3),T_CALC[[#This Row],[DAY]]+1,5),NA())</f>
        <v>#N/A</v>
      </c>
      <c r="P1364" t="e" cm="1">
        <f t="array" aca="1" ref="P1364" ca="1">IFERROR(INDEX(_xlfn.ANCHORARRAY($C$3),T_CALC[[#This Row],[DAY]]+1,6),NA())</f>
        <v>#N/A</v>
      </c>
      <c r="Q1364" t="e" cm="1">
        <f t="array" aca="1" ref="Q1364" ca="1">IFERROR(INDEX(_xlfn.ANCHORARRAY($C$3),T_CALC[[#This Row],[DAY]]+1,2),NA())</f>
        <v>#N/A</v>
      </c>
    </row>
    <row r="1365" spans="11:17">
      <c r="K1365" t="str">
        <f ca="1">IF(ROW(T_CALC[[#This Row],[DAY]])-ROW(T_CALC[[#Headers],[DAY]])&gt;C_N_TRADING_DAYS,"",ROW(T_CALC[[#This Row],[DAY]])-ROW(T_CALC[[#Headers],[DAY]]))</f>
        <v/>
      </c>
      <c r="L1365" t="e" cm="1">
        <f t="array" aca="1" ref="L1365" ca="1">IFERROR(INDEX(_xlfn.ANCHORARRAY($C$3),T_CALC[[#This Row],[DAY]]+1,1),NA())</f>
        <v>#N/A</v>
      </c>
      <c r="M1365" t="e" cm="1">
        <f t="array" aca="1" ref="M1365" ca="1">IFERROR(INDEX(_xlfn.ANCHORARRAY($C$3),T_CALC[[#This Row],[DAY]]+1,3),NA())</f>
        <v>#N/A</v>
      </c>
      <c r="N1365" t="e" cm="1">
        <f t="array" aca="1" ref="N1365" ca="1">IFERROR(INDEX(_xlfn.ANCHORARRAY($C$3),T_CALC[[#This Row],[DAY]]+1,4),NA())</f>
        <v>#N/A</v>
      </c>
      <c r="O1365" t="e" cm="1">
        <f t="array" aca="1" ref="O1365" ca="1">IFERROR(INDEX(_xlfn.ANCHORARRAY($C$3),T_CALC[[#This Row],[DAY]]+1,5),NA())</f>
        <v>#N/A</v>
      </c>
      <c r="P1365" t="e" cm="1">
        <f t="array" aca="1" ref="P1365" ca="1">IFERROR(INDEX(_xlfn.ANCHORARRAY($C$3),T_CALC[[#This Row],[DAY]]+1,6),NA())</f>
        <v>#N/A</v>
      </c>
      <c r="Q1365" t="e" cm="1">
        <f t="array" aca="1" ref="Q1365" ca="1">IFERROR(INDEX(_xlfn.ANCHORARRAY($C$3),T_CALC[[#This Row],[DAY]]+1,2),NA())</f>
        <v>#N/A</v>
      </c>
    </row>
    <row r="1366" spans="11:17">
      <c r="K1366" t="str">
        <f ca="1">IF(ROW(T_CALC[[#This Row],[DAY]])-ROW(T_CALC[[#Headers],[DAY]])&gt;C_N_TRADING_DAYS,"",ROW(T_CALC[[#This Row],[DAY]])-ROW(T_CALC[[#Headers],[DAY]]))</f>
        <v/>
      </c>
      <c r="L1366" t="e" cm="1">
        <f t="array" aca="1" ref="L1366" ca="1">IFERROR(INDEX(_xlfn.ANCHORARRAY($C$3),T_CALC[[#This Row],[DAY]]+1,1),NA())</f>
        <v>#N/A</v>
      </c>
      <c r="M1366" t="e" cm="1">
        <f t="array" aca="1" ref="M1366" ca="1">IFERROR(INDEX(_xlfn.ANCHORARRAY($C$3),T_CALC[[#This Row],[DAY]]+1,3),NA())</f>
        <v>#N/A</v>
      </c>
      <c r="N1366" t="e" cm="1">
        <f t="array" aca="1" ref="N1366" ca="1">IFERROR(INDEX(_xlfn.ANCHORARRAY($C$3),T_CALC[[#This Row],[DAY]]+1,4),NA())</f>
        <v>#N/A</v>
      </c>
      <c r="O1366" t="e" cm="1">
        <f t="array" aca="1" ref="O1366" ca="1">IFERROR(INDEX(_xlfn.ANCHORARRAY($C$3),T_CALC[[#This Row],[DAY]]+1,5),NA())</f>
        <v>#N/A</v>
      </c>
      <c r="P1366" t="e" cm="1">
        <f t="array" aca="1" ref="P1366" ca="1">IFERROR(INDEX(_xlfn.ANCHORARRAY($C$3),T_CALC[[#This Row],[DAY]]+1,6),NA())</f>
        <v>#N/A</v>
      </c>
      <c r="Q1366" t="e" cm="1">
        <f t="array" aca="1" ref="Q1366" ca="1">IFERROR(INDEX(_xlfn.ANCHORARRAY($C$3),T_CALC[[#This Row],[DAY]]+1,2),NA())</f>
        <v>#N/A</v>
      </c>
    </row>
    <row r="1367" spans="11:17">
      <c r="K1367" t="str">
        <f ca="1">IF(ROW(T_CALC[[#This Row],[DAY]])-ROW(T_CALC[[#Headers],[DAY]])&gt;C_N_TRADING_DAYS,"",ROW(T_CALC[[#This Row],[DAY]])-ROW(T_CALC[[#Headers],[DAY]]))</f>
        <v/>
      </c>
      <c r="L1367" t="e" cm="1">
        <f t="array" aca="1" ref="L1367" ca="1">IFERROR(INDEX(_xlfn.ANCHORARRAY($C$3),T_CALC[[#This Row],[DAY]]+1,1),NA())</f>
        <v>#N/A</v>
      </c>
      <c r="M1367" t="e" cm="1">
        <f t="array" aca="1" ref="M1367" ca="1">IFERROR(INDEX(_xlfn.ANCHORARRAY($C$3),T_CALC[[#This Row],[DAY]]+1,3),NA())</f>
        <v>#N/A</v>
      </c>
      <c r="N1367" t="e" cm="1">
        <f t="array" aca="1" ref="N1367" ca="1">IFERROR(INDEX(_xlfn.ANCHORARRAY($C$3),T_CALC[[#This Row],[DAY]]+1,4),NA())</f>
        <v>#N/A</v>
      </c>
      <c r="O1367" t="e" cm="1">
        <f t="array" aca="1" ref="O1367" ca="1">IFERROR(INDEX(_xlfn.ANCHORARRAY($C$3),T_CALC[[#This Row],[DAY]]+1,5),NA())</f>
        <v>#N/A</v>
      </c>
      <c r="P1367" t="e" cm="1">
        <f t="array" aca="1" ref="P1367" ca="1">IFERROR(INDEX(_xlfn.ANCHORARRAY($C$3),T_CALC[[#This Row],[DAY]]+1,6),NA())</f>
        <v>#N/A</v>
      </c>
      <c r="Q1367" t="e" cm="1">
        <f t="array" aca="1" ref="Q1367" ca="1">IFERROR(INDEX(_xlfn.ANCHORARRAY($C$3),T_CALC[[#This Row],[DAY]]+1,2),NA())</f>
        <v>#N/A</v>
      </c>
    </row>
    <row r="1368" spans="11:17">
      <c r="K1368" t="str">
        <f ca="1">IF(ROW(T_CALC[[#This Row],[DAY]])-ROW(T_CALC[[#Headers],[DAY]])&gt;C_N_TRADING_DAYS,"",ROW(T_CALC[[#This Row],[DAY]])-ROW(T_CALC[[#Headers],[DAY]]))</f>
        <v/>
      </c>
      <c r="L1368" t="e" cm="1">
        <f t="array" aca="1" ref="L1368" ca="1">IFERROR(INDEX(_xlfn.ANCHORARRAY($C$3),T_CALC[[#This Row],[DAY]]+1,1),NA())</f>
        <v>#N/A</v>
      </c>
      <c r="M1368" t="e" cm="1">
        <f t="array" aca="1" ref="M1368" ca="1">IFERROR(INDEX(_xlfn.ANCHORARRAY($C$3),T_CALC[[#This Row],[DAY]]+1,3),NA())</f>
        <v>#N/A</v>
      </c>
      <c r="N1368" t="e" cm="1">
        <f t="array" aca="1" ref="N1368" ca="1">IFERROR(INDEX(_xlfn.ANCHORARRAY($C$3),T_CALC[[#This Row],[DAY]]+1,4),NA())</f>
        <v>#N/A</v>
      </c>
      <c r="O1368" t="e" cm="1">
        <f t="array" aca="1" ref="O1368" ca="1">IFERROR(INDEX(_xlfn.ANCHORARRAY($C$3),T_CALC[[#This Row],[DAY]]+1,5),NA())</f>
        <v>#N/A</v>
      </c>
      <c r="P1368" t="e" cm="1">
        <f t="array" aca="1" ref="P1368" ca="1">IFERROR(INDEX(_xlfn.ANCHORARRAY($C$3),T_CALC[[#This Row],[DAY]]+1,6),NA())</f>
        <v>#N/A</v>
      </c>
      <c r="Q1368" t="e" cm="1">
        <f t="array" aca="1" ref="Q1368" ca="1">IFERROR(INDEX(_xlfn.ANCHORARRAY($C$3),T_CALC[[#This Row],[DAY]]+1,2),NA())</f>
        <v>#N/A</v>
      </c>
    </row>
    <row r="1369" spans="11:17">
      <c r="K1369" t="str">
        <f ca="1">IF(ROW(T_CALC[[#This Row],[DAY]])-ROW(T_CALC[[#Headers],[DAY]])&gt;C_N_TRADING_DAYS,"",ROW(T_CALC[[#This Row],[DAY]])-ROW(T_CALC[[#Headers],[DAY]]))</f>
        <v/>
      </c>
      <c r="L1369" t="e" cm="1">
        <f t="array" aca="1" ref="L1369" ca="1">IFERROR(INDEX(_xlfn.ANCHORARRAY($C$3),T_CALC[[#This Row],[DAY]]+1,1),NA())</f>
        <v>#N/A</v>
      </c>
      <c r="M1369" t="e" cm="1">
        <f t="array" aca="1" ref="M1369" ca="1">IFERROR(INDEX(_xlfn.ANCHORARRAY($C$3),T_CALC[[#This Row],[DAY]]+1,3),NA())</f>
        <v>#N/A</v>
      </c>
      <c r="N1369" t="e" cm="1">
        <f t="array" aca="1" ref="N1369" ca="1">IFERROR(INDEX(_xlfn.ANCHORARRAY($C$3),T_CALC[[#This Row],[DAY]]+1,4),NA())</f>
        <v>#N/A</v>
      </c>
      <c r="O1369" t="e" cm="1">
        <f t="array" aca="1" ref="O1369" ca="1">IFERROR(INDEX(_xlfn.ANCHORARRAY($C$3),T_CALC[[#This Row],[DAY]]+1,5),NA())</f>
        <v>#N/A</v>
      </c>
      <c r="P1369" t="e" cm="1">
        <f t="array" aca="1" ref="P1369" ca="1">IFERROR(INDEX(_xlfn.ANCHORARRAY($C$3),T_CALC[[#This Row],[DAY]]+1,6),NA())</f>
        <v>#N/A</v>
      </c>
      <c r="Q1369" t="e" cm="1">
        <f t="array" aca="1" ref="Q1369" ca="1">IFERROR(INDEX(_xlfn.ANCHORARRAY($C$3),T_CALC[[#This Row],[DAY]]+1,2),NA())</f>
        <v>#N/A</v>
      </c>
    </row>
    <row r="1370" spans="11:17">
      <c r="K1370" t="str">
        <f ca="1">IF(ROW(T_CALC[[#This Row],[DAY]])-ROW(T_CALC[[#Headers],[DAY]])&gt;C_N_TRADING_DAYS,"",ROW(T_CALC[[#This Row],[DAY]])-ROW(T_CALC[[#Headers],[DAY]]))</f>
        <v/>
      </c>
      <c r="L1370" t="e" cm="1">
        <f t="array" aca="1" ref="L1370" ca="1">IFERROR(INDEX(_xlfn.ANCHORARRAY($C$3),T_CALC[[#This Row],[DAY]]+1,1),NA())</f>
        <v>#N/A</v>
      </c>
      <c r="M1370" t="e" cm="1">
        <f t="array" aca="1" ref="M1370" ca="1">IFERROR(INDEX(_xlfn.ANCHORARRAY($C$3),T_CALC[[#This Row],[DAY]]+1,3),NA())</f>
        <v>#N/A</v>
      </c>
      <c r="N1370" t="e" cm="1">
        <f t="array" aca="1" ref="N1370" ca="1">IFERROR(INDEX(_xlfn.ANCHORARRAY($C$3),T_CALC[[#This Row],[DAY]]+1,4),NA())</f>
        <v>#N/A</v>
      </c>
      <c r="O1370" t="e" cm="1">
        <f t="array" aca="1" ref="O1370" ca="1">IFERROR(INDEX(_xlfn.ANCHORARRAY($C$3),T_CALC[[#This Row],[DAY]]+1,5),NA())</f>
        <v>#N/A</v>
      </c>
      <c r="P1370" t="e" cm="1">
        <f t="array" aca="1" ref="P1370" ca="1">IFERROR(INDEX(_xlfn.ANCHORARRAY($C$3),T_CALC[[#This Row],[DAY]]+1,6),NA())</f>
        <v>#N/A</v>
      </c>
      <c r="Q1370" t="e" cm="1">
        <f t="array" aca="1" ref="Q1370" ca="1">IFERROR(INDEX(_xlfn.ANCHORARRAY($C$3),T_CALC[[#This Row],[DAY]]+1,2),NA())</f>
        <v>#N/A</v>
      </c>
    </row>
    <row r="1371" spans="11:17">
      <c r="K1371" t="str">
        <f ca="1">IF(ROW(T_CALC[[#This Row],[DAY]])-ROW(T_CALC[[#Headers],[DAY]])&gt;C_N_TRADING_DAYS,"",ROW(T_CALC[[#This Row],[DAY]])-ROW(T_CALC[[#Headers],[DAY]]))</f>
        <v/>
      </c>
      <c r="L1371" t="e" cm="1">
        <f t="array" aca="1" ref="L1371" ca="1">IFERROR(INDEX(_xlfn.ANCHORARRAY($C$3),T_CALC[[#This Row],[DAY]]+1,1),NA())</f>
        <v>#N/A</v>
      </c>
      <c r="M1371" t="e" cm="1">
        <f t="array" aca="1" ref="M1371" ca="1">IFERROR(INDEX(_xlfn.ANCHORARRAY($C$3),T_CALC[[#This Row],[DAY]]+1,3),NA())</f>
        <v>#N/A</v>
      </c>
      <c r="N1371" t="e" cm="1">
        <f t="array" aca="1" ref="N1371" ca="1">IFERROR(INDEX(_xlfn.ANCHORARRAY($C$3),T_CALC[[#This Row],[DAY]]+1,4),NA())</f>
        <v>#N/A</v>
      </c>
      <c r="O1371" t="e" cm="1">
        <f t="array" aca="1" ref="O1371" ca="1">IFERROR(INDEX(_xlfn.ANCHORARRAY($C$3),T_CALC[[#This Row],[DAY]]+1,5),NA())</f>
        <v>#N/A</v>
      </c>
      <c r="P1371" t="e" cm="1">
        <f t="array" aca="1" ref="P1371" ca="1">IFERROR(INDEX(_xlfn.ANCHORARRAY($C$3),T_CALC[[#This Row],[DAY]]+1,6),NA())</f>
        <v>#N/A</v>
      </c>
      <c r="Q1371" t="e" cm="1">
        <f t="array" aca="1" ref="Q1371" ca="1">IFERROR(INDEX(_xlfn.ANCHORARRAY($C$3),T_CALC[[#This Row],[DAY]]+1,2),NA())</f>
        <v>#N/A</v>
      </c>
    </row>
    <row r="1372" spans="11:17">
      <c r="K1372" t="str">
        <f ca="1">IF(ROW(T_CALC[[#This Row],[DAY]])-ROW(T_CALC[[#Headers],[DAY]])&gt;C_N_TRADING_DAYS,"",ROW(T_CALC[[#This Row],[DAY]])-ROW(T_CALC[[#Headers],[DAY]]))</f>
        <v/>
      </c>
      <c r="L1372" t="e" cm="1">
        <f t="array" aca="1" ref="L1372" ca="1">IFERROR(INDEX(_xlfn.ANCHORARRAY($C$3),T_CALC[[#This Row],[DAY]]+1,1),NA())</f>
        <v>#N/A</v>
      </c>
      <c r="M1372" t="e" cm="1">
        <f t="array" aca="1" ref="M1372" ca="1">IFERROR(INDEX(_xlfn.ANCHORARRAY($C$3),T_CALC[[#This Row],[DAY]]+1,3),NA())</f>
        <v>#N/A</v>
      </c>
      <c r="N1372" t="e" cm="1">
        <f t="array" aca="1" ref="N1372" ca="1">IFERROR(INDEX(_xlfn.ANCHORARRAY($C$3),T_CALC[[#This Row],[DAY]]+1,4),NA())</f>
        <v>#N/A</v>
      </c>
      <c r="O1372" t="e" cm="1">
        <f t="array" aca="1" ref="O1372" ca="1">IFERROR(INDEX(_xlfn.ANCHORARRAY($C$3),T_CALC[[#This Row],[DAY]]+1,5),NA())</f>
        <v>#N/A</v>
      </c>
      <c r="P1372" t="e" cm="1">
        <f t="array" aca="1" ref="P1372" ca="1">IFERROR(INDEX(_xlfn.ANCHORARRAY($C$3),T_CALC[[#This Row],[DAY]]+1,6),NA())</f>
        <v>#N/A</v>
      </c>
      <c r="Q1372" t="e" cm="1">
        <f t="array" aca="1" ref="Q1372" ca="1">IFERROR(INDEX(_xlfn.ANCHORARRAY($C$3),T_CALC[[#This Row],[DAY]]+1,2),NA())</f>
        <v>#N/A</v>
      </c>
    </row>
    <row r="1373" spans="11:17">
      <c r="K1373" t="str">
        <f ca="1">IF(ROW(T_CALC[[#This Row],[DAY]])-ROW(T_CALC[[#Headers],[DAY]])&gt;C_N_TRADING_DAYS,"",ROW(T_CALC[[#This Row],[DAY]])-ROW(T_CALC[[#Headers],[DAY]]))</f>
        <v/>
      </c>
      <c r="L1373" t="e" cm="1">
        <f t="array" aca="1" ref="L1373" ca="1">IFERROR(INDEX(_xlfn.ANCHORARRAY($C$3),T_CALC[[#This Row],[DAY]]+1,1),NA())</f>
        <v>#N/A</v>
      </c>
      <c r="M1373" t="e" cm="1">
        <f t="array" aca="1" ref="M1373" ca="1">IFERROR(INDEX(_xlfn.ANCHORARRAY($C$3),T_CALC[[#This Row],[DAY]]+1,3),NA())</f>
        <v>#N/A</v>
      </c>
      <c r="N1373" t="e" cm="1">
        <f t="array" aca="1" ref="N1373" ca="1">IFERROR(INDEX(_xlfn.ANCHORARRAY($C$3),T_CALC[[#This Row],[DAY]]+1,4),NA())</f>
        <v>#N/A</v>
      </c>
      <c r="O1373" t="e" cm="1">
        <f t="array" aca="1" ref="O1373" ca="1">IFERROR(INDEX(_xlfn.ANCHORARRAY($C$3),T_CALC[[#This Row],[DAY]]+1,5),NA())</f>
        <v>#N/A</v>
      </c>
      <c r="P1373" t="e" cm="1">
        <f t="array" aca="1" ref="P1373" ca="1">IFERROR(INDEX(_xlfn.ANCHORARRAY($C$3),T_CALC[[#This Row],[DAY]]+1,6),NA())</f>
        <v>#N/A</v>
      </c>
      <c r="Q1373" t="e" cm="1">
        <f t="array" aca="1" ref="Q1373" ca="1">IFERROR(INDEX(_xlfn.ANCHORARRAY($C$3),T_CALC[[#This Row],[DAY]]+1,2),NA())</f>
        <v>#N/A</v>
      </c>
    </row>
    <row r="1374" spans="11:17">
      <c r="K1374" t="str">
        <f ca="1">IF(ROW(T_CALC[[#This Row],[DAY]])-ROW(T_CALC[[#Headers],[DAY]])&gt;C_N_TRADING_DAYS,"",ROW(T_CALC[[#This Row],[DAY]])-ROW(T_CALC[[#Headers],[DAY]]))</f>
        <v/>
      </c>
      <c r="L1374" t="e" cm="1">
        <f t="array" aca="1" ref="L1374" ca="1">IFERROR(INDEX(_xlfn.ANCHORARRAY($C$3),T_CALC[[#This Row],[DAY]]+1,1),NA())</f>
        <v>#N/A</v>
      </c>
      <c r="M1374" t="e" cm="1">
        <f t="array" aca="1" ref="M1374" ca="1">IFERROR(INDEX(_xlfn.ANCHORARRAY($C$3),T_CALC[[#This Row],[DAY]]+1,3),NA())</f>
        <v>#N/A</v>
      </c>
      <c r="N1374" t="e" cm="1">
        <f t="array" aca="1" ref="N1374" ca="1">IFERROR(INDEX(_xlfn.ANCHORARRAY($C$3),T_CALC[[#This Row],[DAY]]+1,4),NA())</f>
        <v>#N/A</v>
      </c>
      <c r="O1374" t="e" cm="1">
        <f t="array" aca="1" ref="O1374" ca="1">IFERROR(INDEX(_xlfn.ANCHORARRAY($C$3),T_CALC[[#This Row],[DAY]]+1,5),NA())</f>
        <v>#N/A</v>
      </c>
      <c r="P1374" t="e" cm="1">
        <f t="array" aca="1" ref="P1374" ca="1">IFERROR(INDEX(_xlfn.ANCHORARRAY($C$3),T_CALC[[#This Row],[DAY]]+1,6),NA())</f>
        <v>#N/A</v>
      </c>
      <c r="Q1374" t="e" cm="1">
        <f t="array" aca="1" ref="Q1374" ca="1">IFERROR(INDEX(_xlfn.ANCHORARRAY($C$3),T_CALC[[#This Row],[DAY]]+1,2),NA())</f>
        <v>#N/A</v>
      </c>
    </row>
    <row r="1375" spans="11:17">
      <c r="K1375" t="str">
        <f ca="1">IF(ROW(T_CALC[[#This Row],[DAY]])-ROW(T_CALC[[#Headers],[DAY]])&gt;C_N_TRADING_DAYS,"",ROW(T_CALC[[#This Row],[DAY]])-ROW(T_CALC[[#Headers],[DAY]]))</f>
        <v/>
      </c>
      <c r="L1375" t="e" cm="1">
        <f t="array" aca="1" ref="L1375" ca="1">IFERROR(INDEX(_xlfn.ANCHORARRAY($C$3),T_CALC[[#This Row],[DAY]]+1,1),NA())</f>
        <v>#N/A</v>
      </c>
      <c r="M1375" t="e" cm="1">
        <f t="array" aca="1" ref="M1375" ca="1">IFERROR(INDEX(_xlfn.ANCHORARRAY($C$3),T_CALC[[#This Row],[DAY]]+1,3),NA())</f>
        <v>#N/A</v>
      </c>
      <c r="N1375" t="e" cm="1">
        <f t="array" aca="1" ref="N1375" ca="1">IFERROR(INDEX(_xlfn.ANCHORARRAY($C$3),T_CALC[[#This Row],[DAY]]+1,4),NA())</f>
        <v>#N/A</v>
      </c>
      <c r="O1375" t="e" cm="1">
        <f t="array" aca="1" ref="O1375" ca="1">IFERROR(INDEX(_xlfn.ANCHORARRAY($C$3),T_CALC[[#This Row],[DAY]]+1,5),NA())</f>
        <v>#N/A</v>
      </c>
      <c r="P1375" t="e" cm="1">
        <f t="array" aca="1" ref="P1375" ca="1">IFERROR(INDEX(_xlfn.ANCHORARRAY($C$3),T_CALC[[#This Row],[DAY]]+1,6),NA())</f>
        <v>#N/A</v>
      </c>
      <c r="Q1375" t="e" cm="1">
        <f t="array" aca="1" ref="Q1375" ca="1">IFERROR(INDEX(_xlfn.ANCHORARRAY($C$3),T_CALC[[#This Row],[DAY]]+1,2),NA())</f>
        <v>#N/A</v>
      </c>
    </row>
    <row r="1376" spans="11:17">
      <c r="K1376" t="str">
        <f ca="1">IF(ROW(T_CALC[[#This Row],[DAY]])-ROW(T_CALC[[#Headers],[DAY]])&gt;C_N_TRADING_DAYS,"",ROW(T_CALC[[#This Row],[DAY]])-ROW(T_CALC[[#Headers],[DAY]]))</f>
        <v/>
      </c>
      <c r="L1376" t="e" cm="1">
        <f t="array" aca="1" ref="L1376" ca="1">IFERROR(INDEX(_xlfn.ANCHORARRAY($C$3),T_CALC[[#This Row],[DAY]]+1,1),NA())</f>
        <v>#N/A</v>
      </c>
      <c r="M1376" t="e" cm="1">
        <f t="array" aca="1" ref="M1376" ca="1">IFERROR(INDEX(_xlfn.ANCHORARRAY($C$3),T_CALC[[#This Row],[DAY]]+1,3),NA())</f>
        <v>#N/A</v>
      </c>
      <c r="N1376" t="e" cm="1">
        <f t="array" aca="1" ref="N1376" ca="1">IFERROR(INDEX(_xlfn.ANCHORARRAY($C$3),T_CALC[[#This Row],[DAY]]+1,4),NA())</f>
        <v>#N/A</v>
      </c>
      <c r="O1376" t="e" cm="1">
        <f t="array" aca="1" ref="O1376" ca="1">IFERROR(INDEX(_xlfn.ANCHORARRAY($C$3),T_CALC[[#This Row],[DAY]]+1,5),NA())</f>
        <v>#N/A</v>
      </c>
      <c r="P1376" t="e" cm="1">
        <f t="array" aca="1" ref="P1376" ca="1">IFERROR(INDEX(_xlfn.ANCHORARRAY($C$3),T_CALC[[#This Row],[DAY]]+1,6),NA())</f>
        <v>#N/A</v>
      </c>
      <c r="Q1376" t="e" cm="1">
        <f t="array" aca="1" ref="Q1376" ca="1">IFERROR(INDEX(_xlfn.ANCHORARRAY($C$3),T_CALC[[#This Row],[DAY]]+1,2),NA())</f>
        <v>#N/A</v>
      </c>
    </row>
    <row r="1377" spans="11:17">
      <c r="K1377" t="str">
        <f ca="1">IF(ROW(T_CALC[[#This Row],[DAY]])-ROW(T_CALC[[#Headers],[DAY]])&gt;C_N_TRADING_DAYS,"",ROW(T_CALC[[#This Row],[DAY]])-ROW(T_CALC[[#Headers],[DAY]]))</f>
        <v/>
      </c>
      <c r="L1377" t="e" cm="1">
        <f t="array" aca="1" ref="L1377" ca="1">IFERROR(INDEX(_xlfn.ANCHORARRAY($C$3),T_CALC[[#This Row],[DAY]]+1,1),NA())</f>
        <v>#N/A</v>
      </c>
      <c r="M1377" t="e" cm="1">
        <f t="array" aca="1" ref="M1377" ca="1">IFERROR(INDEX(_xlfn.ANCHORARRAY($C$3),T_CALC[[#This Row],[DAY]]+1,3),NA())</f>
        <v>#N/A</v>
      </c>
      <c r="N1377" t="e" cm="1">
        <f t="array" aca="1" ref="N1377" ca="1">IFERROR(INDEX(_xlfn.ANCHORARRAY($C$3),T_CALC[[#This Row],[DAY]]+1,4),NA())</f>
        <v>#N/A</v>
      </c>
      <c r="O1377" t="e" cm="1">
        <f t="array" aca="1" ref="O1377" ca="1">IFERROR(INDEX(_xlfn.ANCHORARRAY($C$3),T_CALC[[#This Row],[DAY]]+1,5),NA())</f>
        <v>#N/A</v>
      </c>
      <c r="P1377" t="e" cm="1">
        <f t="array" aca="1" ref="P1377" ca="1">IFERROR(INDEX(_xlfn.ANCHORARRAY($C$3),T_CALC[[#This Row],[DAY]]+1,6),NA())</f>
        <v>#N/A</v>
      </c>
      <c r="Q1377" t="e" cm="1">
        <f t="array" aca="1" ref="Q1377" ca="1">IFERROR(INDEX(_xlfn.ANCHORARRAY($C$3),T_CALC[[#This Row],[DAY]]+1,2),NA())</f>
        <v>#N/A</v>
      </c>
    </row>
    <row r="1378" spans="11:17">
      <c r="K1378" t="str">
        <f ca="1">IF(ROW(T_CALC[[#This Row],[DAY]])-ROW(T_CALC[[#Headers],[DAY]])&gt;C_N_TRADING_DAYS,"",ROW(T_CALC[[#This Row],[DAY]])-ROW(T_CALC[[#Headers],[DAY]]))</f>
        <v/>
      </c>
      <c r="L1378" t="e" cm="1">
        <f t="array" aca="1" ref="L1378" ca="1">IFERROR(INDEX(_xlfn.ANCHORARRAY($C$3),T_CALC[[#This Row],[DAY]]+1,1),NA())</f>
        <v>#N/A</v>
      </c>
      <c r="M1378" t="e" cm="1">
        <f t="array" aca="1" ref="M1378" ca="1">IFERROR(INDEX(_xlfn.ANCHORARRAY($C$3),T_CALC[[#This Row],[DAY]]+1,3),NA())</f>
        <v>#N/A</v>
      </c>
      <c r="N1378" t="e" cm="1">
        <f t="array" aca="1" ref="N1378" ca="1">IFERROR(INDEX(_xlfn.ANCHORARRAY($C$3),T_CALC[[#This Row],[DAY]]+1,4),NA())</f>
        <v>#N/A</v>
      </c>
      <c r="O1378" t="e" cm="1">
        <f t="array" aca="1" ref="O1378" ca="1">IFERROR(INDEX(_xlfn.ANCHORARRAY($C$3),T_CALC[[#This Row],[DAY]]+1,5),NA())</f>
        <v>#N/A</v>
      </c>
      <c r="P1378" t="e" cm="1">
        <f t="array" aca="1" ref="P1378" ca="1">IFERROR(INDEX(_xlfn.ANCHORARRAY($C$3),T_CALC[[#This Row],[DAY]]+1,6),NA())</f>
        <v>#N/A</v>
      </c>
      <c r="Q1378" t="e" cm="1">
        <f t="array" aca="1" ref="Q1378" ca="1">IFERROR(INDEX(_xlfn.ANCHORARRAY($C$3),T_CALC[[#This Row],[DAY]]+1,2),NA())</f>
        <v>#N/A</v>
      </c>
    </row>
    <row r="1379" spans="11:17">
      <c r="K1379" t="str">
        <f ca="1">IF(ROW(T_CALC[[#This Row],[DAY]])-ROW(T_CALC[[#Headers],[DAY]])&gt;C_N_TRADING_DAYS,"",ROW(T_CALC[[#This Row],[DAY]])-ROW(T_CALC[[#Headers],[DAY]]))</f>
        <v/>
      </c>
      <c r="L1379" t="e" cm="1">
        <f t="array" aca="1" ref="L1379" ca="1">IFERROR(INDEX(_xlfn.ANCHORARRAY($C$3),T_CALC[[#This Row],[DAY]]+1,1),NA())</f>
        <v>#N/A</v>
      </c>
      <c r="M1379" t="e" cm="1">
        <f t="array" aca="1" ref="M1379" ca="1">IFERROR(INDEX(_xlfn.ANCHORARRAY($C$3),T_CALC[[#This Row],[DAY]]+1,3),NA())</f>
        <v>#N/A</v>
      </c>
      <c r="N1379" t="e" cm="1">
        <f t="array" aca="1" ref="N1379" ca="1">IFERROR(INDEX(_xlfn.ANCHORARRAY($C$3),T_CALC[[#This Row],[DAY]]+1,4),NA())</f>
        <v>#N/A</v>
      </c>
      <c r="O1379" t="e" cm="1">
        <f t="array" aca="1" ref="O1379" ca="1">IFERROR(INDEX(_xlfn.ANCHORARRAY($C$3),T_CALC[[#This Row],[DAY]]+1,5),NA())</f>
        <v>#N/A</v>
      </c>
      <c r="P1379" t="e" cm="1">
        <f t="array" aca="1" ref="P1379" ca="1">IFERROR(INDEX(_xlfn.ANCHORARRAY($C$3),T_CALC[[#This Row],[DAY]]+1,6),NA())</f>
        <v>#N/A</v>
      </c>
      <c r="Q1379" t="e" cm="1">
        <f t="array" aca="1" ref="Q1379" ca="1">IFERROR(INDEX(_xlfn.ANCHORARRAY($C$3),T_CALC[[#This Row],[DAY]]+1,2),NA())</f>
        <v>#N/A</v>
      </c>
    </row>
    <row r="1380" spans="11:17">
      <c r="K1380" t="str">
        <f ca="1">IF(ROW(T_CALC[[#This Row],[DAY]])-ROW(T_CALC[[#Headers],[DAY]])&gt;C_N_TRADING_DAYS,"",ROW(T_CALC[[#This Row],[DAY]])-ROW(T_CALC[[#Headers],[DAY]]))</f>
        <v/>
      </c>
      <c r="L1380" t="e" cm="1">
        <f t="array" aca="1" ref="L1380" ca="1">IFERROR(INDEX(_xlfn.ANCHORARRAY($C$3),T_CALC[[#This Row],[DAY]]+1,1),NA())</f>
        <v>#N/A</v>
      </c>
      <c r="M1380" t="e" cm="1">
        <f t="array" aca="1" ref="M1380" ca="1">IFERROR(INDEX(_xlfn.ANCHORARRAY($C$3),T_CALC[[#This Row],[DAY]]+1,3),NA())</f>
        <v>#N/A</v>
      </c>
      <c r="N1380" t="e" cm="1">
        <f t="array" aca="1" ref="N1380" ca="1">IFERROR(INDEX(_xlfn.ANCHORARRAY($C$3),T_CALC[[#This Row],[DAY]]+1,4),NA())</f>
        <v>#N/A</v>
      </c>
      <c r="O1380" t="e" cm="1">
        <f t="array" aca="1" ref="O1380" ca="1">IFERROR(INDEX(_xlfn.ANCHORARRAY($C$3),T_CALC[[#This Row],[DAY]]+1,5),NA())</f>
        <v>#N/A</v>
      </c>
      <c r="P1380" t="e" cm="1">
        <f t="array" aca="1" ref="P1380" ca="1">IFERROR(INDEX(_xlfn.ANCHORARRAY($C$3),T_CALC[[#This Row],[DAY]]+1,6),NA())</f>
        <v>#N/A</v>
      </c>
      <c r="Q1380" t="e" cm="1">
        <f t="array" aca="1" ref="Q1380" ca="1">IFERROR(INDEX(_xlfn.ANCHORARRAY($C$3),T_CALC[[#This Row],[DAY]]+1,2),NA())</f>
        <v>#N/A</v>
      </c>
    </row>
    <row r="1381" spans="11:17">
      <c r="K1381" t="str">
        <f ca="1">IF(ROW(T_CALC[[#This Row],[DAY]])-ROW(T_CALC[[#Headers],[DAY]])&gt;C_N_TRADING_DAYS,"",ROW(T_CALC[[#This Row],[DAY]])-ROW(T_CALC[[#Headers],[DAY]]))</f>
        <v/>
      </c>
      <c r="L1381" t="e" cm="1">
        <f t="array" aca="1" ref="L1381" ca="1">IFERROR(INDEX(_xlfn.ANCHORARRAY($C$3),T_CALC[[#This Row],[DAY]]+1,1),NA())</f>
        <v>#N/A</v>
      </c>
      <c r="M1381" t="e" cm="1">
        <f t="array" aca="1" ref="M1381" ca="1">IFERROR(INDEX(_xlfn.ANCHORARRAY($C$3),T_CALC[[#This Row],[DAY]]+1,3),NA())</f>
        <v>#N/A</v>
      </c>
      <c r="N1381" t="e" cm="1">
        <f t="array" aca="1" ref="N1381" ca="1">IFERROR(INDEX(_xlfn.ANCHORARRAY($C$3),T_CALC[[#This Row],[DAY]]+1,4),NA())</f>
        <v>#N/A</v>
      </c>
      <c r="O1381" t="e" cm="1">
        <f t="array" aca="1" ref="O1381" ca="1">IFERROR(INDEX(_xlfn.ANCHORARRAY($C$3),T_CALC[[#This Row],[DAY]]+1,5),NA())</f>
        <v>#N/A</v>
      </c>
      <c r="P1381" t="e" cm="1">
        <f t="array" aca="1" ref="P1381" ca="1">IFERROR(INDEX(_xlfn.ANCHORARRAY($C$3),T_CALC[[#This Row],[DAY]]+1,6),NA())</f>
        <v>#N/A</v>
      </c>
      <c r="Q1381" t="e" cm="1">
        <f t="array" aca="1" ref="Q1381" ca="1">IFERROR(INDEX(_xlfn.ANCHORARRAY($C$3),T_CALC[[#This Row],[DAY]]+1,2),NA())</f>
        <v>#N/A</v>
      </c>
    </row>
    <row r="1382" spans="11:17">
      <c r="K1382" t="str">
        <f ca="1">IF(ROW(T_CALC[[#This Row],[DAY]])-ROW(T_CALC[[#Headers],[DAY]])&gt;C_N_TRADING_DAYS,"",ROW(T_CALC[[#This Row],[DAY]])-ROW(T_CALC[[#Headers],[DAY]]))</f>
        <v/>
      </c>
      <c r="L1382" t="e" cm="1">
        <f t="array" aca="1" ref="L1382" ca="1">IFERROR(INDEX(_xlfn.ANCHORARRAY($C$3),T_CALC[[#This Row],[DAY]]+1,1),NA())</f>
        <v>#N/A</v>
      </c>
      <c r="M1382" t="e" cm="1">
        <f t="array" aca="1" ref="M1382" ca="1">IFERROR(INDEX(_xlfn.ANCHORARRAY($C$3),T_CALC[[#This Row],[DAY]]+1,3),NA())</f>
        <v>#N/A</v>
      </c>
      <c r="N1382" t="e" cm="1">
        <f t="array" aca="1" ref="N1382" ca="1">IFERROR(INDEX(_xlfn.ANCHORARRAY($C$3),T_CALC[[#This Row],[DAY]]+1,4),NA())</f>
        <v>#N/A</v>
      </c>
      <c r="O1382" t="e" cm="1">
        <f t="array" aca="1" ref="O1382" ca="1">IFERROR(INDEX(_xlfn.ANCHORARRAY($C$3),T_CALC[[#This Row],[DAY]]+1,5),NA())</f>
        <v>#N/A</v>
      </c>
      <c r="P1382" t="e" cm="1">
        <f t="array" aca="1" ref="P1382" ca="1">IFERROR(INDEX(_xlfn.ANCHORARRAY($C$3),T_CALC[[#This Row],[DAY]]+1,6),NA())</f>
        <v>#N/A</v>
      </c>
      <c r="Q1382" t="e" cm="1">
        <f t="array" aca="1" ref="Q1382" ca="1">IFERROR(INDEX(_xlfn.ANCHORARRAY($C$3),T_CALC[[#This Row],[DAY]]+1,2),NA())</f>
        <v>#N/A</v>
      </c>
    </row>
    <row r="1383" spans="11:17">
      <c r="K1383" t="str">
        <f ca="1">IF(ROW(T_CALC[[#This Row],[DAY]])-ROW(T_CALC[[#Headers],[DAY]])&gt;C_N_TRADING_DAYS,"",ROW(T_CALC[[#This Row],[DAY]])-ROW(T_CALC[[#Headers],[DAY]]))</f>
        <v/>
      </c>
      <c r="L1383" t="e" cm="1">
        <f t="array" aca="1" ref="L1383" ca="1">IFERROR(INDEX(_xlfn.ANCHORARRAY($C$3),T_CALC[[#This Row],[DAY]]+1,1),NA())</f>
        <v>#N/A</v>
      </c>
      <c r="M1383" t="e" cm="1">
        <f t="array" aca="1" ref="M1383" ca="1">IFERROR(INDEX(_xlfn.ANCHORARRAY($C$3),T_CALC[[#This Row],[DAY]]+1,3),NA())</f>
        <v>#N/A</v>
      </c>
      <c r="N1383" t="e" cm="1">
        <f t="array" aca="1" ref="N1383" ca="1">IFERROR(INDEX(_xlfn.ANCHORARRAY($C$3),T_CALC[[#This Row],[DAY]]+1,4),NA())</f>
        <v>#N/A</v>
      </c>
      <c r="O1383" t="e" cm="1">
        <f t="array" aca="1" ref="O1383" ca="1">IFERROR(INDEX(_xlfn.ANCHORARRAY($C$3),T_CALC[[#This Row],[DAY]]+1,5),NA())</f>
        <v>#N/A</v>
      </c>
      <c r="P1383" t="e" cm="1">
        <f t="array" aca="1" ref="P1383" ca="1">IFERROR(INDEX(_xlfn.ANCHORARRAY($C$3),T_CALC[[#This Row],[DAY]]+1,6),NA())</f>
        <v>#N/A</v>
      </c>
      <c r="Q1383" t="e" cm="1">
        <f t="array" aca="1" ref="Q1383" ca="1">IFERROR(INDEX(_xlfn.ANCHORARRAY($C$3),T_CALC[[#This Row],[DAY]]+1,2),NA())</f>
        <v>#N/A</v>
      </c>
    </row>
    <row r="1384" spans="11:17">
      <c r="K1384" t="str">
        <f ca="1">IF(ROW(T_CALC[[#This Row],[DAY]])-ROW(T_CALC[[#Headers],[DAY]])&gt;C_N_TRADING_DAYS,"",ROW(T_CALC[[#This Row],[DAY]])-ROW(T_CALC[[#Headers],[DAY]]))</f>
        <v/>
      </c>
      <c r="L1384" t="e" cm="1">
        <f t="array" aca="1" ref="L1384" ca="1">IFERROR(INDEX(_xlfn.ANCHORARRAY($C$3),T_CALC[[#This Row],[DAY]]+1,1),NA())</f>
        <v>#N/A</v>
      </c>
      <c r="M1384" t="e" cm="1">
        <f t="array" aca="1" ref="M1384" ca="1">IFERROR(INDEX(_xlfn.ANCHORARRAY($C$3),T_CALC[[#This Row],[DAY]]+1,3),NA())</f>
        <v>#N/A</v>
      </c>
      <c r="N1384" t="e" cm="1">
        <f t="array" aca="1" ref="N1384" ca="1">IFERROR(INDEX(_xlfn.ANCHORARRAY($C$3),T_CALC[[#This Row],[DAY]]+1,4),NA())</f>
        <v>#N/A</v>
      </c>
      <c r="O1384" t="e" cm="1">
        <f t="array" aca="1" ref="O1384" ca="1">IFERROR(INDEX(_xlfn.ANCHORARRAY($C$3),T_CALC[[#This Row],[DAY]]+1,5),NA())</f>
        <v>#N/A</v>
      </c>
      <c r="P1384" t="e" cm="1">
        <f t="array" aca="1" ref="P1384" ca="1">IFERROR(INDEX(_xlfn.ANCHORARRAY($C$3),T_CALC[[#This Row],[DAY]]+1,6),NA())</f>
        <v>#N/A</v>
      </c>
      <c r="Q1384" t="e" cm="1">
        <f t="array" aca="1" ref="Q1384" ca="1">IFERROR(INDEX(_xlfn.ANCHORARRAY($C$3),T_CALC[[#This Row],[DAY]]+1,2),NA())</f>
        <v>#N/A</v>
      </c>
    </row>
    <row r="1385" spans="11:17">
      <c r="K1385" t="str">
        <f ca="1">IF(ROW(T_CALC[[#This Row],[DAY]])-ROW(T_CALC[[#Headers],[DAY]])&gt;C_N_TRADING_DAYS,"",ROW(T_CALC[[#This Row],[DAY]])-ROW(T_CALC[[#Headers],[DAY]]))</f>
        <v/>
      </c>
      <c r="L1385" t="e" cm="1">
        <f t="array" aca="1" ref="L1385" ca="1">IFERROR(INDEX(_xlfn.ANCHORARRAY($C$3),T_CALC[[#This Row],[DAY]]+1,1),NA())</f>
        <v>#N/A</v>
      </c>
      <c r="M1385" t="e" cm="1">
        <f t="array" aca="1" ref="M1385" ca="1">IFERROR(INDEX(_xlfn.ANCHORARRAY($C$3),T_CALC[[#This Row],[DAY]]+1,3),NA())</f>
        <v>#N/A</v>
      </c>
      <c r="N1385" t="e" cm="1">
        <f t="array" aca="1" ref="N1385" ca="1">IFERROR(INDEX(_xlfn.ANCHORARRAY($C$3),T_CALC[[#This Row],[DAY]]+1,4),NA())</f>
        <v>#N/A</v>
      </c>
      <c r="O1385" t="e" cm="1">
        <f t="array" aca="1" ref="O1385" ca="1">IFERROR(INDEX(_xlfn.ANCHORARRAY($C$3),T_CALC[[#This Row],[DAY]]+1,5),NA())</f>
        <v>#N/A</v>
      </c>
      <c r="P1385" t="e" cm="1">
        <f t="array" aca="1" ref="P1385" ca="1">IFERROR(INDEX(_xlfn.ANCHORARRAY($C$3),T_CALC[[#This Row],[DAY]]+1,6),NA())</f>
        <v>#N/A</v>
      </c>
      <c r="Q1385" t="e" cm="1">
        <f t="array" aca="1" ref="Q1385" ca="1">IFERROR(INDEX(_xlfn.ANCHORARRAY($C$3),T_CALC[[#This Row],[DAY]]+1,2),NA())</f>
        <v>#N/A</v>
      </c>
    </row>
    <row r="1386" spans="11:17">
      <c r="K1386" t="str">
        <f ca="1">IF(ROW(T_CALC[[#This Row],[DAY]])-ROW(T_CALC[[#Headers],[DAY]])&gt;C_N_TRADING_DAYS,"",ROW(T_CALC[[#This Row],[DAY]])-ROW(T_CALC[[#Headers],[DAY]]))</f>
        <v/>
      </c>
      <c r="L1386" t="e" cm="1">
        <f t="array" aca="1" ref="L1386" ca="1">IFERROR(INDEX(_xlfn.ANCHORARRAY($C$3),T_CALC[[#This Row],[DAY]]+1,1),NA())</f>
        <v>#N/A</v>
      </c>
      <c r="M1386" t="e" cm="1">
        <f t="array" aca="1" ref="M1386" ca="1">IFERROR(INDEX(_xlfn.ANCHORARRAY($C$3),T_CALC[[#This Row],[DAY]]+1,3),NA())</f>
        <v>#N/A</v>
      </c>
      <c r="N1386" t="e" cm="1">
        <f t="array" aca="1" ref="N1386" ca="1">IFERROR(INDEX(_xlfn.ANCHORARRAY($C$3),T_CALC[[#This Row],[DAY]]+1,4),NA())</f>
        <v>#N/A</v>
      </c>
      <c r="O1386" t="e" cm="1">
        <f t="array" aca="1" ref="O1386" ca="1">IFERROR(INDEX(_xlfn.ANCHORARRAY($C$3),T_CALC[[#This Row],[DAY]]+1,5),NA())</f>
        <v>#N/A</v>
      </c>
      <c r="P1386" t="e" cm="1">
        <f t="array" aca="1" ref="P1386" ca="1">IFERROR(INDEX(_xlfn.ANCHORARRAY($C$3),T_CALC[[#This Row],[DAY]]+1,6),NA())</f>
        <v>#N/A</v>
      </c>
      <c r="Q1386" t="e" cm="1">
        <f t="array" aca="1" ref="Q1386" ca="1">IFERROR(INDEX(_xlfn.ANCHORARRAY($C$3),T_CALC[[#This Row],[DAY]]+1,2),NA())</f>
        <v>#N/A</v>
      </c>
    </row>
    <row r="1387" spans="11:17">
      <c r="K1387" t="str">
        <f ca="1">IF(ROW(T_CALC[[#This Row],[DAY]])-ROW(T_CALC[[#Headers],[DAY]])&gt;C_N_TRADING_DAYS,"",ROW(T_CALC[[#This Row],[DAY]])-ROW(T_CALC[[#Headers],[DAY]]))</f>
        <v/>
      </c>
      <c r="L1387" t="e" cm="1">
        <f t="array" aca="1" ref="L1387" ca="1">IFERROR(INDEX(_xlfn.ANCHORARRAY($C$3),T_CALC[[#This Row],[DAY]]+1,1),NA())</f>
        <v>#N/A</v>
      </c>
      <c r="M1387" t="e" cm="1">
        <f t="array" aca="1" ref="M1387" ca="1">IFERROR(INDEX(_xlfn.ANCHORARRAY($C$3),T_CALC[[#This Row],[DAY]]+1,3),NA())</f>
        <v>#N/A</v>
      </c>
      <c r="N1387" t="e" cm="1">
        <f t="array" aca="1" ref="N1387" ca="1">IFERROR(INDEX(_xlfn.ANCHORARRAY($C$3),T_CALC[[#This Row],[DAY]]+1,4),NA())</f>
        <v>#N/A</v>
      </c>
      <c r="O1387" t="e" cm="1">
        <f t="array" aca="1" ref="O1387" ca="1">IFERROR(INDEX(_xlfn.ANCHORARRAY($C$3),T_CALC[[#This Row],[DAY]]+1,5),NA())</f>
        <v>#N/A</v>
      </c>
      <c r="P1387" t="e" cm="1">
        <f t="array" aca="1" ref="P1387" ca="1">IFERROR(INDEX(_xlfn.ANCHORARRAY($C$3),T_CALC[[#This Row],[DAY]]+1,6),NA())</f>
        <v>#N/A</v>
      </c>
      <c r="Q1387" t="e" cm="1">
        <f t="array" aca="1" ref="Q1387" ca="1">IFERROR(INDEX(_xlfn.ANCHORARRAY($C$3),T_CALC[[#This Row],[DAY]]+1,2),NA())</f>
        <v>#N/A</v>
      </c>
    </row>
    <row r="1388" spans="11:17">
      <c r="K1388" t="str">
        <f ca="1">IF(ROW(T_CALC[[#This Row],[DAY]])-ROW(T_CALC[[#Headers],[DAY]])&gt;C_N_TRADING_DAYS,"",ROW(T_CALC[[#This Row],[DAY]])-ROW(T_CALC[[#Headers],[DAY]]))</f>
        <v/>
      </c>
      <c r="L1388" t="e" cm="1">
        <f t="array" aca="1" ref="L1388" ca="1">IFERROR(INDEX(_xlfn.ANCHORARRAY($C$3),T_CALC[[#This Row],[DAY]]+1,1),NA())</f>
        <v>#N/A</v>
      </c>
      <c r="M1388" t="e" cm="1">
        <f t="array" aca="1" ref="M1388" ca="1">IFERROR(INDEX(_xlfn.ANCHORARRAY($C$3),T_CALC[[#This Row],[DAY]]+1,3),NA())</f>
        <v>#N/A</v>
      </c>
      <c r="N1388" t="e" cm="1">
        <f t="array" aca="1" ref="N1388" ca="1">IFERROR(INDEX(_xlfn.ANCHORARRAY($C$3),T_CALC[[#This Row],[DAY]]+1,4),NA())</f>
        <v>#N/A</v>
      </c>
      <c r="O1388" t="e" cm="1">
        <f t="array" aca="1" ref="O1388" ca="1">IFERROR(INDEX(_xlfn.ANCHORARRAY($C$3),T_CALC[[#This Row],[DAY]]+1,5),NA())</f>
        <v>#N/A</v>
      </c>
      <c r="P1388" t="e" cm="1">
        <f t="array" aca="1" ref="P1388" ca="1">IFERROR(INDEX(_xlfn.ANCHORARRAY($C$3),T_CALC[[#This Row],[DAY]]+1,6),NA())</f>
        <v>#N/A</v>
      </c>
      <c r="Q1388" t="e" cm="1">
        <f t="array" aca="1" ref="Q1388" ca="1">IFERROR(INDEX(_xlfn.ANCHORARRAY($C$3),T_CALC[[#This Row],[DAY]]+1,2),NA())</f>
        <v>#N/A</v>
      </c>
    </row>
    <row r="1389" spans="11:17">
      <c r="K1389" t="str">
        <f ca="1">IF(ROW(T_CALC[[#This Row],[DAY]])-ROW(T_CALC[[#Headers],[DAY]])&gt;C_N_TRADING_DAYS,"",ROW(T_CALC[[#This Row],[DAY]])-ROW(T_CALC[[#Headers],[DAY]]))</f>
        <v/>
      </c>
      <c r="L1389" t="e" cm="1">
        <f t="array" aca="1" ref="L1389" ca="1">IFERROR(INDEX(_xlfn.ANCHORARRAY($C$3),T_CALC[[#This Row],[DAY]]+1,1),NA())</f>
        <v>#N/A</v>
      </c>
      <c r="M1389" t="e" cm="1">
        <f t="array" aca="1" ref="M1389" ca="1">IFERROR(INDEX(_xlfn.ANCHORARRAY($C$3),T_CALC[[#This Row],[DAY]]+1,3),NA())</f>
        <v>#N/A</v>
      </c>
      <c r="N1389" t="e" cm="1">
        <f t="array" aca="1" ref="N1389" ca="1">IFERROR(INDEX(_xlfn.ANCHORARRAY($C$3),T_CALC[[#This Row],[DAY]]+1,4),NA())</f>
        <v>#N/A</v>
      </c>
      <c r="O1389" t="e" cm="1">
        <f t="array" aca="1" ref="O1389" ca="1">IFERROR(INDEX(_xlfn.ANCHORARRAY($C$3),T_CALC[[#This Row],[DAY]]+1,5),NA())</f>
        <v>#N/A</v>
      </c>
      <c r="P1389" t="e" cm="1">
        <f t="array" aca="1" ref="P1389" ca="1">IFERROR(INDEX(_xlfn.ANCHORARRAY($C$3),T_CALC[[#This Row],[DAY]]+1,6),NA())</f>
        <v>#N/A</v>
      </c>
      <c r="Q1389" t="e" cm="1">
        <f t="array" aca="1" ref="Q1389" ca="1">IFERROR(INDEX(_xlfn.ANCHORARRAY($C$3),T_CALC[[#This Row],[DAY]]+1,2),NA())</f>
        <v>#N/A</v>
      </c>
    </row>
    <row r="1390" spans="11:17">
      <c r="K1390" t="str">
        <f ca="1">IF(ROW(T_CALC[[#This Row],[DAY]])-ROW(T_CALC[[#Headers],[DAY]])&gt;C_N_TRADING_DAYS,"",ROW(T_CALC[[#This Row],[DAY]])-ROW(T_CALC[[#Headers],[DAY]]))</f>
        <v/>
      </c>
      <c r="L1390" t="e" cm="1">
        <f t="array" aca="1" ref="L1390" ca="1">IFERROR(INDEX(_xlfn.ANCHORARRAY($C$3),T_CALC[[#This Row],[DAY]]+1,1),NA())</f>
        <v>#N/A</v>
      </c>
      <c r="M1390" t="e" cm="1">
        <f t="array" aca="1" ref="M1390" ca="1">IFERROR(INDEX(_xlfn.ANCHORARRAY($C$3),T_CALC[[#This Row],[DAY]]+1,3),NA())</f>
        <v>#N/A</v>
      </c>
      <c r="N1390" t="e" cm="1">
        <f t="array" aca="1" ref="N1390" ca="1">IFERROR(INDEX(_xlfn.ANCHORARRAY($C$3),T_CALC[[#This Row],[DAY]]+1,4),NA())</f>
        <v>#N/A</v>
      </c>
      <c r="O1390" t="e" cm="1">
        <f t="array" aca="1" ref="O1390" ca="1">IFERROR(INDEX(_xlfn.ANCHORARRAY($C$3),T_CALC[[#This Row],[DAY]]+1,5),NA())</f>
        <v>#N/A</v>
      </c>
      <c r="P1390" t="e" cm="1">
        <f t="array" aca="1" ref="P1390" ca="1">IFERROR(INDEX(_xlfn.ANCHORARRAY($C$3),T_CALC[[#This Row],[DAY]]+1,6),NA())</f>
        <v>#N/A</v>
      </c>
      <c r="Q1390" t="e" cm="1">
        <f t="array" aca="1" ref="Q1390" ca="1">IFERROR(INDEX(_xlfn.ANCHORARRAY($C$3),T_CALC[[#This Row],[DAY]]+1,2),NA())</f>
        <v>#N/A</v>
      </c>
    </row>
    <row r="1391" spans="11:17">
      <c r="K1391" t="str">
        <f ca="1">IF(ROW(T_CALC[[#This Row],[DAY]])-ROW(T_CALC[[#Headers],[DAY]])&gt;C_N_TRADING_DAYS,"",ROW(T_CALC[[#This Row],[DAY]])-ROW(T_CALC[[#Headers],[DAY]]))</f>
        <v/>
      </c>
      <c r="L1391" t="e" cm="1">
        <f t="array" aca="1" ref="L1391" ca="1">IFERROR(INDEX(_xlfn.ANCHORARRAY($C$3),T_CALC[[#This Row],[DAY]]+1,1),NA())</f>
        <v>#N/A</v>
      </c>
      <c r="M1391" t="e" cm="1">
        <f t="array" aca="1" ref="M1391" ca="1">IFERROR(INDEX(_xlfn.ANCHORARRAY($C$3),T_CALC[[#This Row],[DAY]]+1,3),NA())</f>
        <v>#N/A</v>
      </c>
      <c r="N1391" t="e" cm="1">
        <f t="array" aca="1" ref="N1391" ca="1">IFERROR(INDEX(_xlfn.ANCHORARRAY($C$3),T_CALC[[#This Row],[DAY]]+1,4),NA())</f>
        <v>#N/A</v>
      </c>
      <c r="O1391" t="e" cm="1">
        <f t="array" aca="1" ref="O1391" ca="1">IFERROR(INDEX(_xlfn.ANCHORARRAY($C$3),T_CALC[[#This Row],[DAY]]+1,5),NA())</f>
        <v>#N/A</v>
      </c>
      <c r="P1391" t="e" cm="1">
        <f t="array" aca="1" ref="P1391" ca="1">IFERROR(INDEX(_xlfn.ANCHORARRAY($C$3),T_CALC[[#This Row],[DAY]]+1,6),NA())</f>
        <v>#N/A</v>
      </c>
      <c r="Q1391" t="e" cm="1">
        <f t="array" aca="1" ref="Q1391" ca="1">IFERROR(INDEX(_xlfn.ANCHORARRAY($C$3),T_CALC[[#This Row],[DAY]]+1,2),NA())</f>
        <v>#N/A</v>
      </c>
    </row>
    <row r="1392" spans="11:17">
      <c r="K1392" t="str">
        <f ca="1">IF(ROW(T_CALC[[#This Row],[DAY]])-ROW(T_CALC[[#Headers],[DAY]])&gt;C_N_TRADING_DAYS,"",ROW(T_CALC[[#This Row],[DAY]])-ROW(T_CALC[[#Headers],[DAY]]))</f>
        <v/>
      </c>
      <c r="L1392" t="e" cm="1">
        <f t="array" aca="1" ref="L1392" ca="1">IFERROR(INDEX(_xlfn.ANCHORARRAY($C$3),T_CALC[[#This Row],[DAY]]+1,1),NA())</f>
        <v>#N/A</v>
      </c>
      <c r="M1392" t="e" cm="1">
        <f t="array" aca="1" ref="M1392" ca="1">IFERROR(INDEX(_xlfn.ANCHORARRAY($C$3),T_CALC[[#This Row],[DAY]]+1,3),NA())</f>
        <v>#N/A</v>
      </c>
      <c r="N1392" t="e" cm="1">
        <f t="array" aca="1" ref="N1392" ca="1">IFERROR(INDEX(_xlfn.ANCHORARRAY($C$3),T_CALC[[#This Row],[DAY]]+1,4),NA())</f>
        <v>#N/A</v>
      </c>
      <c r="O1392" t="e" cm="1">
        <f t="array" aca="1" ref="O1392" ca="1">IFERROR(INDEX(_xlfn.ANCHORARRAY($C$3),T_CALC[[#This Row],[DAY]]+1,5),NA())</f>
        <v>#N/A</v>
      </c>
      <c r="P1392" t="e" cm="1">
        <f t="array" aca="1" ref="P1392" ca="1">IFERROR(INDEX(_xlfn.ANCHORARRAY($C$3),T_CALC[[#This Row],[DAY]]+1,6),NA())</f>
        <v>#N/A</v>
      </c>
      <c r="Q1392" t="e" cm="1">
        <f t="array" aca="1" ref="Q1392" ca="1">IFERROR(INDEX(_xlfn.ANCHORARRAY($C$3),T_CALC[[#This Row],[DAY]]+1,2),NA())</f>
        <v>#N/A</v>
      </c>
    </row>
    <row r="1393" spans="11:17">
      <c r="K1393" t="str">
        <f ca="1">IF(ROW(T_CALC[[#This Row],[DAY]])-ROW(T_CALC[[#Headers],[DAY]])&gt;C_N_TRADING_DAYS,"",ROW(T_CALC[[#This Row],[DAY]])-ROW(T_CALC[[#Headers],[DAY]]))</f>
        <v/>
      </c>
      <c r="L1393" t="e" cm="1">
        <f t="array" aca="1" ref="L1393" ca="1">IFERROR(INDEX(_xlfn.ANCHORARRAY($C$3),T_CALC[[#This Row],[DAY]]+1,1),NA())</f>
        <v>#N/A</v>
      </c>
      <c r="M1393" t="e" cm="1">
        <f t="array" aca="1" ref="M1393" ca="1">IFERROR(INDEX(_xlfn.ANCHORARRAY($C$3),T_CALC[[#This Row],[DAY]]+1,3),NA())</f>
        <v>#N/A</v>
      </c>
      <c r="N1393" t="e" cm="1">
        <f t="array" aca="1" ref="N1393" ca="1">IFERROR(INDEX(_xlfn.ANCHORARRAY($C$3),T_CALC[[#This Row],[DAY]]+1,4),NA())</f>
        <v>#N/A</v>
      </c>
      <c r="O1393" t="e" cm="1">
        <f t="array" aca="1" ref="O1393" ca="1">IFERROR(INDEX(_xlfn.ANCHORARRAY($C$3),T_CALC[[#This Row],[DAY]]+1,5),NA())</f>
        <v>#N/A</v>
      </c>
      <c r="P1393" t="e" cm="1">
        <f t="array" aca="1" ref="P1393" ca="1">IFERROR(INDEX(_xlfn.ANCHORARRAY($C$3),T_CALC[[#This Row],[DAY]]+1,6),NA())</f>
        <v>#N/A</v>
      </c>
      <c r="Q1393" t="e" cm="1">
        <f t="array" aca="1" ref="Q1393" ca="1">IFERROR(INDEX(_xlfn.ANCHORARRAY($C$3),T_CALC[[#This Row],[DAY]]+1,2),NA())</f>
        <v>#N/A</v>
      </c>
    </row>
    <row r="1394" spans="11:17">
      <c r="K1394" t="str">
        <f ca="1">IF(ROW(T_CALC[[#This Row],[DAY]])-ROW(T_CALC[[#Headers],[DAY]])&gt;C_N_TRADING_DAYS,"",ROW(T_CALC[[#This Row],[DAY]])-ROW(T_CALC[[#Headers],[DAY]]))</f>
        <v/>
      </c>
      <c r="L1394" t="e" cm="1">
        <f t="array" aca="1" ref="L1394" ca="1">IFERROR(INDEX(_xlfn.ANCHORARRAY($C$3),T_CALC[[#This Row],[DAY]]+1,1),NA())</f>
        <v>#N/A</v>
      </c>
      <c r="M1394" t="e" cm="1">
        <f t="array" aca="1" ref="M1394" ca="1">IFERROR(INDEX(_xlfn.ANCHORARRAY($C$3),T_CALC[[#This Row],[DAY]]+1,3),NA())</f>
        <v>#N/A</v>
      </c>
      <c r="N1394" t="e" cm="1">
        <f t="array" aca="1" ref="N1394" ca="1">IFERROR(INDEX(_xlfn.ANCHORARRAY($C$3),T_CALC[[#This Row],[DAY]]+1,4),NA())</f>
        <v>#N/A</v>
      </c>
      <c r="O1394" t="e" cm="1">
        <f t="array" aca="1" ref="O1394" ca="1">IFERROR(INDEX(_xlfn.ANCHORARRAY($C$3),T_CALC[[#This Row],[DAY]]+1,5),NA())</f>
        <v>#N/A</v>
      </c>
      <c r="P1394" t="e" cm="1">
        <f t="array" aca="1" ref="P1394" ca="1">IFERROR(INDEX(_xlfn.ANCHORARRAY($C$3),T_CALC[[#This Row],[DAY]]+1,6),NA())</f>
        <v>#N/A</v>
      </c>
      <c r="Q1394" t="e" cm="1">
        <f t="array" aca="1" ref="Q1394" ca="1">IFERROR(INDEX(_xlfn.ANCHORARRAY($C$3),T_CALC[[#This Row],[DAY]]+1,2),NA())</f>
        <v>#N/A</v>
      </c>
    </row>
    <row r="1395" spans="11:17">
      <c r="K1395" t="str">
        <f ca="1">IF(ROW(T_CALC[[#This Row],[DAY]])-ROW(T_CALC[[#Headers],[DAY]])&gt;C_N_TRADING_DAYS,"",ROW(T_CALC[[#This Row],[DAY]])-ROW(T_CALC[[#Headers],[DAY]]))</f>
        <v/>
      </c>
      <c r="L1395" t="e" cm="1">
        <f t="array" aca="1" ref="L1395" ca="1">IFERROR(INDEX(_xlfn.ANCHORARRAY($C$3),T_CALC[[#This Row],[DAY]]+1,1),NA())</f>
        <v>#N/A</v>
      </c>
      <c r="M1395" t="e" cm="1">
        <f t="array" aca="1" ref="M1395" ca="1">IFERROR(INDEX(_xlfn.ANCHORARRAY($C$3),T_CALC[[#This Row],[DAY]]+1,3),NA())</f>
        <v>#N/A</v>
      </c>
      <c r="N1395" t="e" cm="1">
        <f t="array" aca="1" ref="N1395" ca="1">IFERROR(INDEX(_xlfn.ANCHORARRAY($C$3),T_CALC[[#This Row],[DAY]]+1,4),NA())</f>
        <v>#N/A</v>
      </c>
      <c r="O1395" t="e" cm="1">
        <f t="array" aca="1" ref="O1395" ca="1">IFERROR(INDEX(_xlfn.ANCHORARRAY($C$3),T_CALC[[#This Row],[DAY]]+1,5),NA())</f>
        <v>#N/A</v>
      </c>
      <c r="P1395" t="e" cm="1">
        <f t="array" aca="1" ref="P1395" ca="1">IFERROR(INDEX(_xlfn.ANCHORARRAY($C$3),T_CALC[[#This Row],[DAY]]+1,6),NA())</f>
        <v>#N/A</v>
      </c>
      <c r="Q1395" t="e" cm="1">
        <f t="array" aca="1" ref="Q1395" ca="1">IFERROR(INDEX(_xlfn.ANCHORARRAY($C$3),T_CALC[[#This Row],[DAY]]+1,2),NA())</f>
        <v>#N/A</v>
      </c>
    </row>
    <row r="1396" spans="11:17">
      <c r="K1396" t="str">
        <f ca="1">IF(ROW(T_CALC[[#This Row],[DAY]])-ROW(T_CALC[[#Headers],[DAY]])&gt;C_N_TRADING_DAYS,"",ROW(T_CALC[[#This Row],[DAY]])-ROW(T_CALC[[#Headers],[DAY]]))</f>
        <v/>
      </c>
      <c r="L1396" t="e" cm="1">
        <f t="array" aca="1" ref="L1396" ca="1">IFERROR(INDEX(_xlfn.ANCHORARRAY($C$3),T_CALC[[#This Row],[DAY]]+1,1),NA())</f>
        <v>#N/A</v>
      </c>
      <c r="M1396" t="e" cm="1">
        <f t="array" aca="1" ref="M1396" ca="1">IFERROR(INDEX(_xlfn.ANCHORARRAY($C$3),T_CALC[[#This Row],[DAY]]+1,3),NA())</f>
        <v>#N/A</v>
      </c>
      <c r="N1396" t="e" cm="1">
        <f t="array" aca="1" ref="N1396" ca="1">IFERROR(INDEX(_xlfn.ANCHORARRAY($C$3),T_CALC[[#This Row],[DAY]]+1,4),NA())</f>
        <v>#N/A</v>
      </c>
      <c r="O1396" t="e" cm="1">
        <f t="array" aca="1" ref="O1396" ca="1">IFERROR(INDEX(_xlfn.ANCHORARRAY($C$3),T_CALC[[#This Row],[DAY]]+1,5),NA())</f>
        <v>#N/A</v>
      </c>
      <c r="P1396" t="e" cm="1">
        <f t="array" aca="1" ref="P1396" ca="1">IFERROR(INDEX(_xlfn.ANCHORARRAY($C$3),T_CALC[[#This Row],[DAY]]+1,6),NA())</f>
        <v>#N/A</v>
      </c>
      <c r="Q1396" t="e" cm="1">
        <f t="array" aca="1" ref="Q1396" ca="1">IFERROR(INDEX(_xlfn.ANCHORARRAY($C$3),T_CALC[[#This Row],[DAY]]+1,2),NA())</f>
        <v>#N/A</v>
      </c>
    </row>
    <row r="1397" spans="11:17">
      <c r="K1397" t="str">
        <f ca="1">IF(ROW(T_CALC[[#This Row],[DAY]])-ROW(T_CALC[[#Headers],[DAY]])&gt;C_N_TRADING_DAYS,"",ROW(T_CALC[[#This Row],[DAY]])-ROW(T_CALC[[#Headers],[DAY]]))</f>
        <v/>
      </c>
      <c r="L1397" t="e" cm="1">
        <f t="array" aca="1" ref="L1397" ca="1">IFERROR(INDEX(_xlfn.ANCHORARRAY($C$3),T_CALC[[#This Row],[DAY]]+1,1),NA())</f>
        <v>#N/A</v>
      </c>
      <c r="M1397" t="e" cm="1">
        <f t="array" aca="1" ref="M1397" ca="1">IFERROR(INDEX(_xlfn.ANCHORARRAY($C$3),T_CALC[[#This Row],[DAY]]+1,3),NA())</f>
        <v>#N/A</v>
      </c>
      <c r="N1397" t="e" cm="1">
        <f t="array" aca="1" ref="N1397" ca="1">IFERROR(INDEX(_xlfn.ANCHORARRAY($C$3),T_CALC[[#This Row],[DAY]]+1,4),NA())</f>
        <v>#N/A</v>
      </c>
      <c r="O1397" t="e" cm="1">
        <f t="array" aca="1" ref="O1397" ca="1">IFERROR(INDEX(_xlfn.ANCHORARRAY($C$3),T_CALC[[#This Row],[DAY]]+1,5),NA())</f>
        <v>#N/A</v>
      </c>
      <c r="P1397" t="e" cm="1">
        <f t="array" aca="1" ref="P1397" ca="1">IFERROR(INDEX(_xlfn.ANCHORARRAY($C$3),T_CALC[[#This Row],[DAY]]+1,6),NA())</f>
        <v>#N/A</v>
      </c>
      <c r="Q1397" t="e" cm="1">
        <f t="array" aca="1" ref="Q1397" ca="1">IFERROR(INDEX(_xlfn.ANCHORARRAY($C$3),T_CALC[[#This Row],[DAY]]+1,2),NA())</f>
        <v>#N/A</v>
      </c>
    </row>
    <row r="1398" spans="11:17">
      <c r="K1398" t="str">
        <f ca="1">IF(ROW(T_CALC[[#This Row],[DAY]])-ROW(T_CALC[[#Headers],[DAY]])&gt;C_N_TRADING_DAYS,"",ROW(T_CALC[[#This Row],[DAY]])-ROW(T_CALC[[#Headers],[DAY]]))</f>
        <v/>
      </c>
      <c r="L1398" t="e" cm="1">
        <f t="array" aca="1" ref="L1398" ca="1">IFERROR(INDEX(_xlfn.ANCHORARRAY($C$3),T_CALC[[#This Row],[DAY]]+1,1),NA())</f>
        <v>#N/A</v>
      </c>
      <c r="M1398" t="e" cm="1">
        <f t="array" aca="1" ref="M1398" ca="1">IFERROR(INDEX(_xlfn.ANCHORARRAY($C$3),T_CALC[[#This Row],[DAY]]+1,3),NA())</f>
        <v>#N/A</v>
      </c>
      <c r="N1398" t="e" cm="1">
        <f t="array" aca="1" ref="N1398" ca="1">IFERROR(INDEX(_xlfn.ANCHORARRAY($C$3),T_CALC[[#This Row],[DAY]]+1,4),NA())</f>
        <v>#N/A</v>
      </c>
      <c r="O1398" t="e" cm="1">
        <f t="array" aca="1" ref="O1398" ca="1">IFERROR(INDEX(_xlfn.ANCHORARRAY($C$3),T_CALC[[#This Row],[DAY]]+1,5),NA())</f>
        <v>#N/A</v>
      </c>
      <c r="P1398" t="e" cm="1">
        <f t="array" aca="1" ref="P1398" ca="1">IFERROR(INDEX(_xlfn.ANCHORARRAY($C$3),T_CALC[[#This Row],[DAY]]+1,6),NA())</f>
        <v>#N/A</v>
      </c>
      <c r="Q1398" t="e" cm="1">
        <f t="array" aca="1" ref="Q1398" ca="1">IFERROR(INDEX(_xlfn.ANCHORARRAY($C$3),T_CALC[[#This Row],[DAY]]+1,2),NA())</f>
        <v>#N/A</v>
      </c>
    </row>
    <row r="1399" spans="11:17">
      <c r="K1399" t="str">
        <f ca="1">IF(ROW(T_CALC[[#This Row],[DAY]])-ROW(T_CALC[[#Headers],[DAY]])&gt;C_N_TRADING_DAYS,"",ROW(T_CALC[[#This Row],[DAY]])-ROW(T_CALC[[#Headers],[DAY]]))</f>
        <v/>
      </c>
      <c r="L1399" t="e" cm="1">
        <f t="array" aca="1" ref="L1399" ca="1">IFERROR(INDEX(_xlfn.ANCHORARRAY($C$3),T_CALC[[#This Row],[DAY]]+1,1),NA())</f>
        <v>#N/A</v>
      </c>
      <c r="M1399" t="e" cm="1">
        <f t="array" aca="1" ref="M1399" ca="1">IFERROR(INDEX(_xlfn.ANCHORARRAY($C$3),T_CALC[[#This Row],[DAY]]+1,3),NA())</f>
        <v>#N/A</v>
      </c>
      <c r="N1399" t="e" cm="1">
        <f t="array" aca="1" ref="N1399" ca="1">IFERROR(INDEX(_xlfn.ANCHORARRAY($C$3),T_CALC[[#This Row],[DAY]]+1,4),NA())</f>
        <v>#N/A</v>
      </c>
      <c r="O1399" t="e" cm="1">
        <f t="array" aca="1" ref="O1399" ca="1">IFERROR(INDEX(_xlfn.ANCHORARRAY($C$3),T_CALC[[#This Row],[DAY]]+1,5),NA())</f>
        <v>#N/A</v>
      </c>
      <c r="P1399" t="e" cm="1">
        <f t="array" aca="1" ref="P1399" ca="1">IFERROR(INDEX(_xlfn.ANCHORARRAY($C$3),T_CALC[[#This Row],[DAY]]+1,6),NA())</f>
        <v>#N/A</v>
      </c>
      <c r="Q1399" t="e" cm="1">
        <f t="array" aca="1" ref="Q1399" ca="1">IFERROR(INDEX(_xlfn.ANCHORARRAY($C$3),T_CALC[[#This Row],[DAY]]+1,2),NA())</f>
        <v>#N/A</v>
      </c>
    </row>
    <row r="1400" spans="11:17">
      <c r="K1400" t="str">
        <f ca="1">IF(ROW(T_CALC[[#This Row],[DAY]])-ROW(T_CALC[[#Headers],[DAY]])&gt;C_N_TRADING_DAYS,"",ROW(T_CALC[[#This Row],[DAY]])-ROW(T_CALC[[#Headers],[DAY]]))</f>
        <v/>
      </c>
      <c r="L1400" t="e" cm="1">
        <f t="array" aca="1" ref="L1400" ca="1">IFERROR(INDEX(_xlfn.ANCHORARRAY($C$3),T_CALC[[#This Row],[DAY]]+1,1),NA())</f>
        <v>#N/A</v>
      </c>
      <c r="M1400" t="e" cm="1">
        <f t="array" aca="1" ref="M1400" ca="1">IFERROR(INDEX(_xlfn.ANCHORARRAY($C$3),T_CALC[[#This Row],[DAY]]+1,3),NA())</f>
        <v>#N/A</v>
      </c>
      <c r="N1400" t="e" cm="1">
        <f t="array" aca="1" ref="N1400" ca="1">IFERROR(INDEX(_xlfn.ANCHORARRAY($C$3),T_CALC[[#This Row],[DAY]]+1,4),NA())</f>
        <v>#N/A</v>
      </c>
      <c r="O1400" t="e" cm="1">
        <f t="array" aca="1" ref="O1400" ca="1">IFERROR(INDEX(_xlfn.ANCHORARRAY($C$3),T_CALC[[#This Row],[DAY]]+1,5),NA())</f>
        <v>#N/A</v>
      </c>
      <c r="P1400" t="e" cm="1">
        <f t="array" aca="1" ref="P1400" ca="1">IFERROR(INDEX(_xlfn.ANCHORARRAY($C$3),T_CALC[[#This Row],[DAY]]+1,6),NA())</f>
        <v>#N/A</v>
      </c>
      <c r="Q1400" t="e" cm="1">
        <f t="array" aca="1" ref="Q1400" ca="1">IFERROR(INDEX(_xlfn.ANCHORARRAY($C$3),T_CALC[[#This Row],[DAY]]+1,2),NA())</f>
        <v>#N/A</v>
      </c>
    </row>
    <row r="1401" spans="11:17">
      <c r="K1401" t="str">
        <f ca="1">IF(ROW(T_CALC[[#This Row],[DAY]])-ROW(T_CALC[[#Headers],[DAY]])&gt;C_N_TRADING_DAYS,"",ROW(T_CALC[[#This Row],[DAY]])-ROW(T_CALC[[#Headers],[DAY]]))</f>
        <v/>
      </c>
      <c r="L1401" t="e" cm="1">
        <f t="array" aca="1" ref="L1401" ca="1">IFERROR(INDEX(_xlfn.ANCHORARRAY($C$3),T_CALC[[#This Row],[DAY]]+1,1),NA())</f>
        <v>#N/A</v>
      </c>
      <c r="M1401" t="e" cm="1">
        <f t="array" aca="1" ref="M1401" ca="1">IFERROR(INDEX(_xlfn.ANCHORARRAY($C$3),T_CALC[[#This Row],[DAY]]+1,3),NA())</f>
        <v>#N/A</v>
      </c>
      <c r="N1401" t="e" cm="1">
        <f t="array" aca="1" ref="N1401" ca="1">IFERROR(INDEX(_xlfn.ANCHORARRAY($C$3),T_CALC[[#This Row],[DAY]]+1,4),NA())</f>
        <v>#N/A</v>
      </c>
      <c r="O1401" t="e" cm="1">
        <f t="array" aca="1" ref="O1401" ca="1">IFERROR(INDEX(_xlfn.ANCHORARRAY($C$3),T_CALC[[#This Row],[DAY]]+1,5),NA())</f>
        <v>#N/A</v>
      </c>
      <c r="P1401" t="e" cm="1">
        <f t="array" aca="1" ref="P1401" ca="1">IFERROR(INDEX(_xlfn.ANCHORARRAY($C$3),T_CALC[[#This Row],[DAY]]+1,6),NA())</f>
        <v>#N/A</v>
      </c>
      <c r="Q1401" t="e" cm="1">
        <f t="array" aca="1" ref="Q1401" ca="1">IFERROR(INDEX(_xlfn.ANCHORARRAY($C$3),T_CALC[[#This Row],[DAY]]+1,2),NA())</f>
        <v>#N/A</v>
      </c>
    </row>
    <row r="1402" spans="11:17">
      <c r="K1402" t="str">
        <f ca="1">IF(ROW(T_CALC[[#This Row],[DAY]])-ROW(T_CALC[[#Headers],[DAY]])&gt;C_N_TRADING_DAYS,"",ROW(T_CALC[[#This Row],[DAY]])-ROW(T_CALC[[#Headers],[DAY]]))</f>
        <v/>
      </c>
      <c r="L1402" t="e" cm="1">
        <f t="array" aca="1" ref="L1402" ca="1">IFERROR(INDEX(_xlfn.ANCHORARRAY($C$3),T_CALC[[#This Row],[DAY]]+1,1),NA())</f>
        <v>#N/A</v>
      </c>
      <c r="M1402" t="e" cm="1">
        <f t="array" aca="1" ref="M1402" ca="1">IFERROR(INDEX(_xlfn.ANCHORARRAY($C$3),T_CALC[[#This Row],[DAY]]+1,3),NA())</f>
        <v>#N/A</v>
      </c>
      <c r="N1402" t="e" cm="1">
        <f t="array" aca="1" ref="N1402" ca="1">IFERROR(INDEX(_xlfn.ANCHORARRAY($C$3),T_CALC[[#This Row],[DAY]]+1,4),NA())</f>
        <v>#N/A</v>
      </c>
      <c r="O1402" t="e" cm="1">
        <f t="array" aca="1" ref="O1402" ca="1">IFERROR(INDEX(_xlfn.ANCHORARRAY($C$3),T_CALC[[#This Row],[DAY]]+1,5),NA())</f>
        <v>#N/A</v>
      </c>
      <c r="P1402" t="e" cm="1">
        <f t="array" aca="1" ref="P1402" ca="1">IFERROR(INDEX(_xlfn.ANCHORARRAY($C$3),T_CALC[[#This Row],[DAY]]+1,6),NA())</f>
        <v>#N/A</v>
      </c>
      <c r="Q1402" t="e" cm="1">
        <f t="array" aca="1" ref="Q1402" ca="1">IFERROR(INDEX(_xlfn.ANCHORARRAY($C$3),T_CALC[[#This Row],[DAY]]+1,2),NA())</f>
        <v>#N/A</v>
      </c>
    </row>
    <row r="1403" spans="11:17">
      <c r="K1403" t="str">
        <f ca="1">IF(ROW(T_CALC[[#This Row],[DAY]])-ROW(T_CALC[[#Headers],[DAY]])&gt;C_N_TRADING_DAYS,"",ROW(T_CALC[[#This Row],[DAY]])-ROW(T_CALC[[#Headers],[DAY]]))</f>
        <v/>
      </c>
      <c r="L1403" t="e" cm="1">
        <f t="array" aca="1" ref="L1403" ca="1">IFERROR(INDEX(_xlfn.ANCHORARRAY($C$3),T_CALC[[#This Row],[DAY]]+1,1),NA())</f>
        <v>#N/A</v>
      </c>
      <c r="M1403" t="e" cm="1">
        <f t="array" aca="1" ref="M1403" ca="1">IFERROR(INDEX(_xlfn.ANCHORARRAY($C$3),T_CALC[[#This Row],[DAY]]+1,3),NA())</f>
        <v>#N/A</v>
      </c>
      <c r="N1403" t="e" cm="1">
        <f t="array" aca="1" ref="N1403" ca="1">IFERROR(INDEX(_xlfn.ANCHORARRAY($C$3),T_CALC[[#This Row],[DAY]]+1,4),NA())</f>
        <v>#N/A</v>
      </c>
      <c r="O1403" t="e" cm="1">
        <f t="array" aca="1" ref="O1403" ca="1">IFERROR(INDEX(_xlfn.ANCHORARRAY($C$3),T_CALC[[#This Row],[DAY]]+1,5),NA())</f>
        <v>#N/A</v>
      </c>
      <c r="P1403" t="e" cm="1">
        <f t="array" aca="1" ref="P1403" ca="1">IFERROR(INDEX(_xlfn.ANCHORARRAY($C$3),T_CALC[[#This Row],[DAY]]+1,6),NA())</f>
        <v>#N/A</v>
      </c>
      <c r="Q1403" t="e" cm="1">
        <f t="array" aca="1" ref="Q1403" ca="1">IFERROR(INDEX(_xlfn.ANCHORARRAY($C$3),T_CALC[[#This Row],[DAY]]+1,2),NA())</f>
        <v>#N/A</v>
      </c>
    </row>
    <row r="1404" spans="11:17">
      <c r="K1404" t="str">
        <f ca="1">IF(ROW(T_CALC[[#This Row],[DAY]])-ROW(T_CALC[[#Headers],[DAY]])&gt;C_N_TRADING_DAYS,"",ROW(T_CALC[[#This Row],[DAY]])-ROW(T_CALC[[#Headers],[DAY]]))</f>
        <v/>
      </c>
      <c r="L1404" t="e" cm="1">
        <f t="array" aca="1" ref="L1404" ca="1">IFERROR(INDEX(_xlfn.ANCHORARRAY($C$3),T_CALC[[#This Row],[DAY]]+1,1),NA())</f>
        <v>#N/A</v>
      </c>
      <c r="M1404" t="e" cm="1">
        <f t="array" aca="1" ref="M1404" ca="1">IFERROR(INDEX(_xlfn.ANCHORARRAY($C$3),T_CALC[[#This Row],[DAY]]+1,3),NA())</f>
        <v>#N/A</v>
      </c>
      <c r="N1404" t="e" cm="1">
        <f t="array" aca="1" ref="N1404" ca="1">IFERROR(INDEX(_xlfn.ANCHORARRAY($C$3),T_CALC[[#This Row],[DAY]]+1,4),NA())</f>
        <v>#N/A</v>
      </c>
      <c r="O1404" t="e" cm="1">
        <f t="array" aca="1" ref="O1404" ca="1">IFERROR(INDEX(_xlfn.ANCHORARRAY($C$3),T_CALC[[#This Row],[DAY]]+1,5),NA())</f>
        <v>#N/A</v>
      </c>
      <c r="P1404" t="e" cm="1">
        <f t="array" aca="1" ref="P1404" ca="1">IFERROR(INDEX(_xlfn.ANCHORARRAY($C$3),T_CALC[[#This Row],[DAY]]+1,6),NA())</f>
        <v>#N/A</v>
      </c>
      <c r="Q1404" t="e" cm="1">
        <f t="array" aca="1" ref="Q1404" ca="1">IFERROR(INDEX(_xlfn.ANCHORARRAY($C$3),T_CALC[[#This Row],[DAY]]+1,2),NA())</f>
        <v>#N/A</v>
      </c>
    </row>
    <row r="1405" spans="11:17">
      <c r="K1405" t="str">
        <f ca="1">IF(ROW(T_CALC[[#This Row],[DAY]])-ROW(T_CALC[[#Headers],[DAY]])&gt;C_N_TRADING_DAYS,"",ROW(T_CALC[[#This Row],[DAY]])-ROW(T_CALC[[#Headers],[DAY]]))</f>
        <v/>
      </c>
      <c r="L1405" t="e" cm="1">
        <f t="array" aca="1" ref="L1405" ca="1">IFERROR(INDEX(_xlfn.ANCHORARRAY($C$3),T_CALC[[#This Row],[DAY]]+1,1),NA())</f>
        <v>#N/A</v>
      </c>
      <c r="M1405" t="e" cm="1">
        <f t="array" aca="1" ref="M1405" ca="1">IFERROR(INDEX(_xlfn.ANCHORARRAY($C$3),T_CALC[[#This Row],[DAY]]+1,3),NA())</f>
        <v>#N/A</v>
      </c>
      <c r="N1405" t="e" cm="1">
        <f t="array" aca="1" ref="N1405" ca="1">IFERROR(INDEX(_xlfn.ANCHORARRAY($C$3),T_CALC[[#This Row],[DAY]]+1,4),NA())</f>
        <v>#N/A</v>
      </c>
      <c r="O1405" t="e" cm="1">
        <f t="array" aca="1" ref="O1405" ca="1">IFERROR(INDEX(_xlfn.ANCHORARRAY($C$3),T_CALC[[#This Row],[DAY]]+1,5),NA())</f>
        <v>#N/A</v>
      </c>
      <c r="P1405" t="e" cm="1">
        <f t="array" aca="1" ref="P1405" ca="1">IFERROR(INDEX(_xlfn.ANCHORARRAY($C$3),T_CALC[[#This Row],[DAY]]+1,6),NA())</f>
        <v>#N/A</v>
      </c>
      <c r="Q1405" t="e" cm="1">
        <f t="array" aca="1" ref="Q1405" ca="1">IFERROR(INDEX(_xlfn.ANCHORARRAY($C$3),T_CALC[[#This Row],[DAY]]+1,2),NA())</f>
        <v>#N/A</v>
      </c>
    </row>
    <row r="1406" spans="11:17">
      <c r="K1406" t="str">
        <f ca="1">IF(ROW(T_CALC[[#This Row],[DAY]])-ROW(T_CALC[[#Headers],[DAY]])&gt;C_N_TRADING_DAYS,"",ROW(T_CALC[[#This Row],[DAY]])-ROW(T_CALC[[#Headers],[DAY]]))</f>
        <v/>
      </c>
      <c r="L1406" t="e" cm="1">
        <f t="array" aca="1" ref="L1406" ca="1">IFERROR(INDEX(_xlfn.ANCHORARRAY($C$3),T_CALC[[#This Row],[DAY]]+1,1),NA())</f>
        <v>#N/A</v>
      </c>
      <c r="M1406" t="e" cm="1">
        <f t="array" aca="1" ref="M1406" ca="1">IFERROR(INDEX(_xlfn.ANCHORARRAY($C$3),T_CALC[[#This Row],[DAY]]+1,3),NA())</f>
        <v>#N/A</v>
      </c>
      <c r="N1406" t="e" cm="1">
        <f t="array" aca="1" ref="N1406" ca="1">IFERROR(INDEX(_xlfn.ANCHORARRAY($C$3),T_CALC[[#This Row],[DAY]]+1,4),NA())</f>
        <v>#N/A</v>
      </c>
      <c r="O1406" t="e" cm="1">
        <f t="array" aca="1" ref="O1406" ca="1">IFERROR(INDEX(_xlfn.ANCHORARRAY($C$3),T_CALC[[#This Row],[DAY]]+1,5),NA())</f>
        <v>#N/A</v>
      </c>
      <c r="P1406" t="e" cm="1">
        <f t="array" aca="1" ref="P1406" ca="1">IFERROR(INDEX(_xlfn.ANCHORARRAY($C$3),T_CALC[[#This Row],[DAY]]+1,6),NA())</f>
        <v>#N/A</v>
      </c>
      <c r="Q1406" t="e" cm="1">
        <f t="array" aca="1" ref="Q1406" ca="1">IFERROR(INDEX(_xlfn.ANCHORARRAY($C$3),T_CALC[[#This Row],[DAY]]+1,2),NA())</f>
        <v>#N/A</v>
      </c>
    </row>
    <row r="1407" spans="11:17">
      <c r="K1407" t="str">
        <f ca="1">IF(ROW(T_CALC[[#This Row],[DAY]])-ROW(T_CALC[[#Headers],[DAY]])&gt;C_N_TRADING_DAYS,"",ROW(T_CALC[[#This Row],[DAY]])-ROW(T_CALC[[#Headers],[DAY]]))</f>
        <v/>
      </c>
      <c r="L1407" t="e" cm="1">
        <f t="array" aca="1" ref="L1407" ca="1">IFERROR(INDEX(_xlfn.ANCHORARRAY($C$3),T_CALC[[#This Row],[DAY]]+1,1),NA())</f>
        <v>#N/A</v>
      </c>
      <c r="M1407" t="e" cm="1">
        <f t="array" aca="1" ref="M1407" ca="1">IFERROR(INDEX(_xlfn.ANCHORARRAY($C$3),T_CALC[[#This Row],[DAY]]+1,3),NA())</f>
        <v>#N/A</v>
      </c>
      <c r="N1407" t="e" cm="1">
        <f t="array" aca="1" ref="N1407" ca="1">IFERROR(INDEX(_xlfn.ANCHORARRAY($C$3),T_CALC[[#This Row],[DAY]]+1,4),NA())</f>
        <v>#N/A</v>
      </c>
      <c r="O1407" t="e" cm="1">
        <f t="array" aca="1" ref="O1407" ca="1">IFERROR(INDEX(_xlfn.ANCHORARRAY($C$3),T_CALC[[#This Row],[DAY]]+1,5),NA())</f>
        <v>#N/A</v>
      </c>
      <c r="P1407" t="e" cm="1">
        <f t="array" aca="1" ref="P1407" ca="1">IFERROR(INDEX(_xlfn.ANCHORARRAY($C$3),T_CALC[[#This Row],[DAY]]+1,6),NA())</f>
        <v>#N/A</v>
      </c>
      <c r="Q1407" t="e" cm="1">
        <f t="array" aca="1" ref="Q1407" ca="1">IFERROR(INDEX(_xlfn.ANCHORARRAY($C$3),T_CALC[[#This Row],[DAY]]+1,2),NA())</f>
        <v>#N/A</v>
      </c>
    </row>
    <row r="1408" spans="11:17">
      <c r="K1408" t="str">
        <f ca="1">IF(ROW(T_CALC[[#This Row],[DAY]])-ROW(T_CALC[[#Headers],[DAY]])&gt;C_N_TRADING_DAYS,"",ROW(T_CALC[[#This Row],[DAY]])-ROW(T_CALC[[#Headers],[DAY]]))</f>
        <v/>
      </c>
      <c r="L1408" t="e" cm="1">
        <f t="array" aca="1" ref="L1408" ca="1">IFERROR(INDEX(_xlfn.ANCHORARRAY($C$3),T_CALC[[#This Row],[DAY]]+1,1),NA())</f>
        <v>#N/A</v>
      </c>
      <c r="M1408" t="e" cm="1">
        <f t="array" aca="1" ref="M1408" ca="1">IFERROR(INDEX(_xlfn.ANCHORARRAY($C$3),T_CALC[[#This Row],[DAY]]+1,3),NA())</f>
        <v>#N/A</v>
      </c>
      <c r="N1408" t="e" cm="1">
        <f t="array" aca="1" ref="N1408" ca="1">IFERROR(INDEX(_xlfn.ANCHORARRAY($C$3),T_CALC[[#This Row],[DAY]]+1,4),NA())</f>
        <v>#N/A</v>
      </c>
      <c r="O1408" t="e" cm="1">
        <f t="array" aca="1" ref="O1408" ca="1">IFERROR(INDEX(_xlfn.ANCHORARRAY($C$3),T_CALC[[#This Row],[DAY]]+1,5),NA())</f>
        <v>#N/A</v>
      </c>
      <c r="P1408" t="e" cm="1">
        <f t="array" aca="1" ref="P1408" ca="1">IFERROR(INDEX(_xlfn.ANCHORARRAY($C$3),T_CALC[[#This Row],[DAY]]+1,6),NA())</f>
        <v>#N/A</v>
      </c>
      <c r="Q1408" t="e" cm="1">
        <f t="array" aca="1" ref="Q1408" ca="1">IFERROR(INDEX(_xlfn.ANCHORARRAY($C$3),T_CALC[[#This Row],[DAY]]+1,2),NA())</f>
        <v>#N/A</v>
      </c>
    </row>
    <row r="1409" spans="11:17">
      <c r="K1409" t="str">
        <f ca="1">IF(ROW(T_CALC[[#This Row],[DAY]])-ROW(T_CALC[[#Headers],[DAY]])&gt;C_N_TRADING_DAYS,"",ROW(T_CALC[[#This Row],[DAY]])-ROW(T_CALC[[#Headers],[DAY]]))</f>
        <v/>
      </c>
      <c r="L1409" t="e" cm="1">
        <f t="array" aca="1" ref="L1409" ca="1">IFERROR(INDEX(_xlfn.ANCHORARRAY($C$3),T_CALC[[#This Row],[DAY]]+1,1),NA())</f>
        <v>#N/A</v>
      </c>
      <c r="M1409" t="e" cm="1">
        <f t="array" aca="1" ref="M1409" ca="1">IFERROR(INDEX(_xlfn.ANCHORARRAY($C$3),T_CALC[[#This Row],[DAY]]+1,3),NA())</f>
        <v>#N/A</v>
      </c>
      <c r="N1409" t="e" cm="1">
        <f t="array" aca="1" ref="N1409" ca="1">IFERROR(INDEX(_xlfn.ANCHORARRAY($C$3),T_CALC[[#This Row],[DAY]]+1,4),NA())</f>
        <v>#N/A</v>
      </c>
      <c r="O1409" t="e" cm="1">
        <f t="array" aca="1" ref="O1409" ca="1">IFERROR(INDEX(_xlfn.ANCHORARRAY($C$3),T_CALC[[#This Row],[DAY]]+1,5),NA())</f>
        <v>#N/A</v>
      </c>
      <c r="P1409" t="e" cm="1">
        <f t="array" aca="1" ref="P1409" ca="1">IFERROR(INDEX(_xlfn.ANCHORARRAY($C$3),T_CALC[[#This Row],[DAY]]+1,6),NA())</f>
        <v>#N/A</v>
      </c>
      <c r="Q1409" t="e" cm="1">
        <f t="array" aca="1" ref="Q1409" ca="1">IFERROR(INDEX(_xlfn.ANCHORARRAY($C$3),T_CALC[[#This Row],[DAY]]+1,2),NA())</f>
        <v>#N/A</v>
      </c>
    </row>
    <row r="1410" spans="11:17">
      <c r="K1410" t="str">
        <f ca="1">IF(ROW(T_CALC[[#This Row],[DAY]])-ROW(T_CALC[[#Headers],[DAY]])&gt;C_N_TRADING_DAYS,"",ROW(T_CALC[[#This Row],[DAY]])-ROW(T_CALC[[#Headers],[DAY]]))</f>
        <v/>
      </c>
      <c r="L1410" t="e" cm="1">
        <f t="array" aca="1" ref="L1410" ca="1">IFERROR(INDEX(_xlfn.ANCHORARRAY($C$3),T_CALC[[#This Row],[DAY]]+1,1),NA())</f>
        <v>#N/A</v>
      </c>
      <c r="M1410" t="e" cm="1">
        <f t="array" aca="1" ref="M1410" ca="1">IFERROR(INDEX(_xlfn.ANCHORARRAY($C$3),T_CALC[[#This Row],[DAY]]+1,3),NA())</f>
        <v>#N/A</v>
      </c>
      <c r="N1410" t="e" cm="1">
        <f t="array" aca="1" ref="N1410" ca="1">IFERROR(INDEX(_xlfn.ANCHORARRAY($C$3),T_CALC[[#This Row],[DAY]]+1,4),NA())</f>
        <v>#N/A</v>
      </c>
      <c r="O1410" t="e" cm="1">
        <f t="array" aca="1" ref="O1410" ca="1">IFERROR(INDEX(_xlfn.ANCHORARRAY($C$3),T_CALC[[#This Row],[DAY]]+1,5),NA())</f>
        <v>#N/A</v>
      </c>
      <c r="P1410" t="e" cm="1">
        <f t="array" aca="1" ref="P1410" ca="1">IFERROR(INDEX(_xlfn.ANCHORARRAY($C$3),T_CALC[[#This Row],[DAY]]+1,6),NA())</f>
        <v>#N/A</v>
      </c>
      <c r="Q1410" t="e" cm="1">
        <f t="array" aca="1" ref="Q1410" ca="1">IFERROR(INDEX(_xlfn.ANCHORARRAY($C$3),T_CALC[[#This Row],[DAY]]+1,2),NA())</f>
        <v>#N/A</v>
      </c>
    </row>
    <row r="1411" spans="11:17">
      <c r="K1411" t="str">
        <f ca="1">IF(ROW(T_CALC[[#This Row],[DAY]])-ROW(T_CALC[[#Headers],[DAY]])&gt;C_N_TRADING_DAYS,"",ROW(T_CALC[[#This Row],[DAY]])-ROW(T_CALC[[#Headers],[DAY]]))</f>
        <v/>
      </c>
      <c r="L1411" t="e" cm="1">
        <f t="array" aca="1" ref="L1411" ca="1">IFERROR(INDEX(_xlfn.ANCHORARRAY($C$3),T_CALC[[#This Row],[DAY]]+1,1),NA())</f>
        <v>#N/A</v>
      </c>
      <c r="M1411" t="e" cm="1">
        <f t="array" aca="1" ref="M1411" ca="1">IFERROR(INDEX(_xlfn.ANCHORARRAY($C$3),T_CALC[[#This Row],[DAY]]+1,3),NA())</f>
        <v>#N/A</v>
      </c>
      <c r="N1411" t="e" cm="1">
        <f t="array" aca="1" ref="N1411" ca="1">IFERROR(INDEX(_xlfn.ANCHORARRAY($C$3),T_CALC[[#This Row],[DAY]]+1,4),NA())</f>
        <v>#N/A</v>
      </c>
      <c r="O1411" t="e" cm="1">
        <f t="array" aca="1" ref="O1411" ca="1">IFERROR(INDEX(_xlfn.ANCHORARRAY($C$3),T_CALC[[#This Row],[DAY]]+1,5),NA())</f>
        <v>#N/A</v>
      </c>
      <c r="P1411" t="e" cm="1">
        <f t="array" aca="1" ref="P1411" ca="1">IFERROR(INDEX(_xlfn.ANCHORARRAY($C$3),T_CALC[[#This Row],[DAY]]+1,6),NA())</f>
        <v>#N/A</v>
      </c>
      <c r="Q1411" t="e" cm="1">
        <f t="array" aca="1" ref="Q1411" ca="1">IFERROR(INDEX(_xlfn.ANCHORARRAY($C$3),T_CALC[[#This Row],[DAY]]+1,2),NA())</f>
        <v>#N/A</v>
      </c>
    </row>
    <row r="1412" spans="11:17">
      <c r="K1412" t="str">
        <f ca="1">IF(ROW(T_CALC[[#This Row],[DAY]])-ROW(T_CALC[[#Headers],[DAY]])&gt;C_N_TRADING_DAYS,"",ROW(T_CALC[[#This Row],[DAY]])-ROW(T_CALC[[#Headers],[DAY]]))</f>
        <v/>
      </c>
      <c r="L1412" t="e" cm="1">
        <f t="array" aca="1" ref="L1412" ca="1">IFERROR(INDEX(_xlfn.ANCHORARRAY($C$3),T_CALC[[#This Row],[DAY]]+1,1),NA())</f>
        <v>#N/A</v>
      </c>
      <c r="M1412" t="e" cm="1">
        <f t="array" aca="1" ref="M1412" ca="1">IFERROR(INDEX(_xlfn.ANCHORARRAY($C$3),T_CALC[[#This Row],[DAY]]+1,3),NA())</f>
        <v>#N/A</v>
      </c>
      <c r="N1412" t="e" cm="1">
        <f t="array" aca="1" ref="N1412" ca="1">IFERROR(INDEX(_xlfn.ANCHORARRAY($C$3),T_CALC[[#This Row],[DAY]]+1,4),NA())</f>
        <v>#N/A</v>
      </c>
      <c r="O1412" t="e" cm="1">
        <f t="array" aca="1" ref="O1412" ca="1">IFERROR(INDEX(_xlfn.ANCHORARRAY($C$3),T_CALC[[#This Row],[DAY]]+1,5),NA())</f>
        <v>#N/A</v>
      </c>
      <c r="P1412" t="e" cm="1">
        <f t="array" aca="1" ref="P1412" ca="1">IFERROR(INDEX(_xlfn.ANCHORARRAY($C$3),T_CALC[[#This Row],[DAY]]+1,6),NA())</f>
        <v>#N/A</v>
      </c>
      <c r="Q1412" t="e" cm="1">
        <f t="array" aca="1" ref="Q1412" ca="1">IFERROR(INDEX(_xlfn.ANCHORARRAY($C$3),T_CALC[[#This Row],[DAY]]+1,2),NA())</f>
        <v>#N/A</v>
      </c>
    </row>
    <row r="1413" spans="11:17">
      <c r="K1413" t="str">
        <f ca="1">IF(ROW(T_CALC[[#This Row],[DAY]])-ROW(T_CALC[[#Headers],[DAY]])&gt;C_N_TRADING_DAYS,"",ROW(T_CALC[[#This Row],[DAY]])-ROW(T_CALC[[#Headers],[DAY]]))</f>
        <v/>
      </c>
      <c r="L1413" t="e" cm="1">
        <f t="array" aca="1" ref="L1413" ca="1">IFERROR(INDEX(_xlfn.ANCHORARRAY($C$3),T_CALC[[#This Row],[DAY]]+1,1),NA())</f>
        <v>#N/A</v>
      </c>
      <c r="M1413" t="e" cm="1">
        <f t="array" aca="1" ref="M1413" ca="1">IFERROR(INDEX(_xlfn.ANCHORARRAY($C$3),T_CALC[[#This Row],[DAY]]+1,3),NA())</f>
        <v>#N/A</v>
      </c>
      <c r="N1413" t="e" cm="1">
        <f t="array" aca="1" ref="N1413" ca="1">IFERROR(INDEX(_xlfn.ANCHORARRAY($C$3),T_CALC[[#This Row],[DAY]]+1,4),NA())</f>
        <v>#N/A</v>
      </c>
      <c r="O1413" t="e" cm="1">
        <f t="array" aca="1" ref="O1413" ca="1">IFERROR(INDEX(_xlfn.ANCHORARRAY($C$3),T_CALC[[#This Row],[DAY]]+1,5),NA())</f>
        <v>#N/A</v>
      </c>
      <c r="P1413" t="e" cm="1">
        <f t="array" aca="1" ref="P1413" ca="1">IFERROR(INDEX(_xlfn.ANCHORARRAY($C$3),T_CALC[[#This Row],[DAY]]+1,6),NA())</f>
        <v>#N/A</v>
      </c>
      <c r="Q1413" t="e" cm="1">
        <f t="array" aca="1" ref="Q1413" ca="1">IFERROR(INDEX(_xlfn.ANCHORARRAY($C$3),T_CALC[[#This Row],[DAY]]+1,2),NA())</f>
        <v>#N/A</v>
      </c>
    </row>
    <row r="1414" spans="11:17">
      <c r="K1414" t="str">
        <f ca="1">IF(ROW(T_CALC[[#This Row],[DAY]])-ROW(T_CALC[[#Headers],[DAY]])&gt;C_N_TRADING_DAYS,"",ROW(T_CALC[[#This Row],[DAY]])-ROW(T_CALC[[#Headers],[DAY]]))</f>
        <v/>
      </c>
      <c r="L1414" t="e" cm="1">
        <f t="array" aca="1" ref="L1414" ca="1">IFERROR(INDEX(_xlfn.ANCHORARRAY($C$3),T_CALC[[#This Row],[DAY]]+1,1),NA())</f>
        <v>#N/A</v>
      </c>
      <c r="M1414" t="e" cm="1">
        <f t="array" aca="1" ref="M1414" ca="1">IFERROR(INDEX(_xlfn.ANCHORARRAY($C$3),T_CALC[[#This Row],[DAY]]+1,3),NA())</f>
        <v>#N/A</v>
      </c>
      <c r="N1414" t="e" cm="1">
        <f t="array" aca="1" ref="N1414" ca="1">IFERROR(INDEX(_xlfn.ANCHORARRAY($C$3),T_CALC[[#This Row],[DAY]]+1,4),NA())</f>
        <v>#N/A</v>
      </c>
      <c r="O1414" t="e" cm="1">
        <f t="array" aca="1" ref="O1414" ca="1">IFERROR(INDEX(_xlfn.ANCHORARRAY($C$3),T_CALC[[#This Row],[DAY]]+1,5),NA())</f>
        <v>#N/A</v>
      </c>
      <c r="P1414" t="e" cm="1">
        <f t="array" aca="1" ref="P1414" ca="1">IFERROR(INDEX(_xlfn.ANCHORARRAY($C$3),T_CALC[[#This Row],[DAY]]+1,6),NA())</f>
        <v>#N/A</v>
      </c>
      <c r="Q1414" t="e" cm="1">
        <f t="array" aca="1" ref="Q1414" ca="1">IFERROR(INDEX(_xlfn.ANCHORARRAY($C$3),T_CALC[[#This Row],[DAY]]+1,2),NA())</f>
        <v>#N/A</v>
      </c>
    </row>
    <row r="1415" spans="11:17">
      <c r="K1415" t="str">
        <f ca="1">IF(ROW(T_CALC[[#This Row],[DAY]])-ROW(T_CALC[[#Headers],[DAY]])&gt;C_N_TRADING_DAYS,"",ROW(T_CALC[[#This Row],[DAY]])-ROW(T_CALC[[#Headers],[DAY]]))</f>
        <v/>
      </c>
      <c r="L1415" t="e" cm="1">
        <f t="array" aca="1" ref="L1415" ca="1">IFERROR(INDEX(_xlfn.ANCHORARRAY($C$3),T_CALC[[#This Row],[DAY]]+1,1),NA())</f>
        <v>#N/A</v>
      </c>
      <c r="M1415" t="e" cm="1">
        <f t="array" aca="1" ref="M1415" ca="1">IFERROR(INDEX(_xlfn.ANCHORARRAY($C$3),T_CALC[[#This Row],[DAY]]+1,3),NA())</f>
        <v>#N/A</v>
      </c>
      <c r="N1415" t="e" cm="1">
        <f t="array" aca="1" ref="N1415" ca="1">IFERROR(INDEX(_xlfn.ANCHORARRAY($C$3),T_CALC[[#This Row],[DAY]]+1,4),NA())</f>
        <v>#N/A</v>
      </c>
      <c r="O1415" t="e" cm="1">
        <f t="array" aca="1" ref="O1415" ca="1">IFERROR(INDEX(_xlfn.ANCHORARRAY($C$3),T_CALC[[#This Row],[DAY]]+1,5),NA())</f>
        <v>#N/A</v>
      </c>
      <c r="P1415" t="e" cm="1">
        <f t="array" aca="1" ref="P1415" ca="1">IFERROR(INDEX(_xlfn.ANCHORARRAY($C$3),T_CALC[[#This Row],[DAY]]+1,6),NA())</f>
        <v>#N/A</v>
      </c>
      <c r="Q1415" t="e" cm="1">
        <f t="array" aca="1" ref="Q1415" ca="1">IFERROR(INDEX(_xlfn.ANCHORARRAY($C$3),T_CALC[[#This Row],[DAY]]+1,2),NA())</f>
        <v>#N/A</v>
      </c>
    </row>
    <row r="1416" spans="11:17">
      <c r="K1416" t="str">
        <f ca="1">IF(ROW(T_CALC[[#This Row],[DAY]])-ROW(T_CALC[[#Headers],[DAY]])&gt;C_N_TRADING_DAYS,"",ROW(T_CALC[[#This Row],[DAY]])-ROW(T_CALC[[#Headers],[DAY]]))</f>
        <v/>
      </c>
      <c r="L1416" t="e" cm="1">
        <f t="array" aca="1" ref="L1416" ca="1">IFERROR(INDEX(_xlfn.ANCHORARRAY($C$3),T_CALC[[#This Row],[DAY]]+1,1),NA())</f>
        <v>#N/A</v>
      </c>
      <c r="M1416" t="e" cm="1">
        <f t="array" aca="1" ref="M1416" ca="1">IFERROR(INDEX(_xlfn.ANCHORARRAY($C$3),T_CALC[[#This Row],[DAY]]+1,3),NA())</f>
        <v>#N/A</v>
      </c>
      <c r="N1416" t="e" cm="1">
        <f t="array" aca="1" ref="N1416" ca="1">IFERROR(INDEX(_xlfn.ANCHORARRAY($C$3),T_CALC[[#This Row],[DAY]]+1,4),NA())</f>
        <v>#N/A</v>
      </c>
      <c r="O1416" t="e" cm="1">
        <f t="array" aca="1" ref="O1416" ca="1">IFERROR(INDEX(_xlfn.ANCHORARRAY($C$3),T_CALC[[#This Row],[DAY]]+1,5),NA())</f>
        <v>#N/A</v>
      </c>
      <c r="P1416" t="e" cm="1">
        <f t="array" aca="1" ref="P1416" ca="1">IFERROR(INDEX(_xlfn.ANCHORARRAY($C$3),T_CALC[[#This Row],[DAY]]+1,6),NA())</f>
        <v>#N/A</v>
      </c>
      <c r="Q1416" t="e" cm="1">
        <f t="array" aca="1" ref="Q1416" ca="1">IFERROR(INDEX(_xlfn.ANCHORARRAY($C$3),T_CALC[[#This Row],[DAY]]+1,2),NA())</f>
        <v>#N/A</v>
      </c>
    </row>
    <row r="1417" spans="11:17">
      <c r="K1417" t="str">
        <f ca="1">IF(ROW(T_CALC[[#This Row],[DAY]])-ROW(T_CALC[[#Headers],[DAY]])&gt;C_N_TRADING_DAYS,"",ROW(T_CALC[[#This Row],[DAY]])-ROW(T_CALC[[#Headers],[DAY]]))</f>
        <v/>
      </c>
      <c r="L1417" t="e" cm="1">
        <f t="array" aca="1" ref="L1417" ca="1">IFERROR(INDEX(_xlfn.ANCHORARRAY($C$3),T_CALC[[#This Row],[DAY]]+1,1),NA())</f>
        <v>#N/A</v>
      </c>
      <c r="M1417" t="e" cm="1">
        <f t="array" aca="1" ref="M1417" ca="1">IFERROR(INDEX(_xlfn.ANCHORARRAY($C$3),T_CALC[[#This Row],[DAY]]+1,3),NA())</f>
        <v>#N/A</v>
      </c>
      <c r="N1417" t="e" cm="1">
        <f t="array" aca="1" ref="N1417" ca="1">IFERROR(INDEX(_xlfn.ANCHORARRAY($C$3),T_CALC[[#This Row],[DAY]]+1,4),NA())</f>
        <v>#N/A</v>
      </c>
      <c r="O1417" t="e" cm="1">
        <f t="array" aca="1" ref="O1417" ca="1">IFERROR(INDEX(_xlfn.ANCHORARRAY($C$3),T_CALC[[#This Row],[DAY]]+1,5),NA())</f>
        <v>#N/A</v>
      </c>
      <c r="P1417" t="e" cm="1">
        <f t="array" aca="1" ref="P1417" ca="1">IFERROR(INDEX(_xlfn.ANCHORARRAY($C$3),T_CALC[[#This Row],[DAY]]+1,6),NA())</f>
        <v>#N/A</v>
      </c>
      <c r="Q1417" t="e" cm="1">
        <f t="array" aca="1" ref="Q1417" ca="1">IFERROR(INDEX(_xlfn.ANCHORARRAY($C$3),T_CALC[[#This Row],[DAY]]+1,2),NA())</f>
        <v>#N/A</v>
      </c>
    </row>
    <row r="1418" spans="11:17">
      <c r="K1418" t="str">
        <f ca="1">IF(ROW(T_CALC[[#This Row],[DAY]])-ROW(T_CALC[[#Headers],[DAY]])&gt;C_N_TRADING_DAYS,"",ROW(T_CALC[[#This Row],[DAY]])-ROW(T_CALC[[#Headers],[DAY]]))</f>
        <v/>
      </c>
      <c r="L1418" t="e" cm="1">
        <f t="array" aca="1" ref="L1418" ca="1">IFERROR(INDEX(_xlfn.ANCHORARRAY($C$3),T_CALC[[#This Row],[DAY]]+1,1),NA())</f>
        <v>#N/A</v>
      </c>
      <c r="M1418" t="e" cm="1">
        <f t="array" aca="1" ref="M1418" ca="1">IFERROR(INDEX(_xlfn.ANCHORARRAY($C$3),T_CALC[[#This Row],[DAY]]+1,3),NA())</f>
        <v>#N/A</v>
      </c>
      <c r="N1418" t="e" cm="1">
        <f t="array" aca="1" ref="N1418" ca="1">IFERROR(INDEX(_xlfn.ANCHORARRAY($C$3),T_CALC[[#This Row],[DAY]]+1,4),NA())</f>
        <v>#N/A</v>
      </c>
      <c r="O1418" t="e" cm="1">
        <f t="array" aca="1" ref="O1418" ca="1">IFERROR(INDEX(_xlfn.ANCHORARRAY($C$3),T_CALC[[#This Row],[DAY]]+1,5),NA())</f>
        <v>#N/A</v>
      </c>
      <c r="P1418" t="e" cm="1">
        <f t="array" aca="1" ref="P1418" ca="1">IFERROR(INDEX(_xlfn.ANCHORARRAY($C$3),T_CALC[[#This Row],[DAY]]+1,6),NA())</f>
        <v>#N/A</v>
      </c>
      <c r="Q1418" t="e" cm="1">
        <f t="array" aca="1" ref="Q1418" ca="1">IFERROR(INDEX(_xlfn.ANCHORARRAY($C$3),T_CALC[[#This Row],[DAY]]+1,2),NA())</f>
        <v>#N/A</v>
      </c>
    </row>
    <row r="1419" spans="11:17">
      <c r="K1419" t="str">
        <f ca="1">IF(ROW(T_CALC[[#This Row],[DAY]])-ROW(T_CALC[[#Headers],[DAY]])&gt;C_N_TRADING_DAYS,"",ROW(T_CALC[[#This Row],[DAY]])-ROW(T_CALC[[#Headers],[DAY]]))</f>
        <v/>
      </c>
      <c r="L1419" t="e" cm="1">
        <f t="array" aca="1" ref="L1419" ca="1">IFERROR(INDEX(_xlfn.ANCHORARRAY($C$3),T_CALC[[#This Row],[DAY]]+1,1),NA())</f>
        <v>#N/A</v>
      </c>
      <c r="M1419" t="e" cm="1">
        <f t="array" aca="1" ref="M1419" ca="1">IFERROR(INDEX(_xlfn.ANCHORARRAY($C$3),T_CALC[[#This Row],[DAY]]+1,3),NA())</f>
        <v>#N/A</v>
      </c>
      <c r="N1419" t="e" cm="1">
        <f t="array" aca="1" ref="N1419" ca="1">IFERROR(INDEX(_xlfn.ANCHORARRAY($C$3),T_CALC[[#This Row],[DAY]]+1,4),NA())</f>
        <v>#N/A</v>
      </c>
      <c r="O1419" t="e" cm="1">
        <f t="array" aca="1" ref="O1419" ca="1">IFERROR(INDEX(_xlfn.ANCHORARRAY($C$3),T_CALC[[#This Row],[DAY]]+1,5),NA())</f>
        <v>#N/A</v>
      </c>
      <c r="P1419" t="e" cm="1">
        <f t="array" aca="1" ref="P1419" ca="1">IFERROR(INDEX(_xlfn.ANCHORARRAY($C$3),T_CALC[[#This Row],[DAY]]+1,6),NA())</f>
        <v>#N/A</v>
      </c>
      <c r="Q1419" t="e" cm="1">
        <f t="array" aca="1" ref="Q1419" ca="1">IFERROR(INDEX(_xlfn.ANCHORARRAY($C$3),T_CALC[[#This Row],[DAY]]+1,2),NA())</f>
        <v>#N/A</v>
      </c>
    </row>
    <row r="1420" spans="11:17">
      <c r="K1420" t="str">
        <f ca="1">IF(ROW(T_CALC[[#This Row],[DAY]])-ROW(T_CALC[[#Headers],[DAY]])&gt;C_N_TRADING_DAYS,"",ROW(T_CALC[[#This Row],[DAY]])-ROW(T_CALC[[#Headers],[DAY]]))</f>
        <v/>
      </c>
      <c r="L1420" t="e" cm="1">
        <f t="array" aca="1" ref="L1420" ca="1">IFERROR(INDEX(_xlfn.ANCHORARRAY($C$3),T_CALC[[#This Row],[DAY]]+1,1),NA())</f>
        <v>#N/A</v>
      </c>
      <c r="M1420" t="e" cm="1">
        <f t="array" aca="1" ref="M1420" ca="1">IFERROR(INDEX(_xlfn.ANCHORARRAY($C$3),T_CALC[[#This Row],[DAY]]+1,3),NA())</f>
        <v>#N/A</v>
      </c>
      <c r="N1420" t="e" cm="1">
        <f t="array" aca="1" ref="N1420" ca="1">IFERROR(INDEX(_xlfn.ANCHORARRAY($C$3),T_CALC[[#This Row],[DAY]]+1,4),NA())</f>
        <v>#N/A</v>
      </c>
      <c r="O1420" t="e" cm="1">
        <f t="array" aca="1" ref="O1420" ca="1">IFERROR(INDEX(_xlfn.ANCHORARRAY($C$3),T_CALC[[#This Row],[DAY]]+1,5),NA())</f>
        <v>#N/A</v>
      </c>
      <c r="P1420" t="e" cm="1">
        <f t="array" aca="1" ref="P1420" ca="1">IFERROR(INDEX(_xlfn.ANCHORARRAY($C$3),T_CALC[[#This Row],[DAY]]+1,6),NA())</f>
        <v>#N/A</v>
      </c>
      <c r="Q1420" t="e" cm="1">
        <f t="array" aca="1" ref="Q1420" ca="1">IFERROR(INDEX(_xlfn.ANCHORARRAY($C$3),T_CALC[[#This Row],[DAY]]+1,2),NA())</f>
        <v>#N/A</v>
      </c>
    </row>
    <row r="1421" spans="11:17">
      <c r="K1421" t="str">
        <f ca="1">IF(ROW(T_CALC[[#This Row],[DAY]])-ROW(T_CALC[[#Headers],[DAY]])&gt;C_N_TRADING_DAYS,"",ROW(T_CALC[[#This Row],[DAY]])-ROW(T_CALC[[#Headers],[DAY]]))</f>
        <v/>
      </c>
      <c r="L1421" t="e" cm="1">
        <f t="array" aca="1" ref="L1421" ca="1">IFERROR(INDEX(_xlfn.ANCHORARRAY($C$3),T_CALC[[#This Row],[DAY]]+1,1),NA())</f>
        <v>#N/A</v>
      </c>
      <c r="M1421" t="e" cm="1">
        <f t="array" aca="1" ref="M1421" ca="1">IFERROR(INDEX(_xlfn.ANCHORARRAY($C$3),T_CALC[[#This Row],[DAY]]+1,3),NA())</f>
        <v>#N/A</v>
      </c>
      <c r="N1421" t="e" cm="1">
        <f t="array" aca="1" ref="N1421" ca="1">IFERROR(INDEX(_xlfn.ANCHORARRAY($C$3),T_CALC[[#This Row],[DAY]]+1,4),NA())</f>
        <v>#N/A</v>
      </c>
      <c r="O1421" t="e" cm="1">
        <f t="array" aca="1" ref="O1421" ca="1">IFERROR(INDEX(_xlfn.ANCHORARRAY($C$3),T_CALC[[#This Row],[DAY]]+1,5),NA())</f>
        <v>#N/A</v>
      </c>
      <c r="P1421" t="e" cm="1">
        <f t="array" aca="1" ref="P1421" ca="1">IFERROR(INDEX(_xlfn.ANCHORARRAY($C$3),T_CALC[[#This Row],[DAY]]+1,6),NA())</f>
        <v>#N/A</v>
      </c>
      <c r="Q1421" t="e" cm="1">
        <f t="array" aca="1" ref="Q1421" ca="1">IFERROR(INDEX(_xlfn.ANCHORARRAY($C$3),T_CALC[[#This Row],[DAY]]+1,2),NA())</f>
        <v>#N/A</v>
      </c>
    </row>
    <row r="1422" spans="11:17">
      <c r="K1422" t="str">
        <f ca="1">IF(ROW(T_CALC[[#This Row],[DAY]])-ROW(T_CALC[[#Headers],[DAY]])&gt;C_N_TRADING_DAYS,"",ROW(T_CALC[[#This Row],[DAY]])-ROW(T_CALC[[#Headers],[DAY]]))</f>
        <v/>
      </c>
      <c r="L1422" t="e" cm="1">
        <f t="array" aca="1" ref="L1422" ca="1">IFERROR(INDEX(_xlfn.ANCHORARRAY($C$3),T_CALC[[#This Row],[DAY]]+1,1),NA())</f>
        <v>#N/A</v>
      </c>
      <c r="M1422" t="e" cm="1">
        <f t="array" aca="1" ref="M1422" ca="1">IFERROR(INDEX(_xlfn.ANCHORARRAY($C$3),T_CALC[[#This Row],[DAY]]+1,3),NA())</f>
        <v>#N/A</v>
      </c>
      <c r="N1422" t="e" cm="1">
        <f t="array" aca="1" ref="N1422" ca="1">IFERROR(INDEX(_xlfn.ANCHORARRAY($C$3),T_CALC[[#This Row],[DAY]]+1,4),NA())</f>
        <v>#N/A</v>
      </c>
      <c r="O1422" t="e" cm="1">
        <f t="array" aca="1" ref="O1422" ca="1">IFERROR(INDEX(_xlfn.ANCHORARRAY($C$3),T_CALC[[#This Row],[DAY]]+1,5),NA())</f>
        <v>#N/A</v>
      </c>
      <c r="P1422" t="e" cm="1">
        <f t="array" aca="1" ref="P1422" ca="1">IFERROR(INDEX(_xlfn.ANCHORARRAY($C$3),T_CALC[[#This Row],[DAY]]+1,6),NA())</f>
        <v>#N/A</v>
      </c>
      <c r="Q1422" t="e" cm="1">
        <f t="array" aca="1" ref="Q1422" ca="1">IFERROR(INDEX(_xlfn.ANCHORARRAY($C$3),T_CALC[[#This Row],[DAY]]+1,2),NA())</f>
        <v>#N/A</v>
      </c>
    </row>
    <row r="1423" spans="11:17">
      <c r="K1423" t="str">
        <f ca="1">IF(ROW(T_CALC[[#This Row],[DAY]])-ROW(T_CALC[[#Headers],[DAY]])&gt;C_N_TRADING_DAYS,"",ROW(T_CALC[[#This Row],[DAY]])-ROW(T_CALC[[#Headers],[DAY]]))</f>
        <v/>
      </c>
      <c r="L1423" t="e" cm="1">
        <f t="array" aca="1" ref="L1423" ca="1">IFERROR(INDEX(_xlfn.ANCHORARRAY($C$3),T_CALC[[#This Row],[DAY]]+1,1),NA())</f>
        <v>#N/A</v>
      </c>
      <c r="M1423" t="e" cm="1">
        <f t="array" aca="1" ref="M1423" ca="1">IFERROR(INDEX(_xlfn.ANCHORARRAY($C$3),T_CALC[[#This Row],[DAY]]+1,3),NA())</f>
        <v>#N/A</v>
      </c>
      <c r="N1423" t="e" cm="1">
        <f t="array" aca="1" ref="N1423" ca="1">IFERROR(INDEX(_xlfn.ANCHORARRAY($C$3),T_CALC[[#This Row],[DAY]]+1,4),NA())</f>
        <v>#N/A</v>
      </c>
      <c r="O1423" t="e" cm="1">
        <f t="array" aca="1" ref="O1423" ca="1">IFERROR(INDEX(_xlfn.ANCHORARRAY($C$3),T_CALC[[#This Row],[DAY]]+1,5),NA())</f>
        <v>#N/A</v>
      </c>
      <c r="P1423" t="e" cm="1">
        <f t="array" aca="1" ref="P1423" ca="1">IFERROR(INDEX(_xlfn.ANCHORARRAY($C$3),T_CALC[[#This Row],[DAY]]+1,6),NA())</f>
        <v>#N/A</v>
      </c>
      <c r="Q1423" t="e" cm="1">
        <f t="array" aca="1" ref="Q1423" ca="1">IFERROR(INDEX(_xlfn.ANCHORARRAY($C$3),T_CALC[[#This Row],[DAY]]+1,2),NA())</f>
        <v>#N/A</v>
      </c>
    </row>
    <row r="1424" spans="11:17">
      <c r="K1424" t="str">
        <f ca="1">IF(ROW(T_CALC[[#This Row],[DAY]])-ROW(T_CALC[[#Headers],[DAY]])&gt;C_N_TRADING_DAYS,"",ROW(T_CALC[[#This Row],[DAY]])-ROW(T_CALC[[#Headers],[DAY]]))</f>
        <v/>
      </c>
      <c r="L1424" t="e" cm="1">
        <f t="array" aca="1" ref="L1424" ca="1">IFERROR(INDEX(_xlfn.ANCHORARRAY($C$3),T_CALC[[#This Row],[DAY]]+1,1),NA())</f>
        <v>#N/A</v>
      </c>
      <c r="M1424" t="e" cm="1">
        <f t="array" aca="1" ref="M1424" ca="1">IFERROR(INDEX(_xlfn.ANCHORARRAY($C$3),T_CALC[[#This Row],[DAY]]+1,3),NA())</f>
        <v>#N/A</v>
      </c>
      <c r="N1424" t="e" cm="1">
        <f t="array" aca="1" ref="N1424" ca="1">IFERROR(INDEX(_xlfn.ANCHORARRAY($C$3),T_CALC[[#This Row],[DAY]]+1,4),NA())</f>
        <v>#N/A</v>
      </c>
      <c r="O1424" t="e" cm="1">
        <f t="array" aca="1" ref="O1424" ca="1">IFERROR(INDEX(_xlfn.ANCHORARRAY($C$3),T_CALC[[#This Row],[DAY]]+1,5),NA())</f>
        <v>#N/A</v>
      </c>
      <c r="P1424" t="e" cm="1">
        <f t="array" aca="1" ref="P1424" ca="1">IFERROR(INDEX(_xlfn.ANCHORARRAY($C$3),T_CALC[[#This Row],[DAY]]+1,6),NA())</f>
        <v>#N/A</v>
      </c>
      <c r="Q1424" t="e" cm="1">
        <f t="array" aca="1" ref="Q1424" ca="1">IFERROR(INDEX(_xlfn.ANCHORARRAY($C$3),T_CALC[[#This Row],[DAY]]+1,2),NA())</f>
        <v>#N/A</v>
      </c>
    </row>
    <row r="1425" spans="11:17">
      <c r="K1425" t="str">
        <f ca="1">IF(ROW(T_CALC[[#This Row],[DAY]])-ROW(T_CALC[[#Headers],[DAY]])&gt;C_N_TRADING_DAYS,"",ROW(T_CALC[[#This Row],[DAY]])-ROW(T_CALC[[#Headers],[DAY]]))</f>
        <v/>
      </c>
      <c r="L1425" t="e" cm="1">
        <f t="array" aca="1" ref="L1425" ca="1">IFERROR(INDEX(_xlfn.ANCHORARRAY($C$3),T_CALC[[#This Row],[DAY]]+1,1),NA())</f>
        <v>#N/A</v>
      </c>
      <c r="M1425" t="e" cm="1">
        <f t="array" aca="1" ref="M1425" ca="1">IFERROR(INDEX(_xlfn.ANCHORARRAY($C$3),T_CALC[[#This Row],[DAY]]+1,3),NA())</f>
        <v>#N/A</v>
      </c>
      <c r="N1425" t="e" cm="1">
        <f t="array" aca="1" ref="N1425" ca="1">IFERROR(INDEX(_xlfn.ANCHORARRAY($C$3),T_CALC[[#This Row],[DAY]]+1,4),NA())</f>
        <v>#N/A</v>
      </c>
      <c r="O1425" t="e" cm="1">
        <f t="array" aca="1" ref="O1425" ca="1">IFERROR(INDEX(_xlfn.ANCHORARRAY($C$3),T_CALC[[#This Row],[DAY]]+1,5),NA())</f>
        <v>#N/A</v>
      </c>
      <c r="P1425" t="e" cm="1">
        <f t="array" aca="1" ref="P1425" ca="1">IFERROR(INDEX(_xlfn.ANCHORARRAY($C$3),T_CALC[[#This Row],[DAY]]+1,6),NA())</f>
        <v>#N/A</v>
      </c>
      <c r="Q1425" t="e" cm="1">
        <f t="array" aca="1" ref="Q1425" ca="1">IFERROR(INDEX(_xlfn.ANCHORARRAY($C$3),T_CALC[[#This Row],[DAY]]+1,2),NA())</f>
        <v>#N/A</v>
      </c>
    </row>
    <row r="1426" spans="11:17">
      <c r="K1426" t="str">
        <f ca="1">IF(ROW(T_CALC[[#This Row],[DAY]])-ROW(T_CALC[[#Headers],[DAY]])&gt;C_N_TRADING_DAYS,"",ROW(T_CALC[[#This Row],[DAY]])-ROW(T_CALC[[#Headers],[DAY]]))</f>
        <v/>
      </c>
      <c r="L1426" t="e" cm="1">
        <f t="array" aca="1" ref="L1426" ca="1">IFERROR(INDEX(_xlfn.ANCHORARRAY($C$3),T_CALC[[#This Row],[DAY]]+1,1),NA())</f>
        <v>#N/A</v>
      </c>
      <c r="M1426" t="e" cm="1">
        <f t="array" aca="1" ref="M1426" ca="1">IFERROR(INDEX(_xlfn.ANCHORARRAY($C$3),T_CALC[[#This Row],[DAY]]+1,3),NA())</f>
        <v>#N/A</v>
      </c>
      <c r="N1426" t="e" cm="1">
        <f t="array" aca="1" ref="N1426" ca="1">IFERROR(INDEX(_xlfn.ANCHORARRAY($C$3),T_CALC[[#This Row],[DAY]]+1,4),NA())</f>
        <v>#N/A</v>
      </c>
      <c r="O1426" t="e" cm="1">
        <f t="array" aca="1" ref="O1426" ca="1">IFERROR(INDEX(_xlfn.ANCHORARRAY($C$3),T_CALC[[#This Row],[DAY]]+1,5),NA())</f>
        <v>#N/A</v>
      </c>
      <c r="P1426" t="e" cm="1">
        <f t="array" aca="1" ref="P1426" ca="1">IFERROR(INDEX(_xlfn.ANCHORARRAY($C$3),T_CALC[[#This Row],[DAY]]+1,6),NA())</f>
        <v>#N/A</v>
      </c>
      <c r="Q1426" t="e" cm="1">
        <f t="array" aca="1" ref="Q1426" ca="1">IFERROR(INDEX(_xlfn.ANCHORARRAY($C$3),T_CALC[[#This Row],[DAY]]+1,2),NA())</f>
        <v>#N/A</v>
      </c>
    </row>
    <row r="1427" spans="11:17">
      <c r="K1427" t="str">
        <f ca="1">IF(ROW(T_CALC[[#This Row],[DAY]])-ROW(T_CALC[[#Headers],[DAY]])&gt;C_N_TRADING_DAYS,"",ROW(T_CALC[[#This Row],[DAY]])-ROW(T_CALC[[#Headers],[DAY]]))</f>
        <v/>
      </c>
      <c r="L1427" t="e" cm="1">
        <f t="array" aca="1" ref="L1427" ca="1">IFERROR(INDEX(_xlfn.ANCHORARRAY($C$3),T_CALC[[#This Row],[DAY]]+1,1),NA())</f>
        <v>#N/A</v>
      </c>
      <c r="M1427" t="e" cm="1">
        <f t="array" aca="1" ref="M1427" ca="1">IFERROR(INDEX(_xlfn.ANCHORARRAY($C$3),T_CALC[[#This Row],[DAY]]+1,3),NA())</f>
        <v>#N/A</v>
      </c>
      <c r="N1427" t="e" cm="1">
        <f t="array" aca="1" ref="N1427" ca="1">IFERROR(INDEX(_xlfn.ANCHORARRAY($C$3),T_CALC[[#This Row],[DAY]]+1,4),NA())</f>
        <v>#N/A</v>
      </c>
      <c r="O1427" t="e" cm="1">
        <f t="array" aca="1" ref="O1427" ca="1">IFERROR(INDEX(_xlfn.ANCHORARRAY($C$3),T_CALC[[#This Row],[DAY]]+1,5),NA())</f>
        <v>#N/A</v>
      </c>
      <c r="P1427" t="e" cm="1">
        <f t="array" aca="1" ref="P1427" ca="1">IFERROR(INDEX(_xlfn.ANCHORARRAY($C$3),T_CALC[[#This Row],[DAY]]+1,6),NA())</f>
        <v>#N/A</v>
      </c>
      <c r="Q1427" t="e" cm="1">
        <f t="array" aca="1" ref="Q1427" ca="1">IFERROR(INDEX(_xlfn.ANCHORARRAY($C$3),T_CALC[[#This Row],[DAY]]+1,2),NA())</f>
        <v>#N/A</v>
      </c>
    </row>
    <row r="1428" spans="11:17">
      <c r="K1428" t="str">
        <f ca="1">IF(ROW(T_CALC[[#This Row],[DAY]])-ROW(T_CALC[[#Headers],[DAY]])&gt;C_N_TRADING_DAYS,"",ROW(T_CALC[[#This Row],[DAY]])-ROW(T_CALC[[#Headers],[DAY]]))</f>
        <v/>
      </c>
      <c r="L1428" t="e" cm="1">
        <f t="array" aca="1" ref="L1428" ca="1">IFERROR(INDEX(_xlfn.ANCHORARRAY($C$3),T_CALC[[#This Row],[DAY]]+1,1),NA())</f>
        <v>#N/A</v>
      </c>
      <c r="M1428" t="e" cm="1">
        <f t="array" aca="1" ref="M1428" ca="1">IFERROR(INDEX(_xlfn.ANCHORARRAY($C$3),T_CALC[[#This Row],[DAY]]+1,3),NA())</f>
        <v>#N/A</v>
      </c>
      <c r="N1428" t="e" cm="1">
        <f t="array" aca="1" ref="N1428" ca="1">IFERROR(INDEX(_xlfn.ANCHORARRAY($C$3),T_CALC[[#This Row],[DAY]]+1,4),NA())</f>
        <v>#N/A</v>
      </c>
      <c r="O1428" t="e" cm="1">
        <f t="array" aca="1" ref="O1428" ca="1">IFERROR(INDEX(_xlfn.ANCHORARRAY($C$3),T_CALC[[#This Row],[DAY]]+1,5),NA())</f>
        <v>#N/A</v>
      </c>
      <c r="P1428" t="e" cm="1">
        <f t="array" aca="1" ref="P1428" ca="1">IFERROR(INDEX(_xlfn.ANCHORARRAY($C$3),T_CALC[[#This Row],[DAY]]+1,6),NA())</f>
        <v>#N/A</v>
      </c>
      <c r="Q1428" t="e" cm="1">
        <f t="array" aca="1" ref="Q1428" ca="1">IFERROR(INDEX(_xlfn.ANCHORARRAY($C$3),T_CALC[[#This Row],[DAY]]+1,2),NA())</f>
        <v>#N/A</v>
      </c>
    </row>
    <row r="1429" spans="11:17">
      <c r="K1429" t="str">
        <f ca="1">IF(ROW(T_CALC[[#This Row],[DAY]])-ROW(T_CALC[[#Headers],[DAY]])&gt;C_N_TRADING_DAYS,"",ROW(T_CALC[[#This Row],[DAY]])-ROW(T_CALC[[#Headers],[DAY]]))</f>
        <v/>
      </c>
      <c r="L1429" t="e" cm="1">
        <f t="array" aca="1" ref="L1429" ca="1">IFERROR(INDEX(_xlfn.ANCHORARRAY($C$3),T_CALC[[#This Row],[DAY]]+1,1),NA())</f>
        <v>#N/A</v>
      </c>
      <c r="M1429" t="e" cm="1">
        <f t="array" aca="1" ref="M1429" ca="1">IFERROR(INDEX(_xlfn.ANCHORARRAY($C$3),T_CALC[[#This Row],[DAY]]+1,3),NA())</f>
        <v>#N/A</v>
      </c>
      <c r="N1429" t="e" cm="1">
        <f t="array" aca="1" ref="N1429" ca="1">IFERROR(INDEX(_xlfn.ANCHORARRAY($C$3),T_CALC[[#This Row],[DAY]]+1,4),NA())</f>
        <v>#N/A</v>
      </c>
      <c r="O1429" t="e" cm="1">
        <f t="array" aca="1" ref="O1429" ca="1">IFERROR(INDEX(_xlfn.ANCHORARRAY($C$3),T_CALC[[#This Row],[DAY]]+1,5),NA())</f>
        <v>#N/A</v>
      </c>
      <c r="P1429" t="e" cm="1">
        <f t="array" aca="1" ref="P1429" ca="1">IFERROR(INDEX(_xlfn.ANCHORARRAY($C$3),T_CALC[[#This Row],[DAY]]+1,6),NA())</f>
        <v>#N/A</v>
      </c>
      <c r="Q1429" t="e" cm="1">
        <f t="array" aca="1" ref="Q1429" ca="1">IFERROR(INDEX(_xlfn.ANCHORARRAY($C$3),T_CALC[[#This Row],[DAY]]+1,2),NA())</f>
        <v>#N/A</v>
      </c>
    </row>
    <row r="1430" spans="11:17">
      <c r="K1430" t="str">
        <f ca="1">IF(ROW(T_CALC[[#This Row],[DAY]])-ROW(T_CALC[[#Headers],[DAY]])&gt;C_N_TRADING_DAYS,"",ROW(T_CALC[[#This Row],[DAY]])-ROW(T_CALC[[#Headers],[DAY]]))</f>
        <v/>
      </c>
      <c r="L1430" t="e" cm="1">
        <f t="array" aca="1" ref="L1430" ca="1">IFERROR(INDEX(_xlfn.ANCHORARRAY($C$3),T_CALC[[#This Row],[DAY]]+1,1),NA())</f>
        <v>#N/A</v>
      </c>
      <c r="M1430" t="e" cm="1">
        <f t="array" aca="1" ref="M1430" ca="1">IFERROR(INDEX(_xlfn.ANCHORARRAY($C$3),T_CALC[[#This Row],[DAY]]+1,3),NA())</f>
        <v>#N/A</v>
      </c>
      <c r="N1430" t="e" cm="1">
        <f t="array" aca="1" ref="N1430" ca="1">IFERROR(INDEX(_xlfn.ANCHORARRAY($C$3),T_CALC[[#This Row],[DAY]]+1,4),NA())</f>
        <v>#N/A</v>
      </c>
      <c r="O1430" t="e" cm="1">
        <f t="array" aca="1" ref="O1430" ca="1">IFERROR(INDEX(_xlfn.ANCHORARRAY($C$3),T_CALC[[#This Row],[DAY]]+1,5),NA())</f>
        <v>#N/A</v>
      </c>
      <c r="P1430" t="e" cm="1">
        <f t="array" aca="1" ref="P1430" ca="1">IFERROR(INDEX(_xlfn.ANCHORARRAY($C$3),T_CALC[[#This Row],[DAY]]+1,6),NA())</f>
        <v>#N/A</v>
      </c>
      <c r="Q1430" t="e" cm="1">
        <f t="array" aca="1" ref="Q1430" ca="1">IFERROR(INDEX(_xlfn.ANCHORARRAY($C$3),T_CALC[[#This Row],[DAY]]+1,2),NA())</f>
        <v>#N/A</v>
      </c>
    </row>
    <row r="1431" spans="11:17">
      <c r="K1431" t="str">
        <f ca="1">IF(ROW(T_CALC[[#This Row],[DAY]])-ROW(T_CALC[[#Headers],[DAY]])&gt;C_N_TRADING_DAYS,"",ROW(T_CALC[[#This Row],[DAY]])-ROW(T_CALC[[#Headers],[DAY]]))</f>
        <v/>
      </c>
      <c r="L1431" t="e" cm="1">
        <f t="array" aca="1" ref="L1431" ca="1">IFERROR(INDEX(_xlfn.ANCHORARRAY($C$3),T_CALC[[#This Row],[DAY]]+1,1),NA())</f>
        <v>#N/A</v>
      </c>
      <c r="M1431" t="e" cm="1">
        <f t="array" aca="1" ref="M1431" ca="1">IFERROR(INDEX(_xlfn.ANCHORARRAY($C$3),T_CALC[[#This Row],[DAY]]+1,3),NA())</f>
        <v>#N/A</v>
      </c>
      <c r="N1431" t="e" cm="1">
        <f t="array" aca="1" ref="N1431" ca="1">IFERROR(INDEX(_xlfn.ANCHORARRAY($C$3),T_CALC[[#This Row],[DAY]]+1,4),NA())</f>
        <v>#N/A</v>
      </c>
      <c r="O1431" t="e" cm="1">
        <f t="array" aca="1" ref="O1431" ca="1">IFERROR(INDEX(_xlfn.ANCHORARRAY($C$3),T_CALC[[#This Row],[DAY]]+1,5),NA())</f>
        <v>#N/A</v>
      </c>
      <c r="P1431" t="e" cm="1">
        <f t="array" aca="1" ref="P1431" ca="1">IFERROR(INDEX(_xlfn.ANCHORARRAY($C$3),T_CALC[[#This Row],[DAY]]+1,6),NA())</f>
        <v>#N/A</v>
      </c>
      <c r="Q1431" t="e" cm="1">
        <f t="array" aca="1" ref="Q1431" ca="1">IFERROR(INDEX(_xlfn.ANCHORARRAY($C$3),T_CALC[[#This Row],[DAY]]+1,2),NA())</f>
        <v>#N/A</v>
      </c>
    </row>
    <row r="1432" spans="11:17">
      <c r="K1432" t="str">
        <f ca="1">IF(ROW(T_CALC[[#This Row],[DAY]])-ROW(T_CALC[[#Headers],[DAY]])&gt;C_N_TRADING_DAYS,"",ROW(T_CALC[[#This Row],[DAY]])-ROW(T_CALC[[#Headers],[DAY]]))</f>
        <v/>
      </c>
      <c r="L1432" t="e" cm="1">
        <f t="array" aca="1" ref="L1432" ca="1">IFERROR(INDEX(_xlfn.ANCHORARRAY($C$3),T_CALC[[#This Row],[DAY]]+1,1),NA())</f>
        <v>#N/A</v>
      </c>
      <c r="M1432" t="e" cm="1">
        <f t="array" aca="1" ref="M1432" ca="1">IFERROR(INDEX(_xlfn.ANCHORARRAY($C$3),T_CALC[[#This Row],[DAY]]+1,3),NA())</f>
        <v>#N/A</v>
      </c>
      <c r="N1432" t="e" cm="1">
        <f t="array" aca="1" ref="N1432" ca="1">IFERROR(INDEX(_xlfn.ANCHORARRAY($C$3),T_CALC[[#This Row],[DAY]]+1,4),NA())</f>
        <v>#N/A</v>
      </c>
      <c r="O1432" t="e" cm="1">
        <f t="array" aca="1" ref="O1432" ca="1">IFERROR(INDEX(_xlfn.ANCHORARRAY($C$3),T_CALC[[#This Row],[DAY]]+1,5),NA())</f>
        <v>#N/A</v>
      </c>
      <c r="P1432" t="e" cm="1">
        <f t="array" aca="1" ref="P1432" ca="1">IFERROR(INDEX(_xlfn.ANCHORARRAY($C$3),T_CALC[[#This Row],[DAY]]+1,6),NA())</f>
        <v>#N/A</v>
      </c>
      <c r="Q1432" t="e" cm="1">
        <f t="array" aca="1" ref="Q1432" ca="1">IFERROR(INDEX(_xlfn.ANCHORARRAY($C$3),T_CALC[[#This Row],[DAY]]+1,2),NA())</f>
        <v>#N/A</v>
      </c>
    </row>
    <row r="1433" spans="11:17">
      <c r="K1433" t="str">
        <f ca="1">IF(ROW(T_CALC[[#This Row],[DAY]])-ROW(T_CALC[[#Headers],[DAY]])&gt;C_N_TRADING_DAYS,"",ROW(T_CALC[[#This Row],[DAY]])-ROW(T_CALC[[#Headers],[DAY]]))</f>
        <v/>
      </c>
      <c r="L1433" t="e" cm="1">
        <f t="array" aca="1" ref="L1433" ca="1">IFERROR(INDEX(_xlfn.ANCHORARRAY($C$3),T_CALC[[#This Row],[DAY]]+1,1),NA())</f>
        <v>#N/A</v>
      </c>
      <c r="M1433" t="e" cm="1">
        <f t="array" aca="1" ref="M1433" ca="1">IFERROR(INDEX(_xlfn.ANCHORARRAY($C$3),T_CALC[[#This Row],[DAY]]+1,3),NA())</f>
        <v>#N/A</v>
      </c>
      <c r="N1433" t="e" cm="1">
        <f t="array" aca="1" ref="N1433" ca="1">IFERROR(INDEX(_xlfn.ANCHORARRAY($C$3),T_CALC[[#This Row],[DAY]]+1,4),NA())</f>
        <v>#N/A</v>
      </c>
      <c r="O1433" t="e" cm="1">
        <f t="array" aca="1" ref="O1433" ca="1">IFERROR(INDEX(_xlfn.ANCHORARRAY($C$3),T_CALC[[#This Row],[DAY]]+1,5),NA())</f>
        <v>#N/A</v>
      </c>
      <c r="P1433" t="e" cm="1">
        <f t="array" aca="1" ref="P1433" ca="1">IFERROR(INDEX(_xlfn.ANCHORARRAY($C$3),T_CALC[[#This Row],[DAY]]+1,6),NA())</f>
        <v>#N/A</v>
      </c>
      <c r="Q1433" t="e" cm="1">
        <f t="array" aca="1" ref="Q1433" ca="1">IFERROR(INDEX(_xlfn.ANCHORARRAY($C$3),T_CALC[[#This Row],[DAY]]+1,2),NA())</f>
        <v>#N/A</v>
      </c>
    </row>
    <row r="1434" spans="11:17">
      <c r="K1434" t="str">
        <f ca="1">IF(ROW(T_CALC[[#This Row],[DAY]])-ROW(T_CALC[[#Headers],[DAY]])&gt;C_N_TRADING_DAYS,"",ROW(T_CALC[[#This Row],[DAY]])-ROW(T_CALC[[#Headers],[DAY]]))</f>
        <v/>
      </c>
      <c r="L1434" t="e" cm="1">
        <f t="array" aca="1" ref="L1434" ca="1">IFERROR(INDEX(_xlfn.ANCHORARRAY($C$3),T_CALC[[#This Row],[DAY]]+1,1),NA())</f>
        <v>#N/A</v>
      </c>
      <c r="M1434" t="e" cm="1">
        <f t="array" aca="1" ref="M1434" ca="1">IFERROR(INDEX(_xlfn.ANCHORARRAY($C$3),T_CALC[[#This Row],[DAY]]+1,3),NA())</f>
        <v>#N/A</v>
      </c>
      <c r="N1434" t="e" cm="1">
        <f t="array" aca="1" ref="N1434" ca="1">IFERROR(INDEX(_xlfn.ANCHORARRAY($C$3),T_CALC[[#This Row],[DAY]]+1,4),NA())</f>
        <v>#N/A</v>
      </c>
      <c r="O1434" t="e" cm="1">
        <f t="array" aca="1" ref="O1434" ca="1">IFERROR(INDEX(_xlfn.ANCHORARRAY($C$3),T_CALC[[#This Row],[DAY]]+1,5),NA())</f>
        <v>#N/A</v>
      </c>
      <c r="P1434" t="e" cm="1">
        <f t="array" aca="1" ref="P1434" ca="1">IFERROR(INDEX(_xlfn.ANCHORARRAY($C$3),T_CALC[[#This Row],[DAY]]+1,6),NA())</f>
        <v>#N/A</v>
      </c>
      <c r="Q1434" t="e" cm="1">
        <f t="array" aca="1" ref="Q1434" ca="1">IFERROR(INDEX(_xlfn.ANCHORARRAY($C$3),T_CALC[[#This Row],[DAY]]+1,2),NA())</f>
        <v>#N/A</v>
      </c>
    </row>
    <row r="1435" spans="11:17">
      <c r="K1435" t="str">
        <f ca="1">IF(ROW(T_CALC[[#This Row],[DAY]])-ROW(T_CALC[[#Headers],[DAY]])&gt;C_N_TRADING_DAYS,"",ROW(T_CALC[[#This Row],[DAY]])-ROW(T_CALC[[#Headers],[DAY]]))</f>
        <v/>
      </c>
      <c r="L1435" t="e" cm="1">
        <f t="array" aca="1" ref="L1435" ca="1">IFERROR(INDEX(_xlfn.ANCHORARRAY($C$3),T_CALC[[#This Row],[DAY]]+1,1),NA())</f>
        <v>#N/A</v>
      </c>
      <c r="M1435" t="e" cm="1">
        <f t="array" aca="1" ref="M1435" ca="1">IFERROR(INDEX(_xlfn.ANCHORARRAY($C$3),T_CALC[[#This Row],[DAY]]+1,3),NA())</f>
        <v>#N/A</v>
      </c>
      <c r="N1435" t="e" cm="1">
        <f t="array" aca="1" ref="N1435" ca="1">IFERROR(INDEX(_xlfn.ANCHORARRAY($C$3),T_CALC[[#This Row],[DAY]]+1,4),NA())</f>
        <v>#N/A</v>
      </c>
      <c r="O1435" t="e" cm="1">
        <f t="array" aca="1" ref="O1435" ca="1">IFERROR(INDEX(_xlfn.ANCHORARRAY($C$3),T_CALC[[#This Row],[DAY]]+1,5),NA())</f>
        <v>#N/A</v>
      </c>
      <c r="P1435" t="e" cm="1">
        <f t="array" aca="1" ref="P1435" ca="1">IFERROR(INDEX(_xlfn.ANCHORARRAY($C$3),T_CALC[[#This Row],[DAY]]+1,6),NA())</f>
        <v>#N/A</v>
      </c>
      <c r="Q1435" t="e" cm="1">
        <f t="array" aca="1" ref="Q1435" ca="1">IFERROR(INDEX(_xlfn.ANCHORARRAY($C$3),T_CALC[[#This Row],[DAY]]+1,2),NA())</f>
        <v>#N/A</v>
      </c>
    </row>
    <row r="1436" spans="11:17">
      <c r="K1436" t="str">
        <f ca="1">IF(ROW(T_CALC[[#This Row],[DAY]])-ROW(T_CALC[[#Headers],[DAY]])&gt;C_N_TRADING_DAYS,"",ROW(T_CALC[[#This Row],[DAY]])-ROW(T_CALC[[#Headers],[DAY]]))</f>
        <v/>
      </c>
      <c r="L1436" t="e" cm="1">
        <f t="array" aca="1" ref="L1436" ca="1">IFERROR(INDEX(_xlfn.ANCHORARRAY($C$3),T_CALC[[#This Row],[DAY]]+1,1),NA())</f>
        <v>#N/A</v>
      </c>
      <c r="M1436" t="e" cm="1">
        <f t="array" aca="1" ref="M1436" ca="1">IFERROR(INDEX(_xlfn.ANCHORARRAY($C$3),T_CALC[[#This Row],[DAY]]+1,3),NA())</f>
        <v>#N/A</v>
      </c>
      <c r="N1436" t="e" cm="1">
        <f t="array" aca="1" ref="N1436" ca="1">IFERROR(INDEX(_xlfn.ANCHORARRAY($C$3),T_CALC[[#This Row],[DAY]]+1,4),NA())</f>
        <v>#N/A</v>
      </c>
      <c r="O1436" t="e" cm="1">
        <f t="array" aca="1" ref="O1436" ca="1">IFERROR(INDEX(_xlfn.ANCHORARRAY($C$3),T_CALC[[#This Row],[DAY]]+1,5),NA())</f>
        <v>#N/A</v>
      </c>
      <c r="P1436" t="e" cm="1">
        <f t="array" aca="1" ref="P1436" ca="1">IFERROR(INDEX(_xlfn.ANCHORARRAY($C$3),T_CALC[[#This Row],[DAY]]+1,6),NA())</f>
        <v>#N/A</v>
      </c>
      <c r="Q1436" t="e" cm="1">
        <f t="array" aca="1" ref="Q1436" ca="1">IFERROR(INDEX(_xlfn.ANCHORARRAY($C$3),T_CALC[[#This Row],[DAY]]+1,2),NA())</f>
        <v>#N/A</v>
      </c>
    </row>
    <row r="1437" spans="11:17">
      <c r="K1437" t="str">
        <f ca="1">IF(ROW(T_CALC[[#This Row],[DAY]])-ROW(T_CALC[[#Headers],[DAY]])&gt;C_N_TRADING_DAYS,"",ROW(T_CALC[[#This Row],[DAY]])-ROW(T_CALC[[#Headers],[DAY]]))</f>
        <v/>
      </c>
      <c r="L1437" t="e" cm="1">
        <f t="array" aca="1" ref="L1437" ca="1">IFERROR(INDEX(_xlfn.ANCHORARRAY($C$3),T_CALC[[#This Row],[DAY]]+1,1),NA())</f>
        <v>#N/A</v>
      </c>
      <c r="M1437" t="e" cm="1">
        <f t="array" aca="1" ref="M1437" ca="1">IFERROR(INDEX(_xlfn.ANCHORARRAY($C$3),T_CALC[[#This Row],[DAY]]+1,3),NA())</f>
        <v>#N/A</v>
      </c>
      <c r="N1437" t="e" cm="1">
        <f t="array" aca="1" ref="N1437" ca="1">IFERROR(INDEX(_xlfn.ANCHORARRAY($C$3),T_CALC[[#This Row],[DAY]]+1,4),NA())</f>
        <v>#N/A</v>
      </c>
      <c r="O1437" t="e" cm="1">
        <f t="array" aca="1" ref="O1437" ca="1">IFERROR(INDEX(_xlfn.ANCHORARRAY($C$3),T_CALC[[#This Row],[DAY]]+1,5),NA())</f>
        <v>#N/A</v>
      </c>
      <c r="P1437" t="e" cm="1">
        <f t="array" aca="1" ref="P1437" ca="1">IFERROR(INDEX(_xlfn.ANCHORARRAY($C$3),T_CALC[[#This Row],[DAY]]+1,6),NA())</f>
        <v>#N/A</v>
      </c>
      <c r="Q1437" t="e" cm="1">
        <f t="array" aca="1" ref="Q1437" ca="1">IFERROR(INDEX(_xlfn.ANCHORARRAY($C$3),T_CALC[[#This Row],[DAY]]+1,2),NA())</f>
        <v>#N/A</v>
      </c>
    </row>
    <row r="1438" spans="11:17">
      <c r="K1438" t="str">
        <f ca="1">IF(ROW(T_CALC[[#This Row],[DAY]])-ROW(T_CALC[[#Headers],[DAY]])&gt;C_N_TRADING_DAYS,"",ROW(T_CALC[[#This Row],[DAY]])-ROW(T_CALC[[#Headers],[DAY]]))</f>
        <v/>
      </c>
      <c r="L1438" t="e" cm="1">
        <f t="array" aca="1" ref="L1438" ca="1">IFERROR(INDEX(_xlfn.ANCHORARRAY($C$3),T_CALC[[#This Row],[DAY]]+1,1),NA())</f>
        <v>#N/A</v>
      </c>
      <c r="M1438" t="e" cm="1">
        <f t="array" aca="1" ref="M1438" ca="1">IFERROR(INDEX(_xlfn.ANCHORARRAY($C$3),T_CALC[[#This Row],[DAY]]+1,3),NA())</f>
        <v>#N/A</v>
      </c>
      <c r="N1438" t="e" cm="1">
        <f t="array" aca="1" ref="N1438" ca="1">IFERROR(INDEX(_xlfn.ANCHORARRAY($C$3),T_CALC[[#This Row],[DAY]]+1,4),NA())</f>
        <v>#N/A</v>
      </c>
      <c r="O1438" t="e" cm="1">
        <f t="array" aca="1" ref="O1438" ca="1">IFERROR(INDEX(_xlfn.ANCHORARRAY($C$3),T_CALC[[#This Row],[DAY]]+1,5),NA())</f>
        <v>#N/A</v>
      </c>
      <c r="P1438" t="e" cm="1">
        <f t="array" aca="1" ref="P1438" ca="1">IFERROR(INDEX(_xlfn.ANCHORARRAY($C$3),T_CALC[[#This Row],[DAY]]+1,6),NA())</f>
        <v>#N/A</v>
      </c>
      <c r="Q1438" t="e" cm="1">
        <f t="array" aca="1" ref="Q1438" ca="1">IFERROR(INDEX(_xlfn.ANCHORARRAY($C$3),T_CALC[[#This Row],[DAY]]+1,2),NA())</f>
        <v>#N/A</v>
      </c>
    </row>
    <row r="1439" spans="11:17">
      <c r="K1439" t="str">
        <f ca="1">IF(ROW(T_CALC[[#This Row],[DAY]])-ROW(T_CALC[[#Headers],[DAY]])&gt;C_N_TRADING_DAYS,"",ROW(T_CALC[[#This Row],[DAY]])-ROW(T_CALC[[#Headers],[DAY]]))</f>
        <v/>
      </c>
      <c r="L1439" t="e" cm="1">
        <f t="array" aca="1" ref="L1439" ca="1">IFERROR(INDEX(_xlfn.ANCHORARRAY($C$3),T_CALC[[#This Row],[DAY]]+1,1),NA())</f>
        <v>#N/A</v>
      </c>
      <c r="M1439" t="e" cm="1">
        <f t="array" aca="1" ref="M1439" ca="1">IFERROR(INDEX(_xlfn.ANCHORARRAY($C$3),T_CALC[[#This Row],[DAY]]+1,3),NA())</f>
        <v>#N/A</v>
      </c>
      <c r="N1439" t="e" cm="1">
        <f t="array" aca="1" ref="N1439" ca="1">IFERROR(INDEX(_xlfn.ANCHORARRAY($C$3),T_CALC[[#This Row],[DAY]]+1,4),NA())</f>
        <v>#N/A</v>
      </c>
      <c r="O1439" t="e" cm="1">
        <f t="array" aca="1" ref="O1439" ca="1">IFERROR(INDEX(_xlfn.ANCHORARRAY($C$3),T_CALC[[#This Row],[DAY]]+1,5),NA())</f>
        <v>#N/A</v>
      </c>
      <c r="P1439" t="e" cm="1">
        <f t="array" aca="1" ref="P1439" ca="1">IFERROR(INDEX(_xlfn.ANCHORARRAY($C$3),T_CALC[[#This Row],[DAY]]+1,6),NA())</f>
        <v>#N/A</v>
      </c>
      <c r="Q1439" t="e" cm="1">
        <f t="array" aca="1" ref="Q1439" ca="1">IFERROR(INDEX(_xlfn.ANCHORARRAY($C$3),T_CALC[[#This Row],[DAY]]+1,2),NA())</f>
        <v>#N/A</v>
      </c>
    </row>
    <row r="1440" spans="11:17">
      <c r="K1440" t="str">
        <f ca="1">IF(ROW(T_CALC[[#This Row],[DAY]])-ROW(T_CALC[[#Headers],[DAY]])&gt;C_N_TRADING_DAYS,"",ROW(T_CALC[[#This Row],[DAY]])-ROW(T_CALC[[#Headers],[DAY]]))</f>
        <v/>
      </c>
      <c r="L1440" t="e" cm="1">
        <f t="array" aca="1" ref="L1440" ca="1">IFERROR(INDEX(_xlfn.ANCHORARRAY($C$3),T_CALC[[#This Row],[DAY]]+1,1),NA())</f>
        <v>#N/A</v>
      </c>
      <c r="M1440" t="e" cm="1">
        <f t="array" aca="1" ref="M1440" ca="1">IFERROR(INDEX(_xlfn.ANCHORARRAY($C$3),T_CALC[[#This Row],[DAY]]+1,3),NA())</f>
        <v>#N/A</v>
      </c>
      <c r="N1440" t="e" cm="1">
        <f t="array" aca="1" ref="N1440" ca="1">IFERROR(INDEX(_xlfn.ANCHORARRAY($C$3),T_CALC[[#This Row],[DAY]]+1,4),NA())</f>
        <v>#N/A</v>
      </c>
      <c r="O1440" t="e" cm="1">
        <f t="array" aca="1" ref="O1440" ca="1">IFERROR(INDEX(_xlfn.ANCHORARRAY($C$3),T_CALC[[#This Row],[DAY]]+1,5),NA())</f>
        <v>#N/A</v>
      </c>
      <c r="P1440" t="e" cm="1">
        <f t="array" aca="1" ref="P1440" ca="1">IFERROR(INDEX(_xlfn.ANCHORARRAY($C$3),T_CALC[[#This Row],[DAY]]+1,6),NA())</f>
        <v>#N/A</v>
      </c>
      <c r="Q1440" t="e" cm="1">
        <f t="array" aca="1" ref="Q1440" ca="1">IFERROR(INDEX(_xlfn.ANCHORARRAY($C$3),T_CALC[[#This Row],[DAY]]+1,2),NA())</f>
        <v>#N/A</v>
      </c>
    </row>
    <row r="1441" spans="11:17">
      <c r="K1441" t="str">
        <f ca="1">IF(ROW(T_CALC[[#This Row],[DAY]])-ROW(T_CALC[[#Headers],[DAY]])&gt;C_N_TRADING_DAYS,"",ROW(T_CALC[[#This Row],[DAY]])-ROW(T_CALC[[#Headers],[DAY]]))</f>
        <v/>
      </c>
      <c r="L1441" t="e" cm="1">
        <f t="array" aca="1" ref="L1441" ca="1">IFERROR(INDEX(_xlfn.ANCHORARRAY($C$3),T_CALC[[#This Row],[DAY]]+1,1),NA())</f>
        <v>#N/A</v>
      </c>
      <c r="M1441" t="e" cm="1">
        <f t="array" aca="1" ref="M1441" ca="1">IFERROR(INDEX(_xlfn.ANCHORARRAY($C$3),T_CALC[[#This Row],[DAY]]+1,3),NA())</f>
        <v>#N/A</v>
      </c>
      <c r="N1441" t="e" cm="1">
        <f t="array" aca="1" ref="N1441" ca="1">IFERROR(INDEX(_xlfn.ANCHORARRAY($C$3),T_CALC[[#This Row],[DAY]]+1,4),NA())</f>
        <v>#N/A</v>
      </c>
      <c r="O1441" t="e" cm="1">
        <f t="array" aca="1" ref="O1441" ca="1">IFERROR(INDEX(_xlfn.ANCHORARRAY($C$3),T_CALC[[#This Row],[DAY]]+1,5),NA())</f>
        <v>#N/A</v>
      </c>
      <c r="P1441" t="e" cm="1">
        <f t="array" aca="1" ref="P1441" ca="1">IFERROR(INDEX(_xlfn.ANCHORARRAY($C$3),T_CALC[[#This Row],[DAY]]+1,6),NA())</f>
        <v>#N/A</v>
      </c>
      <c r="Q1441" t="e" cm="1">
        <f t="array" aca="1" ref="Q1441" ca="1">IFERROR(INDEX(_xlfn.ANCHORARRAY($C$3),T_CALC[[#This Row],[DAY]]+1,2),NA())</f>
        <v>#N/A</v>
      </c>
    </row>
    <row r="1442" spans="11:17">
      <c r="K1442" t="str">
        <f ca="1">IF(ROW(T_CALC[[#This Row],[DAY]])-ROW(T_CALC[[#Headers],[DAY]])&gt;C_N_TRADING_DAYS,"",ROW(T_CALC[[#This Row],[DAY]])-ROW(T_CALC[[#Headers],[DAY]]))</f>
        <v/>
      </c>
      <c r="L1442" t="e" cm="1">
        <f t="array" aca="1" ref="L1442" ca="1">IFERROR(INDEX(_xlfn.ANCHORARRAY($C$3),T_CALC[[#This Row],[DAY]]+1,1),NA())</f>
        <v>#N/A</v>
      </c>
      <c r="M1442" t="e" cm="1">
        <f t="array" aca="1" ref="M1442" ca="1">IFERROR(INDEX(_xlfn.ANCHORARRAY($C$3),T_CALC[[#This Row],[DAY]]+1,3),NA())</f>
        <v>#N/A</v>
      </c>
      <c r="N1442" t="e" cm="1">
        <f t="array" aca="1" ref="N1442" ca="1">IFERROR(INDEX(_xlfn.ANCHORARRAY($C$3),T_CALC[[#This Row],[DAY]]+1,4),NA())</f>
        <v>#N/A</v>
      </c>
      <c r="O1442" t="e" cm="1">
        <f t="array" aca="1" ref="O1442" ca="1">IFERROR(INDEX(_xlfn.ANCHORARRAY($C$3),T_CALC[[#This Row],[DAY]]+1,5),NA())</f>
        <v>#N/A</v>
      </c>
      <c r="P1442" t="e" cm="1">
        <f t="array" aca="1" ref="P1442" ca="1">IFERROR(INDEX(_xlfn.ANCHORARRAY($C$3),T_CALC[[#This Row],[DAY]]+1,6),NA())</f>
        <v>#N/A</v>
      </c>
      <c r="Q1442" t="e" cm="1">
        <f t="array" aca="1" ref="Q1442" ca="1">IFERROR(INDEX(_xlfn.ANCHORARRAY($C$3),T_CALC[[#This Row],[DAY]]+1,2),NA())</f>
        <v>#N/A</v>
      </c>
    </row>
    <row r="1443" spans="11:17">
      <c r="K1443" t="str">
        <f ca="1">IF(ROW(T_CALC[[#This Row],[DAY]])-ROW(T_CALC[[#Headers],[DAY]])&gt;C_N_TRADING_DAYS,"",ROW(T_CALC[[#This Row],[DAY]])-ROW(T_CALC[[#Headers],[DAY]]))</f>
        <v/>
      </c>
      <c r="L1443" t="e" cm="1">
        <f t="array" aca="1" ref="L1443" ca="1">IFERROR(INDEX(_xlfn.ANCHORARRAY($C$3),T_CALC[[#This Row],[DAY]]+1,1),NA())</f>
        <v>#N/A</v>
      </c>
      <c r="M1443" t="e" cm="1">
        <f t="array" aca="1" ref="M1443" ca="1">IFERROR(INDEX(_xlfn.ANCHORARRAY($C$3),T_CALC[[#This Row],[DAY]]+1,3),NA())</f>
        <v>#N/A</v>
      </c>
      <c r="N1443" t="e" cm="1">
        <f t="array" aca="1" ref="N1443" ca="1">IFERROR(INDEX(_xlfn.ANCHORARRAY($C$3),T_CALC[[#This Row],[DAY]]+1,4),NA())</f>
        <v>#N/A</v>
      </c>
      <c r="O1443" t="e" cm="1">
        <f t="array" aca="1" ref="O1443" ca="1">IFERROR(INDEX(_xlfn.ANCHORARRAY($C$3),T_CALC[[#This Row],[DAY]]+1,5),NA())</f>
        <v>#N/A</v>
      </c>
      <c r="P1443" t="e" cm="1">
        <f t="array" aca="1" ref="P1443" ca="1">IFERROR(INDEX(_xlfn.ANCHORARRAY($C$3),T_CALC[[#This Row],[DAY]]+1,6),NA())</f>
        <v>#N/A</v>
      </c>
      <c r="Q1443" t="e" cm="1">
        <f t="array" aca="1" ref="Q1443" ca="1">IFERROR(INDEX(_xlfn.ANCHORARRAY($C$3),T_CALC[[#This Row],[DAY]]+1,2),NA())</f>
        <v>#N/A</v>
      </c>
    </row>
    <row r="1444" spans="11:17">
      <c r="K1444" t="str">
        <f ca="1">IF(ROW(T_CALC[[#This Row],[DAY]])-ROW(T_CALC[[#Headers],[DAY]])&gt;C_N_TRADING_DAYS,"",ROW(T_CALC[[#This Row],[DAY]])-ROW(T_CALC[[#Headers],[DAY]]))</f>
        <v/>
      </c>
      <c r="L1444" t="e" cm="1">
        <f t="array" aca="1" ref="L1444" ca="1">IFERROR(INDEX(_xlfn.ANCHORARRAY($C$3),T_CALC[[#This Row],[DAY]]+1,1),NA())</f>
        <v>#N/A</v>
      </c>
      <c r="M1444" t="e" cm="1">
        <f t="array" aca="1" ref="M1444" ca="1">IFERROR(INDEX(_xlfn.ANCHORARRAY($C$3),T_CALC[[#This Row],[DAY]]+1,3),NA())</f>
        <v>#N/A</v>
      </c>
      <c r="N1444" t="e" cm="1">
        <f t="array" aca="1" ref="N1444" ca="1">IFERROR(INDEX(_xlfn.ANCHORARRAY($C$3),T_CALC[[#This Row],[DAY]]+1,4),NA())</f>
        <v>#N/A</v>
      </c>
      <c r="O1444" t="e" cm="1">
        <f t="array" aca="1" ref="O1444" ca="1">IFERROR(INDEX(_xlfn.ANCHORARRAY($C$3),T_CALC[[#This Row],[DAY]]+1,5),NA())</f>
        <v>#N/A</v>
      </c>
      <c r="P1444" t="e" cm="1">
        <f t="array" aca="1" ref="P1444" ca="1">IFERROR(INDEX(_xlfn.ANCHORARRAY($C$3),T_CALC[[#This Row],[DAY]]+1,6),NA())</f>
        <v>#N/A</v>
      </c>
      <c r="Q1444" t="e" cm="1">
        <f t="array" aca="1" ref="Q1444" ca="1">IFERROR(INDEX(_xlfn.ANCHORARRAY($C$3),T_CALC[[#This Row],[DAY]]+1,2),NA())</f>
        <v>#N/A</v>
      </c>
    </row>
    <row r="1445" spans="11:17">
      <c r="K1445" t="str">
        <f ca="1">IF(ROW(T_CALC[[#This Row],[DAY]])-ROW(T_CALC[[#Headers],[DAY]])&gt;C_N_TRADING_DAYS,"",ROW(T_CALC[[#This Row],[DAY]])-ROW(T_CALC[[#Headers],[DAY]]))</f>
        <v/>
      </c>
      <c r="L1445" t="e" cm="1">
        <f t="array" aca="1" ref="L1445" ca="1">IFERROR(INDEX(_xlfn.ANCHORARRAY($C$3),T_CALC[[#This Row],[DAY]]+1,1),NA())</f>
        <v>#N/A</v>
      </c>
      <c r="M1445" t="e" cm="1">
        <f t="array" aca="1" ref="M1445" ca="1">IFERROR(INDEX(_xlfn.ANCHORARRAY($C$3),T_CALC[[#This Row],[DAY]]+1,3),NA())</f>
        <v>#N/A</v>
      </c>
      <c r="N1445" t="e" cm="1">
        <f t="array" aca="1" ref="N1445" ca="1">IFERROR(INDEX(_xlfn.ANCHORARRAY($C$3),T_CALC[[#This Row],[DAY]]+1,4),NA())</f>
        <v>#N/A</v>
      </c>
      <c r="O1445" t="e" cm="1">
        <f t="array" aca="1" ref="O1445" ca="1">IFERROR(INDEX(_xlfn.ANCHORARRAY($C$3),T_CALC[[#This Row],[DAY]]+1,5),NA())</f>
        <v>#N/A</v>
      </c>
      <c r="P1445" t="e" cm="1">
        <f t="array" aca="1" ref="P1445" ca="1">IFERROR(INDEX(_xlfn.ANCHORARRAY($C$3),T_CALC[[#This Row],[DAY]]+1,6),NA())</f>
        <v>#N/A</v>
      </c>
      <c r="Q1445" t="e" cm="1">
        <f t="array" aca="1" ref="Q1445" ca="1">IFERROR(INDEX(_xlfn.ANCHORARRAY($C$3),T_CALC[[#This Row],[DAY]]+1,2),NA())</f>
        <v>#N/A</v>
      </c>
    </row>
    <row r="1446" spans="11:17">
      <c r="K1446" t="str">
        <f ca="1">IF(ROW(T_CALC[[#This Row],[DAY]])-ROW(T_CALC[[#Headers],[DAY]])&gt;C_N_TRADING_DAYS,"",ROW(T_CALC[[#This Row],[DAY]])-ROW(T_CALC[[#Headers],[DAY]]))</f>
        <v/>
      </c>
      <c r="L1446" t="e" cm="1">
        <f t="array" aca="1" ref="L1446" ca="1">IFERROR(INDEX(_xlfn.ANCHORARRAY($C$3),T_CALC[[#This Row],[DAY]]+1,1),NA())</f>
        <v>#N/A</v>
      </c>
      <c r="M1446" t="e" cm="1">
        <f t="array" aca="1" ref="M1446" ca="1">IFERROR(INDEX(_xlfn.ANCHORARRAY($C$3),T_CALC[[#This Row],[DAY]]+1,3),NA())</f>
        <v>#N/A</v>
      </c>
      <c r="N1446" t="e" cm="1">
        <f t="array" aca="1" ref="N1446" ca="1">IFERROR(INDEX(_xlfn.ANCHORARRAY($C$3),T_CALC[[#This Row],[DAY]]+1,4),NA())</f>
        <v>#N/A</v>
      </c>
      <c r="O1446" t="e" cm="1">
        <f t="array" aca="1" ref="O1446" ca="1">IFERROR(INDEX(_xlfn.ANCHORARRAY($C$3),T_CALC[[#This Row],[DAY]]+1,5),NA())</f>
        <v>#N/A</v>
      </c>
      <c r="P1446" t="e" cm="1">
        <f t="array" aca="1" ref="P1446" ca="1">IFERROR(INDEX(_xlfn.ANCHORARRAY($C$3),T_CALC[[#This Row],[DAY]]+1,6),NA())</f>
        <v>#N/A</v>
      </c>
      <c r="Q1446" t="e" cm="1">
        <f t="array" aca="1" ref="Q1446" ca="1">IFERROR(INDEX(_xlfn.ANCHORARRAY($C$3),T_CALC[[#This Row],[DAY]]+1,2),NA())</f>
        <v>#N/A</v>
      </c>
    </row>
    <row r="1447" spans="11:17">
      <c r="K1447" t="str">
        <f ca="1">IF(ROW(T_CALC[[#This Row],[DAY]])-ROW(T_CALC[[#Headers],[DAY]])&gt;C_N_TRADING_DAYS,"",ROW(T_CALC[[#This Row],[DAY]])-ROW(T_CALC[[#Headers],[DAY]]))</f>
        <v/>
      </c>
      <c r="L1447" t="e" cm="1">
        <f t="array" aca="1" ref="L1447" ca="1">IFERROR(INDEX(_xlfn.ANCHORARRAY($C$3),T_CALC[[#This Row],[DAY]]+1,1),NA())</f>
        <v>#N/A</v>
      </c>
      <c r="M1447" t="e" cm="1">
        <f t="array" aca="1" ref="M1447" ca="1">IFERROR(INDEX(_xlfn.ANCHORARRAY($C$3),T_CALC[[#This Row],[DAY]]+1,3),NA())</f>
        <v>#N/A</v>
      </c>
      <c r="N1447" t="e" cm="1">
        <f t="array" aca="1" ref="N1447" ca="1">IFERROR(INDEX(_xlfn.ANCHORARRAY($C$3),T_CALC[[#This Row],[DAY]]+1,4),NA())</f>
        <v>#N/A</v>
      </c>
      <c r="O1447" t="e" cm="1">
        <f t="array" aca="1" ref="O1447" ca="1">IFERROR(INDEX(_xlfn.ANCHORARRAY($C$3),T_CALC[[#This Row],[DAY]]+1,5),NA())</f>
        <v>#N/A</v>
      </c>
      <c r="P1447" t="e" cm="1">
        <f t="array" aca="1" ref="P1447" ca="1">IFERROR(INDEX(_xlfn.ANCHORARRAY($C$3),T_CALC[[#This Row],[DAY]]+1,6),NA())</f>
        <v>#N/A</v>
      </c>
      <c r="Q1447" t="e" cm="1">
        <f t="array" aca="1" ref="Q1447" ca="1">IFERROR(INDEX(_xlfn.ANCHORARRAY($C$3),T_CALC[[#This Row],[DAY]]+1,2),NA())</f>
        <v>#N/A</v>
      </c>
    </row>
    <row r="1448" spans="11:17">
      <c r="K1448" t="str">
        <f ca="1">IF(ROW(T_CALC[[#This Row],[DAY]])-ROW(T_CALC[[#Headers],[DAY]])&gt;C_N_TRADING_DAYS,"",ROW(T_CALC[[#This Row],[DAY]])-ROW(T_CALC[[#Headers],[DAY]]))</f>
        <v/>
      </c>
      <c r="L1448" t="e" cm="1">
        <f t="array" aca="1" ref="L1448" ca="1">IFERROR(INDEX(_xlfn.ANCHORARRAY($C$3),T_CALC[[#This Row],[DAY]]+1,1),NA())</f>
        <v>#N/A</v>
      </c>
      <c r="M1448" t="e" cm="1">
        <f t="array" aca="1" ref="M1448" ca="1">IFERROR(INDEX(_xlfn.ANCHORARRAY($C$3),T_CALC[[#This Row],[DAY]]+1,3),NA())</f>
        <v>#N/A</v>
      </c>
      <c r="N1448" t="e" cm="1">
        <f t="array" aca="1" ref="N1448" ca="1">IFERROR(INDEX(_xlfn.ANCHORARRAY($C$3),T_CALC[[#This Row],[DAY]]+1,4),NA())</f>
        <v>#N/A</v>
      </c>
      <c r="O1448" t="e" cm="1">
        <f t="array" aca="1" ref="O1448" ca="1">IFERROR(INDEX(_xlfn.ANCHORARRAY($C$3),T_CALC[[#This Row],[DAY]]+1,5),NA())</f>
        <v>#N/A</v>
      </c>
      <c r="P1448" t="e" cm="1">
        <f t="array" aca="1" ref="P1448" ca="1">IFERROR(INDEX(_xlfn.ANCHORARRAY($C$3),T_CALC[[#This Row],[DAY]]+1,6),NA())</f>
        <v>#N/A</v>
      </c>
      <c r="Q1448" t="e" cm="1">
        <f t="array" aca="1" ref="Q1448" ca="1">IFERROR(INDEX(_xlfn.ANCHORARRAY($C$3),T_CALC[[#This Row],[DAY]]+1,2),NA())</f>
        <v>#N/A</v>
      </c>
    </row>
    <row r="1449" spans="11:17">
      <c r="K1449" t="str">
        <f ca="1">IF(ROW(T_CALC[[#This Row],[DAY]])-ROW(T_CALC[[#Headers],[DAY]])&gt;C_N_TRADING_DAYS,"",ROW(T_CALC[[#This Row],[DAY]])-ROW(T_CALC[[#Headers],[DAY]]))</f>
        <v/>
      </c>
      <c r="L1449" t="e" cm="1">
        <f t="array" aca="1" ref="L1449" ca="1">IFERROR(INDEX(_xlfn.ANCHORARRAY($C$3),T_CALC[[#This Row],[DAY]]+1,1),NA())</f>
        <v>#N/A</v>
      </c>
      <c r="M1449" t="e" cm="1">
        <f t="array" aca="1" ref="M1449" ca="1">IFERROR(INDEX(_xlfn.ANCHORARRAY($C$3),T_CALC[[#This Row],[DAY]]+1,3),NA())</f>
        <v>#N/A</v>
      </c>
      <c r="N1449" t="e" cm="1">
        <f t="array" aca="1" ref="N1449" ca="1">IFERROR(INDEX(_xlfn.ANCHORARRAY($C$3),T_CALC[[#This Row],[DAY]]+1,4),NA())</f>
        <v>#N/A</v>
      </c>
      <c r="O1449" t="e" cm="1">
        <f t="array" aca="1" ref="O1449" ca="1">IFERROR(INDEX(_xlfn.ANCHORARRAY($C$3),T_CALC[[#This Row],[DAY]]+1,5),NA())</f>
        <v>#N/A</v>
      </c>
      <c r="P1449" t="e" cm="1">
        <f t="array" aca="1" ref="P1449" ca="1">IFERROR(INDEX(_xlfn.ANCHORARRAY($C$3),T_CALC[[#This Row],[DAY]]+1,6),NA())</f>
        <v>#N/A</v>
      </c>
      <c r="Q1449" t="e" cm="1">
        <f t="array" aca="1" ref="Q1449" ca="1">IFERROR(INDEX(_xlfn.ANCHORARRAY($C$3),T_CALC[[#This Row],[DAY]]+1,2),NA())</f>
        <v>#N/A</v>
      </c>
    </row>
    <row r="1450" spans="11:17">
      <c r="K1450" t="str">
        <f ca="1">IF(ROW(T_CALC[[#This Row],[DAY]])-ROW(T_CALC[[#Headers],[DAY]])&gt;C_N_TRADING_DAYS,"",ROW(T_CALC[[#This Row],[DAY]])-ROW(T_CALC[[#Headers],[DAY]]))</f>
        <v/>
      </c>
      <c r="L1450" t="e" cm="1">
        <f t="array" aca="1" ref="L1450" ca="1">IFERROR(INDEX(_xlfn.ANCHORARRAY($C$3),T_CALC[[#This Row],[DAY]]+1,1),NA())</f>
        <v>#N/A</v>
      </c>
      <c r="M1450" t="e" cm="1">
        <f t="array" aca="1" ref="M1450" ca="1">IFERROR(INDEX(_xlfn.ANCHORARRAY($C$3),T_CALC[[#This Row],[DAY]]+1,3),NA())</f>
        <v>#N/A</v>
      </c>
      <c r="N1450" t="e" cm="1">
        <f t="array" aca="1" ref="N1450" ca="1">IFERROR(INDEX(_xlfn.ANCHORARRAY($C$3),T_CALC[[#This Row],[DAY]]+1,4),NA())</f>
        <v>#N/A</v>
      </c>
      <c r="O1450" t="e" cm="1">
        <f t="array" aca="1" ref="O1450" ca="1">IFERROR(INDEX(_xlfn.ANCHORARRAY($C$3),T_CALC[[#This Row],[DAY]]+1,5),NA())</f>
        <v>#N/A</v>
      </c>
      <c r="P1450" t="e" cm="1">
        <f t="array" aca="1" ref="P1450" ca="1">IFERROR(INDEX(_xlfn.ANCHORARRAY($C$3),T_CALC[[#This Row],[DAY]]+1,6),NA())</f>
        <v>#N/A</v>
      </c>
      <c r="Q1450" t="e" cm="1">
        <f t="array" aca="1" ref="Q1450" ca="1">IFERROR(INDEX(_xlfn.ANCHORARRAY($C$3),T_CALC[[#This Row],[DAY]]+1,2),NA())</f>
        <v>#N/A</v>
      </c>
    </row>
    <row r="1451" spans="11:17">
      <c r="K1451" t="str">
        <f ca="1">IF(ROW(T_CALC[[#This Row],[DAY]])-ROW(T_CALC[[#Headers],[DAY]])&gt;C_N_TRADING_DAYS,"",ROW(T_CALC[[#This Row],[DAY]])-ROW(T_CALC[[#Headers],[DAY]]))</f>
        <v/>
      </c>
      <c r="L1451" t="e" cm="1">
        <f t="array" aca="1" ref="L1451" ca="1">IFERROR(INDEX(_xlfn.ANCHORARRAY($C$3),T_CALC[[#This Row],[DAY]]+1,1),NA())</f>
        <v>#N/A</v>
      </c>
      <c r="M1451" t="e" cm="1">
        <f t="array" aca="1" ref="M1451" ca="1">IFERROR(INDEX(_xlfn.ANCHORARRAY($C$3),T_CALC[[#This Row],[DAY]]+1,3),NA())</f>
        <v>#N/A</v>
      </c>
      <c r="N1451" t="e" cm="1">
        <f t="array" aca="1" ref="N1451" ca="1">IFERROR(INDEX(_xlfn.ANCHORARRAY($C$3),T_CALC[[#This Row],[DAY]]+1,4),NA())</f>
        <v>#N/A</v>
      </c>
      <c r="O1451" t="e" cm="1">
        <f t="array" aca="1" ref="O1451" ca="1">IFERROR(INDEX(_xlfn.ANCHORARRAY($C$3),T_CALC[[#This Row],[DAY]]+1,5),NA())</f>
        <v>#N/A</v>
      </c>
      <c r="P1451" t="e" cm="1">
        <f t="array" aca="1" ref="P1451" ca="1">IFERROR(INDEX(_xlfn.ANCHORARRAY($C$3),T_CALC[[#This Row],[DAY]]+1,6),NA())</f>
        <v>#N/A</v>
      </c>
      <c r="Q1451" t="e" cm="1">
        <f t="array" aca="1" ref="Q1451" ca="1">IFERROR(INDEX(_xlfn.ANCHORARRAY($C$3),T_CALC[[#This Row],[DAY]]+1,2),NA())</f>
        <v>#N/A</v>
      </c>
    </row>
    <row r="1452" spans="11:17">
      <c r="K1452" t="str">
        <f ca="1">IF(ROW(T_CALC[[#This Row],[DAY]])-ROW(T_CALC[[#Headers],[DAY]])&gt;C_N_TRADING_DAYS,"",ROW(T_CALC[[#This Row],[DAY]])-ROW(T_CALC[[#Headers],[DAY]]))</f>
        <v/>
      </c>
      <c r="L1452" t="e" cm="1">
        <f t="array" aca="1" ref="L1452" ca="1">IFERROR(INDEX(_xlfn.ANCHORARRAY($C$3),T_CALC[[#This Row],[DAY]]+1,1),NA())</f>
        <v>#N/A</v>
      </c>
      <c r="M1452" t="e" cm="1">
        <f t="array" aca="1" ref="M1452" ca="1">IFERROR(INDEX(_xlfn.ANCHORARRAY($C$3),T_CALC[[#This Row],[DAY]]+1,3),NA())</f>
        <v>#N/A</v>
      </c>
      <c r="N1452" t="e" cm="1">
        <f t="array" aca="1" ref="N1452" ca="1">IFERROR(INDEX(_xlfn.ANCHORARRAY($C$3),T_CALC[[#This Row],[DAY]]+1,4),NA())</f>
        <v>#N/A</v>
      </c>
      <c r="O1452" t="e" cm="1">
        <f t="array" aca="1" ref="O1452" ca="1">IFERROR(INDEX(_xlfn.ANCHORARRAY($C$3),T_CALC[[#This Row],[DAY]]+1,5),NA())</f>
        <v>#N/A</v>
      </c>
      <c r="P1452" t="e" cm="1">
        <f t="array" aca="1" ref="P1452" ca="1">IFERROR(INDEX(_xlfn.ANCHORARRAY($C$3),T_CALC[[#This Row],[DAY]]+1,6),NA())</f>
        <v>#N/A</v>
      </c>
      <c r="Q1452" t="e" cm="1">
        <f t="array" aca="1" ref="Q1452" ca="1">IFERROR(INDEX(_xlfn.ANCHORARRAY($C$3),T_CALC[[#This Row],[DAY]]+1,2),NA())</f>
        <v>#N/A</v>
      </c>
    </row>
    <row r="1453" spans="11:17">
      <c r="K1453" t="str">
        <f ca="1">IF(ROW(T_CALC[[#This Row],[DAY]])-ROW(T_CALC[[#Headers],[DAY]])&gt;C_N_TRADING_DAYS,"",ROW(T_CALC[[#This Row],[DAY]])-ROW(T_CALC[[#Headers],[DAY]]))</f>
        <v/>
      </c>
      <c r="L1453" t="e" cm="1">
        <f t="array" aca="1" ref="L1453" ca="1">IFERROR(INDEX(_xlfn.ANCHORARRAY($C$3),T_CALC[[#This Row],[DAY]]+1,1),NA())</f>
        <v>#N/A</v>
      </c>
      <c r="M1453" t="e" cm="1">
        <f t="array" aca="1" ref="M1453" ca="1">IFERROR(INDEX(_xlfn.ANCHORARRAY($C$3),T_CALC[[#This Row],[DAY]]+1,3),NA())</f>
        <v>#N/A</v>
      </c>
      <c r="N1453" t="e" cm="1">
        <f t="array" aca="1" ref="N1453" ca="1">IFERROR(INDEX(_xlfn.ANCHORARRAY($C$3),T_CALC[[#This Row],[DAY]]+1,4),NA())</f>
        <v>#N/A</v>
      </c>
      <c r="O1453" t="e" cm="1">
        <f t="array" aca="1" ref="O1453" ca="1">IFERROR(INDEX(_xlfn.ANCHORARRAY($C$3),T_CALC[[#This Row],[DAY]]+1,5),NA())</f>
        <v>#N/A</v>
      </c>
      <c r="P1453" t="e" cm="1">
        <f t="array" aca="1" ref="P1453" ca="1">IFERROR(INDEX(_xlfn.ANCHORARRAY($C$3),T_CALC[[#This Row],[DAY]]+1,6),NA())</f>
        <v>#N/A</v>
      </c>
      <c r="Q1453" t="e" cm="1">
        <f t="array" aca="1" ref="Q1453" ca="1">IFERROR(INDEX(_xlfn.ANCHORARRAY($C$3),T_CALC[[#This Row],[DAY]]+1,2),NA())</f>
        <v>#N/A</v>
      </c>
    </row>
    <row r="1454" spans="11:17">
      <c r="K1454" t="str">
        <f ca="1">IF(ROW(T_CALC[[#This Row],[DAY]])-ROW(T_CALC[[#Headers],[DAY]])&gt;C_N_TRADING_DAYS,"",ROW(T_CALC[[#This Row],[DAY]])-ROW(T_CALC[[#Headers],[DAY]]))</f>
        <v/>
      </c>
      <c r="L1454" t="e" cm="1">
        <f t="array" aca="1" ref="L1454" ca="1">IFERROR(INDEX(_xlfn.ANCHORARRAY($C$3),T_CALC[[#This Row],[DAY]]+1,1),NA())</f>
        <v>#N/A</v>
      </c>
      <c r="M1454" t="e" cm="1">
        <f t="array" aca="1" ref="M1454" ca="1">IFERROR(INDEX(_xlfn.ANCHORARRAY($C$3),T_CALC[[#This Row],[DAY]]+1,3),NA())</f>
        <v>#N/A</v>
      </c>
      <c r="N1454" t="e" cm="1">
        <f t="array" aca="1" ref="N1454" ca="1">IFERROR(INDEX(_xlfn.ANCHORARRAY($C$3),T_CALC[[#This Row],[DAY]]+1,4),NA())</f>
        <v>#N/A</v>
      </c>
      <c r="O1454" t="e" cm="1">
        <f t="array" aca="1" ref="O1454" ca="1">IFERROR(INDEX(_xlfn.ANCHORARRAY($C$3),T_CALC[[#This Row],[DAY]]+1,5),NA())</f>
        <v>#N/A</v>
      </c>
      <c r="P1454" t="e" cm="1">
        <f t="array" aca="1" ref="P1454" ca="1">IFERROR(INDEX(_xlfn.ANCHORARRAY($C$3),T_CALC[[#This Row],[DAY]]+1,6),NA())</f>
        <v>#N/A</v>
      </c>
      <c r="Q1454" t="e" cm="1">
        <f t="array" aca="1" ref="Q1454" ca="1">IFERROR(INDEX(_xlfn.ANCHORARRAY($C$3),T_CALC[[#This Row],[DAY]]+1,2),NA())</f>
        <v>#N/A</v>
      </c>
    </row>
    <row r="1455" spans="11:17">
      <c r="K1455" t="str">
        <f ca="1">IF(ROW(T_CALC[[#This Row],[DAY]])-ROW(T_CALC[[#Headers],[DAY]])&gt;C_N_TRADING_DAYS,"",ROW(T_CALC[[#This Row],[DAY]])-ROW(T_CALC[[#Headers],[DAY]]))</f>
        <v/>
      </c>
      <c r="L1455" t="e" cm="1">
        <f t="array" aca="1" ref="L1455" ca="1">IFERROR(INDEX(_xlfn.ANCHORARRAY($C$3),T_CALC[[#This Row],[DAY]]+1,1),NA())</f>
        <v>#N/A</v>
      </c>
      <c r="M1455" t="e" cm="1">
        <f t="array" aca="1" ref="M1455" ca="1">IFERROR(INDEX(_xlfn.ANCHORARRAY($C$3),T_CALC[[#This Row],[DAY]]+1,3),NA())</f>
        <v>#N/A</v>
      </c>
      <c r="N1455" t="e" cm="1">
        <f t="array" aca="1" ref="N1455" ca="1">IFERROR(INDEX(_xlfn.ANCHORARRAY($C$3),T_CALC[[#This Row],[DAY]]+1,4),NA())</f>
        <v>#N/A</v>
      </c>
      <c r="O1455" t="e" cm="1">
        <f t="array" aca="1" ref="O1455" ca="1">IFERROR(INDEX(_xlfn.ANCHORARRAY($C$3),T_CALC[[#This Row],[DAY]]+1,5),NA())</f>
        <v>#N/A</v>
      </c>
      <c r="P1455" t="e" cm="1">
        <f t="array" aca="1" ref="P1455" ca="1">IFERROR(INDEX(_xlfn.ANCHORARRAY($C$3),T_CALC[[#This Row],[DAY]]+1,6),NA())</f>
        <v>#N/A</v>
      </c>
      <c r="Q1455" t="e" cm="1">
        <f t="array" aca="1" ref="Q1455" ca="1">IFERROR(INDEX(_xlfn.ANCHORARRAY($C$3),T_CALC[[#This Row],[DAY]]+1,2),NA())</f>
        <v>#N/A</v>
      </c>
    </row>
    <row r="1456" spans="11:17">
      <c r="K1456" t="str">
        <f ca="1">IF(ROW(T_CALC[[#This Row],[DAY]])-ROW(T_CALC[[#Headers],[DAY]])&gt;C_N_TRADING_DAYS,"",ROW(T_CALC[[#This Row],[DAY]])-ROW(T_CALC[[#Headers],[DAY]]))</f>
        <v/>
      </c>
      <c r="L1456" t="e" cm="1">
        <f t="array" aca="1" ref="L1456" ca="1">IFERROR(INDEX(_xlfn.ANCHORARRAY($C$3),T_CALC[[#This Row],[DAY]]+1,1),NA())</f>
        <v>#N/A</v>
      </c>
      <c r="M1456" t="e" cm="1">
        <f t="array" aca="1" ref="M1456" ca="1">IFERROR(INDEX(_xlfn.ANCHORARRAY($C$3),T_CALC[[#This Row],[DAY]]+1,3),NA())</f>
        <v>#N/A</v>
      </c>
      <c r="N1456" t="e" cm="1">
        <f t="array" aca="1" ref="N1456" ca="1">IFERROR(INDEX(_xlfn.ANCHORARRAY($C$3),T_CALC[[#This Row],[DAY]]+1,4),NA())</f>
        <v>#N/A</v>
      </c>
      <c r="O1456" t="e" cm="1">
        <f t="array" aca="1" ref="O1456" ca="1">IFERROR(INDEX(_xlfn.ANCHORARRAY($C$3),T_CALC[[#This Row],[DAY]]+1,5),NA())</f>
        <v>#N/A</v>
      </c>
      <c r="P1456" t="e" cm="1">
        <f t="array" aca="1" ref="P1456" ca="1">IFERROR(INDEX(_xlfn.ANCHORARRAY($C$3),T_CALC[[#This Row],[DAY]]+1,6),NA())</f>
        <v>#N/A</v>
      </c>
      <c r="Q1456" t="e" cm="1">
        <f t="array" aca="1" ref="Q1456" ca="1">IFERROR(INDEX(_xlfn.ANCHORARRAY($C$3),T_CALC[[#This Row],[DAY]]+1,2),NA())</f>
        <v>#N/A</v>
      </c>
    </row>
    <row r="1457" spans="11:17">
      <c r="K1457" t="str">
        <f ca="1">IF(ROW(T_CALC[[#This Row],[DAY]])-ROW(T_CALC[[#Headers],[DAY]])&gt;C_N_TRADING_DAYS,"",ROW(T_CALC[[#This Row],[DAY]])-ROW(T_CALC[[#Headers],[DAY]]))</f>
        <v/>
      </c>
      <c r="L1457" t="e" cm="1">
        <f t="array" aca="1" ref="L1457" ca="1">IFERROR(INDEX(_xlfn.ANCHORARRAY($C$3),T_CALC[[#This Row],[DAY]]+1,1),NA())</f>
        <v>#N/A</v>
      </c>
      <c r="M1457" t="e" cm="1">
        <f t="array" aca="1" ref="M1457" ca="1">IFERROR(INDEX(_xlfn.ANCHORARRAY($C$3),T_CALC[[#This Row],[DAY]]+1,3),NA())</f>
        <v>#N/A</v>
      </c>
      <c r="N1457" t="e" cm="1">
        <f t="array" aca="1" ref="N1457" ca="1">IFERROR(INDEX(_xlfn.ANCHORARRAY($C$3),T_CALC[[#This Row],[DAY]]+1,4),NA())</f>
        <v>#N/A</v>
      </c>
      <c r="O1457" t="e" cm="1">
        <f t="array" aca="1" ref="O1457" ca="1">IFERROR(INDEX(_xlfn.ANCHORARRAY($C$3),T_CALC[[#This Row],[DAY]]+1,5),NA())</f>
        <v>#N/A</v>
      </c>
      <c r="P1457" t="e" cm="1">
        <f t="array" aca="1" ref="P1457" ca="1">IFERROR(INDEX(_xlfn.ANCHORARRAY($C$3),T_CALC[[#This Row],[DAY]]+1,6),NA())</f>
        <v>#N/A</v>
      </c>
      <c r="Q1457" t="e" cm="1">
        <f t="array" aca="1" ref="Q1457" ca="1">IFERROR(INDEX(_xlfn.ANCHORARRAY($C$3),T_CALC[[#This Row],[DAY]]+1,2),NA())</f>
        <v>#N/A</v>
      </c>
    </row>
    <row r="1458" spans="11:17">
      <c r="K1458" t="str">
        <f ca="1">IF(ROW(T_CALC[[#This Row],[DAY]])-ROW(T_CALC[[#Headers],[DAY]])&gt;C_N_TRADING_DAYS,"",ROW(T_CALC[[#This Row],[DAY]])-ROW(T_CALC[[#Headers],[DAY]]))</f>
        <v/>
      </c>
      <c r="L1458" t="e" cm="1">
        <f t="array" aca="1" ref="L1458" ca="1">IFERROR(INDEX(_xlfn.ANCHORARRAY($C$3),T_CALC[[#This Row],[DAY]]+1,1),NA())</f>
        <v>#N/A</v>
      </c>
      <c r="M1458" t="e" cm="1">
        <f t="array" aca="1" ref="M1458" ca="1">IFERROR(INDEX(_xlfn.ANCHORARRAY($C$3),T_CALC[[#This Row],[DAY]]+1,3),NA())</f>
        <v>#N/A</v>
      </c>
      <c r="N1458" t="e" cm="1">
        <f t="array" aca="1" ref="N1458" ca="1">IFERROR(INDEX(_xlfn.ANCHORARRAY($C$3),T_CALC[[#This Row],[DAY]]+1,4),NA())</f>
        <v>#N/A</v>
      </c>
      <c r="O1458" t="e" cm="1">
        <f t="array" aca="1" ref="O1458" ca="1">IFERROR(INDEX(_xlfn.ANCHORARRAY($C$3),T_CALC[[#This Row],[DAY]]+1,5),NA())</f>
        <v>#N/A</v>
      </c>
      <c r="P1458" t="e" cm="1">
        <f t="array" aca="1" ref="P1458" ca="1">IFERROR(INDEX(_xlfn.ANCHORARRAY($C$3),T_CALC[[#This Row],[DAY]]+1,6),NA())</f>
        <v>#N/A</v>
      </c>
      <c r="Q1458" t="e" cm="1">
        <f t="array" aca="1" ref="Q1458" ca="1">IFERROR(INDEX(_xlfn.ANCHORARRAY($C$3),T_CALC[[#This Row],[DAY]]+1,2),NA())</f>
        <v>#N/A</v>
      </c>
    </row>
    <row r="1459" spans="11:17">
      <c r="K1459" t="str">
        <f ca="1">IF(ROW(T_CALC[[#This Row],[DAY]])-ROW(T_CALC[[#Headers],[DAY]])&gt;C_N_TRADING_DAYS,"",ROW(T_CALC[[#This Row],[DAY]])-ROW(T_CALC[[#Headers],[DAY]]))</f>
        <v/>
      </c>
      <c r="L1459" t="e" cm="1">
        <f t="array" aca="1" ref="L1459" ca="1">IFERROR(INDEX(_xlfn.ANCHORARRAY($C$3),T_CALC[[#This Row],[DAY]]+1,1),NA())</f>
        <v>#N/A</v>
      </c>
      <c r="M1459" t="e" cm="1">
        <f t="array" aca="1" ref="M1459" ca="1">IFERROR(INDEX(_xlfn.ANCHORARRAY($C$3),T_CALC[[#This Row],[DAY]]+1,3),NA())</f>
        <v>#N/A</v>
      </c>
      <c r="N1459" t="e" cm="1">
        <f t="array" aca="1" ref="N1459" ca="1">IFERROR(INDEX(_xlfn.ANCHORARRAY($C$3),T_CALC[[#This Row],[DAY]]+1,4),NA())</f>
        <v>#N/A</v>
      </c>
      <c r="O1459" t="e" cm="1">
        <f t="array" aca="1" ref="O1459" ca="1">IFERROR(INDEX(_xlfn.ANCHORARRAY($C$3),T_CALC[[#This Row],[DAY]]+1,5),NA())</f>
        <v>#N/A</v>
      </c>
      <c r="P1459" t="e" cm="1">
        <f t="array" aca="1" ref="P1459" ca="1">IFERROR(INDEX(_xlfn.ANCHORARRAY($C$3),T_CALC[[#This Row],[DAY]]+1,6),NA())</f>
        <v>#N/A</v>
      </c>
      <c r="Q1459" t="e" cm="1">
        <f t="array" aca="1" ref="Q1459" ca="1">IFERROR(INDEX(_xlfn.ANCHORARRAY($C$3),T_CALC[[#This Row],[DAY]]+1,2),NA())</f>
        <v>#N/A</v>
      </c>
    </row>
    <row r="1460" spans="11:17">
      <c r="K1460" t="str">
        <f ca="1">IF(ROW(T_CALC[[#This Row],[DAY]])-ROW(T_CALC[[#Headers],[DAY]])&gt;C_N_TRADING_DAYS,"",ROW(T_CALC[[#This Row],[DAY]])-ROW(T_CALC[[#Headers],[DAY]]))</f>
        <v/>
      </c>
      <c r="L1460" t="e" cm="1">
        <f t="array" aca="1" ref="L1460" ca="1">IFERROR(INDEX(_xlfn.ANCHORARRAY($C$3),T_CALC[[#This Row],[DAY]]+1,1),NA())</f>
        <v>#N/A</v>
      </c>
      <c r="M1460" t="e" cm="1">
        <f t="array" aca="1" ref="M1460" ca="1">IFERROR(INDEX(_xlfn.ANCHORARRAY($C$3),T_CALC[[#This Row],[DAY]]+1,3),NA())</f>
        <v>#N/A</v>
      </c>
      <c r="N1460" t="e" cm="1">
        <f t="array" aca="1" ref="N1460" ca="1">IFERROR(INDEX(_xlfn.ANCHORARRAY($C$3),T_CALC[[#This Row],[DAY]]+1,4),NA())</f>
        <v>#N/A</v>
      </c>
      <c r="O1460" t="e" cm="1">
        <f t="array" aca="1" ref="O1460" ca="1">IFERROR(INDEX(_xlfn.ANCHORARRAY($C$3),T_CALC[[#This Row],[DAY]]+1,5),NA())</f>
        <v>#N/A</v>
      </c>
      <c r="P1460" t="e" cm="1">
        <f t="array" aca="1" ref="P1460" ca="1">IFERROR(INDEX(_xlfn.ANCHORARRAY($C$3),T_CALC[[#This Row],[DAY]]+1,6),NA())</f>
        <v>#N/A</v>
      </c>
      <c r="Q1460" t="e" cm="1">
        <f t="array" aca="1" ref="Q1460" ca="1">IFERROR(INDEX(_xlfn.ANCHORARRAY($C$3),T_CALC[[#This Row],[DAY]]+1,2),NA())</f>
        <v>#N/A</v>
      </c>
    </row>
    <row r="1461" spans="11:17">
      <c r="K1461" t="str">
        <f ca="1">IF(ROW(T_CALC[[#This Row],[DAY]])-ROW(T_CALC[[#Headers],[DAY]])&gt;C_N_TRADING_DAYS,"",ROW(T_CALC[[#This Row],[DAY]])-ROW(T_CALC[[#Headers],[DAY]]))</f>
        <v/>
      </c>
      <c r="L1461" t="e" cm="1">
        <f t="array" aca="1" ref="L1461" ca="1">IFERROR(INDEX(_xlfn.ANCHORARRAY($C$3),T_CALC[[#This Row],[DAY]]+1,1),NA())</f>
        <v>#N/A</v>
      </c>
      <c r="M1461" t="e" cm="1">
        <f t="array" aca="1" ref="M1461" ca="1">IFERROR(INDEX(_xlfn.ANCHORARRAY($C$3),T_CALC[[#This Row],[DAY]]+1,3),NA())</f>
        <v>#N/A</v>
      </c>
      <c r="N1461" t="e" cm="1">
        <f t="array" aca="1" ref="N1461" ca="1">IFERROR(INDEX(_xlfn.ANCHORARRAY($C$3),T_CALC[[#This Row],[DAY]]+1,4),NA())</f>
        <v>#N/A</v>
      </c>
      <c r="O1461" t="e" cm="1">
        <f t="array" aca="1" ref="O1461" ca="1">IFERROR(INDEX(_xlfn.ANCHORARRAY($C$3),T_CALC[[#This Row],[DAY]]+1,5),NA())</f>
        <v>#N/A</v>
      </c>
      <c r="P1461" t="e" cm="1">
        <f t="array" aca="1" ref="P1461" ca="1">IFERROR(INDEX(_xlfn.ANCHORARRAY($C$3),T_CALC[[#This Row],[DAY]]+1,6),NA())</f>
        <v>#N/A</v>
      </c>
      <c r="Q1461" t="e" cm="1">
        <f t="array" aca="1" ref="Q1461" ca="1">IFERROR(INDEX(_xlfn.ANCHORARRAY($C$3),T_CALC[[#This Row],[DAY]]+1,2),NA())</f>
        <v>#N/A</v>
      </c>
    </row>
    <row r="1462" spans="11:17">
      <c r="K1462" t="str">
        <f ca="1">IF(ROW(T_CALC[[#This Row],[DAY]])-ROW(T_CALC[[#Headers],[DAY]])&gt;C_N_TRADING_DAYS,"",ROW(T_CALC[[#This Row],[DAY]])-ROW(T_CALC[[#Headers],[DAY]]))</f>
        <v/>
      </c>
      <c r="L1462" t="e" cm="1">
        <f t="array" aca="1" ref="L1462" ca="1">IFERROR(INDEX(_xlfn.ANCHORARRAY($C$3),T_CALC[[#This Row],[DAY]]+1,1),NA())</f>
        <v>#N/A</v>
      </c>
      <c r="M1462" t="e" cm="1">
        <f t="array" aca="1" ref="M1462" ca="1">IFERROR(INDEX(_xlfn.ANCHORARRAY($C$3),T_CALC[[#This Row],[DAY]]+1,3),NA())</f>
        <v>#N/A</v>
      </c>
      <c r="N1462" t="e" cm="1">
        <f t="array" aca="1" ref="N1462" ca="1">IFERROR(INDEX(_xlfn.ANCHORARRAY($C$3),T_CALC[[#This Row],[DAY]]+1,4),NA())</f>
        <v>#N/A</v>
      </c>
      <c r="O1462" t="e" cm="1">
        <f t="array" aca="1" ref="O1462" ca="1">IFERROR(INDEX(_xlfn.ANCHORARRAY($C$3),T_CALC[[#This Row],[DAY]]+1,5),NA())</f>
        <v>#N/A</v>
      </c>
      <c r="P1462" t="e" cm="1">
        <f t="array" aca="1" ref="P1462" ca="1">IFERROR(INDEX(_xlfn.ANCHORARRAY($C$3),T_CALC[[#This Row],[DAY]]+1,6),NA())</f>
        <v>#N/A</v>
      </c>
      <c r="Q1462" t="e" cm="1">
        <f t="array" aca="1" ref="Q1462" ca="1">IFERROR(INDEX(_xlfn.ANCHORARRAY($C$3),T_CALC[[#This Row],[DAY]]+1,2),NA())</f>
        <v>#N/A</v>
      </c>
    </row>
    <row r="1463" spans="11:17">
      <c r="K1463" t="str">
        <f ca="1">IF(ROW(T_CALC[[#This Row],[DAY]])-ROW(T_CALC[[#Headers],[DAY]])&gt;C_N_TRADING_DAYS,"",ROW(T_CALC[[#This Row],[DAY]])-ROW(T_CALC[[#Headers],[DAY]]))</f>
        <v/>
      </c>
      <c r="L1463" t="e" cm="1">
        <f t="array" aca="1" ref="L1463" ca="1">IFERROR(INDEX(_xlfn.ANCHORARRAY($C$3),T_CALC[[#This Row],[DAY]]+1,1),NA())</f>
        <v>#N/A</v>
      </c>
      <c r="M1463" t="e" cm="1">
        <f t="array" aca="1" ref="M1463" ca="1">IFERROR(INDEX(_xlfn.ANCHORARRAY($C$3),T_CALC[[#This Row],[DAY]]+1,3),NA())</f>
        <v>#N/A</v>
      </c>
      <c r="N1463" t="e" cm="1">
        <f t="array" aca="1" ref="N1463" ca="1">IFERROR(INDEX(_xlfn.ANCHORARRAY($C$3),T_CALC[[#This Row],[DAY]]+1,4),NA())</f>
        <v>#N/A</v>
      </c>
      <c r="O1463" t="e" cm="1">
        <f t="array" aca="1" ref="O1463" ca="1">IFERROR(INDEX(_xlfn.ANCHORARRAY($C$3),T_CALC[[#This Row],[DAY]]+1,5),NA())</f>
        <v>#N/A</v>
      </c>
      <c r="P1463" t="e" cm="1">
        <f t="array" aca="1" ref="P1463" ca="1">IFERROR(INDEX(_xlfn.ANCHORARRAY($C$3),T_CALC[[#This Row],[DAY]]+1,6),NA())</f>
        <v>#N/A</v>
      </c>
      <c r="Q1463" t="e" cm="1">
        <f t="array" aca="1" ref="Q1463" ca="1">IFERROR(INDEX(_xlfn.ANCHORARRAY($C$3),T_CALC[[#This Row],[DAY]]+1,2),NA())</f>
        <v>#N/A</v>
      </c>
    </row>
    <row r="1464" spans="11:17">
      <c r="K1464" t="str">
        <f ca="1">IF(ROW(T_CALC[[#This Row],[DAY]])-ROW(T_CALC[[#Headers],[DAY]])&gt;C_N_TRADING_DAYS,"",ROW(T_CALC[[#This Row],[DAY]])-ROW(T_CALC[[#Headers],[DAY]]))</f>
        <v/>
      </c>
      <c r="L1464" t="e" cm="1">
        <f t="array" aca="1" ref="L1464" ca="1">IFERROR(INDEX(_xlfn.ANCHORARRAY($C$3),T_CALC[[#This Row],[DAY]]+1,1),NA())</f>
        <v>#N/A</v>
      </c>
      <c r="M1464" t="e" cm="1">
        <f t="array" aca="1" ref="M1464" ca="1">IFERROR(INDEX(_xlfn.ANCHORARRAY($C$3),T_CALC[[#This Row],[DAY]]+1,3),NA())</f>
        <v>#N/A</v>
      </c>
      <c r="N1464" t="e" cm="1">
        <f t="array" aca="1" ref="N1464" ca="1">IFERROR(INDEX(_xlfn.ANCHORARRAY($C$3),T_CALC[[#This Row],[DAY]]+1,4),NA())</f>
        <v>#N/A</v>
      </c>
      <c r="O1464" t="e" cm="1">
        <f t="array" aca="1" ref="O1464" ca="1">IFERROR(INDEX(_xlfn.ANCHORARRAY($C$3),T_CALC[[#This Row],[DAY]]+1,5),NA())</f>
        <v>#N/A</v>
      </c>
      <c r="P1464" t="e" cm="1">
        <f t="array" aca="1" ref="P1464" ca="1">IFERROR(INDEX(_xlfn.ANCHORARRAY($C$3),T_CALC[[#This Row],[DAY]]+1,6),NA())</f>
        <v>#N/A</v>
      </c>
      <c r="Q1464" t="e" cm="1">
        <f t="array" aca="1" ref="Q1464" ca="1">IFERROR(INDEX(_xlfn.ANCHORARRAY($C$3),T_CALC[[#This Row],[DAY]]+1,2),NA())</f>
        <v>#N/A</v>
      </c>
    </row>
    <row r="1465" spans="11:17">
      <c r="K1465" t="str">
        <f ca="1">IF(ROW(T_CALC[[#This Row],[DAY]])-ROW(T_CALC[[#Headers],[DAY]])&gt;C_N_TRADING_DAYS,"",ROW(T_CALC[[#This Row],[DAY]])-ROW(T_CALC[[#Headers],[DAY]]))</f>
        <v/>
      </c>
      <c r="L1465" t="e" cm="1">
        <f t="array" aca="1" ref="L1465" ca="1">IFERROR(INDEX(_xlfn.ANCHORARRAY($C$3),T_CALC[[#This Row],[DAY]]+1,1),NA())</f>
        <v>#N/A</v>
      </c>
      <c r="M1465" t="e" cm="1">
        <f t="array" aca="1" ref="M1465" ca="1">IFERROR(INDEX(_xlfn.ANCHORARRAY($C$3),T_CALC[[#This Row],[DAY]]+1,3),NA())</f>
        <v>#N/A</v>
      </c>
      <c r="N1465" t="e" cm="1">
        <f t="array" aca="1" ref="N1465" ca="1">IFERROR(INDEX(_xlfn.ANCHORARRAY($C$3),T_CALC[[#This Row],[DAY]]+1,4),NA())</f>
        <v>#N/A</v>
      </c>
      <c r="O1465" t="e" cm="1">
        <f t="array" aca="1" ref="O1465" ca="1">IFERROR(INDEX(_xlfn.ANCHORARRAY($C$3),T_CALC[[#This Row],[DAY]]+1,5),NA())</f>
        <v>#N/A</v>
      </c>
      <c r="P1465" t="e" cm="1">
        <f t="array" aca="1" ref="P1465" ca="1">IFERROR(INDEX(_xlfn.ANCHORARRAY($C$3),T_CALC[[#This Row],[DAY]]+1,6),NA())</f>
        <v>#N/A</v>
      </c>
      <c r="Q1465" t="e" cm="1">
        <f t="array" aca="1" ref="Q1465" ca="1">IFERROR(INDEX(_xlfn.ANCHORARRAY($C$3),T_CALC[[#This Row],[DAY]]+1,2),NA())</f>
        <v>#N/A</v>
      </c>
    </row>
    <row r="1466" spans="11:17">
      <c r="K1466" t="str">
        <f ca="1">IF(ROW(T_CALC[[#This Row],[DAY]])-ROW(T_CALC[[#Headers],[DAY]])&gt;C_N_TRADING_DAYS,"",ROW(T_CALC[[#This Row],[DAY]])-ROW(T_CALC[[#Headers],[DAY]]))</f>
        <v/>
      </c>
      <c r="L1466" t="e" cm="1">
        <f t="array" aca="1" ref="L1466" ca="1">IFERROR(INDEX(_xlfn.ANCHORARRAY($C$3),T_CALC[[#This Row],[DAY]]+1,1),NA())</f>
        <v>#N/A</v>
      </c>
      <c r="M1466" t="e" cm="1">
        <f t="array" aca="1" ref="M1466" ca="1">IFERROR(INDEX(_xlfn.ANCHORARRAY($C$3),T_CALC[[#This Row],[DAY]]+1,3),NA())</f>
        <v>#N/A</v>
      </c>
      <c r="N1466" t="e" cm="1">
        <f t="array" aca="1" ref="N1466" ca="1">IFERROR(INDEX(_xlfn.ANCHORARRAY($C$3),T_CALC[[#This Row],[DAY]]+1,4),NA())</f>
        <v>#N/A</v>
      </c>
      <c r="O1466" t="e" cm="1">
        <f t="array" aca="1" ref="O1466" ca="1">IFERROR(INDEX(_xlfn.ANCHORARRAY($C$3),T_CALC[[#This Row],[DAY]]+1,5),NA())</f>
        <v>#N/A</v>
      </c>
      <c r="P1466" t="e" cm="1">
        <f t="array" aca="1" ref="P1466" ca="1">IFERROR(INDEX(_xlfn.ANCHORARRAY($C$3),T_CALC[[#This Row],[DAY]]+1,6),NA())</f>
        <v>#N/A</v>
      </c>
      <c r="Q1466" t="e" cm="1">
        <f t="array" aca="1" ref="Q1466" ca="1">IFERROR(INDEX(_xlfn.ANCHORARRAY($C$3),T_CALC[[#This Row],[DAY]]+1,2),NA())</f>
        <v>#N/A</v>
      </c>
    </row>
    <row r="1467" spans="11:17">
      <c r="K1467" t="str">
        <f ca="1">IF(ROW(T_CALC[[#This Row],[DAY]])-ROW(T_CALC[[#Headers],[DAY]])&gt;C_N_TRADING_DAYS,"",ROW(T_CALC[[#This Row],[DAY]])-ROW(T_CALC[[#Headers],[DAY]]))</f>
        <v/>
      </c>
      <c r="L1467" t="e" cm="1">
        <f t="array" aca="1" ref="L1467" ca="1">IFERROR(INDEX(_xlfn.ANCHORARRAY($C$3),T_CALC[[#This Row],[DAY]]+1,1),NA())</f>
        <v>#N/A</v>
      </c>
      <c r="M1467" t="e" cm="1">
        <f t="array" aca="1" ref="M1467" ca="1">IFERROR(INDEX(_xlfn.ANCHORARRAY($C$3),T_CALC[[#This Row],[DAY]]+1,3),NA())</f>
        <v>#N/A</v>
      </c>
      <c r="N1467" t="e" cm="1">
        <f t="array" aca="1" ref="N1467" ca="1">IFERROR(INDEX(_xlfn.ANCHORARRAY($C$3),T_CALC[[#This Row],[DAY]]+1,4),NA())</f>
        <v>#N/A</v>
      </c>
      <c r="O1467" t="e" cm="1">
        <f t="array" aca="1" ref="O1467" ca="1">IFERROR(INDEX(_xlfn.ANCHORARRAY($C$3),T_CALC[[#This Row],[DAY]]+1,5),NA())</f>
        <v>#N/A</v>
      </c>
      <c r="P1467" t="e" cm="1">
        <f t="array" aca="1" ref="P1467" ca="1">IFERROR(INDEX(_xlfn.ANCHORARRAY($C$3),T_CALC[[#This Row],[DAY]]+1,6),NA())</f>
        <v>#N/A</v>
      </c>
      <c r="Q1467" t="e" cm="1">
        <f t="array" aca="1" ref="Q1467" ca="1">IFERROR(INDEX(_xlfn.ANCHORARRAY($C$3),T_CALC[[#This Row],[DAY]]+1,2),NA())</f>
        <v>#N/A</v>
      </c>
    </row>
    <row r="1468" spans="11:17">
      <c r="K1468" t="str">
        <f ca="1">IF(ROW(T_CALC[[#This Row],[DAY]])-ROW(T_CALC[[#Headers],[DAY]])&gt;C_N_TRADING_DAYS,"",ROW(T_CALC[[#This Row],[DAY]])-ROW(T_CALC[[#Headers],[DAY]]))</f>
        <v/>
      </c>
      <c r="L1468" t="e" cm="1">
        <f t="array" aca="1" ref="L1468" ca="1">IFERROR(INDEX(_xlfn.ANCHORARRAY($C$3),T_CALC[[#This Row],[DAY]]+1,1),NA())</f>
        <v>#N/A</v>
      </c>
      <c r="M1468" t="e" cm="1">
        <f t="array" aca="1" ref="M1468" ca="1">IFERROR(INDEX(_xlfn.ANCHORARRAY($C$3),T_CALC[[#This Row],[DAY]]+1,3),NA())</f>
        <v>#N/A</v>
      </c>
      <c r="N1468" t="e" cm="1">
        <f t="array" aca="1" ref="N1468" ca="1">IFERROR(INDEX(_xlfn.ANCHORARRAY($C$3),T_CALC[[#This Row],[DAY]]+1,4),NA())</f>
        <v>#N/A</v>
      </c>
      <c r="O1468" t="e" cm="1">
        <f t="array" aca="1" ref="O1468" ca="1">IFERROR(INDEX(_xlfn.ANCHORARRAY($C$3),T_CALC[[#This Row],[DAY]]+1,5),NA())</f>
        <v>#N/A</v>
      </c>
      <c r="P1468" t="e" cm="1">
        <f t="array" aca="1" ref="P1468" ca="1">IFERROR(INDEX(_xlfn.ANCHORARRAY($C$3),T_CALC[[#This Row],[DAY]]+1,6),NA())</f>
        <v>#N/A</v>
      </c>
      <c r="Q1468" t="e" cm="1">
        <f t="array" aca="1" ref="Q1468" ca="1">IFERROR(INDEX(_xlfn.ANCHORARRAY($C$3),T_CALC[[#This Row],[DAY]]+1,2),NA())</f>
        <v>#N/A</v>
      </c>
    </row>
    <row r="1469" spans="11:17">
      <c r="K1469" t="str">
        <f ca="1">IF(ROW(T_CALC[[#This Row],[DAY]])-ROW(T_CALC[[#Headers],[DAY]])&gt;C_N_TRADING_DAYS,"",ROW(T_CALC[[#This Row],[DAY]])-ROW(T_CALC[[#Headers],[DAY]]))</f>
        <v/>
      </c>
      <c r="L1469" t="e" cm="1">
        <f t="array" aca="1" ref="L1469" ca="1">IFERROR(INDEX(_xlfn.ANCHORARRAY($C$3),T_CALC[[#This Row],[DAY]]+1,1),NA())</f>
        <v>#N/A</v>
      </c>
      <c r="M1469" t="e" cm="1">
        <f t="array" aca="1" ref="M1469" ca="1">IFERROR(INDEX(_xlfn.ANCHORARRAY($C$3),T_CALC[[#This Row],[DAY]]+1,3),NA())</f>
        <v>#N/A</v>
      </c>
      <c r="N1469" t="e" cm="1">
        <f t="array" aca="1" ref="N1469" ca="1">IFERROR(INDEX(_xlfn.ANCHORARRAY($C$3),T_CALC[[#This Row],[DAY]]+1,4),NA())</f>
        <v>#N/A</v>
      </c>
      <c r="O1469" t="e" cm="1">
        <f t="array" aca="1" ref="O1469" ca="1">IFERROR(INDEX(_xlfn.ANCHORARRAY($C$3),T_CALC[[#This Row],[DAY]]+1,5),NA())</f>
        <v>#N/A</v>
      </c>
      <c r="P1469" t="e" cm="1">
        <f t="array" aca="1" ref="P1469" ca="1">IFERROR(INDEX(_xlfn.ANCHORARRAY($C$3),T_CALC[[#This Row],[DAY]]+1,6),NA())</f>
        <v>#N/A</v>
      </c>
      <c r="Q1469" t="e" cm="1">
        <f t="array" aca="1" ref="Q1469" ca="1">IFERROR(INDEX(_xlfn.ANCHORARRAY($C$3),T_CALC[[#This Row],[DAY]]+1,2),NA())</f>
        <v>#N/A</v>
      </c>
    </row>
    <row r="1470" spans="11:17">
      <c r="K1470" t="str">
        <f ca="1">IF(ROW(T_CALC[[#This Row],[DAY]])-ROW(T_CALC[[#Headers],[DAY]])&gt;C_N_TRADING_DAYS,"",ROW(T_CALC[[#This Row],[DAY]])-ROW(T_CALC[[#Headers],[DAY]]))</f>
        <v/>
      </c>
      <c r="L1470" t="e" cm="1">
        <f t="array" aca="1" ref="L1470" ca="1">IFERROR(INDEX(_xlfn.ANCHORARRAY($C$3),T_CALC[[#This Row],[DAY]]+1,1),NA())</f>
        <v>#N/A</v>
      </c>
      <c r="M1470" t="e" cm="1">
        <f t="array" aca="1" ref="M1470" ca="1">IFERROR(INDEX(_xlfn.ANCHORARRAY($C$3),T_CALC[[#This Row],[DAY]]+1,3),NA())</f>
        <v>#N/A</v>
      </c>
      <c r="N1470" t="e" cm="1">
        <f t="array" aca="1" ref="N1470" ca="1">IFERROR(INDEX(_xlfn.ANCHORARRAY($C$3),T_CALC[[#This Row],[DAY]]+1,4),NA())</f>
        <v>#N/A</v>
      </c>
      <c r="O1470" t="e" cm="1">
        <f t="array" aca="1" ref="O1470" ca="1">IFERROR(INDEX(_xlfn.ANCHORARRAY($C$3),T_CALC[[#This Row],[DAY]]+1,5),NA())</f>
        <v>#N/A</v>
      </c>
      <c r="P1470" t="e" cm="1">
        <f t="array" aca="1" ref="P1470" ca="1">IFERROR(INDEX(_xlfn.ANCHORARRAY($C$3),T_CALC[[#This Row],[DAY]]+1,6),NA())</f>
        <v>#N/A</v>
      </c>
      <c r="Q1470" t="e" cm="1">
        <f t="array" aca="1" ref="Q1470" ca="1">IFERROR(INDEX(_xlfn.ANCHORARRAY($C$3),T_CALC[[#This Row],[DAY]]+1,2),NA())</f>
        <v>#N/A</v>
      </c>
    </row>
    <row r="1471" spans="11:17">
      <c r="K1471" t="str">
        <f ca="1">IF(ROW(T_CALC[[#This Row],[DAY]])-ROW(T_CALC[[#Headers],[DAY]])&gt;C_N_TRADING_DAYS,"",ROW(T_CALC[[#This Row],[DAY]])-ROW(T_CALC[[#Headers],[DAY]]))</f>
        <v/>
      </c>
      <c r="L1471" t="e" cm="1">
        <f t="array" aca="1" ref="L1471" ca="1">IFERROR(INDEX(_xlfn.ANCHORARRAY($C$3),T_CALC[[#This Row],[DAY]]+1,1),NA())</f>
        <v>#N/A</v>
      </c>
      <c r="M1471" t="e" cm="1">
        <f t="array" aca="1" ref="M1471" ca="1">IFERROR(INDEX(_xlfn.ANCHORARRAY($C$3),T_CALC[[#This Row],[DAY]]+1,3),NA())</f>
        <v>#N/A</v>
      </c>
      <c r="N1471" t="e" cm="1">
        <f t="array" aca="1" ref="N1471" ca="1">IFERROR(INDEX(_xlfn.ANCHORARRAY($C$3),T_CALC[[#This Row],[DAY]]+1,4),NA())</f>
        <v>#N/A</v>
      </c>
      <c r="O1471" t="e" cm="1">
        <f t="array" aca="1" ref="O1471" ca="1">IFERROR(INDEX(_xlfn.ANCHORARRAY($C$3),T_CALC[[#This Row],[DAY]]+1,5),NA())</f>
        <v>#N/A</v>
      </c>
      <c r="P1471" t="e" cm="1">
        <f t="array" aca="1" ref="P1471" ca="1">IFERROR(INDEX(_xlfn.ANCHORARRAY($C$3),T_CALC[[#This Row],[DAY]]+1,6),NA())</f>
        <v>#N/A</v>
      </c>
      <c r="Q1471" t="e" cm="1">
        <f t="array" aca="1" ref="Q1471" ca="1">IFERROR(INDEX(_xlfn.ANCHORARRAY($C$3),T_CALC[[#This Row],[DAY]]+1,2),NA())</f>
        <v>#N/A</v>
      </c>
    </row>
    <row r="1472" spans="11:17">
      <c r="K1472" t="str">
        <f ca="1">IF(ROW(T_CALC[[#This Row],[DAY]])-ROW(T_CALC[[#Headers],[DAY]])&gt;C_N_TRADING_DAYS,"",ROW(T_CALC[[#This Row],[DAY]])-ROW(T_CALC[[#Headers],[DAY]]))</f>
        <v/>
      </c>
      <c r="L1472" t="e" cm="1">
        <f t="array" aca="1" ref="L1472" ca="1">IFERROR(INDEX(_xlfn.ANCHORARRAY($C$3),T_CALC[[#This Row],[DAY]]+1,1),NA())</f>
        <v>#N/A</v>
      </c>
      <c r="M1472" t="e" cm="1">
        <f t="array" aca="1" ref="M1472" ca="1">IFERROR(INDEX(_xlfn.ANCHORARRAY($C$3),T_CALC[[#This Row],[DAY]]+1,3),NA())</f>
        <v>#N/A</v>
      </c>
      <c r="N1472" t="e" cm="1">
        <f t="array" aca="1" ref="N1472" ca="1">IFERROR(INDEX(_xlfn.ANCHORARRAY($C$3),T_CALC[[#This Row],[DAY]]+1,4),NA())</f>
        <v>#N/A</v>
      </c>
      <c r="O1472" t="e" cm="1">
        <f t="array" aca="1" ref="O1472" ca="1">IFERROR(INDEX(_xlfn.ANCHORARRAY($C$3),T_CALC[[#This Row],[DAY]]+1,5),NA())</f>
        <v>#N/A</v>
      </c>
      <c r="P1472" t="e" cm="1">
        <f t="array" aca="1" ref="P1472" ca="1">IFERROR(INDEX(_xlfn.ANCHORARRAY($C$3),T_CALC[[#This Row],[DAY]]+1,6),NA())</f>
        <v>#N/A</v>
      </c>
      <c r="Q1472" t="e" cm="1">
        <f t="array" aca="1" ref="Q1472" ca="1">IFERROR(INDEX(_xlfn.ANCHORARRAY($C$3),T_CALC[[#This Row],[DAY]]+1,2),NA())</f>
        <v>#N/A</v>
      </c>
    </row>
    <row r="1473" spans="11:17">
      <c r="K1473" t="str">
        <f ca="1">IF(ROW(T_CALC[[#This Row],[DAY]])-ROW(T_CALC[[#Headers],[DAY]])&gt;C_N_TRADING_DAYS,"",ROW(T_CALC[[#This Row],[DAY]])-ROW(T_CALC[[#Headers],[DAY]]))</f>
        <v/>
      </c>
      <c r="L1473" t="e" cm="1">
        <f t="array" aca="1" ref="L1473" ca="1">IFERROR(INDEX(_xlfn.ANCHORARRAY($C$3),T_CALC[[#This Row],[DAY]]+1,1),NA())</f>
        <v>#N/A</v>
      </c>
      <c r="M1473" t="e" cm="1">
        <f t="array" aca="1" ref="M1473" ca="1">IFERROR(INDEX(_xlfn.ANCHORARRAY($C$3),T_CALC[[#This Row],[DAY]]+1,3),NA())</f>
        <v>#N/A</v>
      </c>
      <c r="N1473" t="e" cm="1">
        <f t="array" aca="1" ref="N1473" ca="1">IFERROR(INDEX(_xlfn.ANCHORARRAY($C$3),T_CALC[[#This Row],[DAY]]+1,4),NA())</f>
        <v>#N/A</v>
      </c>
      <c r="O1473" t="e" cm="1">
        <f t="array" aca="1" ref="O1473" ca="1">IFERROR(INDEX(_xlfn.ANCHORARRAY($C$3),T_CALC[[#This Row],[DAY]]+1,5),NA())</f>
        <v>#N/A</v>
      </c>
      <c r="P1473" t="e" cm="1">
        <f t="array" aca="1" ref="P1473" ca="1">IFERROR(INDEX(_xlfn.ANCHORARRAY($C$3),T_CALC[[#This Row],[DAY]]+1,6),NA())</f>
        <v>#N/A</v>
      </c>
      <c r="Q1473" t="e" cm="1">
        <f t="array" aca="1" ref="Q1473" ca="1">IFERROR(INDEX(_xlfn.ANCHORARRAY($C$3),T_CALC[[#This Row],[DAY]]+1,2),NA())</f>
        <v>#N/A</v>
      </c>
    </row>
    <row r="1474" spans="11:17">
      <c r="K1474" t="str">
        <f ca="1">IF(ROW(T_CALC[[#This Row],[DAY]])-ROW(T_CALC[[#Headers],[DAY]])&gt;C_N_TRADING_DAYS,"",ROW(T_CALC[[#This Row],[DAY]])-ROW(T_CALC[[#Headers],[DAY]]))</f>
        <v/>
      </c>
      <c r="L1474" t="e" cm="1">
        <f t="array" aca="1" ref="L1474" ca="1">IFERROR(INDEX(_xlfn.ANCHORARRAY($C$3),T_CALC[[#This Row],[DAY]]+1,1),NA())</f>
        <v>#N/A</v>
      </c>
      <c r="M1474" t="e" cm="1">
        <f t="array" aca="1" ref="M1474" ca="1">IFERROR(INDEX(_xlfn.ANCHORARRAY($C$3),T_CALC[[#This Row],[DAY]]+1,3),NA())</f>
        <v>#N/A</v>
      </c>
      <c r="N1474" t="e" cm="1">
        <f t="array" aca="1" ref="N1474" ca="1">IFERROR(INDEX(_xlfn.ANCHORARRAY($C$3),T_CALC[[#This Row],[DAY]]+1,4),NA())</f>
        <v>#N/A</v>
      </c>
      <c r="O1474" t="e" cm="1">
        <f t="array" aca="1" ref="O1474" ca="1">IFERROR(INDEX(_xlfn.ANCHORARRAY($C$3),T_CALC[[#This Row],[DAY]]+1,5),NA())</f>
        <v>#N/A</v>
      </c>
      <c r="P1474" t="e" cm="1">
        <f t="array" aca="1" ref="P1474" ca="1">IFERROR(INDEX(_xlfn.ANCHORARRAY($C$3),T_CALC[[#This Row],[DAY]]+1,6),NA())</f>
        <v>#N/A</v>
      </c>
      <c r="Q1474" t="e" cm="1">
        <f t="array" aca="1" ref="Q1474" ca="1">IFERROR(INDEX(_xlfn.ANCHORARRAY($C$3),T_CALC[[#This Row],[DAY]]+1,2),NA())</f>
        <v>#N/A</v>
      </c>
    </row>
    <row r="1475" spans="11:17">
      <c r="K1475" t="str">
        <f ca="1">IF(ROW(T_CALC[[#This Row],[DAY]])-ROW(T_CALC[[#Headers],[DAY]])&gt;C_N_TRADING_DAYS,"",ROW(T_CALC[[#This Row],[DAY]])-ROW(T_CALC[[#Headers],[DAY]]))</f>
        <v/>
      </c>
      <c r="L1475" t="e" cm="1">
        <f t="array" aca="1" ref="L1475" ca="1">IFERROR(INDEX(_xlfn.ANCHORARRAY($C$3),T_CALC[[#This Row],[DAY]]+1,1),NA())</f>
        <v>#N/A</v>
      </c>
      <c r="M1475" t="e" cm="1">
        <f t="array" aca="1" ref="M1475" ca="1">IFERROR(INDEX(_xlfn.ANCHORARRAY($C$3),T_CALC[[#This Row],[DAY]]+1,3),NA())</f>
        <v>#N/A</v>
      </c>
      <c r="N1475" t="e" cm="1">
        <f t="array" aca="1" ref="N1475" ca="1">IFERROR(INDEX(_xlfn.ANCHORARRAY($C$3),T_CALC[[#This Row],[DAY]]+1,4),NA())</f>
        <v>#N/A</v>
      </c>
      <c r="O1475" t="e" cm="1">
        <f t="array" aca="1" ref="O1475" ca="1">IFERROR(INDEX(_xlfn.ANCHORARRAY($C$3),T_CALC[[#This Row],[DAY]]+1,5),NA())</f>
        <v>#N/A</v>
      </c>
      <c r="P1475" t="e" cm="1">
        <f t="array" aca="1" ref="P1475" ca="1">IFERROR(INDEX(_xlfn.ANCHORARRAY($C$3),T_CALC[[#This Row],[DAY]]+1,6),NA())</f>
        <v>#N/A</v>
      </c>
      <c r="Q1475" t="e" cm="1">
        <f t="array" aca="1" ref="Q1475" ca="1">IFERROR(INDEX(_xlfn.ANCHORARRAY($C$3),T_CALC[[#This Row],[DAY]]+1,2),NA())</f>
        <v>#N/A</v>
      </c>
    </row>
    <row r="1476" spans="11:17">
      <c r="K1476" t="str">
        <f ca="1">IF(ROW(T_CALC[[#This Row],[DAY]])-ROW(T_CALC[[#Headers],[DAY]])&gt;C_N_TRADING_DAYS,"",ROW(T_CALC[[#This Row],[DAY]])-ROW(T_CALC[[#Headers],[DAY]]))</f>
        <v/>
      </c>
      <c r="L1476" t="e" cm="1">
        <f t="array" aca="1" ref="L1476" ca="1">IFERROR(INDEX(_xlfn.ANCHORARRAY($C$3),T_CALC[[#This Row],[DAY]]+1,1),NA())</f>
        <v>#N/A</v>
      </c>
      <c r="M1476" t="e" cm="1">
        <f t="array" aca="1" ref="M1476" ca="1">IFERROR(INDEX(_xlfn.ANCHORARRAY($C$3),T_CALC[[#This Row],[DAY]]+1,3),NA())</f>
        <v>#N/A</v>
      </c>
      <c r="N1476" t="e" cm="1">
        <f t="array" aca="1" ref="N1476" ca="1">IFERROR(INDEX(_xlfn.ANCHORARRAY($C$3),T_CALC[[#This Row],[DAY]]+1,4),NA())</f>
        <v>#N/A</v>
      </c>
      <c r="O1476" t="e" cm="1">
        <f t="array" aca="1" ref="O1476" ca="1">IFERROR(INDEX(_xlfn.ANCHORARRAY($C$3),T_CALC[[#This Row],[DAY]]+1,5),NA())</f>
        <v>#N/A</v>
      </c>
      <c r="P1476" t="e" cm="1">
        <f t="array" aca="1" ref="P1476" ca="1">IFERROR(INDEX(_xlfn.ANCHORARRAY($C$3),T_CALC[[#This Row],[DAY]]+1,6),NA())</f>
        <v>#N/A</v>
      </c>
      <c r="Q1476" t="e" cm="1">
        <f t="array" aca="1" ref="Q1476" ca="1">IFERROR(INDEX(_xlfn.ANCHORARRAY($C$3),T_CALC[[#This Row],[DAY]]+1,2),NA())</f>
        <v>#N/A</v>
      </c>
    </row>
    <row r="1477" spans="11:17">
      <c r="K1477" t="str">
        <f ca="1">IF(ROW(T_CALC[[#This Row],[DAY]])-ROW(T_CALC[[#Headers],[DAY]])&gt;C_N_TRADING_DAYS,"",ROW(T_CALC[[#This Row],[DAY]])-ROW(T_CALC[[#Headers],[DAY]]))</f>
        <v/>
      </c>
      <c r="L1477" t="e" cm="1">
        <f t="array" aca="1" ref="L1477" ca="1">IFERROR(INDEX(_xlfn.ANCHORARRAY($C$3),T_CALC[[#This Row],[DAY]]+1,1),NA())</f>
        <v>#N/A</v>
      </c>
      <c r="M1477" t="e" cm="1">
        <f t="array" aca="1" ref="M1477" ca="1">IFERROR(INDEX(_xlfn.ANCHORARRAY($C$3),T_CALC[[#This Row],[DAY]]+1,3),NA())</f>
        <v>#N/A</v>
      </c>
      <c r="N1477" t="e" cm="1">
        <f t="array" aca="1" ref="N1477" ca="1">IFERROR(INDEX(_xlfn.ANCHORARRAY($C$3),T_CALC[[#This Row],[DAY]]+1,4),NA())</f>
        <v>#N/A</v>
      </c>
      <c r="O1477" t="e" cm="1">
        <f t="array" aca="1" ref="O1477" ca="1">IFERROR(INDEX(_xlfn.ANCHORARRAY($C$3),T_CALC[[#This Row],[DAY]]+1,5),NA())</f>
        <v>#N/A</v>
      </c>
      <c r="P1477" t="e" cm="1">
        <f t="array" aca="1" ref="P1477" ca="1">IFERROR(INDEX(_xlfn.ANCHORARRAY($C$3),T_CALC[[#This Row],[DAY]]+1,6),NA())</f>
        <v>#N/A</v>
      </c>
      <c r="Q1477" t="e" cm="1">
        <f t="array" aca="1" ref="Q1477" ca="1">IFERROR(INDEX(_xlfn.ANCHORARRAY($C$3),T_CALC[[#This Row],[DAY]]+1,2),NA())</f>
        <v>#N/A</v>
      </c>
    </row>
    <row r="1478" spans="11:17">
      <c r="K1478" t="str">
        <f ca="1">IF(ROW(T_CALC[[#This Row],[DAY]])-ROW(T_CALC[[#Headers],[DAY]])&gt;C_N_TRADING_DAYS,"",ROW(T_CALC[[#This Row],[DAY]])-ROW(T_CALC[[#Headers],[DAY]]))</f>
        <v/>
      </c>
      <c r="L1478" t="e" cm="1">
        <f t="array" aca="1" ref="L1478" ca="1">IFERROR(INDEX(_xlfn.ANCHORARRAY($C$3),T_CALC[[#This Row],[DAY]]+1,1),NA())</f>
        <v>#N/A</v>
      </c>
      <c r="M1478" t="e" cm="1">
        <f t="array" aca="1" ref="M1478" ca="1">IFERROR(INDEX(_xlfn.ANCHORARRAY($C$3),T_CALC[[#This Row],[DAY]]+1,3),NA())</f>
        <v>#N/A</v>
      </c>
      <c r="N1478" t="e" cm="1">
        <f t="array" aca="1" ref="N1478" ca="1">IFERROR(INDEX(_xlfn.ANCHORARRAY($C$3),T_CALC[[#This Row],[DAY]]+1,4),NA())</f>
        <v>#N/A</v>
      </c>
      <c r="O1478" t="e" cm="1">
        <f t="array" aca="1" ref="O1478" ca="1">IFERROR(INDEX(_xlfn.ANCHORARRAY($C$3),T_CALC[[#This Row],[DAY]]+1,5),NA())</f>
        <v>#N/A</v>
      </c>
      <c r="P1478" t="e" cm="1">
        <f t="array" aca="1" ref="P1478" ca="1">IFERROR(INDEX(_xlfn.ANCHORARRAY($C$3),T_CALC[[#This Row],[DAY]]+1,6),NA())</f>
        <v>#N/A</v>
      </c>
      <c r="Q1478" t="e" cm="1">
        <f t="array" aca="1" ref="Q1478" ca="1">IFERROR(INDEX(_xlfn.ANCHORARRAY($C$3),T_CALC[[#This Row],[DAY]]+1,2),NA())</f>
        <v>#N/A</v>
      </c>
    </row>
    <row r="1479" spans="11:17">
      <c r="K1479" t="str">
        <f ca="1">IF(ROW(T_CALC[[#This Row],[DAY]])-ROW(T_CALC[[#Headers],[DAY]])&gt;C_N_TRADING_DAYS,"",ROW(T_CALC[[#This Row],[DAY]])-ROW(T_CALC[[#Headers],[DAY]]))</f>
        <v/>
      </c>
      <c r="L1479" t="e" cm="1">
        <f t="array" aca="1" ref="L1479" ca="1">IFERROR(INDEX(_xlfn.ANCHORARRAY($C$3),T_CALC[[#This Row],[DAY]]+1,1),NA())</f>
        <v>#N/A</v>
      </c>
      <c r="M1479" t="e" cm="1">
        <f t="array" aca="1" ref="M1479" ca="1">IFERROR(INDEX(_xlfn.ANCHORARRAY($C$3),T_CALC[[#This Row],[DAY]]+1,3),NA())</f>
        <v>#N/A</v>
      </c>
      <c r="N1479" t="e" cm="1">
        <f t="array" aca="1" ref="N1479" ca="1">IFERROR(INDEX(_xlfn.ANCHORARRAY($C$3),T_CALC[[#This Row],[DAY]]+1,4),NA())</f>
        <v>#N/A</v>
      </c>
      <c r="O1479" t="e" cm="1">
        <f t="array" aca="1" ref="O1479" ca="1">IFERROR(INDEX(_xlfn.ANCHORARRAY($C$3),T_CALC[[#This Row],[DAY]]+1,5),NA())</f>
        <v>#N/A</v>
      </c>
      <c r="P1479" t="e" cm="1">
        <f t="array" aca="1" ref="P1479" ca="1">IFERROR(INDEX(_xlfn.ANCHORARRAY($C$3),T_CALC[[#This Row],[DAY]]+1,6),NA())</f>
        <v>#N/A</v>
      </c>
      <c r="Q1479" t="e" cm="1">
        <f t="array" aca="1" ref="Q1479" ca="1">IFERROR(INDEX(_xlfn.ANCHORARRAY($C$3),T_CALC[[#This Row],[DAY]]+1,2),NA())</f>
        <v>#N/A</v>
      </c>
    </row>
    <row r="1480" spans="11:17">
      <c r="K1480" t="str">
        <f ca="1">IF(ROW(T_CALC[[#This Row],[DAY]])-ROW(T_CALC[[#Headers],[DAY]])&gt;C_N_TRADING_DAYS,"",ROW(T_CALC[[#This Row],[DAY]])-ROW(T_CALC[[#Headers],[DAY]]))</f>
        <v/>
      </c>
      <c r="L1480" t="e" cm="1">
        <f t="array" aca="1" ref="L1480" ca="1">IFERROR(INDEX(_xlfn.ANCHORARRAY($C$3),T_CALC[[#This Row],[DAY]]+1,1),NA())</f>
        <v>#N/A</v>
      </c>
      <c r="M1480" t="e" cm="1">
        <f t="array" aca="1" ref="M1480" ca="1">IFERROR(INDEX(_xlfn.ANCHORARRAY($C$3),T_CALC[[#This Row],[DAY]]+1,3),NA())</f>
        <v>#N/A</v>
      </c>
      <c r="N1480" t="e" cm="1">
        <f t="array" aca="1" ref="N1480" ca="1">IFERROR(INDEX(_xlfn.ANCHORARRAY($C$3),T_CALC[[#This Row],[DAY]]+1,4),NA())</f>
        <v>#N/A</v>
      </c>
      <c r="O1480" t="e" cm="1">
        <f t="array" aca="1" ref="O1480" ca="1">IFERROR(INDEX(_xlfn.ANCHORARRAY($C$3),T_CALC[[#This Row],[DAY]]+1,5),NA())</f>
        <v>#N/A</v>
      </c>
      <c r="P1480" t="e" cm="1">
        <f t="array" aca="1" ref="P1480" ca="1">IFERROR(INDEX(_xlfn.ANCHORARRAY($C$3),T_CALC[[#This Row],[DAY]]+1,6),NA())</f>
        <v>#N/A</v>
      </c>
      <c r="Q1480" t="e" cm="1">
        <f t="array" aca="1" ref="Q1480" ca="1">IFERROR(INDEX(_xlfn.ANCHORARRAY($C$3),T_CALC[[#This Row],[DAY]]+1,2),NA())</f>
        <v>#N/A</v>
      </c>
    </row>
    <row r="1481" spans="11:17">
      <c r="K1481" t="str">
        <f ca="1">IF(ROW(T_CALC[[#This Row],[DAY]])-ROW(T_CALC[[#Headers],[DAY]])&gt;C_N_TRADING_DAYS,"",ROW(T_CALC[[#This Row],[DAY]])-ROW(T_CALC[[#Headers],[DAY]]))</f>
        <v/>
      </c>
      <c r="L1481" t="e" cm="1">
        <f t="array" aca="1" ref="L1481" ca="1">IFERROR(INDEX(_xlfn.ANCHORARRAY($C$3),T_CALC[[#This Row],[DAY]]+1,1),NA())</f>
        <v>#N/A</v>
      </c>
      <c r="M1481" t="e" cm="1">
        <f t="array" aca="1" ref="M1481" ca="1">IFERROR(INDEX(_xlfn.ANCHORARRAY($C$3),T_CALC[[#This Row],[DAY]]+1,3),NA())</f>
        <v>#N/A</v>
      </c>
      <c r="N1481" t="e" cm="1">
        <f t="array" aca="1" ref="N1481" ca="1">IFERROR(INDEX(_xlfn.ANCHORARRAY($C$3),T_CALC[[#This Row],[DAY]]+1,4),NA())</f>
        <v>#N/A</v>
      </c>
      <c r="O1481" t="e" cm="1">
        <f t="array" aca="1" ref="O1481" ca="1">IFERROR(INDEX(_xlfn.ANCHORARRAY($C$3),T_CALC[[#This Row],[DAY]]+1,5),NA())</f>
        <v>#N/A</v>
      </c>
      <c r="P1481" t="e" cm="1">
        <f t="array" aca="1" ref="P1481" ca="1">IFERROR(INDEX(_xlfn.ANCHORARRAY($C$3),T_CALC[[#This Row],[DAY]]+1,6),NA())</f>
        <v>#N/A</v>
      </c>
      <c r="Q1481" t="e" cm="1">
        <f t="array" aca="1" ref="Q1481" ca="1">IFERROR(INDEX(_xlfn.ANCHORARRAY($C$3),T_CALC[[#This Row],[DAY]]+1,2),NA())</f>
        <v>#N/A</v>
      </c>
    </row>
    <row r="1482" spans="11:17">
      <c r="K1482" t="str">
        <f ca="1">IF(ROW(T_CALC[[#This Row],[DAY]])-ROW(T_CALC[[#Headers],[DAY]])&gt;C_N_TRADING_DAYS,"",ROW(T_CALC[[#This Row],[DAY]])-ROW(T_CALC[[#Headers],[DAY]]))</f>
        <v/>
      </c>
      <c r="L1482" t="e" cm="1">
        <f t="array" aca="1" ref="L1482" ca="1">IFERROR(INDEX(_xlfn.ANCHORARRAY($C$3),T_CALC[[#This Row],[DAY]]+1,1),NA())</f>
        <v>#N/A</v>
      </c>
      <c r="M1482" t="e" cm="1">
        <f t="array" aca="1" ref="M1482" ca="1">IFERROR(INDEX(_xlfn.ANCHORARRAY($C$3),T_CALC[[#This Row],[DAY]]+1,3),NA())</f>
        <v>#N/A</v>
      </c>
      <c r="N1482" t="e" cm="1">
        <f t="array" aca="1" ref="N1482" ca="1">IFERROR(INDEX(_xlfn.ANCHORARRAY($C$3),T_CALC[[#This Row],[DAY]]+1,4),NA())</f>
        <v>#N/A</v>
      </c>
      <c r="O1482" t="e" cm="1">
        <f t="array" aca="1" ref="O1482" ca="1">IFERROR(INDEX(_xlfn.ANCHORARRAY($C$3),T_CALC[[#This Row],[DAY]]+1,5),NA())</f>
        <v>#N/A</v>
      </c>
      <c r="P1482" t="e" cm="1">
        <f t="array" aca="1" ref="P1482" ca="1">IFERROR(INDEX(_xlfn.ANCHORARRAY($C$3),T_CALC[[#This Row],[DAY]]+1,6),NA())</f>
        <v>#N/A</v>
      </c>
      <c r="Q1482" t="e" cm="1">
        <f t="array" aca="1" ref="Q1482" ca="1">IFERROR(INDEX(_xlfn.ANCHORARRAY($C$3),T_CALC[[#This Row],[DAY]]+1,2),NA())</f>
        <v>#N/A</v>
      </c>
    </row>
    <row r="1483" spans="11:17">
      <c r="K1483" t="str">
        <f ca="1">IF(ROW(T_CALC[[#This Row],[DAY]])-ROW(T_CALC[[#Headers],[DAY]])&gt;C_N_TRADING_DAYS,"",ROW(T_CALC[[#This Row],[DAY]])-ROW(T_CALC[[#Headers],[DAY]]))</f>
        <v/>
      </c>
      <c r="L1483" t="e" cm="1">
        <f t="array" aca="1" ref="L1483" ca="1">IFERROR(INDEX(_xlfn.ANCHORARRAY($C$3),T_CALC[[#This Row],[DAY]]+1,1),NA())</f>
        <v>#N/A</v>
      </c>
      <c r="M1483" t="e" cm="1">
        <f t="array" aca="1" ref="M1483" ca="1">IFERROR(INDEX(_xlfn.ANCHORARRAY($C$3),T_CALC[[#This Row],[DAY]]+1,3),NA())</f>
        <v>#N/A</v>
      </c>
      <c r="N1483" t="e" cm="1">
        <f t="array" aca="1" ref="N1483" ca="1">IFERROR(INDEX(_xlfn.ANCHORARRAY($C$3),T_CALC[[#This Row],[DAY]]+1,4),NA())</f>
        <v>#N/A</v>
      </c>
      <c r="O1483" t="e" cm="1">
        <f t="array" aca="1" ref="O1483" ca="1">IFERROR(INDEX(_xlfn.ANCHORARRAY($C$3),T_CALC[[#This Row],[DAY]]+1,5),NA())</f>
        <v>#N/A</v>
      </c>
      <c r="P1483" t="e" cm="1">
        <f t="array" aca="1" ref="P1483" ca="1">IFERROR(INDEX(_xlfn.ANCHORARRAY($C$3),T_CALC[[#This Row],[DAY]]+1,6),NA())</f>
        <v>#N/A</v>
      </c>
      <c r="Q1483" t="e" cm="1">
        <f t="array" aca="1" ref="Q1483" ca="1">IFERROR(INDEX(_xlfn.ANCHORARRAY($C$3),T_CALC[[#This Row],[DAY]]+1,2),NA())</f>
        <v>#N/A</v>
      </c>
    </row>
    <row r="1484" spans="11:17">
      <c r="K1484" t="str">
        <f ca="1">IF(ROW(T_CALC[[#This Row],[DAY]])-ROW(T_CALC[[#Headers],[DAY]])&gt;C_N_TRADING_DAYS,"",ROW(T_CALC[[#This Row],[DAY]])-ROW(T_CALC[[#Headers],[DAY]]))</f>
        <v/>
      </c>
      <c r="L1484" t="e" cm="1">
        <f t="array" aca="1" ref="L1484" ca="1">IFERROR(INDEX(_xlfn.ANCHORARRAY($C$3),T_CALC[[#This Row],[DAY]]+1,1),NA())</f>
        <v>#N/A</v>
      </c>
      <c r="M1484" t="e" cm="1">
        <f t="array" aca="1" ref="M1484" ca="1">IFERROR(INDEX(_xlfn.ANCHORARRAY($C$3),T_CALC[[#This Row],[DAY]]+1,3),NA())</f>
        <v>#N/A</v>
      </c>
      <c r="N1484" t="e" cm="1">
        <f t="array" aca="1" ref="N1484" ca="1">IFERROR(INDEX(_xlfn.ANCHORARRAY($C$3),T_CALC[[#This Row],[DAY]]+1,4),NA())</f>
        <v>#N/A</v>
      </c>
      <c r="O1484" t="e" cm="1">
        <f t="array" aca="1" ref="O1484" ca="1">IFERROR(INDEX(_xlfn.ANCHORARRAY($C$3),T_CALC[[#This Row],[DAY]]+1,5),NA())</f>
        <v>#N/A</v>
      </c>
      <c r="P1484" t="e" cm="1">
        <f t="array" aca="1" ref="P1484" ca="1">IFERROR(INDEX(_xlfn.ANCHORARRAY($C$3),T_CALC[[#This Row],[DAY]]+1,6),NA())</f>
        <v>#N/A</v>
      </c>
      <c r="Q1484" t="e" cm="1">
        <f t="array" aca="1" ref="Q1484" ca="1">IFERROR(INDEX(_xlfn.ANCHORARRAY($C$3),T_CALC[[#This Row],[DAY]]+1,2),NA())</f>
        <v>#N/A</v>
      </c>
    </row>
    <row r="1485" spans="11:17">
      <c r="K1485" t="str">
        <f ca="1">IF(ROW(T_CALC[[#This Row],[DAY]])-ROW(T_CALC[[#Headers],[DAY]])&gt;C_N_TRADING_DAYS,"",ROW(T_CALC[[#This Row],[DAY]])-ROW(T_CALC[[#Headers],[DAY]]))</f>
        <v/>
      </c>
      <c r="L1485" t="e" cm="1">
        <f t="array" aca="1" ref="L1485" ca="1">IFERROR(INDEX(_xlfn.ANCHORARRAY($C$3),T_CALC[[#This Row],[DAY]]+1,1),NA())</f>
        <v>#N/A</v>
      </c>
      <c r="M1485" t="e" cm="1">
        <f t="array" aca="1" ref="M1485" ca="1">IFERROR(INDEX(_xlfn.ANCHORARRAY($C$3),T_CALC[[#This Row],[DAY]]+1,3),NA())</f>
        <v>#N/A</v>
      </c>
      <c r="N1485" t="e" cm="1">
        <f t="array" aca="1" ref="N1485" ca="1">IFERROR(INDEX(_xlfn.ANCHORARRAY($C$3),T_CALC[[#This Row],[DAY]]+1,4),NA())</f>
        <v>#N/A</v>
      </c>
      <c r="O1485" t="e" cm="1">
        <f t="array" aca="1" ref="O1485" ca="1">IFERROR(INDEX(_xlfn.ANCHORARRAY($C$3),T_CALC[[#This Row],[DAY]]+1,5),NA())</f>
        <v>#N/A</v>
      </c>
      <c r="P1485" t="e" cm="1">
        <f t="array" aca="1" ref="P1485" ca="1">IFERROR(INDEX(_xlfn.ANCHORARRAY($C$3),T_CALC[[#This Row],[DAY]]+1,6),NA())</f>
        <v>#N/A</v>
      </c>
      <c r="Q1485" t="e" cm="1">
        <f t="array" aca="1" ref="Q1485" ca="1">IFERROR(INDEX(_xlfn.ANCHORARRAY($C$3),T_CALC[[#This Row],[DAY]]+1,2),NA())</f>
        <v>#N/A</v>
      </c>
    </row>
    <row r="1486" spans="11:17">
      <c r="K1486" t="str">
        <f ca="1">IF(ROW(T_CALC[[#This Row],[DAY]])-ROW(T_CALC[[#Headers],[DAY]])&gt;C_N_TRADING_DAYS,"",ROW(T_CALC[[#This Row],[DAY]])-ROW(T_CALC[[#Headers],[DAY]]))</f>
        <v/>
      </c>
      <c r="L1486" t="e" cm="1">
        <f t="array" aca="1" ref="L1486" ca="1">IFERROR(INDEX(_xlfn.ANCHORARRAY($C$3),T_CALC[[#This Row],[DAY]]+1,1),NA())</f>
        <v>#N/A</v>
      </c>
      <c r="M1486" t="e" cm="1">
        <f t="array" aca="1" ref="M1486" ca="1">IFERROR(INDEX(_xlfn.ANCHORARRAY($C$3),T_CALC[[#This Row],[DAY]]+1,3),NA())</f>
        <v>#N/A</v>
      </c>
      <c r="N1486" t="e" cm="1">
        <f t="array" aca="1" ref="N1486" ca="1">IFERROR(INDEX(_xlfn.ANCHORARRAY($C$3),T_CALC[[#This Row],[DAY]]+1,4),NA())</f>
        <v>#N/A</v>
      </c>
      <c r="O1486" t="e" cm="1">
        <f t="array" aca="1" ref="O1486" ca="1">IFERROR(INDEX(_xlfn.ANCHORARRAY($C$3),T_CALC[[#This Row],[DAY]]+1,5),NA())</f>
        <v>#N/A</v>
      </c>
      <c r="P1486" t="e" cm="1">
        <f t="array" aca="1" ref="P1486" ca="1">IFERROR(INDEX(_xlfn.ANCHORARRAY($C$3),T_CALC[[#This Row],[DAY]]+1,6),NA())</f>
        <v>#N/A</v>
      </c>
      <c r="Q1486" t="e" cm="1">
        <f t="array" aca="1" ref="Q1486" ca="1">IFERROR(INDEX(_xlfn.ANCHORARRAY($C$3),T_CALC[[#This Row],[DAY]]+1,2),NA())</f>
        <v>#N/A</v>
      </c>
    </row>
    <row r="1487" spans="11:17">
      <c r="K1487" t="str">
        <f ca="1">IF(ROW(T_CALC[[#This Row],[DAY]])-ROW(T_CALC[[#Headers],[DAY]])&gt;C_N_TRADING_DAYS,"",ROW(T_CALC[[#This Row],[DAY]])-ROW(T_CALC[[#Headers],[DAY]]))</f>
        <v/>
      </c>
      <c r="L1487" t="e" cm="1">
        <f t="array" aca="1" ref="L1487" ca="1">IFERROR(INDEX(_xlfn.ANCHORARRAY($C$3),T_CALC[[#This Row],[DAY]]+1,1),NA())</f>
        <v>#N/A</v>
      </c>
      <c r="M1487" t="e" cm="1">
        <f t="array" aca="1" ref="M1487" ca="1">IFERROR(INDEX(_xlfn.ANCHORARRAY($C$3),T_CALC[[#This Row],[DAY]]+1,3),NA())</f>
        <v>#N/A</v>
      </c>
      <c r="N1487" t="e" cm="1">
        <f t="array" aca="1" ref="N1487" ca="1">IFERROR(INDEX(_xlfn.ANCHORARRAY($C$3),T_CALC[[#This Row],[DAY]]+1,4),NA())</f>
        <v>#N/A</v>
      </c>
      <c r="O1487" t="e" cm="1">
        <f t="array" aca="1" ref="O1487" ca="1">IFERROR(INDEX(_xlfn.ANCHORARRAY($C$3),T_CALC[[#This Row],[DAY]]+1,5),NA())</f>
        <v>#N/A</v>
      </c>
      <c r="P1487" t="e" cm="1">
        <f t="array" aca="1" ref="P1487" ca="1">IFERROR(INDEX(_xlfn.ANCHORARRAY($C$3),T_CALC[[#This Row],[DAY]]+1,6),NA())</f>
        <v>#N/A</v>
      </c>
      <c r="Q1487" t="e" cm="1">
        <f t="array" aca="1" ref="Q1487" ca="1">IFERROR(INDEX(_xlfn.ANCHORARRAY($C$3),T_CALC[[#This Row],[DAY]]+1,2),NA())</f>
        <v>#N/A</v>
      </c>
    </row>
    <row r="1488" spans="11:17">
      <c r="K1488" t="str">
        <f ca="1">IF(ROW(T_CALC[[#This Row],[DAY]])-ROW(T_CALC[[#Headers],[DAY]])&gt;C_N_TRADING_DAYS,"",ROW(T_CALC[[#This Row],[DAY]])-ROW(T_CALC[[#Headers],[DAY]]))</f>
        <v/>
      </c>
      <c r="L1488" t="e" cm="1">
        <f t="array" aca="1" ref="L1488" ca="1">IFERROR(INDEX(_xlfn.ANCHORARRAY($C$3),T_CALC[[#This Row],[DAY]]+1,1),NA())</f>
        <v>#N/A</v>
      </c>
      <c r="M1488" t="e" cm="1">
        <f t="array" aca="1" ref="M1488" ca="1">IFERROR(INDEX(_xlfn.ANCHORARRAY($C$3),T_CALC[[#This Row],[DAY]]+1,3),NA())</f>
        <v>#N/A</v>
      </c>
      <c r="N1488" t="e" cm="1">
        <f t="array" aca="1" ref="N1488" ca="1">IFERROR(INDEX(_xlfn.ANCHORARRAY($C$3),T_CALC[[#This Row],[DAY]]+1,4),NA())</f>
        <v>#N/A</v>
      </c>
      <c r="O1488" t="e" cm="1">
        <f t="array" aca="1" ref="O1488" ca="1">IFERROR(INDEX(_xlfn.ANCHORARRAY($C$3),T_CALC[[#This Row],[DAY]]+1,5),NA())</f>
        <v>#N/A</v>
      </c>
      <c r="P1488" t="e" cm="1">
        <f t="array" aca="1" ref="P1488" ca="1">IFERROR(INDEX(_xlfn.ANCHORARRAY($C$3),T_CALC[[#This Row],[DAY]]+1,6),NA())</f>
        <v>#N/A</v>
      </c>
      <c r="Q1488" t="e" cm="1">
        <f t="array" aca="1" ref="Q1488" ca="1">IFERROR(INDEX(_xlfn.ANCHORARRAY($C$3),T_CALC[[#This Row],[DAY]]+1,2),NA())</f>
        <v>#N/A</v>
      </c>
    </row>
    <row r="1489" spans="11:17">
      <c r="K1489" t="str">
        <f ca="1">IF(ROW(T_CALC[[#This Row],[DAY]])-ROW(T_CALC[[#Headers],[DAY]])&gt;C_N_TRADING_DAYS,"",ROW(T_CALC[[#This Row],[DAY]])-ROW(T_CALC[[#Headers],[DAY]]))</f>
        <v/>
      </c>
      <c r="L1489" t="e" cm="1">
        <f t="array" aca="1" ref="L1489" ca="1">IFERROR(INDEX(_xlfn.ANCHORARRAY($C$3),T_CALC[[#This Row],[DAY]]+1,1),NA())</f>
        <v>#N/A</v>
      </c>
      <c r="M1489" t="e" cm="1">
        <f t="array" aca="1" ref="M1489" ca="1">IFERROR(INDEX(_xlfn.ANCHORARRAY($C$3),T_CALC[[#This Row],[DAY]]+1,3),NA())</f>
        <v>#N/A</v>
      </c>
      <c r="N1489" t="e" cm="1">
        <f t="array" aca="1" ref="N1489" ca="1">IFERROR(INDEX(_xlfn.ANCHORARRAY($C$3),T_CALC[[#This Row],[DAY]]+1,4),NA())</f>
        <v>#N/A</v>
      </c>
      <c r="O1489" t="e" cm="1">
        <f t="array" aca="1" ref="O1489" ca="1">IFERROR(INDEX(_xlfn.ANCHORARRAY($C$3),T_CALC[[#This Row],[DAY]]+1,5),NA())</f>
        <v>#N/A</v>
      </c>
      <c r="P1489" t="e" cm="1">
        <f t="array" aca="1" ref="P1489" ca="1">IFERROR(INDEX(_xlfn.ANCHORARRAY($C$3),T_CALC[[#This Row],[DAY]]+1,6),NA())</f>
        <v>#N/A</v>
      </c>
      <c r="Q1489" t="e" cm="1">
        <f t="array" aca="1" ref="Q1489" ca="1">IFERROR(INDEX(_xlfn.ANCHORARRAY($C$3),T_CALC[[#This Row],[DAY]]+1,2),NA())</f>
        <v>#N/A</v>
      </c>
    </row>
    <row r="1490" spans="11:17">
      <c r="K1490" t="str">
        <f ca="1">IF(ROW(T_CALC[[#This Row],[DAY]])-ROW(T_CALC[[#Headers],[DAY]])&gt;C_N_TRADING_DAYS,"",ROW(T_CALC[[#This Row],[DAY]])-ROW(T_CALC[[#Headers],[DAY]]))</f>
        <v/>
      </c>
      <c r="L1490" t="e" cm="1">
        <f t="array" aca="1" ref="L1490" ca="1">IFERROR(INDEX(_xlfn.ANCHORARRAY($C$3),T_CALC[[#This Row],[DAY]]+1,1),NA())</f>
        <v>#N/A</v>
      </c>
      <c r="M1490" t="e" cm="1">
        <f t="array" aca="1" ref="M1490" ca="1">IFERROR(INDEX(_xlfn.ANCHORARRAY($C$3),T_CALC[[#This Row],[DAY]]+1,3),NA())</f>
        <v>#N/A</v>
      </c>
      <c r="N1490" t="e" cm="1">
        <f t="array" aca="1" ref="N1490" ca="1">IFERROR(INDEX(_xlfn.ANCHORARRAY($C$3),T_CALC[[#This Row],[DAY]]+1,4),NA())</f>
        <v>#N/A</v>
      </c>
      <c r="O1490" t="e" cm="1">
        <f t="array" aca="1" ref="O1490" ca="1">IFERROR(INDEX(_xlfn.ANCHORARRAY($C$3),T_CALC[[#This Row],[DAY]]+1,5),NA())</f>
        <v>#N/A</v>
      </c>
      <c r="P1490" t="e" cm="1">
        <f t="array" aca="1" ref="P1490" ca="1">IFERROR(INDEX(_xlfn.ANCHORARRAY($C$3),T_CALC[[#This Row],[DAY]]+1,6),NA())</f>
        <v>#N/A</v>
      </c>
      <c r="Q1490" t="e" cm="1">
        <f t="array" aca="1" ref="Q1490" ca="1">IFERROR(INDEX(_xlfn.ANCHORARRAY($C$3),T_CALC[[#This Row],[DAY]]+1,2),NA())</f>
        <v>#N/A</v>
      </c>
    </row>
    <row r="1491" spans="11:17">
      <c r="K1491" t="str">
        <f ca="1">IF(ROW(T_CALC[[#This Row],[DAY]])-ROW(T_CALC[[#Headers],[DAY]])&gt;C_N_TRADING_DAYS,"",ROW(T_CALC[[#This Row],[DAY]])-ROW(T_CALC[[#Headers],[DAY]]))</f>
        <v/>
      </c>
      <c r="L1491" t="e" cm="1">
        <f t="array" aca="1" ref="L1491" ca="1">IFERROR(INDEX(_xlfn.ANCHORARRAY($C$3),T_CALC[[#This Row],[DAY]]+1,1),NA())</f>
        <v>#N/A</v>
      </c>
      <c r="M1491" t="e" cm="1">
        <f t="array" aca="1" ref="M1491" ca="1">IFERROR(INDEX(_xlfn.ANCHORARRAY($C$3),T_CALC[[#This Row],[DAY]]+1,3),NA())</f>
        <v>#N/A</v>
      </c>
      <c r="N1491" t="e" cm="1">
        <f t="array" aca="1" ref="N1491" ca="1">IFERROR(INDEX(_xlfn.ANCHORARRAY($C$3),T_CALC[[#This Row],[DAY]]+1,4),NA())</f>
        <v>#N/A</v>
      </c>
      <c r="O1491" t="e" cm="1">
        <f t="array" aca="1" ref="O1491" ca="1">IFERROR(INDEX(_xlfn.ANCHORARRAY($C$3),T_CALC[[#This Row],[DAY]]+1,5),NA())</f>
        <v>#N/A</v>
      </c>
      <c r="P1491" t="e" cm="1">
        <f t="array" aca="1" ref="P1491" ca="1">IFERROR(INDEX(_xlfn.ANCHORARRAY($C$3),T_CALC[[#This Row],[DAY]]+1,6),NA())</f>
        <v>#N/A</v>
      </c>
      <c r="Q1491" t="e" cm="1">
        <f t="array" aca="1" ref="Q1491" ca="1">IFERROR(INDEX(_xlfn.ANCHORARRAY($C$3),T_CALC[[#This Row],[DAY]]+1,2),NA())</f>
        <v>#N/A</v>
      </c>
    </row>
    <row r="1492" spans="11:17">
      <c r="K1492" t="str">
        <f ca="1">IF(ROW(T_CALC[[#This Row],[DAY]])-ROW(T_CALC[[#Headers],[DAY]])&gt;C_N_TRADING_DAYS,"",ROW(T_CALC[[#This Row],[DAY]])-ROW(T_CALC[[#Headers],[DAY]]))</f>
        <v/>
      </c>
      <c r="L1492" t="e" cm="1">
        <f t="array" aca="1" ref="L1492" ca="1">IFERROR(INDEX(_xlfn.ANCHORARRAY($C$3),T_CALC[[#This Row],[DAY]]+1,1),NA())</f>
        <v>#N/A</v>
      </c>
      <c r="M1492" t="e" cm="1">
        <f t="array" aca="1" ref="M1492" ca="1">IFERROR(INDEX(_xlfn.ANCHORARRAY($C$3),T_CALC[[#This Row],[DAY]]+1,3),NA())</f>
        <v>#N/A</v>
      </c>
      <c r="N1492" t="e" cm="1">
        <f t="array" aca="1" ref="N1492" ca="1">IFERROR(INDEX(_xlfn.ANCHORARRAY($C$3),T_CALC[[#This Row],[DAY]]+1,4),NA())</f>
        <v>#N/A</v>
      </c>
      <c r="O1492" t="e" cm="1">
        <f t="array" aca="1" ref="O1492" ca="1">IFERROR(INDEX(_xlfn.ANCHORARRAY($C$3),T_CALC[[#This Row],[DAY]]+1,5),NA())</f>
        <v>#N/A</v>
      </c>
      <c r="P1492" t="e" cm="1">
        <f t="array" aca="1" ref="P1492" ca="1">IFERROR(INDEX(_xlfn.ANCHORARRAY($C$3),T_CALC[[#This Row],[DAY]]+1,6),NA())</f>
        <v>#N/A</v>
      </c>
      <c r="Q1492" t="e" cm="1">
        <f t="array" aca="1" ref="Q1492" ca="1">IFERROR(INDEX(_xlfn.ANCHORARRAY($C$3),T_CALC[[#This Row],[DAY]]+1,2),NA())</f>
        <v>#N/A</v>
      </c>
    </row>
    <row r="1493" spans="11:17">
      <c r="K1493" t="str">
        <f ca="1">IF(ROW(T_CALC[[#This Row],[DAY]])-ROW(T_CALC[[#Headers],[DAY]])&gt;C_N_TRADING_DAYS,"",ROW(T_CALC[[#This Row],[DAY]])-ROW(T_CALC[[#Headers],[DAY]]))</f>
        <v/>
      </c>
      <c r="L1493" t="e" cm="1">
        <f t="array" aca="1" ref="L1493" ca="1">IFERROR(INDEX(_xlfn.ANCHORARRAY($C$3),T_CALC[[#This Row],[DAY]]+1,1),NA())</f>
        <v>#N/A</v>
      </c>
      <c r="M1493" t="e" cm="1">
        <f t="array" aca="1" ref="M1493" ca="1">IFERROR(INDEX(_xlfn.ANCHORARRAY($C$3),T_CALC[[#This Row],[DAY]]+1,3),NA())</f>
        <v>#N/A</v>
      </c>
      <c r="N1493" t="e" cm="1">
        <f t="array" aca="1" ref="N1493" ca="1">IFERROR(INDEX(_xlfn.ANCHORARRAY($C$3),T_CALC[[#This Row],[DAY]]+1,4),NA())</f>
        <v>#N/A</v>
      </c>
      <c r="O1493" t="e" cm="1">
        <f t="array" aca="1" ref="O1493" ca="1">IFERROR(INDEX(_xlfn.ANCHORARRAY($C$3),T_CALC[[#This Row],[DAY]]+1,5),NA())</f>
        <v>#N/A</v>
      </c>
      <c r="P1493" t="e" cm="1">
        <f t="array" aca="1" ref="P1493" ca="1">IFERROR(INDEX(_xlfn.ANCHORARRAY($C$3),T_CALC[[#This Row],[DAY]]+1,6),NA())</f>
        <v>#N/A</v>
      </c>
      <c r="Q1493" t="e" cm="1">
        <f t="array" aca="1" ref="Q1493" ca="1">IFERROR(INDEX(_xlfn.ANCHORARRAY($C$3),T_CALC[[#This Row],[DAY]]+1,2),NA())</f>
        <v>#N/A</v>
      </c>
    </row>
    <row r="1494" spans="11:17">
      <c r="K1494" t="str">
        <f ca="1">IF(ROW(T_CALC[[#This Row],[DAY]])-ROW(T_CALC[[#Headers],[DAY]])&gt;C_N_TRADING_DAYS,"",ROW(T_CALC[[#This Row],[DAY]])-ROW(T_CALC[[#Headers],[DAY]]))</f>
        <v/>
      </c>
      <c r="L1494" t="e" cm="1">
        <f t="array" aca="1" ref="L1494" ca="1">IFERROR(INDEX(_xlfn.ANCHORARRAY($C$3),T_CALC[[#This Row],[DAY]]+1,1),NA())</f>
        <v>#N/A</v>
      </c>
      <c r="M1494" t="e" cm="1">
        <f t="array" aca="1" ref="M1494" ca="1">IFERROR(INDEX(_xlfn.ANCHORARRAY($C$3),T_CALC[[#This Row],[DAY]]+1,3),NA())</f>
        <v>#N/A</v>
      </c>
      <c r="N1494" t="e" cm="1">
        <f t="array" aca="1" ref="N1494" ca="1">IFERROR(INDEX(_xlfn.ANCHORARRAY($C$3),T_CALC[[#This Row],[DAY]]+1,4),NA())</f>
        <v>#N/A</v>
      </c>
      <c r="O1494" t="e" cm="1">
        <f t="array" aca="1" ref="O1494" ca="1">IFERROR(INDEX(_xlfn.ANCHORARRAY($C$3),T_CALC[[#This Row],[DAY]]+1,5),NA())</f>
        <v>#N/A</v>
      </c>
      <c r="P1494" t="e" cm="1">
        <f t="array" aca="1" ref="P1494" ca="1">IFERROR(INDEX(_xlfn.ANCHORARRAY($C$3),T_CALC[[#This Row],[DAY]]+1,6),NA())</f>
        <v>#N/A</v>
      </c>
      <c r="Q1494" t="e" cm="1">
        <f t="array" aca="1" ref="Q1494" ca="1">IFERROR(INDEX(_xlfn.ANCHORARRAY($C$3),T_CALC[[#This Row],[DAY]]+1,2),NA())</f>
        <v>#N/A</v>
      </c>
    </row>
    <row r="1495" spans="11:17">
      <c r="K1495" t="str">
        <f ca="1">IF(ROW(T_CALC[[#This Row],[DAY]])-ROW(T_CALC[[#Headers],[DAY]])&gt;C_N_TRADING_DAYS,"",ROW(T_CALC[[#This Row],[DAY]])-ROW(T_CALC[[#Headers],[DAY]]))</f>
        <v/>
      </c>
      <c r="L1495" t="e" cm="1">
        <f t="array" aca="1" ref="L1495" ca="1">IFERROR(INDEX(_xlfn.ANCHORARRAY($C$3),T_CALC[[#This Row],[DAY]]+1,1),NA())</f>
        <v>#N/A</v>
      </c>
      <c r="M1495" t="e" cm="1">
        <f t="array" aca="1" ref="M1495" ca="1">IFERROR(INDEX(_xlfn.ANCHORARRAY($C$3),T_CALC[[#This Row],[DAY]]+1,3),NA())</f>
        <v>#N/A</v>
      </c>
      <c r="N1495" t="e" cm="1">
        <f t="array" aca="1" ref="N1495" ca="1">IFERROR(INDEX(_xlfn.ANCHORARRAY($C$3),T_CALC[[#This Row],[DAY]]+1,4),NA())</f>
        <v>#N/A</v>
      </c>
      <c r="O1495" t="e" cm="1">
        <f t="array" aca="1" ref="O1495" ca="1">IFERROR(INDEX(_xlfn.ANCHORARRAY($C$3),T_CALC[[#This Row],[DAY]]+1,5),NA())</f>
        <v>#N/A</v>
      </c>
      <c r="P1495" t="e" cm="1">
        <f t="array" aca="1" ref="P1495" ca="1">IFERROR(INDEX(_xlfn.ANCHORARRAY($C$3),T_CALC[[#This Row],[DAY]]+1,6),NA())</f>
        <v>#N/A</v>
      </c>
      <c r="Q1495" t="e" cm="1">
        <f t="array" aca="1" ref="Q1495" ca="1">IFERROR(INDEX(_xlfn.ANCHORARRAY($C$3),T_CALC[[#This Row],[DAY]]+1,2),NA())</f>
        <v>#N/A</v>
      </c>
    </row>
    <row r="1496" spans="11:17">
      <c r="K1496" t="str">
        <f ca="1">IF(ROW(T_CALC[[#This Row],[DAY]])-ROW(T_CALC[[#Headers],[DAY]])&gt;C_N_TRADING_DAYS,"",ROW(T_CALC[[#This Row],[DAY]])-ROW(T_CALC[[#Headers],[DAY]]))</f>
        <v/>
      </c>
      <c r="L1496" t="e" cm="1">
        <f t="array" aca="1" ref="L1496" ca="1">IFERROR(INDEX(_xlfn.ANCHORARRAY($C$3),T_CALC[[#This Row],[DAY]]+1,1),NA())</f>
        <v>#N/A</v>
      </c>
      <c r="M1496" t="e" cm="1">
        <f t="array" aca="1" ref="M1496" ca="1">IFERROR(INDEX(_xlfn.ANCHORARRAY($C$3),T_CALC[[#This Row],[DAY]]+1,3),NA())</f>
        <v>#N/A</v>
      </c>
      <c r="N1496" t="e" cm="1">
        <f t="array" aca="1" ref="N1496" ca="1">IFERROR(INDEX(_xlfn.ANCHORARRAY($C$3),T_CALC[[#This Row],[DAY]]+1,4),NA())</f>
        <v>#N/A</v>
      </c>
      <c r="O1496" t="e" cm="1">
        <f t="array" aca="1" ref="O1496" ca="1">IFERROR(INDEX(_xlfn.ANCHORARRAY($C$3),T_CALC[[#This Row],[DAY]]+1,5),NA())</f>
        <v>#N/A</v>
      </c>
      <c r="P1496" t="e" cm="1">
        <f t="array" aca="1" ref="P1496" ca="1">IFERROR(INDEX(_xlfn.ANCHORARRAY($C$3),T_CALC[[#This Row],[DAY]]+1,6),NA())</f>
        <v>#N/A</v>
      </c>
      <c r="Q1496" t="e" cm="1">
        <f t="array" aca="1" ref="Q1496" ca="1">IFERROR(INDEX(_xlfn.ANCHORARRAY($C$3),T_CALC[[#This Row],[DAY]]+1,2),NA())</f>
        <v>#N/A</v>
      </c>
    </row>
    <row r="1497" spans="11:17">
      <c r="K1497" t="str">
        <f ca="1">IF(ROW(T_CALC[[#This Row],[DAY]])-ROW(T_CALC[[#Headers],[DAY]])&gt;C_N_TRADING_DAYS,"",ROW(T_CALC[[#This Row],[DAY]])-ROW(T_CALC[[#Headers],[DAY]]))</f>
        <v/>
      </c>
      <c r="L1497" t="e" cm="1">
        <f t="array" aca="1" ref="L1497" ca="1">IFERROR(INDEX(_xlfn.ANCHORARRAY($C$3),T_CALC[[#This Row],[DAY]]+1,1),NA())</f>
        <v>#N/A</v>
      </c>
      <c r="M1497" t="e" cm="1">
        <f t="array" aca="1" ref="M1497" ca="1">IFERROR(INDEX(_xlfn.ANCHORARRAY($C$3),T_CALC[[#This Row],[DAY]]+1,3),NA())</f>
        <v>#N/A</v>
      </c>
      <c r="N1497" t="e" cm="1">
        <f t="array" aca="1" ref="N1497" ca="1">IFERROR(INDEX(_xlfn.ANCHORARRAY($C$3),T_CALC[[#This Row],[DAY]]+1,4),NA())</f>
        <v>#N/A</v>
      </c>
      <c r="O1497" t="e" cm="1">
        <f t="array" aca="1" ref="O1497" ca="1">IFERROR(INDEX(_xlfn.ANCHORARRAY($C$3),T_CALC[[#This Row],[DAY]]+1,5),NA())</f>
        <v>#N/A</v>
      </c>
      <c r="P1497" t="e" cm="1">
        <f t="array" aca="1" ref="P1497" ca="1">IFERROR(INDEX(_xlfn.ANCHORARRAY($C$3),T_CALC[[#This Row],[DAY]]+1,6),NA())</f>
        <v>#N/A</v>
      </c>
      <c r="Q1497" t="e" cm="1">
        <f t="array" aca="1" ref="Q1497" ca="1">IFERROR(INDEX(_xlfn.ANCHORARRAY($C$3),T_CALC[[#This Row],[DAY]]+1,2),NA())</f>
        <v>#N/A</v>
      </c>
    </row>
    <row r="1498" spans="11:17">
      <c r="K1498" t="str">
        <f ca="1">IF(ROW(T_CALC[[#This Row],[DAY]])-ROW(T_CALC[[#Headers],[DAY]])&gt;C_N_TRADING_DAYS,"",ROW(T_CALC[[#This Row],[DAY]])-ROW(T_CALC[[#Headers],[DAY]]))</f>
        <v/>
      </c>
      <c r="L1498" t="e" cm="1">
        <f t="array" aca="1" ref="L1498" ca="1">IFERROR(INDEX(_xlfn.ANCHORARRAY($C$3),T_CALC[[#This Row],[DAY]]+1,1),NA())</f>
        <v>#N/A</v>
      </c>
      <c r="M1498" t="e" cm="1">
        <f t="array" aca="1" ref="M1498" ca="1">IFERROR(INDEX(_xlfn.ANCHORARRAY($C$3),T_CALC[[#This Row],[DAY]]+1,3),NA())</f>
        <v>#N/A</v>
      </c>
      <c r="N1498" t="e" cm="1">
        <f t="array" aca="1" ref="N1498" ca="1">IFERROR(INDEX(_xlfn.ANCHORARRAY($C$3),T_CALC[[#This Row],[DAY]]+1,4),NA())</f>
        <v>#N/A</v>
      </c>
      <c r="O1498" t="e" cm="1">
        <f t="array" aca="1" ref="O1498" ca="1">IFERROR(INDEX(_xlfn.ANCHORARRAY($C$3),T_CALC[[#This Row],[DAY]]+1,5),NA())</f>
        <v>#N/A</v>
      </c>
      <c r="P1498" t="e" cm="1">
        <f t="array" aca="1" ref="P1498" ca="1">IFERROR(INDEX(_xlfn.ANCHORARRAY($C$3),T_CALC[[#This Row],[DAY]]+1,6),NA())</f>
        <v>#N/A</v>
      </c>
      <c r="Q1498" t="e" cm="1">
        <f t="array" aca="1" ref="Q1498" ca="1">IFERROR(INDEX(_xlfn.ANCHORARRAY($C$3),T_CALC[[#This Row],[DAY]]+1,2),NA())</f>
        <v>#N/A</v>
      </c>
    </row>
    <row r="1499" spans="11:17">
      <c r="K1499" t="str">
        <f ca="1">IF(ROW(T_CALC[[#This Row],[DAY]])-ROW(T_CALC[[#Headers],[DAY]])&gt;C_N_TRADING_DAYS,"",ROW(T_CALC[[#This Row],[DAY]])-ROW(T_CALC[[#Headers],[DAY]]))</f>
        <v/>
      </c>
      <c r="L1499" t="e" cm="1">
        <f t="array" aca="1" ref="L1499" ca="1">IFERROR(INDEX(_xlfn.ANCHORARRAY($C$3),T_CALC[[#This Row],[DAY]]+1,1),NA())</f>
        <v>#N/A</v>
      </c>
      <c r="M1499" t="e" cm="1">
        <f t="array" aca="1" ref="M1499" ca="1">IFERROR(INDEX(_xlfn.ANCHORARRAY($C$3),T_CALC[[#This Row],[DAY]]+1,3),NA())</f>
        <v>#N/A</v>
      </c>
      <c r="N1499" t="e" cm="1">
        <f t="array" aca="1" ref="N1499" ca="1">IFERROR(INDEX(_xlfn.ANCHORARRAY($C$3),T_CALC[[#This Row],[DAY]]+1,4),NA())</f>
        <v>#N/A</v>
      </c>
      <c r="O1499" t="e" cm="1">
        <f t="array" aca="1" ref="O1499" ca="1">IFERROR(INDEX(_xlfn.ANCHORARRAY($C$3),T_CALC[[#This Row],[DAY]]+1,5),NA())</f>
        <v>#N/A</v>
      </c>
      <c r="P1499" t="e" cm="1">
        <f t="array" aca="1" ref="P1499" ca="1">IFERROR(INDEX(_xlfn.ANCHORARRAY($C$3),T_CALC[[#This Row],[DAY]]+1,6),NA())</f>
        <v>#N/A</v>
      </c>
      <c r="Q1499" t="e" cm="1">
        <f t="array" aca="1" ref="Q1499" ca="1">IFERROR(INDEX(_xlfn.ANCHORARRAY($C$3),T_CALC[[#This Row],[DAY]]+1,2),NA())</f>
        <v>#N/A</v>
      </c>
    </row>
    <row r="1500" spans="11:17">
      <c r="K1500" t="str">
        <f ca="1">IF(ROW(T_CALC[[#This Row],[DAY]])-ROW(T_CALC[[#Headers],[DAY]])&gt;C_N_TRADING_DAYS,"",ROW(T_CALC[[#This Row],[DAY]])-ROW(T_CALC[[#Headers],[DAY]]))</f>
        <v/>
      </c>
      <c r="L1500" t="e" cm="1">
        <f t="array" aca="1" ref="L1500" ca="1">IFERROR(INDEX(_xlfn.ANCHORARRAY($C$3),T_CALC[[#This Row],[DAY]]+1,1),NA())</f>
        <v>#N/A</v>
      </c>
      <c r="M1500" t="e" cm="1">
        <f t="array" aca="1" ref="M1500" ca="1">IFERROR(INDEX(_xlfn.ANCHORARRAY($C$3),T_CALC[[#This Row],[DAY]]+1,3),NA())</f>
        <v>#N/A</v>
      </c>
      <c r="N1500" t="e" cm="1">
        <f t="array" aca="1" ref="N1500" ca="1">IFERROR(INDEX(_xlfn.ANCHORARRAY($C$3),T_CALC[[#This Row],[DAY]]+1,4),NA())</f>
        <v>#N/A</v>
      </c>
      <c r="O1500" t="e" cm="1">
        <f t="array" aca="1" ref="O1500" ca="1">IFERROR(INDEX(_xlfn.ANCHORARRAY($C$3),T_CALC[[#This Row],[DAY]]+1,5),NA())</f>
        <v>#N/A</v>
      </c>
      <c r="P1500" t="e" cm="1">
        <f t="array" aca="1" ref="P1500" ca="1">IFERROR(INDEX(_xlfn.ANCHORARRAY($C$3),T_CALC[[#This Row],[DAY]]+1,6),NA())</f>
        <v>#N/A</v>
      </c>
      <c r="Q1500" t="e" cm="1">
        <f t="array" aca="1" ref="Q1500" ca="1">IFERROR(INDEX(_xlfn.ANCHORARRAY($C$3),T_CALC[[#This Row],[DAY]]+1,2),NA())</f>
        <v>#N/A</v>
      </c>
    </row>
    <row r="1501" spans="11:17">
      <c r="K1501" t="str">
        <f ca="1">IF(ROW(T_CALC[[#This Row],[DAY]])-ROW(T_CALC[[#Headers],[DAY]])&gt;C_N_TRADING_DAYS,"",ROW(T_CALC[[#This Row],[DAY]])-ROW(T_CALC[[#Headers],[DAY]]))</f>
        <v/>
      </c>
      <c r="L1501" t="e" cm="1">
        <f t="array" aca="1" ref="L1501" ca="1">IFERROR(INDEX(_xlfn.ANCHORARRAY($C$3),T_CALC[[#This Row],[DAY]]+1,1),NA())</f>
        <v>#N/A</v>
      </c>
      <c r="M1501" t="e" cm="1">
        <f t="array" aca="1" ref="M1501" ca="1">IFERROR(INDEX(_xlfn.ANCHORARRAY($C$3),T_CALC[[#This Row],[DAY]]+1,3),NA())</f>
        <v>#N/A</v>
      </c>
      <c r="N1501" t="e" cm="1">
        <f t="array" aca="1" ref="N1501" ca="1">IFERROR(INDEX(_xlfn.ANCHORARRAY($C$3),T_CALC[[#This Row],[DAY]]+1,4),NA())</f>
        <v>#N/A</v>
      </c>
      <c r="O1501" t="e" cm="1">
        <f t="array" aca="1" ref="O1501" ca="1">IFERROR(INDEX(_xlfn.ANCHORARRAY($C$3),T_CALC[[#This Row],[DAY]]+1,5),NA())</f>
        <v>#N/A</v>
      </c>
      <c r="P1501" t="e" cm="1">
        <f t="array" aca="1" ref="P1501" ca="1">IFERROR(INDEX(_xlfn.ANCHORARRAY($C$3),T_CALC[[#This Row],[DAY]]+1,6),NA())</f>
        <v>#N/A</v>
      </c>
      <c r="Q1501" t="e" cm="1">
        <f t="array" aca="1" ref="Q1501" ca="1">IFERROR(INDEX(_xlfn.ANCHORARRAY($C$3),T_CALC[[#This Row],[DAY]]+1,2),NA())</f>
        <v>#N/A</v>
      </c>
    </row>
    <row r="1502" spans="11:17">
      <c r="K1502" t="str">
        <f ca="1">IF(ROW(T_CALC[[#This Row],[DAY]])-ROW(T_CALC[[#Headers],[DAY]])&gt;C_N_TRADING_DAYS,"",ROW(T_CALC[[#This Row],[DAY]])-ROW(T_CALC[[#Headers],[DAY]]))</f>
        <v/>
      </c>
      <c r="L1502" t="e" cm="1">
        <f t="array" aca="1" ref="L1502" ca="1">IFERROR(INDEX(_xlfn.ANCHORARRAY($C$3),T_CALC[[#This Row],[DAY]]+1,1),NA())</f>
        <v>#N/A</v>
      </c>
      <c r="M1502" t="e" cm="1">
        <f t="array" aca="1" ref="M1502" ca="1">IFERROR(INDEX(_xlfn.ANCHORARRAY($C$3),T_CALC[[#This Row],[DAY]]+1,3),NA())</f>
        <v>#N/A</v>
      </c>
      <c r="N1502" t="e" cm="1">
        <f t="array" aca="1" ref="N1502" ca="1">IFERROR(INDEX(_xlfn.ANCHORARRAY($C$3),T_CALC[[#This Row],[DAY]]+1,4),NA())</f>
        <v>#N/A</v>
      </c>
      <c r="O1502" t="e" cm="1">
        <f t="array" aca="1" ref="O1502" ca="1">IFERROR(INDEX(_xlfn.ANCHORARRAY($C$3),T_CALC[[#This Row],[DAY]]+1,5),NA())</f>
        <v>#N/A</v>
      </c>
      <c r="P1502" t="e" cm="1">
        <f t="array" aca="1" ref="P1502" ca="1">IFERROR(INDEX(_xlfn.ANCHORARRAY($C$3),T_CALC[[#This Row],[DAY]]+1,6),NA())</f>
        <v>#N/A</v>
      </c>
      <c r="Q1502" t="e" cm="1">
        <f t="array" aca="1" ref="Q1502" ca="1">IFERROR(INDEX(_xlfn.ANCHORARRAY($C$3),T_CALC[[#This Row],[DAY]]+1,2),NA())</f>
        <v>#N/A</v>
      </c>
    </row>
    <row r="1503" spans="11:17">
      <c r="K1503" t="str">
        <f ca="1">IF(ROW(T_CALC[[#This Row],[DAY]])-ROW(T_CALC[[#Headers],[DAY]])&gt;C_N_TRADING_DAYS,"",ROW(T_CALC[[#This Row],[DAY]])-ROW(T_CALC[[#Headers],[DAY]]))</f>
        <v/>
      </c>
      <c r="L1503" t="e" cm="1">
        <f t="array" aca="1" ref="L1503" ca="1">IFERROR(INDEX(_xlfn.ANCHORARRAY($C$3),T_CALC[[#This Row],[DAY]]+1,1),NA())</f>
        <v>#N/A</v>
      </c>
      <c r="M1503" t="e" cm="1">
        <f t="array" aca="1" ref="M1503" ca="1">IFERROR(INDEX(_xlfn.ANCHORARRAY($C$3),T_CALC[[#This Row],[DAY]]+1,3),NA())</f>
        <v>#N/A</v>
      </c>
      <c r="N1503" t="e" cm="1">
        <f t="array" aca="1" ref="N1503" ca="1">IFERROR(INDEX(_xlfn.ANCHORARRAY($C$3),T_CALC[[#This Row],[DAY]]+1,4),NA())</f>
        <v>#N/A</v>
      </c>
      <c r="O1503" t="e" cm="1">
        <f t="array" aca="1" ref="O1503" ca="1">IFERROR(INDEX(_xlfn.ANCHORARRAY($C$3),T_CALC[[#This Row],[DAY]]+1,5),NA())</f>
        <v>#N/A</v>
      </c>
      <c r="P1503" t="e" cm="1">
        <f t="array" aca="1" ref="P1503" ca="1">IFERROR(INDEX(_xlfn.ANCHORARRAY($C$3),T_CALC[[#This Row],[DAY]]+1,6),NA())</f>
        <v>#N/A</v>
      </c>
      <c r="Q1503" t="e" cm="1">
        <f t="array" aca="1" ref="Q1503" ca="1">IFERROR(INDEX(_xlfn.ANCHORARRAY($C$3),T_CALC[[#This Row],[DAY]]+1,2),NA())</f>
        <v>#N/A</v>
      </c>
    </row>
  </sheetData>
  <mergeCells count="1">
    <mergeCell ref="L2:Q2"/>
  </mergeCells>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2BA26-4AE4-413C-BFDD-8C0ACD68CF6B}">
  <dimension ref="B3:D12"/>
  <sheetViews>
    <sheetView showGridLines="0" topLeftCell="A4" zoomScale="235" zoomScaleNormal="235" workbookViewId="0">
      <selection activeCell="C34" sqref="C34"/>
    </sheetView>
  </sheetViews>
  <sheetFormatPr defaultRowHeight="14.5"/>
  <cols>
    <col min="2" max="2" width="13.453125" bestFit="1" customWidth="1"/>
    <col min="4" max="4" width="5.7265625" customWidth="1"/>
  </cols>
  <sheetData>
    <row r="3" spans="2:4">
      <c r="B3" t="s">
        <v>554</v>
      </c>
      <c r="D3" s="250"/>
    </row>
    <row r="4" spans="2:4" ht="20.149999999999999" customHeight="1">
      <c r="B4" t="s">
        <v>1261</v>
      </c>
      <c r="C4" t="s">
        <v>709</v>
      </c>
      <c r="D4" s="250"/>
    </row>
    <row r="5" spans="2:4" ht="20.149999999999999" customHeight="1">
      <c r="B5" t="s">
        <v>1262</v>
      </c>
      <c r="C5" t="s">
        <v>713</v>
      </c>
      <c r="D5" s="250"/>
    </row>
    <row r="6" spans="2:4" ht="20.149999999999999" customHeight="1">
      <c r="B6" t="s">
        <v>1263</v>
      </c>
      <c r="C6" t="s">
        <v>692</v>
      </c>
      <c r="D6" s="250"/>
    </row>
    <row r="7" spans="2:4" ht="20.149999999999999" customHeight="1">
      <c r="B7" t="s">
        <v>1264</v>
      </c>
      <c r="C7" t="s">
        <v>705</v>
      </c>
      <c r="D7" s="250"/>
    </row>
    <row r="8" spans="2:4" ht="20.149999999999999" customHeight="1">
      <c r="B8" t="s">
        <v>696</v>
      </c>
      <c r="C8" t="s">
        <v>695</v>
      </c>
      <c r="D8" s="250"/>
    </row>
    <row r="9" spans="2:4" ht="20.149999999999999" customHeight="1">
      <c r="B9" t="s">
        <v>1265</v>
      </c>
      <c r="C9" t="s">
        <v>702</v>
      </c>
      <c r="D9" s="250"/>
    </row>
    <row r="10" spans="2:4" ht="20.149999999999999" customHeight="1">
      <c r="B10" t="s">
        <v>1266</v>
      </c>
      <c r="C10" t="s">
        <v>697</v>
      </c>
      <c r="D10" s="250"/>
    </row>
    <row r="11" spans="2:4" ht="20.149999999999999" customHeight="1">
      <c r="B11" t="s">
        <v>1267</v>
      </c>
      <c r="C11" t="s">
        <v>440</v>
      </c>
      <c r="D11" s="250"/>
    </row>
    <row r="12" spans="2:4" ht="20.149999999999999" customHeight="1"/>
  </sheetData>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93880-81C7-4A50-8CEF-68C87DD085E8}">
  <dimension ref="B2:E18"/>
  <sheetViews>
    <sheetView workbookViewId="0">
      <selection activeCell="C34" sqref="C34"/>
    </sheetView>
  </sheetViews>
  <sheetFormatPr defaultRowHeight="14.5"/>
  <cols>
    <col min="1" max="1" width="3.1796875" customWidth="1"/>
    <col min="2" max="2" width="13.54296875" bestFit="1" customWidth="1"/>
    <col min="3" max="4" width="9.54296875" customWidth="1"/>
    <col min="5" max="5" width="13.54296875" bestFit="1" customWidth="1"/>
    <col min="6" max="7" width="9.54296875" customWidth="1"/>
  </cols>
  <sheetData>
    <row r="2" spans="2:5">
      <c r="C2" s="23"/>
    </row>
    <row r="3" spans="2:5">
      <c r="E3" t="s">
        <v>1268</v>
      </c>
    </row>
    <row r="4" spans="2:5" ht="15" thickBot="1">
      <c r="B4" t="s">
        <v>1269</v>
      </c>
      <c r="E4" s="336" t="s">
        <v>1270</v>
      </c>
    </row>
    <row r="5" spans="2:5">
      <c r="B5" t="s">
        <v>1270</v>
      </c>
      <c r="E5" s="520" t="s">
        <v>1271</v>
      </c>
    </row>
    <row r="6" spans="2:5">
      <c r="B6" t="s">
        <v>165</v>
      </c>
      <c r="E6" s="519" t="s">
        <v>1272</v>
      </c>
    </row>
    <row r="7" spans="2:5">
      <c r="B7" t="s">
        <v>166</v>
      </c>
      <c r="E7" s="519" t="s">
        <v>1273</v>
      </c>
    </row>
    <row r="8" spans="2:5">
      <c r="B8" t="s">
        <v>167</v>
      </c>
      <c r="E8" s="519" t="s">
        <v>1274</v>
      </c>
    </row>
    <row r="9" spans="2:5">
      <c r="E9" s="519" t="s">
        <v>1275</v>
      </c>
    </row>
    <row r="10" spans="2:5">
      <c r="E10" s="519" t="s">
        <v>1276</v>
      </c>
    </row>
    <row r="11" spans="2:5">
      <c r="E11" s="519" t="s">
        <v>1277</v>
      </c>
    </row>
    <row r="12" spans="2:5">
      <c r="E12" s="519" t="s">
        <v>1278</v>
      </c>
    </row>
    <row r="16" spans="2:5">
      <c r="B16" t="s">
        <v>1279</v>
      </c>
      <c r="E16" t="s">
        <v>1280</v>
      </c>
    </row>
    <row r="17" spans="2:5">
      <c r="B17" s="134" t="s">
        <v>251</v>
      </c>
      <c r="E17" s="134" t="s">
        <v>251</v>
      </c>
    </row>
    <row r="18" spans="2:5">
      <c r="B18" s="176" t="s">
        <v>165</v>
      </c>
      <c r="E18" s="176" t="s">
        <v>1273</v>
      </c>
    </row>
  </sheetData>
  <pageMargins left="0.7" right="0.7" top="0.75" bottom="0.75" header="0.3" footer="0.3"/>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443a7c3-6627-4634-be23-5ba915a2223b">
      <UserInfo>
        <DisplayName>Lu Junji /FI</DisplayName>
        <AccountId>12</AccountId>
        <AccountType/>
      </UserInfo>
      <UserInfo>
        <DisplayName>Vadlamudi Saisindhu /FI</DisplayName>
        <AccountId>13</AccountId>
        <AccountType/>
      </UserInfo>
      <UserInfo>
        <DisplayName>Yu Mengyao /FI</DisplayName>
        <AccountId>14</AccountId>
        <AccountType/>
      </UserInfo>
      <UserInfo>
        <DisplayName>Cortez Nathan Emerson Macalanda /FI</DisplayName>
        <AccountId>11</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B9A8224EE397914AB290C156C5F2772D" ma:contentTypeVersion="10" ma:contentTypeDescription="Create a new document." ma:contentTypeScope="" ma:versionID="5c3ff18cbb21a18e37b802954050c3ee">
  <xsd:schema xmlns:xsd="http://www.w3.org/2001/XMLSchema" xmlns:xs="http://www.w3.org/2001/XMLSchema" xmlns:p="http://schemas.microsoft.com/office/2006/metadata/properties" xmlns:ns2="5252b940-22b6-47d8-b7f9-1e28c72ca591" xmlns:ns3="c443a7c3-6627-4634-be23-5ba915a2223b" targetNamespace="http://schemas.microsoft.com/office/2006/metadata/properties" ma:root="true" ma:fieldsID="b28add80f7e44fb41f6c4a181b754e1e" ns2:_="" ns3:_="">
    <xsd:import namespace="5252b940-22b6-47d8-b7f9-1e28c72ca591"/>
    <xsd:import namespace="c443a7c3-6627-4634-be23-5ba915a2223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52b940-22b6-47d8-b7f9-1e28c72ca5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3a7c3-6627-4634-be23-5ba915a2223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6EBA2A-8B4B-4224-9B9F-C13B81FF5400}">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c443a7c3-6627-4634-be23-5ba915a2223b"/>
    <ds:schemaRef ds:uri="5252b940-22b6-47d8-b7f9-1e28c72ca591"/>
    <ds:schemaRef ds:uri="http://www.w3.org/XML/1998/namespace"/>
  </ds:schemaRefs>
</ds:datastoreItem>
</file>

<file path=customXml/itemProps2.xml><?xml version="1.0" encoding="utf-8"?>
<ds:datastoreItem xmlns:ds="http://schemas.openxmlformats.org/officeDocument/2006/customXml" ds:itemID="{22826E57-4F2F-4B80-85B0-627C79CAA960}">
  <ds:schemaRefs>
    <ds:schemaRef ds:uri="http://schemas.microsoft.com/sharepoint/v3/contenttype/forms"/>
  </ds:schemaRefs>
</ds:datastoreItem>
</file>

<file path=customXml/itemProps3.xml><?xml version="1.0" encoding="utf-8"?>
<ds:datastoreItem xmlns:ds="http://schemas.openxmlformats.org/officeDocument/2006/customXml" ds:itemID="{93C364C2-683B-459F-B285-7A2756235CD7}">
  <ds:schemaRefs>
    <ds:schemaRef ds:uri="http://schemas.microsoft.com/DataMashup"/>
  </ds:schemaRefs>
</ds:datastoreItem>
</file>

<file path=customXml/itemProps4.xml><?xml version="1.0" encoding="utf-8"?>
<ds:datastoreItem xmlns:ds="http://schemas.openxmlformats.org/officeDocument/2006/customXml" ds:itemID="{3EB5BA7D-1F4E-4579-B89B-DF05B32BA1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52b940-22b6-47d8-b7f9-1e28c72ca591"/>
    <ds:schemaRef ds:uri="c443a7c3-6627-4634-be23-5ba915a222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142</vt:i4>
      </vt:variant>
    </vt:vector>
  </HeadingPairs>
  <TitlesOfParts>
    <vt:vector size="181" baseType="lpstr">
      <vt:lpstr>Home Tab</vt:lpstr>
      <vt:lpstr>Registration Form</vt:lpstr>
      <vt:lpstr>Balance Sheet</vt:lpstr>
      <vt:lpstr>Savings Tracker </vt:lpstr>
      <vt:lpstr>Savings Estimator</vt:lpstr>
      <vt:lpstr>CPF Contribution &amp; Forecast</vt:lpstr>
      <vt:lpstr>CPF Tracker</vt:lpstr>
      <vt:lpstr>New CPF Tracker</vt:lpstr>
      <vt:lpstr>Cryptocurrency Holdings</vt:lpstr>
      <vt:lpstr>Cryptocurrency GoinGecko API</vt:lpstr>
      <vt:lpstr>Stock Ledger</vt:lpstr>
      <vt:lpstr>Stock Investment Tracker</vt:lpstr>
      <vt:lpstr>Watch List</vt:lpstr>
      <vt:lpstr>Watch List - BLD</vt:lpstr>
      <vt:lpstr>Watch List - ASB</vt:lpstr>
      <vt:lpstr>Fixed Assets Tracker</vt:lpstr>
      <vt:lpstr>Credit Card pay off calculator</vt:lpstr>
      <vt:lpstr>Credit card summary</vt:lpstr>
      <vt:lpstr>SGDUSD Forcast Data</vt:lpstr>
      <vt:lpstr>USDEUR Forcast Data</vt:lpstr>
      <vt:lpstr>SGDJPY Forcast Data</vt:lpstr>
      <vt:lpstr>SGDGBP Forcast Data</vt:lpstr>
      <vt:lpstr>SGDAUD Forcasting Data</vt:lpstr>
      <vt:lpstr>SGDCAD Forcast Data</vt:lpstr>
      <vt:lpstr>Income</vt:lpstr>
      <vt:lpstr>Budget</vt:lpstr>
      <vt:lpstr>Summary</vt:lpstr>
      <vt:lpstr>Loan Calculator</vt:lpstr>
      <vt:lpstr>Loan Chart Data</vt:lpstr>
      <vt:lpstr>Mortgage Calculator</vt:lpstr>
      <vt:lpstr>Amortization Table</vt:lpstr>
      <vt:lpstr>Currency Converter</vt:lpstr>
      <vt:lpstr>Currency Forecasting</vt:lpstr>
      <vt:lpstr>Data for Forecasting Currency</vt:lpstr>
      <vt:lpstr>Popular Currency</vt:lpstr>
      <vt:lpstr>CHART</vt:lpstr>
      <vt:lpstr>HELP</vt:lpstr>
      <vt:lpstr>Flags</vt:lpstr>
      <vt:lpstr>pivot</vt:lpstr>
      <vt:lpstr>'Popular Currency'!Abbreviation</vt:lpstr>
      <vt:lpstr>'New CPF Tracker'!Acc_Int</vt:lpstr>
      <vt:lpstr>ACC_INT</vt:lpstr>
      <vt:lpstr>'New CPF Tracker'!Acc_Type</vt:lpstr>
      <vt:lpstr>ACC_TYPE</vt:lpstr>
      <vt:lpstr>'New CPF Tracker'!Age_Check</vt:lpstr>
      <vt:lpstr>AGE_CHECK</vt:lpstr>
      <vt:lpstr>'New CPF Tracker'!Age_Grp</vt:lpstr>
      <vt:lpstr>AGE_GRP</vt:lpstr>
      <vt:lpstr>'Savings Estimator'!AmountSaved</vt:lpstr>
      <vt:lpstr>'Savings Estimator'!AnnualSavings</vt:lpstr>
      <vt:lpstr>CHART!AUD</vt:lpstr>
      <vt:lpstr>Flags!AUD</vt:lpstr>
      <vt:lpstr>HELP!AUD</vt:lpstr>
      <vt:lpstr>Summary!BudgetTitle</vt:lpstr>
      <vt:lpstr>CHART!C_CHART_MAX_DT</vt:lpstr>
      <vt:lpstr>Flags!C_CHART_MAX_DT</vt:lpstr>
      <vt:lpstr>HELP!C_CHART_MAX_DT</vt:lpstr>
      <vt:lpstr>pivot!C_CHART_MAX_DT</vt:lpstr>
      <vt:lpstr>CHART!C_CHART_MIN_DT</vt:lpstr>
      <vt:lpstr>Flags!C_CHART_MIN_DT</vt:lpstr>
      <vt:lpstr>HELP!C_CHART_MIN_DT</vt:lpstr>
      <vt:lpstr>pivot!C_CHART_MIN_DT</vt:lpstr>
      <vt:lpstr>CHART!C_CHART_ST_ROW</vt:lpstr>
      <vt:lpstr>Flags!C_CHART_ST_ROW</vt:lpstr>
      <vt:lpstr>HELP!C_CHART_ST_ROW</vt:lpstr>
      <vt:lpstr>pivot!C_CHART_ST_ROW</vt:lpstr>
      <vt:lpstr>CHART!C_END_DT</vt:lpstr>
      <vt:lpstr>Flags!C_END_DT</vt:lpstr>
      <vt:lpstr>HELP!C_END_DT</vt:lpstr>
      <vt:lpstr>pivot!C_END_DT</vt:lpstr>
      <vt:lpstr>CHART!C_INTERVAL</vt:lpstr>
      <vt:lpstr>Flags!C_INTERVAL</vt:lpstr>
      <vt:lpstr>HELP!C_INTERVAL</vt:lpstr>
      <vt:lpstr>pivot!C_INTERVAL</vt:lpstr>
      <vt:lpstr>CHART!C_MAX_PRICE</vt:lpstr>
      <vt:lpstr>HELP!C_MAX_PRICE</vt:lpstr>
      <vt:lpstr>CHART!C_MIN_PRICE</vt:lpstr>
      <vt:lpstr>HELP!C_MIN_PRICE</vt:lpstr>
      <vt:lpstr>CHART!C_N_TRADING_DAYS</vt:lpstr>
      <vt:lpstr>Flags!C_N_TRADING_DAYS</vt:lpstr>
      <vt:lpstr>HELP!C_N_TRADING_DAYS</vt:lpstr>
      <vt:lpstr>pivot!C_N_TRADING_DAYS</vt:lpstr>
      <vt:lpstr>CHART!C_ST_DT</vt:lpstr>
      <vt:lpstr>Flags!C_ST_DT</vt:lpstr>
      <vt:lpstr>HELP!C_ST_DT</vt:lpstr>
      <vt:lpstr>pivot!C_ST_DT</vt:lpstr>
      <vt:lpstr>CHART!CAD</vt:lpstr>
      <vt:lpstr>Flags!CAD</vt:lpstr>
      <vt:lpstr>HELP!CAD</vt:lpstr>
      <vt:lpstr>CHART!CHF</vt:lpstr>
      <vt:lpstr>Flags!CHF</vt:lpstr>
      <vt:lpstr>HELP!CHF</vt:lpstr>
      <vt:lpstr>Summary!ColumnTitleRegion1..C4.1</vt:lpstr>
      <vt:lpstr>ColumnTitleRegion1..E3</vt:lpstr>
      <vt:lpstr>Summary!ColumnTitleRegion2..C6.1</vt:lpstr>
      <vt:lpstr>Summary!ColumnTitleRegion4..C10.1</vt:lpstr>
      <vt:lpstr>'Popular Currency'!Country</vt:lpstr>
      <vt:lpstr>CryptoHoldingTable</vt:lpstr>
      <vt:lpstr>'Savings Estimator'!DailySavings</vt:lpstr>
      <vt:lpstr>'Savings Estimator'!DateSavingsBegin</vt:lpstr>
      <vt:lpstr>'Savings Estimator'!DaysUntilEvent</vt:lpstr>
      <vt:lpstr>'Mortgage Calculator'!DurationOfLoan</vt:lpstr>
      <vt:lpstr>'New CPF Tracker'!EmployeeContribution</vt:lpstr>
      <vt:lpstr>EmployeeContribution</vt:lpstr>
      <vt:lpstr>'New CPF Tracker'!EmployerContribution</vt:lpstr>
      <vt:lpstr>EmployerContribution</vt:lpstr>
      <vt:lpstr>CHART!EUR</vt:lpstr>
      <vt:lpstr>Flags!EUR</vt:lpstr>
      <vt:lpstr>HELP!EUR</vt:lpstr>
      <vt:lpstr>'Savings Estimator'!EventCost</vt:lpstr>
      <vt:lpstr>'Savings Estimator'!EventDate</vt:lpstr>
      <vt:lpstr>CHART!GBP</vt:lpstr>
      <vt:lpstr>Flags!GBP</vt:lpstr>
      <vt:lpstr>HELP!GBP</vt:lpstr>
      <vt:lpstr>'Savings Estimator'!Goal</vt:lpstr>
      <vt:lpstr>CHART!I_CHART_PER_SEL</vt:lpstr>
      <vt:lpstr>Flags!I_CHART_PER_SEL</vt:lpstr>
      <vt:lpstr>HELP!I_CHART_PER_SEL</vt:lpstr>
      <vt:lpstr>pivot!I_CHART_PER_SEL</vt:lpstr>
      <vt:lpstr>CHART!I_INTERVAL</vt:lpstr>
      <vt:lpstr>Flags!I_INTERVAL</vt:lpstr>
      <vt:lpstr>HELP!I_INTERVAL</vt:lpstr>
      <vt:lpstr>pivot!I_INTERVAL</vt:lpstr>
      <vt:lpstr>CHART!I_SYM</vt:lpstr>
      <vt:lpstr>Flags!I_SYM</vt:lpstr>
      <vt:lpstr>HELP!I_SYM</vt:lpstr>
      <vt:lpstr>pivot!I_SYM</vt:lpstr>
      <vt:lpstr>'Amortization Table'!interest</vt:lpstr>
      <vt:lpstr>'Loan Calculator'!InterestRate</vt:lpstr>
      <vt:lpstr>'Mortgage Calculator'!InterestRate</vt:lpstr>
      <vt:lpstr>InterestRate2</vt:lpstr>
      <vt:lpstr>CHART!JPY</vt:lpstr>
      <vt:lpstr>Flags!JPY</vt:lpstr>
      <vt:lpstr>HELP!JPY</vt:lpstr>
      <vt:lpstr>CHART!L_PER_OPTIONS</vt:lpstr>
      <vt:lpstr>Flags!L_PER_OPTIONS</vt:lpstr>
      <vt:lpstr>HELP!L_PER_OPTIONS</vt:lpstr>
      <vt:lpstr>pivot!L_PER_OPTIONS</vt:lpstr>
      <vt:lpstr>'Loan Calculator'!LoanAmount</vt:lpstr>
      <vt:lpstr>'Mortgage Calculator'!LoanAmount</vt:lpstr>
      <vt:lpstr>'Mortgage Calculator'!LoanStart</vt:lpstr>
      <vt:lpstr>'Loan Calculator'!LoanStartDate</vt:lpstr>
      <vt:lpstr>'Loan Calculator'!LoanYears</vt:lpstr>
      <vt:lpstr>MA_cut</vt:lpstr>
      <vt:lpstr>'Mortgage Calculator'!MonthlyLoanPayment</vt:lpstr>
      <vt:lpstr>'Savings Estimator'!MonthlySavings</vt:lpstr>
      <vt:lpstr>'Savings Estimator'!MonthsUntilEvent</vt:lpstr>
      <vt:lpstr>'New CPF Tracker'!MS_Cut</vt:lpstr>
      <vt:lpstr>'Amortization Table'!NoPaymentsRemaining</vt:lpstr>
      <vt:lpstr>CHART!NZD</vt:lpstr>
      <vt:lpstr>Flags!NZD</vt:lpstr>
      <vt:lpstr>HELP!NZD</vt:lpstr>
      <vt:lpstr>'New CPF Tracker'!OA_Cut</vt:lpstr>
      <vt:lpstr>OA_cut</vt:lpstr>
      <vt:lpstr>CHART!OTH</vt:lpstr>
      <vt:lpstr>Flags!OTH</vt:lpstr>
      <vt:lpstr>HELP!OTH</vt:lpstr>
      <vt:lpstr>'Balance Sheet'!Print_Area</vt:lpstr>
      <vt:lpstr>'Amortization Table'!Print_Titles</vt:lpstr>
      <vt:lpstr>Income!Print_Titles</vt:lpstr>
      <vt:lpstr>'Mortgage Calculator'!PropertyTaxAmount</vt:lpstr>
      <vt:lpstr>RowTitleRegion1..C6</vt:lpstr>
      <vt:lpstr>RowTitleRegion2..C9</vt:lpstr>
      <vt:lpstr>'New CPF Tracker'!SA_Cut</vt:lpstr>
      <vt:lpstr>SA_cut</vt:lpstr>
      <vt:lpstr>'Savings Estimator'!SavingFrequency</vt:lpstr>
      <vt:lpstr>'Savings Estimator'!SavingsToDate</vt:lpstr>
      <vt:lpstr>TitleRegion1..G13</vt:lpstr>
      <vt:lpstr>TitleRegion2..G15</vt:lpstr>
      <vt:lpstr>'Mortgage Calculator'!total_interest_paid</vt:lpstr>
      <vt:lpstr>'Amortization Table'!total_loan_payment</vt:lpstr>
      <vt:lpstr>'Amortization Table'!total_payments</vt:lpstr>
      <vt:lpstr>Summary!TotalMonthlyExpenses</vt:lpstr>
      <vt:lpstr>Summary!TotalMonthlyIncome</vt:lpstr>
      <vt:lpstr>CHART!USD</vt:lpstr>
      <vt:lpstr>Flags!USD</vt:lpstr>
      <vt:lpstr>HELP!USD</vt:lpstr>
      <vt:lpstr>'Mortgage Calculator'!ValueOfHome</vt:lpstr>
      <vt:lpstr>'Savings Estimator'!WeeklySavings</vt:lpstr>
      <vt:lpstr>'Savings Estimator'!WeeksUntilEvent</vt:lpstr>
      <vt:lpstr>'Savings Estimator'!YearsUntilEvent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LG Gram</dc:creator>
  <cp:keywords/>
  <dc:description/>
  <cp:lastModifiedBy>sindhu v</cp:lastModifiedBy>
  <cp:revision/>
  <dcterms:created xsi:type="dcterms:W3CDTF">2021-11-23T01:12:37Z</dcterms:created>
  <dcterms:modified xsi:type="dcterms:W3CDTF">2022-01-25T14:41:44Z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0x010100B9A8224EE397914AB290C156C5F2772D</vt:lpwstr>
  </property>
</Properties>
</file>