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activeTab="7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heet4" sheetId="15" r:id="rId6"/>
    <sheet name="Slide22" sheetId="11" r:id="rId7"/>
    <sheet name="Slide23" sheetId="6" r:id="rId8"/>
    <sheet name="Модель бездетной" sheetId="8" r:id="rId9"/>
    <sheet name="Slide7_v1" sheetId="14" r:id="rId10"/>
    <sheet name="Slide5_v1" sheetId="12" r:id="rId11"/>
    <sheet name="Модель многодетной" sheetId="9" r:id="rId12"/>
  </sheets>
  <externalReferences>
    <externalReference r:id="rId13"/>
  </externalReferences>
  <definedNames>
    <definedName name="_xlnm.Print_Area" localSheetId="3">Slide14!$A$1:$M$27</definedName>
    <definedName name="_xlnm.Print_Area" localSheetId="4">Slide21!$Y$6:$AH$34</definedName>
    <definedName name="_xlnm.Print_Area" localSheetId="7">Slide23!$J$1:$P$21</definedName>
    <definedName name="_xlnm.Print_Area" localSheetId="0">Slide5!$A$1:$L$34</definedName>
    <definedName name="_xlnm.Print_Area" localSheetId="1">Slide7!$A$2:$J$36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4" l="1"/>
  <c r="I28" i="14"/>
  <c r="H28" i="14"/>
  <c r="G28" i="14"/>
  <c r="F28" i="14"/>
  <c r="E28" i="14"/>
  <c r="D28" i="14"/>
  <c r="C28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C26" i="14"/>
  <c r="D25" i="14"/>
  <c r="D26" i="14" s="1"/>
  <c r="J24" i="14"/>
  <c r="I24" i="14"/>
  <c r="H24" i="14"/>
  <c r="G24" i="14"/>
  <c r="F24" i="14"/>
  <c r="E24" i="14"/>
  <c r="D24" i="14"/>
  <c r="C24" i="14"/>
  <c r="J21" i="14"/>
  <c r="I21" i="14"/>
  <c r="H21" i="14"/>
  <c r="G21" i="14"/>
  <c r="F21" i="14"/>
  <c r="E21" i="14"/>
  <c r="D21" i="14"/>
  <c r="C20" i="14"/>
  <c r="B20" i="14"/>
  <c r="J19" i="14"/>
  <c r="I19" i="14"/>
  <c r="H19" i="14"/>
  <c r="G19" i="14"/>
  <c r="F19" i="14"/>
  <c r="E19" i="14"/>
  <c r="D19" i="14"/>
  <c r="C19" i="14"/>
  <c r="J17" i="14"/>
  <c r="I17" i="14"/>
  <c r="H17" i="14"/>
  <c r="G17" i="14"/>
  <c r="F17" i="14"/>
  <c r="E17" i="14"/>
  <c r="D17" i="14"/>
  <c r="C17" i="14"/>
  <c r="B16" i="14"/>
  <c r="J15" i="14"/>
  <c r="J20" i="14" s="1"/>
  <c r="I15" i="14"/>
  <c r="I20" i="14" s="1"/>
  <c r="H15" i="14"/>
  <c r="H20" i="14" s="1"/>
  <c r="G15" i="14"/>
  <c r="G20" i="14" s="1"/>
  <c r="F15" i="14"/>
  <c r="F20" i="14" s="1"/>
  <c r="E15" i="14"/>
  <c r="E20" i="14" s="1"/>
  <c r="D15" i="14"/>
  <c r="D20" i="14" s="1"/>
  <c r="C15" i="14"/>
  <c r="B15" i="14"/>
  <c r="J12" i="14"/>
  <c r="I12" i="14"/>
  <c r="H12" i="14"/>
  <c r="G12" i="14"/>
  <c r="F12" i="14"/>
  <c r="E12" i="14"/>
  <c r="D12" i="14"/>
  <c r="C10" i="14"/>
  <c r="C11" i="14" s="1"/>
  <c r="B10" i="14"/>
  <c r="B11" i="14" s="1"/>
  <c r="J8" i="14"/>
  <c r="I8" i="14"/>
  <c r="H8" i="14"/>
  <c r="G8" i="14"/>
  <c r="F8" i="14"/>
  <c r="E8" i="14"/>
  <c r="D8" i="14"/>
  <c r="C8" i="14"/>
  <c r="B8" i="14"/>
  <c r="C5" i="14"/>
  <c r="D5" i="14" s="1"/>
  <c r="B5" i="14"/>
  <c r="J3" i="14"/>
  <c r="I3" i="14"/>
  <c r="H3" i="14"/>
  <c r="G3" i="14"/>
  <c r="F3" i="14"/>
  <c r="E3" i="14"/>
  <c r="D3" i="14"/>
  <c r="C3" i="14"/>
  <c r="E27" i="12"/>
  <c r="F27" i="12"/>
  <c r="G27" i="12"/>
  <c r="H27" i="12"/>
  <c r="I27" i="12"/>
  <c r="J27" i="12"/>
  <c r="D27" i="12"/>
  <c r="D26" i="12"/>
  <c r="E26" i="12"/>
  <c r="F26" i="12"/>
  <c r="G26" i="12"/>
  <c r="H26" i="12"/>
  <c r="I26" i="12"/>
  <c r="J26" i="12"/>
  <c r="C26" i="12"/>
  <c r="D24" i="12"/>
  <c r="E24" i="12"/>
  <c r="F24" i="12"/>
  <c r="G24" i="12"/>
  <c r="H24" i="12"/>
  <c r="I24" i="12"/>
  <c r="J24" i="12"/>
  <c r="C24" i="12"/>
  <c r="E21" i="12"/>
  <c r="F21" i="12"/>
  <c r="G21" i="12"/>
  <c r="H21" i="12"/>
  <c r="I21" i="12"/>
  <c r="J21" i="12"/>
  <c r="D21" i="12"/>
  <c r="B20" i="12"/>
  <c r="D19" i="12"/>
  <c r="E19" i="12"/>
  <c r="F19" i="12"/>
  <c r="G19" i="12"/>
  <c r="H19" i="12"/>
  <c r="I19" i="12"/>
  <c r="J19" i="12"/>
  <c r="C19" i="12"/>
  <c r="D17" i="12"/>
  <c r="E17" i="12"/>
  <c r="F17" i="12"/>
  <c r="G17" i="12"/>
  <c r="H17" i="12"/>
  <c r="I17" i="12"/>
  <c r="J17" i="12"/>
  <c r="C17" i="12"/>
  <c r="D12" i="12"/>
  <c r="J28" i="12"/>
  <c r="I28" i="12"/>
  <c r="H28" i="12"/>
  <c r="G28" i="12"/>
  <c r="F28" i="12"/>
  <c r="E28" i="12"/>
  <c r="D28" i="12"/>
  <c r="C28" i="12"/>
  <c r="D25" i="12"/>
  <c r="I20" i="12"/>
  <c r="G20" i="12"/>
  <c r="E20" i="12"/>
  <c r="C20" i="12"/>
  <c r="B16" i="12"/>
  <c r="J15" i="12"/>
  <c r="I15" i="12"/>
  <c r="H15" i="12"/>
  <c r="G15" i="12"/>
  <c r="F15" i="12"/>
  <c r="E15" i="12"/>
  <c r="D15" i="12"/>
  <c r="C15" i="12"/>
  <c r="B15" i="12"/>
  <c r="J12" i="12"/>
  <c r="I12" i="12"/>
  <c r="H12" i="12"/>
  <c r="G12" i="12"/>
  <c r="F12" i="12"/>
  <c r="E12" i="12"/>
  <c r="H9" i="12"/>
  <c r="E10" i="12"/>
  <c r="E9" i="12" s="1"/>
  <c r="F10" i="12"/>
  <c r="F9" i="12" s="1"/>
  <c r="G10" i="12"/>
  <c r="G9" i="12" s="1"/>
  <c r="H10" i="12"/>
  <c r="I10" i="12"/>
  <c r="I9" i="12" s="1"/>
  <c r="J10" i="12"/>
  <c r="J9" i="12" s="1"/>
  <c r="D10" i="12"/>
  <c r="D9" i="12" s="1"/>
  <c r="C10" i="12"/>
  <c r="C11" i="12" s="1"/>
  <c r="B10" i="12"/>
  <c r="B11" i="12" s="1"/>
  <c r="C5" i="12"/>
  <c r="D5" i="12" s="1"/>
  <c r="B5" i="12"/>
  <c r="C8" i="12"/>
  <c r="D8" i="12"/>
  <c r="E8" i="12"/>
  <c r="F8" i="12"/>
  <c r="G8" i="12"/>
  <c r="H8" i="12"/>
  <c r="I8" i="12"/>
  <c r="J8" i="12"/>
  <c r="B8" i="12"/>
  <c r="D3" i="12"/>
  <c r="E3" i="12"/>
  <c r="F3" i="12"/>
  <c r="G3" i="12"/>
  <c r="H3" i="12"/>
  <c r="I3" i="12"/>
  <c r="J3" i="12"/>
  <c r="C3" i="12"/>
  <c r="D4" i="14" l="1"/>
  <c r="D10" i="14"/>
  <c r="D9" i="14" s="1"/>
  <c r="E5" i="14"/>
  <c r="F20" i="12"/>
  <c r="J20" i="12"/>
  <c r="D20" i="12"/>
  <c r="H20" i="12"/>
  <c r="D4" i="12"/>
  <c r="E5" i="12"/>
  <c r="E21" i="11"/>
  <c r="D21" i="11"/>
  <c r="C21" i="11"/>
  <c r="F20" i="11"/>
  <c r="F21" i="11" s="1"/>
  <c r="E10" i="14" l="1"/>
  <c r="E9" i="14" s="1"/>
  <c r="F5" i="14"/>
  <c r="E4" i="14"/>
  <c r="F5" i="12"/>
  <c r="E4" i="12"/>
  <c r="P17" i="6"/>
  <c r="P11" i="6"/>
  <c r="P6" i="6"/>
  <c r="P7" i="6"/>
  <c r="O15" i="6"/>
  <c r="O18" i="6"/>
  <c r="O12" i="6"/>
  <c r="P12" i="6"/>
  <c r="P16" i="6"/>
  <c r="P14" i="6"/>
  <c r="P13" i="6"/>
  <c r="P10" i="6"/>
  <c r="G30" i="5"/>
  <c r="F4" i="14" l="1"/>
  <c r="F10" i="14"/>
  <c r="F9" i="14" s="1"/>
  <c r="G5" i="14"/>
  <c r="G5" i="12"/>
  <c r="F4" i="12"/>
  <c r="P18" i="6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G4" i="14" l="1"/>
  <c r="G10" i="14"/>
  <c r="G9" i="14" s="1"/>
  <c r="H5" i="14"/>
  <c r="H5" i="12"/>
  <c r="G4" i="12"/>
  <c r="M12" i="4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H10" i="14" l="1"/>
  <c r="H9" i="14" s="1"/>
  <c r="I5" i="14"/>
  <c r="H4" i="14"/>
  <c r="I5" i="12"/>
  <c r="H4" i="12"/>
  <c r="M25" i="4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10" i="14" l="1"/>
  <c r="I9" i="14" s="1"/>
  <c r="J5" i="14"/>
  <c r="I4" i="14"/>
  <c r="J5" i="12"/>
  <c r="J4" i="12" s="1"/>
  <c r="I4" i="12"/>
  <c r="I25" i="9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J10" i="14" l="1"/>
  <c r="J9" i="14" s="1"/>
  <c r="J4" i="14"/>
  <c r="I26" i="9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/>
</calcChain>
</file>

<file path=xl/sharedStrings.xml><?xml version="1.0" encoding="utf-8"?>
<sst xmlns="http://schemas.openxmlformats.org/spreadsheetml/2006/main" count="1056" uniqueCount="531">
  <si>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</si>
  <si>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</si>
  <si>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</si>
  <si>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</si>
  <si>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</si>
  <si>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</si>
  <si>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</si>
  <si>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</si>
  <si>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</si>
  <si>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</si>
  <si>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</si>
  <si>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</si>
  <si>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</si>
  <si>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</si>
  <si>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</si>
  <si>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</si>
  <si>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</si>
  <si>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</si>
  <si>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</si>
  <si>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</si>
  <si>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</si>
  <si>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</si>
  <si>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</si>
  <si>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</si>
  <si>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</si>
  <si>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</si>
  <si>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</si>
  <si>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</si>
  <si>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</si>
  <si>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</si>
  <si>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</si>
  <si>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</si>
  <si>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</si>
  <si>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</si>
  <si>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</si>
  <si>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</si>
  <si>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</si>
  <si>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</si>
  <si>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</si>
  <si>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</si>
  <si>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</si>
  <si>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</si>
  <si>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</si>
  <si>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</si>
  <si>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</si>
  <si>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</si>
  <si>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</si>
  <si>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</si>
  <si>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</si>
  <si>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</si>
  <si>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</si>
  <si>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</si>
  <si>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</si>
  <si>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</si>
  <si>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</si>
  <si>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</si>
  <si>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</si>
  <si>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</si>
  <si>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</si>
  <si>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</si>
  <si>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</si>
  <si>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</si>
  <si>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</si>
  <si>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</si>
  <si>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</si>
  <si>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</si>
  <si>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</si>
  <si>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</si>
  <si>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</si>
  <si>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</si>
  <si>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</si>
  <si>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</si>
  <si>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</si>
  <si>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</si>
  <si>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</si>
  <si>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</si>
  <si>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</si>
  <si>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</si>
  <si>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</si>
  <si>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</si>
  <si>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</si>
  <si>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</si>
  <si>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</si>
  <si>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</si>
  <si>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</si>
  <si>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</si>
  <si>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</si>
  <si>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</si>
  <si>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</si>
  <si>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</si>
  <si>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</si>
  <si>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</si>
  <si>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</si>
  <si>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</si>
  <si>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</si>
  <si>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</si>
  <si>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</si>
  <si>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</si>
  <si>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</si>
  <si>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</si>
  <si>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</si>
  <si>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</si>
  <si>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</si>
  <si>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</si>
  <si>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</si>
  <si>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</si>
  <si>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</si>
  <si>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</si>
  <si>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</si>
  <si>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</si>
  <si>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</si>
  <si>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</si>
  <si>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</si>
  <si>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</si>
  <si>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</si>
  <si>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</si>
  <si>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</si>
  <si>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</si>
  <si>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</si>
  <si>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</si>
  <si>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</si>
  <si>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</si>
  <si>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</si>
  <si>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</si>
  <si>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</si>
  <si>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</si>
  <si>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</si>
  <si>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</si>
  <si>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</si>
  <si>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</si>
  <si>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</si>
  <si>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</si>
  <si>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</si>
  <si>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</si>
  <si>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</si>
  <si>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</si>
  <si>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</si>
  <si>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</si>
  <si>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</si>
  <si>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</si>
  <si>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</si>
  <si>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</si>
  <si>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</si>
  <si>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</si>
  <si>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</si>
  <si>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</si>
  <si>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</si>
  <si>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</si>
  <si>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</si>
  <si>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</si>
  <si>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</si>
  <si>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</si>
  <si>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</si>
  <si>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</si>
  <si>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</si>
  <si>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</si>
  <si>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</si>
  <si>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</si>
  <si>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</si>
  <si>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</si>
  <si>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</si>
  <si>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</si>
  <si>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</si>
  <si>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</si>
  <si>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</si>
  <si>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</si>
  <si>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</si>
  <si>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</si>
  <si>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</si>
  <si>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</si>
  <si>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</si>
  <si>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</si>
  <si>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</si>
  <si>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</si>
  <si>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</si>
  <si>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</si>
  <si>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</si>
  <si>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</si>
  <si>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</si>
  <si>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</si>
  <si>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</si>
  <si>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</si>
  <si>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</si>
  <si>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</si>
  <si>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</si>
  <si>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</si>
  <si>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</si>
  <si>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</si>
  <si>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</si>
  <si>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</si>
  <si>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</si>
  <si>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</si>
  <si>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</si>
  <si>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</si>
  <si>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</si>
  <si>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</si>
  <si>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</si>
  <si>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</si>
  <si>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</si>
  <si>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</si>
  <si>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</si>
  <si>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</si>
  <si>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</si>
  <si>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</si>
  <si>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</si>
  <si>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</si>
  <si>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</si>
  <si>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</si>
  <si>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</si>
  <si>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</si>
  <si>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</si>
  <si>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</si>
  <si>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</si>
  <si>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</si>
  <si>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</si>
  <si>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</si>
  <si>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</si>
  <si>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</si>
  <si>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</si>
  <si>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</si>
  <si>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</si>
  <si>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</si>
  <si>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</si>
  <si>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</si>
  <si>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</si>
  <si>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</si>
  <si>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</si>
  <si>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</si>
  <si>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</si>
  <si>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</si>
  <si>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</si>
  <si>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</si>
  <si>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</si>
  <si>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</si>
  <si>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</si>
  <si>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</si>
  <si>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</si>
  <si>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</si>
  <si>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</si>
  <si>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</si>
  <si>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</si>
  <si>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</si>
  <si>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</si>
  <si>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</si>
  <si>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</si>
  <si>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</si>
  <si>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</si>
  <si>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</si>
  <si>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</si>
  <si>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</si>
  <si>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</si>
  <si>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</si>
  <si>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</si>
  <si>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</si>
  <si>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</si>
  <si>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</si>
  <si>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</si>
  <si>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</si>
  <si>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</si>
  <si>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</si>
  <si>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</si>
  <si>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</si>
  <si>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</si>
  <si>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</si>
  <si>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</si>
  <si>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</si>
  <si>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</si>
  <si>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</si>
  <si>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</si>
  <si>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</si>
  <si>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</si>
  <si>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</si>
  <si>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</si>
  <si>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</si>
  <si>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</si>
  <si>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</si>
  <si>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</si>
  <si>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</si>
  <si>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</si>
  <si>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</si>
  <si>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</si>
  <si>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</si>
  <si>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</si>
  <si>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</si>
  <si>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</si>
  <si>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</si>
  <si>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</si>
  <si>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</si>
  <si>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</si>
  <si>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</si>
  <si>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</si>
  <si>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</si>
  <si>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</si>
  <si>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</si>
  <si>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</si>
  <si>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</si>
  <si>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</si>
  <si>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</si>
  <si>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</si>
  <si>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</si>
  <si>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</si>
  <si>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</si>
  <si>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</si>
  <si>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</si>
  <si>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</si>
  <si>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</si>
  <si>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</si>
  <si>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</si>
  <si>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</si>
  <si>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</si>
  <si>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</si>
  <si>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</si>
  <si>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</si>
  <si>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</si>
  <si>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</si>
  <si>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</si>
  <si>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</si>
  <si>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</si>
  <si>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</si>
  <si>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</si>
  <si>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</si>
  <si>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</si>
  <si>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</si>
  <si>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</si>
  <si>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</si>
  <si>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</si>
  <si>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</si>
  <si>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</si>
  <si>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</si>
  <si>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</si>
  <si>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</si>
  <si>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</si>
  <si>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</si>
  <si>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</si>
  <si>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</si>
  <si>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</si>
  <si>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</si>
  <si>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</si>
  <si>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</si>
  <si>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</si>
  <si>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</si>
  <si>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</si>
  <si>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</si>
  <si>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</si>
  <si>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</si>
  <si>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</si>
  <si>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</si>
  <si>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</si>
  <si>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</si>
  <si>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</si>
  <si>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</si>
  <si>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</si>
  <si>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</si>
  <si>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</si>
  <si>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</si>
  <si>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</si>
  <si>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</si>
  <si>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</si>
  <si>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</si>
  <si>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</si>
  <si>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</si>
  <si>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</si>
  <si>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</si>
  <si>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</si>
  <si>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</si>
  <si>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</si>
  <si>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</si>
  <si>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</si>
  <si>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</si>
  <si>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</si>
  <si>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</si>
  <si>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</si>
  <si>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</si>
  <si>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</si>
  <si>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</si>
  <si>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</si>
  <si>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</si>
  <si>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</si>
  <si>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</si>
  <si>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</si>
  <si>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</si>
  <si>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</si>
  <si>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</si>
  <si>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</si>
  <si>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</si>
  <si>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</si>
  <si>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</si>
  <si>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</si>
  <si>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</si>
  <si>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</si>
  <si>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</si>
  <si>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</si>
  <si>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</si>
  <si>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</si>
  <si>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</si>
  <si>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</si>
  <si>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</si>
  <si>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</si>
  <si>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</si>
  <si>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</si>
  <si>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</si>
  <si>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</si>
  <si>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</si>
  <si>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</si>
  <si>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</si>
  <si>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</si>
  <si>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</si>
  <si>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</si>
  <si>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</si>
  <si>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</si>
  <si>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</si>
  <si>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</si>
  <si>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</si>
  <si>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</si>
  <si>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</si>
  <si>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</si>
  <si>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</si>
  <si>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</si>
  <si>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</si>
  <si>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</si>
  <si>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</si>
  <si>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</si>
  <si>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</si>
  <si>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</si>
  <si>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</si>
  <si>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</si>
  <si>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</si>
  <si>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</si>
  <si>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</si>
  <si>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</si>
  <si>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</si>
  <si>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</si>
  <si>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</si>
  <si>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</si>
  <si>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</si>
  <si>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</si>
  <si>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</si>
  <si>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</si>
  <si>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</si>
  <si>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</si>
  <si>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</si>
  <si>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</si>
  <si>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</si>
  <si>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</si>
  <si>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</si>
  <si>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</si>
  <si>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</si>
  <si>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</si>
  <si>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</si>
  <si>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</si>
  <si>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</si>
  <si>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</si>
  <si>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</si>
  <si>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</si>
  <si>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</si>
  <si>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</si>
  <si>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</si>
  <si>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</si>
  <si>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</si>
  <si>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</si>
  <si>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</si>
  <si>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</si>
  <si>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</si>
  <si>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</si>
  <si>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</si>
  <si>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</si>
  <si>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</si>
  <si>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</si>
  <si>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</si>
  <si>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</si>
  <si>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</si>
  <si>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</si>
  <si>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</si>
  <si>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</si>
  <si>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</si>
  <si>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</si>
  <si>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727352</t>
  </si>
  <si>
    <t>344157</t>
  </si>
  <si>
    <t>1805097</t>
  </si>
  <si>
    <t>283985</t>
  </si>
  <si>
    <t>832350</t>
  </si>
  <si>
    <t>326496</t>
  </si>
  <si>
    <t>420484</t>
  </si>
  <si>
    <t>180011</t>
  </si>
  <si>
    <t>131970</t>
  </si>
  <si>
    <t>36028</t>
  </si>
  <si>
    <t>236970</t>
  </si>
  <si>
    <t>6719718</t>
  </si>
  <si>
    <t>473084</t>
  </si>
  <si>
    <t>-8763</t>
  </si>
  <si>
    <t>6255397</t>
  </si>
  <si>
    <t>Кількість зайнятих працівників</t>
  </si>
  <si>
    <t>http://www.ukrstat.gov.ua/operativ/operativ2014/rp/zn_ed/zn_ed_u/zn_ed_2013_u.htm</t>
  </si>
  <si>
    <t>http://www.ukrstat.gov.ua/druk/publicat/kat_u/2018/zb/06/zb_ztutp2017.xls</t>
  </si>
  <si>
    <t>млн.дол.США</t>
  </si>
  <si>
    <t>Випуск товарів та послуг</t>
  </si>
  <si>
    <t>Екпорт</t>
  </si>
  <si>
    <t>Імпорт</t>
  </si>
  <si>
    <t>Споживання в Україні</t>
  </si>
  <si>
    <t>Структура расходов украинских домохозяйств и домохозяйств 28 стран ЕС за 2017 г.</t>
  </si>
  <si>
    <t>ЕС(28)**</t>
  </si>
  <si>
    <t>Показник</t>
  </si>
  <si>
    <t>темп росту населення світу в рік, %</t>
  </si>
  <si>
    <t>ВВП світу, млрд. дол. США</t>
  </si>
  <si>
    <t>ВВП світу на 1 особу, тис. дол. США</t>
  </si>
  <si>
    <t>темп росту ВВП світу в рік, %</t>
  </si>
  <si>
    <t>Населення України, млн. осіб</t>
  </si>
  <si>
    <t>частка населення України від населення світу, %</t>
  </si>
  <si>
    <t>ВВП України, млрд.дол.США</t>
  </si>
  <si>
    <t>ВВП на 1 особу України,  тис.дол. США</t>
  </si>
  <si>
    <t>частка ВВП України від ВВП світу на одну особу, %</t>
  </si>
  <si>
    <t>у т.ч. міського населення України , млн. осіб</t>
  </si>
  <si>
    <t>частка міського населення від населення України, %</t>
  </si>
  <si>
    <t> Сальдо міжнародних мігрантів в Україні, млн.осіб</t>
  </si>
  <si>
    <t>частка сальдо міжнародних мігрантів від населення України, %</t>
  </si>
  <si>
    <t>Жінок дітородного віку (18-49 років) в Україні, млн.осіб</t>
  </si>
  <si>
    <t>частка жінок дітородного віку від населення  України, %</t>
  </si>
  <si>
    <t>Дітей (0-17 років) в Україні, млн. осіб</t>
  </si>
  <si>
    <t>частка дітей  від населення України, %</t>
  </si>
  <si>
    <t>Дітей на одну жінку дітородного віку в Україні, осіб</t>
  </si>
  <si>
    <t>Народилося  в Україні за рік, млн. осіб</t>
  </si>
  <si>
    <t>Народилося в Україні на 1000 жінок дітородного віку, осіб</t>
  </si>
  <si>
    <t xml:space="preserve">Чоловіки (18-60 р.) та жінки  (50-60 р.) в Україні, млн. осіб </t>
  </si>
  <si>
    <t>частка чоловіків (18-60р.) та жінок (50-60 р.) від населення України, %</t>
  </si>
  <si>
    <t>Населення від 61 року в Україні, млн. осіб</t>
  </si>
  <si>
    <t>частка населення від 61 років  від населення України, %</t>
  </si>
  <si>
    <t>Померлих за рік в Україні, млн. осіб</t>
  </si>
  <si>
    <t>Померлих на 1000 жителів України, осіб</t>
  </si>
  <si>
    <t xml:space="preserve">Населення світу,  млн. осіб </t>
  </si>
  <si>
    <t>United Nations, Department of Economic and Social Affairs, Population Division (2017). World Population Prospects: The 2017 Revision, custom data acquired via website. https://population.un.org/wpp/DataQuery/</t>
  </si>
  <si>
    <t>https://databank.worldbank.org/data/home.aspx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</si>
</sst>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67" formatCode="0.0000"/>
  </numFmts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  <font>
      <i/>
      <sz val="7.5"/>
      <color theme="1"/>
      <name val="Verdana"/>
      <family val="2"/>
      <charset val="204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i/>
      <sz val="8"/>
      <color rgb="FF333333"/>
      <name val="Arial"/>
      <family val="2"/>
      <charset val="204"/>
    </font>
    <font>
      <sz val="8"/>
      <color rgb="FF00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B2C1DB"/>
      </left>
      <right style="medium">
        <color rgb="FFB2C1DB"/>
      </right>
      <top style="medium">
        <color rgb="FFB2C1DB"/>
      </top>
      <bottom style="medium">
        <color rgb="FFB2C1DB"/>
      </bottom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407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165" fontId="3" fillId="14" borderId="1" xfId="0" applyNumberFormat="1" applyFont="1" applyFill="1" applyBorder="1"/>
    <xf numFmtId="0" fontId="58" fillId="0" borderId="0" xfId="0" applyFont="1"/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  <xf numFmtId="0" fontId="51" fillId="0" borderId="1" xfId="0" applyFont="1" applyFill="1" applyBorder="1" applyAlignment="1">
      <alignment horizontal="center" vertical="center" wrapText="1"/>
    </xf>
    <xf numFmtId="3" fontId="54" fillId="0" borderId="1" xfId="6" applyNumberFormat="1" applyFont="1" applyBorder="1" applyAlignment="1">
      <alignment wrapText="1"/>
    </xf>
    <xf numFmtId="3" fontId="56" fillId="0" borderId="1" xfId="6" applyNumberFormat="1" applyFont="1" applyBorder="1" applyAlignment="1">
      <alignment wrapText="1"/>
    </xf>
    <xf numFmtId="3" fontId="59" fillId="0" borderId="1" xfId="0" applyNumberFormat="1" applyFont="1" applyBorder="1" applyAlignment="1">
      <alignment horizontal="right" vertical="center" wrapText="1"/>
    </xf>
    <xf numFmtId="3" fontId="33" fillId="0" borderId="44" xfId="0" applyNumberFormat="1" applyFont="1" applyBorder="1" applyAlignment="1">
      <alignment horizontal="right" vertical="center" wrapText="1"/>
    </xf>
    <xf numFmtId="3" fontId="33" fillId="0" borderId="46" xfId="0" applyNumberFormat="1" applyFont="1" applyBorder="1" applyAlignment="1">
      <alignment vertical="center" wrapText="1"/>
    </xf>
    <xf numFmtId="3" fontId="20" fillId="0" borderId="44" xfId="0" applyNumberFormat="1" applyFont="1" applyBorder="1" applyAlignment="1">
      <alignment horizontal="right" vertical="center" wrapText="1"/>
    </xf>
    <xf numFmtId="3" fontId="20" fillId="0" borderId="0" xfId="0" applyNumberFormat="1" applyFont="1"/>
    <xf numFmtId="0" fontId="33" fillId="0" borderId="60" xfId="0" applyFont="1" applyBorder="1" applyAlignment="1">
      <alignment vertical="center" wrapText="1"/>
    </xf>
    <xf numFmtId="0" fontId="60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horizontal="center" vertical="center" wrapText="1"/>
    </xf>
    <xf numFmtId="0" fontId="23" fillId="0" borderId="1" xfId="5" applyFont="1" applyBorder="1" applyAlignment="1">
      <alignment vertical="center" wrapText="1"/>
    </xf>
    <xf numFmtId="3" fontId="23" fillId="0" borderId="1" xfId="5" applyNumberFormat="1" applyFont="1" applyBorder="1" applyAlignment="1">
      <alignment vertical="center" wrapText="1"/>
    </xf>
    <xf numFmtId="0" fontId="5" fillId="0" borderId="0" xfId="5" applyAlignment="1">
      <alignment horizontal="center"/>
    </xf>
    <xf numFmtId="0" fontId="61" fillId="0" borderId="64" xfId="0" applyFont="1" applyBorder="1" applyAlignment="1">
      <alignment horizontal="center" wrapText="1" readingOrder="1"/>
    </xf>
    <xf numFmtId="0" fontId="61" fillId="0" borderId="64" xfId="0" applyFont="1" applyBorder="1" applyAlignment="1">
      <alignment horizontal="center" vertical="center" wrapText="1" readingOrder="1"/>
    </xf>
    <xf numFmtId="0" fontId="62" fillId="0" borderId="64" xfId="0" applyFont="1" applyBorder="1" applyAlignment="1">
      <alignment horizontal="left" wrapText="1" readingOrder="1"/>
    </xf>
    <xf numFmtId="3" fontId="63" fillId="0" borderId="64" xfId="0" applyNumberFormat="1" applyFont="1" applyBorder="1" applyAlignment="1">
      <alignment horizontal="center" wrapText="1" readingOrder="1"/>
    </xf>
    <xf numFmtId="0" fontId="64" fillId="0" borderId="0" xfId="0" applyFont="1"/>
    <xf numFmtId="2" fontId="65" fillId="0" borderId="64" xfId="0" applyNumberFormat="1" applyFont="1" applyBorder="1" applyAlignment="1">
      <alignment horizontal="center" wrapText="1" readingOrder="1"/>
    </xf>
    <xf numFmtId="0" fontId="66" fillId="0" borderId="64" xfId="0" applyFont="1" applyBorder="1" applyAlignment="1">
      <alignment horizontal="right" wrapText="1" readingOrder="1"/>
    </xf>
    <xf numFmtId="2" fontId="63" fillId="0" borderId="64" xfId="0" applyNumberFormat="1" applyFont="1" applyBorder="1" applyAlignment="1">
      <alignment horizontal="center" wrapText="1" readingOrder="1"/>
    </xf>
    <xf numFmtId="0" fontId="62" fillId="15" borderId="64" xfId="0" applyFont="1" applyFill="1" applyBorder="1" applyAlignment="1">
      <alignment horizontal="left" wrapText="1" readingOrder="1"/>
    </xf>
    <xf numFmtId="3" fontId="63" fillId="15" borderId="64" xfId="0" applyNumberFormat="1" applyFont="1" applyFill="1" applyBorder="1" applyAlignment="1">
      <alignment horizontal="center" wrapText="1" readingOrder="1"/>
    </xf>
    <xf numFmtId="0" fontId="63" fillId="15" borderId="64" xfId="0" applyFont="1" applyFill="1" applyBorder="1" applyAlignment="1">
      <alignment horizontal="center" wrapText="1" readingOrder="1"/>
    </xf>
    <xf numFmtId="2" fontId="67" fillId="0" borderId="64" xfId="0" applyNumberFormat="1" applyFont="1" applyBorder="1" applyAlignment="1">
      <alignment horizontal="center" wrapText="1" readingOrder="1"/>
    </xf>
    <xf numFmtId="0" fontId="62" fillId="16" borderId="64" xfId="0" applyFont="1" applyFill="1" applyBorder="1" applyAlignment="1">
      <alignment horizontal="left" wrapText="1" readingOrder="1"/>
    </xf>
    <xf numFmtId="0" fontId="66" fillId="16" borderId="64" xfId="0" applyFont="1" applyFill="1" applyBorder="1" applyAlignment="1">
      <alignment horizontal="right" wrapText="1" readingOrder="1"/>
    </xf>
    <xf numFmtId="2" fontId="65" fillId="16" borderId="64" xfId="0" applyNumberFormat="1" applyFont="1" applyFill="1" applyBorder="1" applyAlignment="1">
      <alignment horizontal="center" wrapText="1" readingOrder="1"/>
    </xf>
    <xf numFmtId="0" fontId="62" fillId="17" borderId="64" xfId="0" applyFont="1" applyFill="1" applyBorder="1" applyAlignment="1">
      <alignment horizontal="left" wrapText="1" readingOrder="1"/>
    </xf>
    <xf numFmtId="0" fontId="66" fillId="17" borderId="64" xfId="0" applyFont="1" applyFill="1" applyBorder="1" applyAlignment="1">
      <alignment horizontal="right" wrapText="1" readingOrder="1"/>
    </xf>
    <xf numFmtId="2" fontId="65" fillId="17" borderId="64" xfId="0" applyNumberFormat="1" applyFont="1" applyFill="1" applyBorder="1" applyAlignment="1">
      <alignment horizontal="center" wrapText="1" readingOrder="1"/>
    </xf>
    <xf numFmtId="0" fontId="62" fillId="18" borderId="64" xfId="0" applyFont="1" applyFill="1" applyBorder="1" applyAlignment="1">
      <alignment horizontal="left" wrapText="1" readingOrder="1"/>
    </xf>
    <xf numFmtId="4" fontId="63" fillId="18" borderId="64" xfId="0" applyNumberFormat="1" applyFont="1" applyFill="1" applyBorder="1" applyAlignment="1">
      <alignment horizontal="center" wrapText="1" readingOrder="1"/>
    </xf>
    <xf numFmtId="0" fontId="66" fillId="18" borderId="64" xfId="0" applyFont="1" applyFill="1" applyBorder="1" applyAlignment="1">
      <alignment horizontal="right" wrapText="1" readingOrder="1"/>
    </xf>
    <xf numFmtId="2" fontId="65" fillId="18" borderId="64" xfId="0" applyNumberFormat="1" applyFont="1" applyFill="1" applyBorder="1" applyAlignment="1">
      <alignment horizontal="center" wrapText="1" readingOrder="1"/>
    </xf>
    <xf numFmtId="0" fontId="62" fillId="19" borderId="64" xfId="0" applyFont="1" applyFill="1" applyBorder="1" applyAlignment="1">
      <alignment horizontal="left" wrapText="1" readingOrder="1"/>
    </xf>
    <xf numFmtId="2" fontId="67" fillId="19" borderId="64" xfId="0" applyNumberFormat="1" applyFont="1" applyFill="1" applyBorder="1" applyAlignment="1">
      <alignment horizontal="center" wrapText="1" readingOrder="1"/>
    </xf>
    <xf numFmtId="0" fontId="66" fillId="19" borderId="64" xfId="0" applyFont="1" applyFill="1" applyBorder="1" applyAlignment="1">
      <alignment horizontal="right" wrapText="1" readingOrder="1"/>
    </xf>
    <xf numFmtId="2" fontId="65" fillId="19" borderId="64" xfId="0" applyNumberFormat="1" applyFont="1" applyFill="1" applyBorder="1" applyAlignment="1">
      <alignment horizontal="center" wrapText="1" readingOrder="1"/>
    </xf>
    <xf numFmtId="2" fontId="67" fillId="17" borderId="64" xfId="0" applyNumberFormat="1" applyFont="1" applyFill="1" applyBorder="1" applyAlignment="1">
      <alignment horizontal="center" wrapText="1" readingOrder="1"/>
    </xf>
    <xf numFmtId="2" fontId="67" fillId="16" borderId="64" xfId="0" applyNumberFormat="1" applyFont="1" applyFill="1" applyBorder="1" applyAlignment="1">
      <alignment horizontal="center" wrapText="1" readingOrder="1"/>
    </xf>
    <xf numFmtId="4" fontId="63" fillId="15" borderId="64" xfId="0" applyNumberFormat="1" applyFont="1" applyFill="1" applyBorder="1" applyAlignment="1">
      <alignment horizontal="center" wrapText="1" readingOrder="1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5" fillId="0" borderId="0" xfId="5" applyAlignment="1"/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36" fillId="0" borderId="40" xfId="5" applyFont="1" applyBorder="1" applyAlignment="1">
      <alignment horizontal="center"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24" fillId="0" borderId="49" xfId="3" applyFont="1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7" xfId="3" applyFont="1" applyBorder="1" applyAlignment="1">
      <alignment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167" fontId="13" fillId="0" borderId="22" xfId="0" applyNumberFormat="1" applyFont="1" applyBorder="1" applyAlignment="1">
      <alignment horizontal="center" wrapText="1"/>
    </xf>
    <xf numFmtId="167" fontId="13" fillId="0" borderId="23" xfId="0" applyNumberFormat="1" applyFont="1" applyBorder="1" applyAlignment="1">
      <alignment horizontal="center" wrapText="1"/>
    </xf>
    <xf numFmtId="167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6" fillId="0" borderId="0" xfId="3" applyFont="1" applyAlignment="1">
      <alignment horizontal="center" vertical="center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4" fillId="0" borderId="0" xfId="6" applyFont="1" applyAlignment="1">
      <alignment horizontal="center" vertical="center"/>
    </xf>
    <xf numFmtId="3" fontId="33" fillId="0" borderId="49" xfId="0" applyNumberFormat="1" applyFont="1" applyBorder="1" applyAlignment="1">
      <alignment horizontal="right" vertical="center" wrapText="1"/>
    </xf>
    <xf numFmtId="3" fontId="33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atabank.worldbank.org/data/home.asp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atabank.worldbank.org/data/home.asp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activeCell="B36" sqref="B36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95" t="s">
        <v>0</v>
      </c>
      <c r="B1" s="295"/>
      <c r="C1" s="295"/>
      <c r="D1" s="295"/>
      <c r="E1" s="295"/>
      <c r="F1" s="295"/>
      <c r="G1" s="295"/>
      <c r="H1" s="295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229" t="s">
        <v>29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28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467</v>
      </c>
      <c r="L22" s="50" t="s">
        <v>468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229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228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468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96" t="s">
        <v>31</v>
      </c>
      <c r="C38" s="297"/>
      <c r="D38" s="297"/>
      <c r="E38" s="297"/>
      <c r="F38" s="297"/>
      <c r="G38" s="297"/>
      <c r="H38" s="297"/>
      <c r="I38" s="297"/>
      <c r="J38" s="297"/>
      <c r="K38" s="298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92"/>
      <c r="C40" s="293"/>
      <c r="D40" s="293"/>
      <c r="E40" s="293"/>
      <c r="F40" s="293"/>
      <c r="G40" s="293"/>
      <c r="H40" s="293"/>
      <c r="I40" s="293"/>
      <c r="J40" s="293"/>
      <c r="K40" s="294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99" t="s">
        <v>37</v>
      </c>
      <c r="B45" s="299"/>
      <c r="C45" s="299"/>
      <c r="D45" s="299"/>
      <c r="E45" s="299"/>
      <c r="F45" s="299"/>
      <c r="G45" s="299"/>
      <c r="H45" s="299"/>
      <c r="I45" s="299"/>
      <c r="J45" s="299"/>
      <c r="K45" s="299"/>
    </row>
    <row r="46" spans="1:11" ht="15.75" thickBot="1">
      <c r="A46" s="43" t="s">
        <v>30</v>
      </c>
      <c r="B46" s="296" t="s">
        <v>31</v>
      </c>
      <c r="C46" s="297"/>
      <c r="D46" s="297"/>
      <c r="E46" s="297"/>
      <c r="F46" s="297"/>
      <c r="G46" s="297"/>
      <c r="H46" s="297"/>
      <c r="I46" s="297"/>
      <c r="J46" s="297"/>
      <c r="K46" s="298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92"/>
      <c r="C48" s="293"/>
      <c r="D48" s="293"/>
      <c r="E48" s="293"/>
      <c r="F48" s="293"/>
      <c r="G48" s="293"/>
      <c r="H48" s="293"/>
      <c r="I48" s="293"/>
      <c r="J48" s="293"/>
      <c r="K48" s="294"/>
    </row>
    <row r="49" spans="1:11" ht="15.75" thickBot="1">
      <c r="A49" s="44" t="s">
        <v>39</v>
      </c>
      <c r="B49" s="292"/>
      <c r="C49" s="293"/>
      <c r="D49" s="293"/>
      <c r="E49" s="293"/>
      <c r="F49" s="293"/>
      <c r="G49" s="293"/>
      <c r="H49" s="293"/>
      <c r="I49" s="293"/>
      <c r="J49" s="293"/>
      <c r="K49" s="294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92"/>
      <c r="C53" s="293"/>
      <c r="D53" s="293"/>
      <c r="E53" s="293"/>
      <c r="F53" s="293"/>
      <c r="G53" s="293"/>
      <c r="H53" s="293"/>
      <c r="I53" s="293"/>
      <c r="J53" s="293"/>
      <c r="K53" s="294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92"/>
      <c r="C57" s="293"/>
      <c r="D57" s="293"/>
      <c r="E57" s="293"/>
      <c r="F57" s="293"/>
      <c r="G57" s="293"/>
      <c r="H57" s="293"/>
      <c r="I57" s="293"/>
      <c r="J57" s="293"/>
      <c r="K57" s="294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92"/>
      <c r="C61" s="293"/>
      <c r="D61" s="293"/>
      <c r="E61" s="293"/>
      <c r="F61" s="293"/>
      <c r="G61" s="293"/>
      <c r="H61" s="293"/>
      <c r="I61" s="293"/>
      <c r="J61" s="293"/>
      <c r="K61" s="294"/>
    </row>
    <row r="62" spans="1:11" ht="15.75" thickBot="1">
      <c r="A62" s="44" t="s">
        <v>39</v>
      </c>
      <c r="B62" s="292"/>
      <c r="C62" s="293"/>
      <c r="D62" s="293"/>
      <c r="E62" s="293"/>
      <c r="F62" s="293"/>
      <c r="G62" s="293"/>
      <c r="H62" s="293"/>
      <c r="I62" s="293"/>
      <c r="J62" s="293"/>
      <c r="K62" s="294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92"/>
      <c r="C66" s="293"/>
      <c r="D66" s="293"/>
      <c r="E66" s="293"/>
      <c r="F66" s="293"/>
      <c r="G66" s="293"/>
      <c r="H66" s="293"/>
      <c r="I66" s="293"/>
      <c r="J66" s="293"/>
      <c r="K66" s="294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92"/>
      <c r="C70" s="293"/>
      <c r="D70" s="293"/>
      <c r="E70" s="293"/>
      <c r="F70" s="293"/>
      <c r="G70" s="293"/>
      <c r="H70" s="293"/>
      <c r="I70" s="293"/>
      <c r="J70" s="293"/>
      <c r="K70" s="294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92"/>
      <c r="C74" s="293"/>
      <c r="D74" s="293"/>
      <c r="E74" s="293"/>
      <c r="F74" s="293"/>
      <c r="G74" s="293"/>
      <c r="H74" s="293"/>
      <c r="I74" s="293"/>
      <c r="J74" s="293"/>
      <c r="K74" s="294"/>
    </row>
    <row r="75" spans="1:11" ht="15.75" thickBot="1">
      <c r="A75" s="44" t="s">
        <v>39</v>
      </c>
      <c r="B75" s="292"/>
      <c r="C75" s="293"/>
      <c r="D75" s="293"/>
      <c r="E75" s="293"/>
      <c r="F75" s="293"/>
      <c r="G75" s="293"/>
      <c r="H75" s="293"/>
      <c r="I75" s="293"/>
      <c r="J75" s="293"/>
      <c r="K75" s="294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92"/>
      <c r="C79" s="293"/>
      <c r="D79" s="293"/>
      <c r="E79" s="293"/>
      <c r="F79" s="293"/>
      <c r="G79" s="293"/>
      <c r="H79" s="293"/>
      <c r="I79" s="293"/>
      <c r="J79" s="293"/>
      <c r="K79" s="294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92"/>
      <c r="C83" s="293"/>
      <c r="D83" s="293"/>
      <c r="E83" s="293"/>
      <c r="F83" s="293"/>
      <c r="G83" s="293"/>
      <c r="H83" s="293"/>
      <c r="I83" s="293"/>
      <c r="J83" s="293"/>
      <c r="K83" s="294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99" t="s">
        <v>47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</row>
    <row r="90" spans="1:11" ht="15.75" thickBot="1">
      <c r="A90" s="43" t="s">
        <v>30</v>
      </c>
      <c r="B90" s="296" t="s">
        <v>31</v>
      </c>
      <c r="C90" s="297"/>
      <c r="D90" s="297"/>
      <c r="E90" s="297"/>
      <c r="F90" s="297"/>
      <c r="G90" s="297"/>
      <c r="H90" s="297"/>
      <c r="I90" s="297"/>
      <c r="J90" s="297"/>
      <c r="K90" s="298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92"/>
      <c r="C92" s="293"/>
      <c r="D92" s="293"/>
      <c r="E92" s="293"/>
      <c r="F92" s="293"/>
      <c r="G92" s="293"/>
      <c r="H92" s="293"/>
      <c r="I92" s="293"/>
      <c r="J92" s="293"/>
      <c r="K92" s="294"/>
    </row>
    <row r="93" spans="1:11" ht="15.75" thickBot="1">
      <c r="A93" s="44" t="s">
        <v>49</v>
      </c>
      <c r="B93" s="292"/>
      <c r="C93" s="293"/>
      <c r="D93" s="293"/>
      <c r="E93" s="293"/>
      <c r="F93" s="293"/>
      <c r="G93" s="293"/>
      <c r="H93" s="293"/>
      <c r="I93" s="293"/>
      <c r="J93" s="293"/>
      <c r="K93" s="294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92"/>
      <c r="C97" s="293"/>
      <c r="D97" s="293"/>
      <c r="E97" s="293"/>
      <c r="F97" s="293"/>
      <c r="G97" s="293"/>
      <c r="H97" s="293"/>
      <c r="I97" s="293"/>
      <c r="J97" s="293"/>
      <c r="K97" s="294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99" t="s">
        <v>54</v>
      </c>
      <c r="B102" s="299"/>
      <c r="C102" s="299"/>
      <c r="D102" s="299"/>
      <c r="E102" s="299"/>
      <c r="F102" s="299"/>
      <c r="G102" s="299"/>
      <c r="H102" s="299"/>
      <c r="I102" s="299"/>
      <c r="J102" s="299"/>
      <c r="K102" s="299"/>
    </row>
    <row r="103" spans="1:11" ht="15.75" thickBot="1">
      <c r="A103" s="43" t="s">
        <v>30</v>
      </c>
      <c r="B103" s="296" t="s">
        <v>31</v>
      </c>
      <c r="C103" s="297"/>
      <c r="D103" s="297"/>
      <c r="E103" s="297"/>
      <c r="F103" s="297"/>
      <c r="G103" s="297"/>
      <c r="H103" s="297"/>
      <c r="I103" s="297"/>
      <c r="J103" s="297"/>
      <c r="K103" s="298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92"/>
      <c r="C105" s="293"/>
      <c r="D105" s="293"/>
      <c r="E105" s="293"/>
      <c r="F105" s="293"/>
      <c r="G105" s="293"/>
      <c r="H105" s="293"/>
      <c r="I105" s="293"/>
      <c r="J105" s="293"/>
      <c r="K105" s="294"/>
    </row>
    <row r="106" spans="1:11" ht="15.75" thickBot="1">
      <c r="A106" s="44" t="s">
        <v>49</v>
      </c>
      <c r="B106" s="292"/>
      <c r="C106" s="293"/>
      <c r="D106" s="293"/>
      <c r="E106" s="293"/>
      <c r="F106" s="293"/>
      <c r="G106" s="293"/>
      <c r="H106" s="293"/>
      <c r="I106" s="293"/>
      <c r="J106" s="293"/>
      <c r="K106" s="294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92"/>
      <c r="C110" s="293"/>
      <c r="D110" s="293"/>
      <c r="E110" s="293"/>
      <c r="F110" s="293"/>
      <c r="G110" s="293"/>
      <c r="H110" s="293"/>
      <c r="I110" s="293"/>
      <c r="J110" s="293"/>
      <c r="K110" s="294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48:K48"/>
    <mergeCell ref="A1:H1"/>
    <mergeCell ref="B38:K38"/>
    <mergeCell ref="B40:K40"/>
    <mergeCell ref="A45:K45"/>
    <mergeCell ref="B46:K46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33" sqref="H33:H34"/>
    </sheetView>
  </sheetViews>
  <sheetFormatPr defaultRowHeight="15"/>
  <cols>
    <col min="1" max="1" width="80.5703125" customWidth="1"/>
  </cols>
  <sheetData>
    <row r="1" spans="1:12" ht="15.75" thickBot="1">
      <c r="A1" s="263" t="s">
        <v>501</v>
      </c>
      <c r="B1" s="264">
        <v>2010</v>
      </c>
      <c r="C1" s="264">
        <v>2015</v>
      </c>
      <c r="D1" s="264">
        <v>2020</v>
      </c>
      <c r="E1" s="264">
        <v>2025</v>
      </c>
      <c r="F1" s="264">
        <v>2030</v>
      </c>
      <c r="G1" s="264">
        <v>2035</v>
      </c>
      <c r="H1" s="264">
        <v>2040</v>
      </c>
      <c r="I1" s="264">
        <v>2045</v>
      </c>
      <c r="J1" s="264">
        <v>2050</v>
      </c>
    </row>
    <row r="2" spans="1:12" ht="15.75" customHeight="1" thickBot="1">
      <c r="A2" s="265" t="s">
        <v>528</v>
      </c>
      <c r="B2" s="266">
        <v>6958</v>
      </c>
      <c r="C2" s="266">
        <v>7383</v>
      </c>
      <c r="D2" s="266">
        <v>7795</v>
      </c>
      <c r="E2" s="266">
        <v>8185</v>
      </c>
      <c r="F2" s="266">
        <v>8551</v>
      </c>
      <c r="G2" s="266">
        <v>8892</v>
      </c>
      <c r="H2" s="266">
        <v>9210</v>
      </c>
      <c r="I2" s="266">
        <v>9504</v>
      </c>
      <c r="J2" s="266">
        <v>9771</v>
      </c>
      <c r="L2" s="267" t="s">
        <v>529</v>
      </c>
    </row>
    <row r="3" spans="1:12" ht="15.75" customHeight="1" thickBot="1">
      <c r="A3" s="269" t="s">
        <v>502</v>
      </c>
      <c r="B3" s="268">
        <v>1.18</v>
      </c>
      <c r="C3" s="268">
        <f>((C2-B2)/5)/B2*100</f>
        <v>1.2216154067260707</v>
      </c>
      <c r="D3" s="268">
        <f t="shared" ref="D3:J3" si="0">((D2-C2)/5)/C2*100</f>
        <v>1.1160774752810512</v>
      </c>
      <c r="E3" s="268">
        <f t="shared" si="0"/>
        <v>1.0006414368184735</v>
      </c>
      <c r="F3" s="268">
        <f t="shared" si="0"/>
        <v>0.89431887599266957</v>
      </c>
      <c r="G3" s="268">
        <f t="shared" si="0"/>
        <v>0.7975675359607064</v>
      </c>
      <c r="H3" s="268">
        <f t="shared" si="0"/>
        <v>0.71524966261808365</v>
      </c>
      <c r="I3" s="268">
        <f t="shared" si="0"/>
        <v>0.6384364820846905</v>
      </c>
      <c r="J3" s="268">
        <f t="shared" si="0"/>
        <v>0.56186868686868685</v>
      </c>
    </row>
    <row r="4" spans="1:12" ht="15.75" customHeight="1" thickBot="1">
      <c r="A4" s="265" t="s">
        <v>503</v>
      </c>
      <c r="B4" s="266">
        <v>66036.387107063027</v>
      </c>
      <c r="C4" s="266">
        <v>75037.186502549754</v>
      </c>
      <c r="D4" s="266">
        <f>D2*D5</f>
        <v>99030.690232184643</v>
      </c>
      <c r="E4" s="266">
        <f t="shared" ref="E4:J4" si="1">E2*E5</f>
        <v>129981.75105042197</v>
      </c>
      <c r="F4" s="266">
        <f t="shared" si="1"/>
        <v>169742.50965671323</v>
      </c>
      <c r="G4" s="266">
        <f t="shared" si="1"/>
        <v>220639.45676930973</v>
      </c>
      <c r="H4" s="266">
        <f t="shared" si="1"/>
        <v>285662.58952504257</v>
      </c>
      <c r="I4" s="266">
        <f t="shared" si="1"/>
        <v>368476.8255762764</v>
      </c>
      <c r="J4" s="266">
        <f t="shared" si="1"/>
        <v>473535.75635335071</v>
      </c>
      <c r="L4" s="50" t="s">
        <v>530</v>
      </c>
    </row>
    <row r="5" spans="1:12" ht="15.75" customHeight="1" thickBot="1">
      <c r="A5" s="265" t="s">
        <v>504</v>
      </c>
      <c r="B5" s="270">
        <f>B4/B2</f>
        <v>9.4907138699429474</v>
      </c>
      <c r="C5" s="270">
        <f>C4/C2</f>
        <v>10.163508939800861</v>
      </c>
      <c r="D5" s="270">
        <f>(C5*D6/100)*5+C5</f>
        <v>12.704386174751077</v>
      </c>
      <c r="E5" s="270">
        <f t="shared" ref="E5:J5" si="2">(D5*E6/100)*5+D5</f>
        <v>15.880482718438847</v>
      </c>
      <c r="F5" s="270">
        <f t="shared" si="2"/>
        <v>19.850603398048559</v>
      </c>
      <c r="G5" s="270">
        <f t="shared" si="2"/>
        <v>24.8132542475607</v>
      </c>
      <c r="H5" s="270">
        <f t="shared" si="2"/>
        <v>31.016567809450876</v>
      </c>
      <c r="I5" s="270">
        <f t="shared" si="2"/>
        <v>38.770709761813592</v>
      </c>
      <c r="J5" s="270">
        <f t="shared" si="2"/>
        <v>48.463387202266986</v>
      </c>
    </row>
    <row r="6" spans="1:12" ht="15.75" customHeight="1" thickBot="1">
      <c r="A6" s="269" t="s">
        <v>505</v>
      </c>
      <c r="B6" s="268">
        <v>7.37</v>
      </c>
      <c r="C6" s="268">
        <v>5</v>
      </c>
      <c r="D6" s="268">
        <v>5</v>
      </c>
      <c r="E6" s="268">
        <v>5</v>
      </c>
      <c r="F6" s="268">
        <v>5</v>
      </c>
      <c r="G6" s="268">
        <v>5</v>
      </c>
      <c r="H6" s="268">
        <v>5</v>
      </c>
      <c r="I6" s="268">
        <v>5</v>
      </c>
      <c r="J6" s="268">
        <v>5</v>
      </c>
    </row>
    <row r="7" spans="1:12" ht="15.75" customHeight="1" thickBot="1">
      <c r="A7" s="271" t="s">
        <v>506</v>
      </c>
      <c r="B7" s="272">
        <v>45.792999999999999</v>
      </c>
      <c r="C7" s="291">
        <v>44.658000000000001</v>
      </c>
      <c r="D7" s="291">
        <v>45.651848000000001</v>
      </c>
      <c r="E7" s="291">
        <v>46.997312999999998</v>
      </c>
      <c r="F7" s="291">
        <v>48.234589999999997</v>
      </c>
      <c r="G7" s="291">
        <v>49.279656000000003</v>
      </c>
      <c r="H7" s="291">
        <v>50.197122999999998</v>
      </c>
      <c r="I7" s="291">
        <v>51.313961999999997</v>
      </c>
      <c r="J7" s="291">
        <v>52.832540999999999</v>
      </c>
      <c r="L7" s="267" t="s">
        <v>529</v>
      </c>
    </row>
    <row r="8" spans="1:12" ht="15.75" customHeight="1" thickBot="1">
      <c r="A8" s="269" t="s">
        <v>507</v>
      </c>
      <c r="B8" s="268">
        <f t="shared" ref="B8:J8" si="3">B7/B2*100</f>
        <v>0.65813452141419948</v>
      </c>
      <c r="C8" s="268">
        <f t="shared" si="3"/>
        <v>0.60487606663957738</v>
      </c>
      <c r="D8" s="268">
        <f t="shared" si="3"/>
        <v>0.58565552277100708</v>
      </c>
      <c r="E8" s="268">
        <f t="shared" si="3"/>
        <v>0.57418830788026876</v>
      </c>
      <c r="F8" s="268">
        <f t="shared" si="3"/>
        <v>0.56408127704362054</v>
      </c>
      <c r="G8" s="268">
        <f t="shared" si="3"/>
        <v>0.55420215924426453</v>
      </c>
      <c r="H8" s="268">
        <f t="shared" si="3"/>
        <v>0.54502847991313785</v>
      </c>
      <c r="I8" s="268">
        <f t="shared" si="3"/>
        <v>0.53991963383838382</v>
      </c>
      <c r="J8" s="268">
        <f t="shared" si="3"/>
        <v>0.54070761436905124</v>
      </c>
    </row>
    <row r="9" spans="1:12" ht="15.75" customHeight="1" thickBot="1">
      <c r="A9" s="265" t="s">
        <v>508</v>
      </c>
      <c r="B9" s="266">
        <v>136.4</v>
      </c>
      <c r="C9" s="266">
        <v>91</v>
      </c>
      <c r="D9" s="266">
        <f t="shared" ref="D9:J9" si="4">D7*D10</f>
        <v>150.79446371158977</v>
      </c>
      <c r="E9" s="266">
        <f t="shared" si="4"/>
        <v>208.97520473467719</v>
      </c>
      <c r="F9" s="266">
        <f t="shared" si="4"/>
        <v>277.67085768566892</v>
      </c>
      <c r="G9" s="266">
        <f t="shared" si="4"/>
        <v>366.83659006809904</v>
      </c>
      <c r="H9" s="266">
        <f t="shared" si="4"/>
        <v>482.65216550434229</v>
      </c>
      <c r="I9" s="266">
        <f t="shared" si="4"/>
        <v>636.6331927778341</v>
      </c>
      <c r="J9" s="266">
        <f t="shared" si="4"/>
        <v>819.34204523604672</v>
      </c>
    </row>
    <row r="10" spans="1:12" ht="15.75" customHeight="1" thickBot="1">
      <c r="A10" s="265" t="s">
        <v>509</v>
      </c>
      <c r="B10" s="270">
        <f>B9/B7</f>
        <v>2.9786211866442471</v>
      </c>
      <c r="C10" s="270">
        <f>C9/C7</f>
        <v>2.0377088091719289</v>
      </c>
      <c r="D10" s="270">
        <f t="shared" ref="D10:J10" si="5">D5*D11/100</f>
        <v>3.30314040543528</v>
      </c>
      <c r="E10" s="270">
        <f t="shared" si="5"/>
        <v>4.4465351611628776</v>
      </c>
      <c r="F10" s="270">
        <f t="shared" si="5"/>
        <v>5.7566749854340822</v>
      </c>
      <c r="G10" s="270">
        <f t="shared" si="5"/>
        <v>7.4439762742682101</v>
      </c>
      <c r="H10" s="270">
        <f t="shared" si="5"/>
        <v>9.6151360209297714</v>
      </c>
      <c r="I10" s="270">
        <f t="shared" si="5"/>
        <v>12.40662712378035</v>
      </c>
      <c r="J10" s="270">
        <f t="shared" si="5"/>
        <v>15.508283904725436</v>
      </c>
    </row>
    <row r="11" spans="1:12" ht="15.75" customHeight="1" thickBot="1">
      <c r="A11" s="269" t="s">
        <v>510</v>
      </c>
      <c r="B11" s="268">
        <f t="shared" ref="B11:C11" si="6">B10/B5*100</f>
        <v>31.384585263681043</v>
      </c>
      <c r="C11" s="268">
        <f t="shared" si="6"/>
        <v>20.049264690388068</v>
      </c>
      <c r="D11" s="268">
        <v>26</v>
      </c>
      <c r="E11" s="268">
        <v>28</v>
      </c>
      <c r="F11" s="268">
        <v>29</v>
      </c>
      <c r="G11" s="268">
        <v>30</v>
      </c>
      <c r="H11" s="268">
        <v>31</v>
      </c>
      <c r="I11" s="268">
        <v>32</v>
      </c>
      <c r="J11" s="268">
        <v>32</v>
      </c>
    </row>
    <row r="12" spans="1:12" ht="15.75" customHeight="1" thickBot="1">
      <c r="A12" s="269" t="s">
        <v>511</v>
      </c>
      <c r="B12" s="268">
        <v>31.269164</v>
      </c>
      <c r="C12" s="268">
        <v>29.6</v>
      </c>
      <c r="D12" s="268">
        <f>D7*D13/100</f>
        <v>31.454123272</v>
      </c>
      <c r="E12" s="268">
        <f t="shared" ref="E12:J12" si="7">E7*E13/100</f>
        <v>32.992113725999999</v>
      </c>
      <c r="F12" s="268">
        <f t="shared" si="7"/>
        <v>34.005385949999997</v>
      </c>
      <c r="G12" s="268">
        <f t="shared" si="7"/>
        <v>34.889996448000005</v>
      </c>
      <c r="H12" s="268">
        <f t="shared" si="7"/>
        <v>35.690154452999998</v>
      </c>
      <c r="I12" s="268">
        <f t="shared" si="7"/>
        <v>36.638168868000001</v>
      </c>
      <c r="J12" s="268">
        <f t="shared" si="7"/>
        <v>37.880931897000004</v>
      </c>
    </row>
    <row r="13" spans="1:12" ht="15.75" customHeight="1" thickBot="1">
      <c r="A13" s="269" t="s">
        <v>512</v>
      </c>
      <c r="B13" s="268">
        <v>68.273283842794768</v>
      </c>
      <c r="C13" s="268">
        <v>68.612300000000005</v>
      </c>
      <c r="D13" s="268">
        <v>68.900000000000006</v>
      </c>
      <c r="E13" s="268">
        <v>70.2</v>
      </c>
      <c r="F13" s="268">
        <v>70.5</v>
      </c>
      <c r="G13" s="268">
        <v>70.8</v>
      </c>
      <c r="H13" s="268">
        <v>71.099999999999994</v>
      </c>
      <c r="I13" s="268">
        <v>71.400000000000006</v>
      </c>
      <c r="J13" s="268">
        <v>71.7</v>
      </c>
    </row>
    <row r="14" spans="1:12" ht="15.75" customHeight="1" thickBot="1">
      <c r="A14" s="265" t="s">
        <v>513</v>
      </c>
      <c r="B14" s="274">
        <v>1.61E-2</v>
      </c>
      <c r="C14" s="274">
        <v>6.1412000000000001E-2</v>
      </c>
      <c r="D14" s="274">
        <v>6.1412000000000001E-2</v>
      </c>
      <c r="E14" s="274">
        <v>6.1412000000000001E-2</v>
      </c>
      <c r="F14" s="274">
        <v>6.1412000000000001E-2</v>
      </c>
      <c r="G14" s="274">
        <v>6.1412000000000001E-2</v>
      </c>
      <c r="H14" s="274">
        <v>6.1412000000000001E-2</v>
      </c>
      <c r="I14" s="274">
        <v>6.1412000000000001E-2</v>
      </c>
      <c r="J14" s="274">
        <v>6.1412000000000001E-2</v>
      </c>
    </row>
    <row r="15" spans="1:12" ht="15.75" customHeight="1" thickBot="1">
      <c r="A15" s="269" t="s">
        <v>514</v>
      </c>
      <c r="B15" s="268">
        <f t="shared" ref="B15:J15" si="8">B14/B7*100</f>
        <v>3.5158211953792068E-2</v>
      </c>
      <c r="C15" s="268">
        <f t="shared" si="8"/>
        <v>0.13751623449325989</v>
      </c>
      <c r="D15" s="268">
        <f t="shared" si="8"/>
        <v>0.13452248417194415</v>
      </c>
      <c r="E15" s="268">
        <f t="shared" si="8"/>
        <v>0.13067130029327423</v>
      </c>
      <c r="F15" s="268">
        <f t="shared" si="8"/>
        <v>0.12731941952859971</v>
      </c>
      <c r="G15" s="268">
        <f t="shared" si="8"/>
        <v>0.12461937640149111</v>
      </c>
      <c r="H15" s="268">
        <f t="shared" si="8"/>
        <v>0.12234167284846185</v>
      </c>
      <c r="I15" s="268">
        <f t="shared" si="8"/>
        <v>0.11967892870950016</v>
      </c>
      <c r="J15" s="268">
        <f t="shared" si="8"/>
        <v>0.11623896719258686</v>
      </c>
    </row>
    <row r="16" spans="1:12" ht="15.75" customHeight="1" thickBot="1">
      <c r="A16" s="281" t="s">
        <v>515</v>
      </c>
      <c r="B16" s="282">
        <f>B6*B17/100</f>
        <v>1.7734920191936709</v>
      </c>
      <c r="C16" s="282">
        <v>10.364474</v>
      </c>
      <c r="D16" s="282">
        <v>9.7658047088653799</v>
      </c>
      <c r="E16" s="282">
        <v>9.1544699999999999</v>
      </c>
      <c r="F16" s="282">
        <v>8.7088739999999998</v>
      </c>
      <c r="G16" s="282">
        <v>8.2535600000000002</v>
      </c>
      <c r="H16" s="282">
        <v>8.3802000000000003</v>
      </c>
      <c r="I16" s="282">
        <v>9.1172690000000003</v>
      </c>
      <c r="J16" s="282">
        <v>10.071980999999999</v>
      </c>
    </row>
    <row r="17" spans="1:10" ht="15.75" customHeight="1" thickBot="1">
      <c r="A17" s="283" t="s">
        <v>516</v>
      </c>
      <c r="B17" s="284">
        <v>24.063663761108153</v>
      </c>
      <c r="C17" s="284">
        <f>C16/C7*100</f>
        <v>23.208549420036722</v>
      </c>
      <c r="D17" s="284">
        <f t="shared" ref="D17:J17" si="9">D16/D7*100</f>
        <v>21.391915413512681</v>
      </c>
      <c r="E17" s="284">
        <f t="shared" si="9"/>
        <v>19.478709346638606</v>
      </c>
      <c r="F17" s="284">
        <f t="shared" si="9"/>
        <v>18.055246245484827</v>
      </c>
      <c r="G17" s="284">
        <f t="shared" si="9"/>
        <v>16.748412367164249</v>
      </c>
      <c r="H17" s="284">
        <f t="shared" si="9"/>
        <v>16.694582277155607</v>
      </c>
      <c r="I17" s="284">
        <f t="shared" si="9"/>
        <v>17.767618489486352</v>
      </c>
      <c r="J17" s="284">
        <f t="shared" si="9"/>
        <v>19.063972334777539</v>
      </c>
    </row>
    <row r="18" spans="1:10" ht="15.75" customHeight="1" thickBot="1">
      <c r="A18" s="285" t="s">
        <v>517</v>
      </c>
      <c r="B18" s="286">
        <v>8.1</v>
      </c>
      <c r="C18" s="286">
        <v>7.6</v>
      </c>
      <c r="D18" s="286">
        <v>8.3351299999999995</v>
      </c>
      <c r="E18" s="286">
        <v>8.3994222663254501</v>
      </c>
      <c r="F18" s="286">
        <v>7.955343897018075</v>
      </c>
      <c r="G18" s="286">
        <v>7.4657413087604318</v>
      </c>
      <c r="H18" s="286">
        <v>6.9836666655364557</v>
      </c>
      <c r="I18" s="286">
        <v>6.5128469699510321</v>
      </c>
      <c r="J18" s="286">
        <v>6.0942562915725027</v>
      </c>
    </row>
    <row r="19" spans="1:10" ht="15.75" customHeight="1" thickBot="1">
      <c r="A19" s="287" t="s">
        <v>518</v>
      </c>
      <c r="B19" s="288">
        <v>17.651088868013414</v>
      </c>
      <c r="C19" s="288">
        <f>C18/C7*100</f>
        <v>17.018227417260064</v>
      </c>
      <c r="D19" s="288">
        <f t="shared" ref="D19:J19" si="10">D18/D7*100</f>
        <v>18.258034154499068</v>
      </c>
      <c r="E19" s="288">
        <f t="shared" si="10"/>
        <v>17.872132958591592</v>
      </c>
      <c r="F19" s="288">
        <f t="shared" si="10"/>
        <v>16.493026885929943</v>
      </c>
      <c r="G19" s="288">
        <f t="shared" si="10"/>
        <v>15.149743149100781</v>
      </c>
      <c r="H19" s="288">
        <f t="shared" si="10"/>
        <v>13.912483919718778</v>
      </c>
      <c r="I19" s="288">
        <f t="shared" si="10"/>
        <v>12.692153784482734</v>
      </c>
      <c r="J19" s="288">
        <f t="shared" si="10"/>
        <v>11.535042941759139</v>
      </c>
    </row>
    <row r="20" spans="1:10" ht="15.75" customHeight="1" thickBot="1">
      <c r="A20" s="285" t="s">
        <v>519</v>
      </c>
      <c r="B20" s="286">
        <f>B18/B16</f>
        <v>4.567260473877246</v>
      </c>
      <c r="C20" s="286">
        <f>C18/C15</f>
        <v>55.266202045202888</v>
      </c>
      <c r="D20" s="286">
        <f t="shared" ref="D20:J20" si="11">D18/D15</f>
        <v>61.96086885628867</v>
      </c>
      <c r="E20" s="286">
        <f t="shared" si="11"/>
        <v>64.279013428917224</v>
      </c>
      <c r="F20" s="286">
        <f t="shared" si="11"/>
        <v>62.483350351994574</v>
      </c>
      <c r="G20" s="286">
        <f t="shared" si="11"/>
        <v>59.908350726357043</v>
      </c>
      <c r="H20" s="286">
        <f t="shared" si="11"/>
        <v>57.083302058381641</v>
      </c>
      <c r="I20" s="286">
        <f t="shared" si="11"/>
        <v>54.419328783931867</v>
      </c>
      <c r="J20" s="286">
        <f t="shared" si="11"/>
        <v>52.428685825085033</v>
      </c>
    </row>
    <row r="21" spans="1:10" ht="15.75" customHeight="1" thickBot="1">
      <c r="A21" s="285" t="s">
        <v>520</v>
      </c>
      <c r="B21" s="286">
        <v>0.495</v>
      </c>
      <c r="C21" s="286">
        <v>0.41199999999999998</v>
      </c>
      <c r="D21" s="286">
        <f>D16*D22/1000*0.9938</f>
        <v>0.82494682117198526</v>
      </c>
      <c r="E21" s="286">
        <f t="shared" ref="E21:J21" si="12">E16*E22/1000*0.9938</f>
        <v>0.86428266717000002</v>
      </c>
      <c r="F21" s="286">
        <f t="shared" si="12"/>
        <v>0.822213503214</v>
      </c>
      <c r="G21" s="286">
        <f t="shared" si="12"/>
        <v>0.77922685316000007</v>
      </c>
      <c r="H21" s="286">
        <f t="shared" si="12"/>
        <v>0.79118306220000001</v>
      </c>
      <c r="I21" s="286">
        <f t="shared" si="12"/>
        <v>0.8607704835590001</v>
      </c>
      <c r="J21" s="286">
        <f t="shared" si="12"/>
        <v>0.95090579819099996</v>
      </c>
    </row>
    <row r="22" spans="1:10" ht="15.75" customHeight="1" thickBot="1">
      <c r="A22" s="285" t="s">
        <v>521</v>
      </c>
      <c r="B22" s="286">
        <v>44.9</v>
      </c>
      <c r="C22" s="286">
        <v>46</v>
      </c>
      <c r="D22" s="286">
        <v>85</v>
      </c>
      <c r="E22" s="286">
        <v>95</v>
      </c>
      <c r="F22" s="286">
        <v>95</v>
      </c>
      <c r="G22" s="286">
        <v>95</v>
      </c>
      <c r="H22" s="286">
        <v>95</v>
      </c>
      <c r="I22" s="286">
        <v>95</v>
      </c>
      <c r="J22" s="286">
        <v>95</v>
      </c>
    </row>
    <row r="23" spans="1:10" ht="15.75" customHeight="1" thickBot="1">
      <c r="A23" s="278" t="s">
        <v>522</v>
      </c>
      <c r="B23" s="289">
        <v>17.8</v>
      </c>
      <c r="C23" s="289">
        <v>17.494372219580899</v>
      </c>
      <c r="D23" s="289">
        <v>16.512835287815602</v>
      </c>
      <c r="E23" s="289">
        <v>15.570442595693399</v>
      </c>
      <c r="F23" s="289">
        <v>15.430187054150712</v>
      </c>
      <c r="G23" s="289">
        <v>15.340042792151616</v>
      </c>
      <c r="H23" s="289">
        <v>15.036042733497347</v>
      </c>
      <c r="I23" s="289">
        <v>14.006986945024545</v>
      </c>
      <c r="J23" s="289">
        <v>12.402099472097303</v>
      </c>
    </row>
    <row r="24" spans="1:10" ht="15.75" customHeight="1" thickBot="1">
      <c r="A24" s="279" t="s">
        <v>523</v>
      </c>
      <c r="B24" s="280">
        <v>38.949275742186025</v>
      </c>
      <c r="C24" s="280">
        <f>C23/C7*100</f>
        <v>39.174105915134803</v>
      </c>
      <c r="D24" s="280">
        <f t="shared" ref="D24:J24" si="13">D23/D7*100</f>
        <v>36.171230763353982</v>
      </c>
      <c r="E24" s="280">
        <f t="shared" si="13"/>
        <v>33.130495344900673</v>
      </c>
      <c r="F24" s="280">
        <f t="shared" si="13"/>
        <v>31.989879159646041</v>
      </c>
      <c r="G24" s="280">
        <f t="shared" si="13"/>
        <v>31.128550881425827</v>
      </c>
      <c r="H24" s="280">
        <f t="shared" si="13"/>
        <v>29.953993047564392</v>
      </c>
      <c r="I24" s="280">
        <f t="shared" si="13"/>
        <v>27.296638963533056</v>
      </c>
      <c r="J24" s="280">
        <f t="shared" si="13"/>
        <v>23.474357351272019</v>
      </c>
    </row>
    <row r="25" spans="1:10" ht="15.75" customHeight="1" thickBot="1">
      <c r="A25" s="275" t="s">
        <v>524</v>
      </c>
      <c r="B25" s="290">
        <v>9.3000000000000007</v>
      </c>
      <c r="C25" s="290">
        <v>9.2643601509793907</v>
      </c>
      <c r="D25" s="290">
        <f>9.833862</f>
        <v>9.8338619999999999</v>
      </c>
      <c r="E25" s="290">
        <v>10.48898697884826</v>
      </c>
      <c r="F25" s="290">
        <v>10.558664530036811</v>
      </c>
      <c r="G25" s="290">
        <v>10.683061275212019</v>
      </c>
      <c r="H25" s="290">
        <v>10.908168434618553</v>
      </c>
      <c r="I25" s="290">
        <v>11.386691408476544</v>
      </c>
      <c r="J25" s="290">
        <v>12.051735121577604</v>
      </c>
    </row>
    <row r="26" spans="1:10" ht="15.75" customHeight="1" thickBot="1">
      <c r="A26" s="276" t="s">
        <v>525</v>
      </c>
      <c r="B26" s="277">
        <v>20.224890829694324</v>
      </c>
      <c r="C26" s="277">
        <f>C25/C7*100</f>
        <v>20.745129990101191</v>
      </c>
      <c r="D26" s="277">
        <f t="shared" ref="D26:J26" si="14">D25/D7*100</f>
        <v>21.540994353613023</v>
      </c>
      <c r="E26" s="277">
        <f t="shared" si="14"/>
        <v>22.318269512234156</v>
      </c>
      <c r="F26" s="277">
        <f t="shared" si="14"/>
        <v>21.890233813611378</v>
      </c>
      <c r="G26" s="277">
        <f t="shared" si="14"/>
        <v>21.678441252130533</v>
      </c>
      <c r="H26" s="277">
        <f t="shared" si="14"/>
        <v>21.730664593304585</v>
      </c>
      <c r="I26" s="277">
        <f t="shared" si="14"/>
        <v>22.190240169871398</v>
      </c>
      <c r="J26" s="277">
        <f t="shared" si="14"/>
        <v>22.811197215703867</v>
      </c>
    </row>
    <row r="27" spans="1:10" ht="15.75" customHeight="1" thickBot="1">
      <c r="A27" s="275" t="s">
        <v>526</v>
      </c>
      <c r="B27" s="290">
        <v>0.69599999999999995</v>
      </c>
      <c r="C27" s="290">
        <v>0.59399999999999997</v>
      </c>
      <c r="D27" s="290">
        <f>D28/1000*D7</f>
        <v>0.66651698079999999</v>
      </c>
      <c r="E27" s="290">
        <f t="shared" ref="E27:J27" si="15">E28/1000*E7</f>
        <v>0.68616076979999996</v>
      </c>
      <c r="F27" s="290">
        <f t="shared" si="15"/>
        <v>0.70422501399999993</v>
      </c>
      <c r="G27" s="290">
        <f t="shared" si="15"/>
        <v>0.71948297760000002</v>
      </c>
      <c r="H27" s="290">
        <f t="shared" si="15"/>
        <v>0.73287799580000001</v>
      </c>
      <c r="I27" s="290">
        <f t="shared" si="15"/>
        <v>0.74918384519999992</v>
      </c>
      <c r="J27" s="290">
        <f t="shared" si="15"/>
        <v>0.77135509859999996</v>
      </c>
    </row>
    <row r="28" spans="1:10" ht="15.75" customHeight="1" thickBot="1">
      <c r="A28" s="276" t="s">
        <v>527</v>
      </c>
      <c r="B28" s="277">
        <v>19.335971628692409</v>
      </c>
      <c r="C28" s="277">
        <f>14.6</f>
        <v>14.6</v>
      </c>
      <c r="D28" s="277">
        <f t="shared" ref="D28:J28" si="16">14.6</f>
        <v>14.6</v>
      </c>
      <c r="E28" s="277">
        <f t="shared" si="16"/>
        <v>14.6</v>
      </c>
      <c r="F28" s="277">
        <f t="shared" si="16"/>
        <v>14.6</v>
      </c>
      <c r="G28" s="277">
        <f t="shared" si="16"/>
        <v>14.6</v>
      </c>
      <c r="H28" s="277">
        <f t="shared" si="16"/>
        <v>14.6</v>
      </c>
      <c r="I28" s="277">
        <f t="shared" si="16"/>
        <v>14.6</v>
      </c>
      <c r="J28" s="277">
        <f t="shared" si="16"/>
        <v>14.6</v>
      </c>
    </row>
  </sheetData>
  <hyperlinks>
    <hyperlink ref="L4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sqref="A1:J28"/>
    </sheetView>
  </sheetViews>
  <sheetFormatPr defaultRowHeight="15"/>
  <cols>
    <col min="1" max="1" width="80.5703125" customWidth="1"/>
  </cols>
  <sheetData>
    <row r="1" spans="1:12" ht="15.75" thickBot="1">
      <c r="A1" s="263" t="s">
        <v>501</v>
      </c>
      <c r="B1" s="264">
        <v>2010</v>
      </c>
      <c r="C1" s="264">
        <v>2015</v>
      </c>
      <c r="D1" s="264">
        <v>2020</v>
      </c>
      <c r="E1" s="264">
        <v>2025</v>
      </c>
      <c r="F1" s="264">
        <v>2030</v>
      </c>
      <c r="G1" s="264">
        <v>2035</v>
      </c>
      <c r="H1" s="264">
        <v>2040</v>
      </c>
      <c r="I1" s="264">
        <v>2045</v>
      </c>
      <c r="J1" s="264">
        <v>2050</v>
      </c>
    </row>
    <row r="2" spans="1:12" ht="15.75" customHeight="1" thickBot="1">
      <c r="A2" s="265" t="s">
        <v>528</v>
      </c>
      <c r="B2" s="266">
        <v>6958</v>
      </c>
      <c r="C2" s="266">
        <v>7383</v>
      </c>
      <c r="D2" s="266">
        <v>7795</v>
      </c>
      <c r="E2" s="266">
        <v>8185</v>
      </c>
      <c r="F2" s="266">
        <v>8551</v>
      </c>
      <c r="G2" s="266">
        <v>8892</v>
      </c>
      <c r="H2" s="266">
        <v>9210</v>
      </c>
      <c r="I2" s="266">
        <v>9504</v>
      </c>
      <c r="J2" s="266">
        <v>9771</v>
      </c>
      <c r="L2" s="267" t="s">
        <v>529</v>
      </c>
    </row>
    <row r="3" spans="1:12" ht="15.75" customHeight="1" thickBot="1">
      <c r="A3" s="269" t="s">
        <v>502</v>
      </c>
      <c r="B3" s="268">
        <v>1.18</v>
      </c>
      <c r="C3" s="268">
        <f>((C2-B2)/5)/B2*100</f>
        <v>1.2216154067260707</v>
      </c>
      <c r="D3" s="268">
        <f t="shared" ref="D3:J3" si="0">((D2-C2)/5)/C2*100</f>
        <v>1.1160774752810512</v>
      </c>
      <c r="E3" s="268">
        <f t="shared" si="0"/>
        <v>1.0006414368184735</v>
      </c>
      <c r="F3" s="268">
        <f t="shared" si="0"/>
        <v>0.89431887599266957</v>
      </c>
      <c r="G3" s="268">
        <f t="shared" si="0"/>
        <v>0.7975675359607064</v>
      </c>
      <c r="H3" s="268">
        <f t="shared" si="0"/>
        <v>0.71524966261808365</v>
      </c>
      <c r="I3" s="268">
        <f t="shared" si="0"/>
        <v>0.6384364820846905</v>
      </c>
      <c r="J3" s="268">
        <f t="shared" si="0"/>
        <v>0.56186868686868685</v>
      </c>
    </row>
    <row r="4" spans="1:12" ht="15.75" customHeight="1" thickBot="1">
      <c r="A4" s="265" t="s">
        <v>503</v>
      </c>
      <c r="B4" s="266">
        <v>66036.387107063027</v>
      </c>
      <c r="C4" s="266">
        <v>75037.186502549754</v>
      </c>
      <c r="D4" s="266">
        <f>D2*D5</f>
        <v>99030.690232184643</v>
      </c>
      <c r="E4" s="266">
        <f t="shared" ref="E4:J4" si="1">E2*E5</f>
        <v>129981.75105042197</v>
      </c>
      <c r="F4" s="266">
        <f t="shared" si="1"/>
        <v>169742.50965671323</v>
      </c>
      <c r="G4" s="266">
        <f t="shared" si="1"/>
        <v>220639.45676930973</v>
      </c>
      <c r="H4" s="266">
        <f t="shared" si="1"/>
        <v>285662.58952504257</v>
      </c>
      <c r="I4" s="266">
        <f t="shared" si="1"/>
        <v>368476.8255762764</v>
      </c>
      <c r="J4" s="266">
        <f t="shared" si="1"/>
        <v>473535.75635335071</v>
      </c>
      <c r="L4" s="50" t="s">
        <v>530</v>
      </c>
    </row>
    <row r="5" spans="1:12" ht="15.75" customHeight="1" thickBot="1">
      <c r="A5" s="265" t="s">
        <v>504</v>
      </c>
      <c r="B5" s="270">
        <f>B4/B2</f>
        <v>9.4907138699429474</v>
      </c>
      <c r="C5" s="270">
        <f>C4/C2</f>
        <v>10.163508939800861</v>
      </c>
      <c r="D5" s="270">
        <f>(C5*D6/100)*5+C5</f>
        <v>12.704386174751077</v>
      </c>
      <c r="E5" s="270">
        <f t="shared" ref="E5:J5" si="2">(D5*E6/100)*5+D5</f>
        <v>15.880482718438847</v>
      </c>
      <c r="F5" s="270">
        <f t="shared" si="2"/>
        <v>19.850603398048559</v>
      </c>
      <c r="G5" s="270">
        <f t="shared" si="2"/>
        <v>24.8132542475607</v>
      </c>
      <c r="H5" s="270">
        <f t="shared" si="2"/>
        <v>31.016567809450876</v>
      </c>
      <c r="I5" s="270">
        <f t="shared" si="2"/>
        <v>38.770709761813592</v>
      </c>
      <c r="J5" s="270">
        <f t="shared" si="2"/>
        <v>48.463387202266986</v>
      </c>
    </row>
    <row r="6" spans="1:12" ht="15.75" customHeight="1" thickBot="1">
      <c r="A6" s="269" t="s">
        <v>505</v>
      </c>
      <c r="B6" s="268">
        <v>7.37</v>
      </c>
      <c r="C6" s="268">
        <v>5</v>
      </c>
      <c r="D6" s="268">
        <v>5</v>
      </c>
      <c r="E6" s="268">
        <v>5</v>
      </c>
      <c r="F6" s="268">
        <v>5</v>
      </c>
      <c r="G6" s="268">
        <v>5</v>
      </c>
      <c r="H6" s="268">
        <v>5</v>
      </c>
      <c r="I6" s="268">
        <v>5</v>
      </c>
      <c r="J6" s="268">
        <v>5</v>
      </c>
    </row>
    <row r="7" spans="1:12" ht="15.75" customHeight="1" thickBot="1">
      <c r="A7" s="271" t="s">
        <v>506</v>
      </c>
      <c r="B7" s="272">
        <v>45.792999999999999</v>
      </c>
      <c r="C7" s="273">
        <v>44.658000000000001</v>
      </c>
      <c r="D7" s="273">
        <v>43.579000000000001</v>
      </c>
      <c r="E7" s="273">
        <v>42.453000000000003</v>
      </c>
      <c r="F7" s="273">
        <v>41.2</v>
      </c>
      <c r="G7" s="273">
        <v>39.896000000000001</v>
      </c>
      <c r="H7" s="273">
        <v>38.658000000000001</v>
      </c>
      <c r="I7" s="273">
        <v>37.512999999999998</v>
      </c>
      <c r="J7" s="273">
        <v>36.415999999999997</v>
      </c>
      <c r="L7" s="267" t="s">
        <v>529</v>
      </c>
    </row>
    <row r="8" spans="1:12" ht="15.75" customHeight="1" thickBot="1">
      <c r="A8" s="269" t="s">
        <v>507</v>
      </c>
      <c r="B8" s="268">
        <f t="shared" ref="B8:J8" si="3">B7/B2*100</f>
        <v>0.65813452141419948</v>
      </c>
      <c r="C8" s="268">
        <f t="shared" si="3"/>
        <v>0.60487606663957738</v>
      </c>
      <c r="D8" s="268">
        <f t="shared" si="3"/>
        <v>0.55906350224502888</v>
      </c>
      <c r="E8" s="268">
        <f t="shared" si="3"/>
        <v>0.51866829566279782</v>
      </c>
      <c r="F8" s="268">
        <f t="shared" si="3"/>
        <v>0.48181499239854991</v>
      </c>
      <c r="G8" s="268">
        <f t="shared" si="3"/>
        <v>0.44867296446243815</v>
      </c>
      <c r="H8" s="268">
        <f t="shared" si="3"/>
        <v>0.41973941368078177</v>
      </c>
      <c r="I8" s="268">
        <f t="shared" si="3"/>
        <v>0.39470749158249158</v>
      </c>
      <c r="J8" s="268">
        <f t="shared" si="3"/>
        <v>0.37269470883225869</v>
      </c>
    </row>
    <row r="9" spans="1:12" ht="15.75" customHeight="1" thickBot="1">
      <c r="A9" s="265" t="s">
        <v>508</v>
      </c>
      <c r="B9" s="266">
        <v>136.4</v>
      </c>
      <c r="C9" s="266">
        <v>91</v>
      </c>
      <c r="D9" s="266">
        <f t="shared" ref="D9:J9" si="4">D7*D10</f>
        <v>143.94755572846407</v>
      </c>
      <c r="E9" s="266">
        <f t="shared" si="4"/>
        <v>188.76875719684764</v>
      </c>
      <c r="F9" s="266">
        <f t="shared" si="4"/>
        <v>237.1750093998842</v>
      </c>
      <c r="G9" s="266">
        <f t="shared" si="4"/>
        <v>296.98487743820453</v>
      </c>
      <c r="H9" s="266">
        <f t="shared" si="4"/>
        <v>371.70192829710311</v>
      </c>
      <c r="I9" s="266">
        <f t="shared" si="4"/>
        <v>465.40980329437224</v>
      </c>
      <c r="J9" s="266">
        <f t="shared" si="4"/>
        <v>564.74966667448143</v>
      </c>
    </row>
    <row r="10" spans="1:12" ht="15.75" customHeight="1" thickBot="1">
      <c r="A10" s="265" t="s">
        <v>509</v>
      </c>
      <c r="B10" s="270">
        <f>B9/B7</f>
        <v>2.9786211866442471</v>
      </c>
      <c r="C10" s="270">
        <f>C9/C7</f>
        <v>2.0377088091719289</v>
      </c>
      <c r="D10" s="270">
        <f t="shared" ref="D10:J10" si="5">D5*D11/100</f>
        <v>3.30314040543528</v>
      </c>
      <c r="E10" s="270">
        <f t="shared" si="5"/>
        <v>4.4465351611628776</v>
      </c>
      <c r="F10" s="270">
        <f t="shared" si="5"/>
        <v>5.7566749854340822</v>
      </c>
      <c r="G10" s="270">
        <f t="shared" si="5"/>
        <v>7.4439762742682101</v>
      </c>
      <c r="H10" s="270">
        <f t="shared" si="5"/>
        <v>9.6151360209297714</v>
      </c>
      <c r="I10" s="270">
        <f t="shared" si="5"/>
        <v>12.40662712378035</v>
      </c>
      <c r="J10" s="270">
        <f t="shared" si="5"/>
        <v>15.508283904725436</v>
      </c>
    </row>
    <row r="11" spans="1:12" ht="15.75" customHeight="1" thickBot="1">
      <c r="A11" s="269" t="s">
        <v>510</v>
      </c>
      <c r="B11" s="268">
        <f t="shared" ref="B11:C11" si="6">B10/B5*100</f>
        <v>31.384585263681043</v>
      </c>
      <c r="C11" s="268">
        <f t="shared" si="6"/>
        <v>20.049264690388068</v>
      </c>
      <c r="D11" s="268">
        <v>26</v>
      </c>
      <c r="E11" s="268">
        <v>28</v>
      </c>
      <c r="F11" s="268">
        <v>29</v>
      </c>
      <c r="G11" s="268">
        <v>30</v>
      </c>
      <c r="H11" s="268">
        <v>31</v>
      </c>
      <c r="I11" s="268">
        <v>32</v>
      </c>
      <c r="J11" s="268">
        <v>32</v>
      </c>
    </row>
    <row r="12" spans="1:12" ht="15.75" customHeight="1" thickBot="1">
      <c r="A12" s="269" t="s">
        <v>511</v>
      </c>
      <c r="B12" s="268">
        <v>31.269164</v>
      </c>
      <c r="C12" s="268">
        <v>29.6</v>
      </c>
      <c r="D12" s="268">
        <f>D7*D13/100</f>
        <v>30.025931000000003</v>
      </c>
      <c r="E12" s="268">
        <f t="shared" ref="E12:J12" si="7">E7*E13/100</f>
        <v>29.802006000000002</v>
      </c>
      <c r="F12" s="268">
        <f t="shared" si="7"/>
        <v>29.046000000000003</v>
      </c>
      <c r="G12" s="268">
        <f t="shared" si="7"/>
        <v>28.246367999999997</v>
      </c>
      <c r="H12" s="268">
        <f t="shared" si="7"/>
        <v>27.485837999999998</v>
      </c>
      <c r="I12" s="268">
        <f t="shared" si="7"/>
        <v>26.784282000000005</v>
      </c>
      <c r="J12" s="268">
        <f t="shared" si="7"/>
        <v>26.110271999999998</v>
      </c>
    </row>
    <row r="13" spans="1:12" ht="15.75" customHeight="1" thickBot="1">
      <c r="A13" s="269" t="s">
        <v>512</v>
      </c>
      <c r="B13" s="268">
        <v>68.273283842794768</v>
      </c>
      <c r="C13" s="268">
        <v>68.612300000000005</v>
      </c>
      <c r="D13" s="268">
        <v>68.900000000000006</v>
      </c>
      <c r="E13" s="268">
        <v>70.2</v>
      </c>
      <c r="F13" s="268">
        <v>70.5</v>
      </c>
      <c r="G13" s="268">
        <v>70.8</v>
      </c>
      <c r="H13" s="268">
        <v>71.099999999999994</v>
      </c>
      <c r="I13" s="268">
        <v>71.400000000000006</v>
      </c>
      <c r="J13" s="268">
        <v>71.7</v>
      </c>
    </row>
    <row r="14" spans="1:12" ht="15.75" customHeight="1" thickBot="1">
      <c r="A14" s="265" t="s">
        <v>513</v>
      </c>
      <c r="B14" s="274">
        <v>1.61E-2</v>
      </c>
      <c r="C14" s="274">
        <v>6.1412000000000001E-2</v>
      </c>
      <c r="D14" s="274">
        <v>6.1412000000000001E-2</v>
      </c>
      <c r="E14" s="274">
        <v>6.1412000000000001E-2</v>
      </c>
      <c r="F14" s="274">
        <v>6.1412000000000001E-2</v>
      </c>
      <c r="G14" s="274">
        <v>6.1412000000000001E-2</v>
      </c>
      <c r="H14" s="274">
        <v>6.1412000000000001E-2</v>
      </c>
      <c r="I14" s="274">
        <v>6.1412000000000001E-2</v>
      </c>
      <c r="J14" s="274">
        <v>6.1412000000000001E-2</v>
      </c>
    </row>
    <row r="15" spans="1:12" ht="15.75" customHeight="1" thickBot="1">
      <c r="A15" s="269" t="s">
        <v>514</v>
      </c>
      <c r="B15" s="268">
        <f t="shared" ref="B15:J15" si="8">B14/B7*100</f>
        <v>3.5158211953792068E-2</v>
      </c>
      <c r="C15" s="268">
        <f t="shared" si="8"/>
        <v>0.13751623449325989</v>
      </c>
      <c r="D15" s="268">
        <f t="shared" si="8"/>
        <v>0.14092108584409924</v>
      </c>
      <c r="E15" s="268">
        <f t="shared" si="8"/>
        <v>0.1446587991425812</v>
      </c>
      <c r="F15" s="268">
        <f t="shared" si="8"/>
        <v>0.14905825242718446</v>
      </c>
      <c r="G15" s="268">
        <f t="shared" si="8"/>
        <v>0.15393021856827752</v>
      </c>
      <c r="H15" s="268">
        <f t="shared" si="8"/>
        <v>0.15885974442547468</v>
      </c>
      <c r="I15" s="268">
        <f t="shared" si="8"/>
        <v>0.1637085810252446</v>
      </c>
      <c r="J15" s="268">
        <f t="shared" si="8"/>
        <v>0.16864015817223199</v>
      </c>
    </row>
    <row r="16" spans="1:12" ht="15.75" customHeight="1" thickBot="1">
      <c r="A16" s="281" t="s">
        <v>515</v>
      </c>
      <c r="B16" s="282">
        <f>B6*B17/100</f>
        <v>1.7734920191936709</v>
      </c>
      <c r="C16" s="282">
        <v>10.364474</v>
      </c>
      <c r="D16" s="282">
        <v>9.7652529999999995</v>
      </c>
      <c r="E16" s="282">
        <v>9.1509217508729037</v>
      </c>
      <c r="F16" s="282">
        <v>8.699012274103552</v>
      </c>
      <c r="G16" s="282">
        <v>8.0708054243255862</v>
      </c>
      <c r="H16" s="282">
        <v>7.3799394299405385</v>
      </c>
      <c r="I16" s="282">
        <v>7.0098887653397446</v>
      </c>
      <c r="J16" s="282">
        <v>6.9101597975593796</v>
      </c>
    </row>
    <row r="17" spans="1:10" ht="15.75" customHeight="1" thickBot="1">
      <c r="A17" s="283" t="s">
        <v>516</v>
      </c>
      <c r="B17" s="284">
        <v>24.063663761108153</v>
      </c>
      <c r="C17" s="284">
        <f>C16/C7*100</f>
        <v>23.208549420036722</v>
      </c>
      <c r="D17" s="284">
        <f t="shared" ref="D17:J17" si="9">D16/D7*100</f>
        <v>22.408162188209914</v>
      </c>
      <c r="E17" s="284">
        <f t="shared" si="9"/>
        <v>21.55541834704945</v>
      </c>
      <c r="F17" s="284">
        <f t="shared" si="9"/>
        <v>21.114107461416388</v>
      </c>
      <c r="G17" s="284">
        <f t="shared" si="9"/>
        <v>20.229610548239389</v>
      </c>
      <c r="H17" s="284">
        <f t="shared" si="9"/>
        <v>19.090329116717207</v>
      </c>
      <c r="I17" s="284">
        <f t="shared" si="9"/>
        <v>18.686558700556461</v>
      </c>
      <c r="J17" s="284">
        <f t="shared" si="9"/>
        <v>18.97561455832431</v>
      </c>
    </row>
    <row r="18" spans="1:10" ht="15.75" customHeight="1" thickBot="1">
      <c r="A18" s="285" t="s">
        <v>517</v>
      </c>
      <c r="B18" s="286">
        <v>8.1</v>
      </c>
      <c r="C18" s="286">
        <v>7.6</v>
      </c>
      <c r="D18" s="286">
        <v>8.3351299999999995</v>
      </c>
      <c r="E18" s="286">
        <v>8.3994222663254501</v>
      </c>
      <c r="F18" s="286">
        <v>7.955343897018075</v>
      </c>
      <c r="G18" s="286">
        <v>7.4657413087604318</v>
      </c>
      <c r="H18" s="286">
        <v>6.9836666655364557</v>
      </c>
      <c r="I18" s="286">
        <v>6.5128469699510321</v>
      </c>
      <c r="J18" s="286">
        <v>6.0942562915725027</v>
      </c>
    </row>
    <row r="19" spans="1:10" ht="15.75" customHeight="1" thickBot="1">
      <c r="A19" s="287" t="s">
        <v>518</v>
      </c>
      <c r="B19" s="288">
        <v>17.651088868013414</v>
      </c>
      <c r="C19" s="288">
        <f>C18/C7*100</f>
        <v>17.018227417260064</v>
      </c>
      <c r="D19" s="288">
        <f t="shared" ref="D19:J19" si="10">D18/D7*100</f>
        <v>19.126482939030264</v>
      </c>
      <c r="E19" s="288">
        <f t="shared" si="10"/>
        <v>19.785226641993383</v>
      </c>
      <c r="F19" s="288">
        <f t="shared" si="10"/>
        <v>19.309087128684645</v>
      </c>
      <c r="G19" s="288">
        <f t="shared" si="10"/>
        <v>18.713007090335953</v>
      </c>
      <c r="H19" s="288">
        <f t="shared" si="10"/>
        <v>18.065256002732824</v>
      </c>
      <c r="I19" s="288">
        <f t="shared" si="10"/>
        <v>17.361573241145823</v>
      </c>
      <c r="J19" s="288">
        <f t="shared" si="10"/>
        <v>16.735106248826074</v>
      </c>
    </row>
    <row r="20" spans="1:10" ht="15.75" customHeight="1" thickBot="1">
      <c r="A20" s="285" t="s">
        <v>519</v>
      </c>
      <c r="B20" s="286">
        <f>B18/B16</f>
        <v>4.567260473877246</v>
      </c>
      <c r="C20" s="286">
        <f>C18/C15</f>
        <v>55.266202045202888</v>
      </c>
      <c r="D20" s="286">
        <f t="shared" ref="D20:J20" si="11">D18/D15</f>
        <v>59.147500532469216</v>
      </c>
      <c r="E20" s="286">
        <f t="shared" si="11"/>
        <v>58.063680302272253</v>
      </c>
      <c r="F20" s="286">
        <f t="shared" si="11"/>
        <v>53.370704187641621</v>
      </c>
      <c r="G20" s="286">
        <f t="shared" si="11"/>
        <v>48.500816657055005</v>
      </c>
      <c r="H20" s="286">
        <f t="shared" si="11"/>
        <v>43.961210505488879</v>
      </c>
      <c r="I20" s="286">
        <f t="shared" si="11"/>
        <v>39.783174035005054</v>
      </c>
      <c r="J20" s="286">
        <f t="shared" si="11"/>
        <v>36.137633868609434</v>
      </c>
    </row>
    <row r="21" spans="1:10" ht="15.75" customHeight="1" thickBot="1">
      <c r="A21" s="285" t="s">
        <v>520</v>
      </c>
      <c r="B21" s="286">
        <v>0.495</v>
      </c>
      <c r="C21" s="286">
        <v>0.41199999999999998</v>
      </c>
      <c r="D21" s="286">
        <f>D16*D22/1000*0.9938</f>
        <v>0.44641658784440003</v>
      </c>
      <c r="E21" s="286">
        <f t="shared" ref="E21:J21" si="12">E16*E22/1000*0.9938</f>
        <v>0.41833255765680466</v>
      </c>
      <c r="F21" s="286">
        <f t="shared" si="12"/>
        <v>0.3976736063081891</v>
      </c>
      <c r="G21" s="286">
        <f t="shared" si="12"/>
        <v>0.36895525581195926</v>
      </c>
      <c r="H21" s="286">
        <f t="shared" si="12"/>
        <v>0.33737245505184571</v>
      </c>
      <c r="I21" s="286">
        <f t="shared" si="12"/>
        <v>0.32045566292975336</v>
      </c>
      <c r="J21" s="286">
        <f t="shared" si="12"/>
        <v>0.31589657311346753</v>
      </c>
    </row>
    <row r="22" spans="1:10" ht="15.75" customHeight="1" thickBot="1">
      <c r="A22" s="285" t="s">
        <v>521</v>
      </c>
      <c r="B22" s="286">
        <v>44.9</v>
      </c>
      <c r="C22" s="286">
        <v>46</v>
      </c>
      <c r="D22" s="286">
        <v>46</v>
      </c>
      <c r="E22" s="286">
        <v>46</v>
      </c>
      <c r="F22" s="286">
        <v>46</v>
      </c>
      <c r="G22" s="286">
        <v>46</v>
      </c>
      <c r="H22" s="286">
        <v>46</v>
      </c>
      <c r="I22" s="286">
        <v>46</v>
      </c>
      <c r="J22" s="286">
        <v>46</v>
      </c>
    </row>
    <row r="23" spans="1:10" ht="15.75" customHeight="1" thickBot="1">
      <c r="A23" s="278" t="s">
        <v>522</v>
      </c>
      <c r="B23" s="289">
        <v>17.8</v>
      </c>
      <c r="C23" s="289">
        <v>17.494372219580899</v>
      </c>
      <c r="D23" s="289">
        <v>16.512835287815602</v>
      </c>
      <c r="E23" s="289">
        <v>15.570442595693399</v>
      </c>
      <c r="F23" s="289">
        <v>15.430187054150712</v>
      </c>
      <c r="G23" s="289">
        <v>15.340042792151616</v>
      </c>
      <c r="H23" s="289">
        <v>15.036042733497347</v>
      </c>
      <c r="I23" s="289">
        <v>14.006986945024545</v>
      </c>
      <c r="J23" s="289">
        <v>12.402099472097303</v>
      </c>
    </row>
    <row r="24" spans="1:10" ht="15.75" customHeight="1" thickBot="1">
      <c r="A24" s="279" t="s">
        <v>523</v>
      </c>
      <c r="B24" s="280">
        <v>38.949275742186025</v>
      </c>
      <c r="C24" s="280">
        <f>C23/C7*100</f>
        <v>39.174105915134803</v>
      </c>
      <c r="D24" s="280">
        <f t="shared" ref="D24:J24" si="13">D23/D7*100</f>
        <v>37.89172603275798</v>
      </c>
      <c r="E24" s="280">
        <f t="shared" si="13"/>
        <v>36.676895851161042</v>
      </c>
      <c r="F24" s="280">
        <f t="shared" si="13"/>
        <v>37.451910325608523</v>
      </c>
      <c r="G24" s="280">
        <f t="shared" si="13"/>
        <v>38.450077181049771</v>
      </c>
      <c r="H24" s="280">
        <f t="shared" si="13"/>
        <v>38.89503526694952</v>
      </c>
      <c r="I24" s="280">
        <f t="shared" si="13"/>
        <v>37.339020992787958</v>
      </c>
      <c r="J24" s="280">
        <f t="shared" si="13"/>
        <v>34.056731854397256</v>
      </c>
    </row>
    <row r="25" spans="1:10" ht="15.75" customHeight="1" thickBot="1">
      <c r="A25" s="275" t="s">
        <v>524</v>
      </c>
      <c r="B25" s="290">
        <v>9.3000000000000007</v>
      </c>
      <c r="C25" s="290">
        <v>9.2643601509793907</v>
      </c>
      <c r="D25" s="290">
        <f>9.833862</f>
        <v>9.8338619999999999</v>
      </c>
      <c r="E25" s="290">
        <v>10.48898697884826</v>
      </c>
      <c r="F25" s="290">
        <v>10.558664530036811</v>
      </c>
      <c r="G25" s="290">
        <v>10.683061275212019</v>
      </c>
      <c r="H25" s="290">
        <v>10.908168434618553</v>
      </c>
      <c r="I25" s="290">
        <v>11.386691408476544</v>
      </c>
      <c r="J25" s="290">
        <v>12.051735121577604</v>
      </c>
    </row>
    <row r="26" spans="1:10" ht="15.75" customHeight="1" thickBot="1">
      <c r="A26" s="276" t="s">
        <v>525</v>
      </c>
      <c r="B26" s="277">
        <v>20.224890829694324</v>
      </c>
      <c r="C26" s="277">
        <f>C25/C7*100</f>
        <v>20.745129990101191</v>
      </c>
      <c r="D26" s="277">
        <f t="shared" ref="D26:J26" si="14">D25/D7*100</f>
        <v>22.565598109181025</v>
      </c>
      <c r="E26" s="277">
        <f t="shared" si="14"/>
        <v>24.707292721005015</v>
      </c>
      <c r="F26" s="277">
        <f t="shared" si="14"/>
        <v>25.627826529215557</v>
      </c>
      <c r="G26" s="277">
        <f t="shared" si="14"/>
        <v>26.777274100691844</v>
      </c>
      <c r="H26" s="277">
        <f t="shared" si="14"/>
        <v>28.217104957883365</v>
      </c>
      <c r="I26" s="277">
        <f t="shared" si="14"/>
        <v>30.353987706865738</v>
      </c>
      <c r="J26" s="277">
        <f t="shared" si="14"/>
        <v>33.09461533825133</v>
      </c>
    </row>
    <row r="27" spans="1:10" ht="15.75" customHeight="1" thickBot="1">
      <c r="A27" s="275" t="s">
        <v>526</v>
      </c>
      <c r="B27" s="290">
        <v>0.69599999999999995</v>
      </c>
      <c r="C27" s="290">
        <v>0.59399999999999997</v>
      </c>
      <c r="D27" s="290">
        <f>D28/1000*D7</f>
        <v>0.63625339999999997</v>
      </c>
      <c r="E27" s="290">
        <f t="shared" ref="E27:J27" si="15">E28/1000*E7</f>
        <v>0.61981380000000008</v>
      </c>
      <c r="F27" s="290">
        <f t="shared" si="15"/>
        <v>0.60152000000000005</v>
      </c>
      <c r="G27" s="290">
        <f t="shared" si="15"/>
        <v>0.58248160000000004</v>
      </c>
      <c r="H27" s="290">
        <f t="shared" si="15"/>
        <v>0.56440679999999999</v>
      </c>
      <c r="I27" s="290">
        <f t="shared" si="15"/>
        <v>0.5476898</v>
      </c>
      <c r="J27" s="290">
        <f t="shared" si="15"/>
        <v>0.53167359999999997</v>
      </c>
    </row>
    <row r="28" spans="1:10" ht="15.75" customHeight="1" thickBot="1">
      <c r="A28" s="276" t="s">
        <v>527</v>
      </c>
      <c r="B28" s="277">
        <v>19.335971628692409</v>
      </c>
      <c r="C28" s="277">
        <f>14.6</f>
        <v>14.6</v>
      </c>
      <c r="D28" s="277">
        <f t="shared" ref="D28:J28" si="16">14.6</f>
        <v>14.6</v>
      </c>
      <c r="E28" s="277">
        <f t="shared" si="16"/>
        <v>14.6</v>
      </c>
      <c r="F28" s="277">
        <f t="shared" si="16"/>
        <v>14.6</v>
      </c>
      <c r="G28" s="277">
        <f t="shared" si="16"/>
        <v>14.6</v>
      </c>
      <c r="H28" s="277">
        <f t="shared" si="16"/>
        <v>14.6</v>
      </c>
      <c r="I28" s="277">
        <f t="shared" si="16"/>
        <v>14.6</v>
      </c>
      <c r="J28" s="277">
        <f t="shared" si="16"/>
        <v>14.6</v>
      </c>
    </row>
  </sheetData>
  <hyperlinks>
    <hyperlink ref="L4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0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443</v>
      </c>
    </row>
    <row r="6" spans="1:22" ht="69.75" customHeight="1">
      <c r="A6" s="219" t="s">
        <v>59</v>
      </c>
      <c r="B6" s="220" t="s">
        <v>60</v>
      </c>
      <c r="C6" s="220" t="s">
        <v>61</v>
      </c>
      <c r="D6" s="220" t="s">
        <v>62</v>
      </c>
      <c r="E6" s="220" t="s">
        <v>63</v>
      </c>
      <c r="F6" s="220" t="s">
        <v>64</v>
      </c>
      <c r="G6" s="220" t="s">
        <v>444</v>
      </c>
      <c r="H6" s="220" t="s">
        <v>445</v>
      </c>
      <c r="I6" s="220" t="s">
        <v>446</v>
      </c>
      <c r="J6" s="220" t="s">
        <v>447</v>
      </c>
      <c r="K6" s="220" t="s">
        <v>448</v>
      </c>
      <c r="L6" s="220" t="s">
        <v>449</v>
      </c>
      <c r="M6" s="220" t="s">
        <v>65</v>
      </c>
      <c r="N6" s="221"/>
      <c r="O6" s="221"/>
      <c r="P6" s="221" t="s">
        <v>66</v>
      </c>
      <c r="Q6" s="221"/>
      <c r="R6" s="221"/>
      <c r="S6" s="221"/>
      <c r="T6" s="221"/>
      <c r="U6" s="221" t="s">
        <v>67</v>
      </c>
    </row>
    <row r="7" spans="1:22">
      <c r="A7" s="222" t="s">
        <v>68</v>
      </c>
      <c r="B7" s="219">
        <v>0</v>
      </c>
      <c r="C7" s="219">
        <v>5</v>
      </c>
      <c r="D7" s="219">
        <v>10</v>
      </c>
      <c r="E7" s="219">
        <v>15</v>
      </c>
      <c r="F7" s="219">
        <v>18</v>
      </c>
      <c r="G7" s="219">
        <v>20</v>
      </c>
      <c r="H7" s="219">
        <v>25</v>
      </c>
      <c r="I7" s="219">
        <v>30</v>
      </c>
      <c r="J7" s="219">
        <v>35</v>
      </c>
      <c r="K7" s="219">
        <v>40</v>
      </c>
      <c r="L7" s="219">
        <v>45</v>
      </c>
      <c r="M7" s="219">
        <v>50</v>
      </c>
      <c r="N7" s="219">
        <v>55</v>
      </c>
      <c r="O7" s="219">
        <v>60</v>
      </c>
      <c r="P7" s="219">
        <v>65</v>
      </c>
      <c r="Q7" s="219">
        <v>70</v>
      </c>
      <c r="R7" s="219">
        <v>75</v>
      </c>
      <c r="S7" s="219">
        <v>80</v>
      </c>
      <c r="T7" s="219">
        <v>85</v>
      </c>
      <c r="U7" s="219" t="s">
        <v>69</v>
      </c>
      <c r="V7" s="224"/>
    </row>
    <row r="9" spans="1:22">
      <c r="A9" s="153" t="s">
        <v>70</v>
      </c>
      <c r="B9" s="223">
        <v>5</v>
      </c>
      <c r="C9" s="223">
        <v>5</v>
      </c>
      <c r="D9" s="223">
        <v>5</v>
      </c>
      <c r="E9" s="223">
        <v>5</v>
      </c>
      <c r="F9" s="223">
        <v>3</v>
      </c>
      <c r="G9" s="223">
        <v>2</v>
      </c>
      <c r="H9" s="223">
        <v>5</v>
      </c>
      <c r="I9" s="223">
        <v>5</v>
      </c>
      <c r="J9" s="223">
        <v>5</v>
      </c>
      <c r="K9" s="223">
        <v>5</v>
      </c>
      <c r="L9" s="223">
        <v>5</v>
      </c>
      <c r="M9" s="223">
        <v>5</v>
      </c>
      <c r="N9" s="223">
        <v>5</v>
      </c>
      <c r="O9" s="223">
        <v>5</v>
      </c>
      <c r="P9" s="223">
        <v>5</v>
      </c>
      <c r="Q9" s="223">
        <v>5</v>
      </c>
      <c r="R9" s="223">
        <v>5</v>
      </c>
      <c r="S9" s="223">
        <v>5</v>
      </c>
      <c r="T9" s="223">
        <v>5</v>
      </c>
      <c r="U9" s="223">
        <v>5</v>
      </c>
    </row>
    <row r="10" spans="1:22">
      <c r="A10" s="153" t="s">
        <v>450</v>
      </c>
      <c r="B10" s="223">
        <v>-100</v>
      </c>
      <c r="C10" s="223">
        <v>-150</v>
      </c>
      <c r="D10" s="223">
        <v>-200</v>
      </c>
      <c r="E10" s="223">
        <v>-300</v>
      </c>
      <c r="F10" s="223">
        <v>-400</v>
      </c>
      <c r="G10" s="223">
        <v>-400</v>
      </c>
      <c r="H10" s="223">
        <v>-500</v>
      </c>
      <c r="I10" s="223">
        <v>-500</v>
      </c>
      <c r="J10" s="223">
        <v>-500</v>
      </c>
      <c r="K10" s="223">
        <v>-500</v>
      </c>
      <c r="L10" s="223">
        <v>-500</v>
      </c>
      <c r="M10" s="223">
        <v>-500</v>
      </c>
      <c r="N10" s="223">
        <v>-500</v>
      </c>
      <c r="O10" s="223">
        <v>-500</v>
      </c>
      <c r="P10" s="223">
        <v>-500</v>
      </c>
      <c r="Q10" s="223">
        <v>-400</v>
      </c>
      <c r="R10" s="223">
        <v>-400</v>
      </c>
      <c r="S10" s="223">
        <v>-400</v>
      </c>
      <c r="T10" s="223">
        <v>-400</v>
      </c>
      <c r="U10" s="223">
        <v>-400</v>
      </c>
    </row>
    <row r="11" spans="1:22">
      <c r="A11" s="153" t="s">
        <v>451</v>
      </c>
      <c r="B11" s="223">
        <f>B10*12</f>
        <v>-1200</v>
      </c>
      <c r="C11" s="223">
        <f>C10*12</f>
        <v>-1800</v>
      </c>
      <c r="D11" s="223">
        <f>D10*12</f>
        <v>-2400</v>
      </c>
      <c r="E11" s="223">
        <f>E10*12</f>
        <v>-3600</v>
      </c>
      <c r="F11" s="223">
        <f>F10*12</f>
        <v>-4800</v>
      </c>
      <c r="G11" s="223">
        <f t="shared" ref="G11:U11" si="0">G10*12</f>
        <v>-4800</v>
      </c>
      <c r="H11" s="223">
        <f t="shared" si="0"/>
        <v>-6000</v>
      </c>
      <c r="I11" s="223">
        <f t="shared" si="0"/>
        <v>-6000</v>
      </c>
      <c r="J11" s="223">
        <f t="shared" si="0"/>
        <v>-6000</v>
      </c>
      <c r="K11" s="223">
        <f t="shared" si="0"/>
        <v>-6000</v>
      </c>
      <c r="L11" s="223">
        <f t="shared" si="0"/>
        <v>-6000</v>
      </c>
      <c r="M11" s="223">
        <f t="shared" si="0"/>
        <v>-6000</v>
      </c>
      <c r="N11" s="223">
        <f t="shared" si="0"/>
        <v>-6000</v>
      </c>
      <c r="O11" s="223">
        <f t="shared" si="0"/>
        <v>-6000</v>
      </c>
      <c r="P11" s="223">
        <f t="shared" si="0"/>
        <v>-6000</v>
      </c>
      <c r="Q11" s="223">
        <f t="shared" si="0"/>
        <v>-4800</v>
      </c>
      <c r="R11" s="223">
        <f t="shared" si="0"/>
        <v>-4800</v>
      </c>
      <c r="S11" s="223">
        <f t="shared" si="0"/>
        <v>-4800</v>
      </c>
      <c r="T11" s="223">
        <f t="shared" si="0"/>
        <v>-4800</v>
      </c>
      <c r="U11" s="223">
        <f t="shared" si="0"/>
        <v>-4800</v>
      </c>
    </row>
    <row r="12" spans="1:22">
      <c r="A12" s="225" t="s">
        <v>452</v>
      </c>
      <c r="B12" s="223"/>
      <c r="C12" s="223"/>
      <c r="D12" s="223"/>
      <c r="E12" s="223"/>
      <c r="F12" s="223"/>
      <c r="G12" s="223">
        <v>-100</v>
      </c>
      <c r="H12" s="223">
        <v>-150</v>
      </c>
      <c r="I12" s="223">
        <v>-200</v>
      </c>
      <c r="J12" s="223">
        <v>-300</v>
      </c>
      <c r="K12" s="223">
        <v>-300</v>
      </c>
      <c r="M12" s="223"/>
      <c r="N12" s="223"/>
      <c r="O12" s="223"/>
      <c r="P12" s="223"/>
      <c r="Q12" s="223"/>
      <c r="R12" s="223"/>
      <c r="S12" s="223"/>
      <c r="T12" s="223"/>
      <c r="U12" s="223"/>
    </row>
    <row r="13" spans="1:22">
      <c r="A13" s="225" t="s">
        <v>453</v>
      </c>
      <c r="B13" s="223"/>
      <c r="C13" s="223"/>
      <c r="D13" s="223"/>
      <c r="E13" s="223"/>
      <c r="F13" s="223"/>
      <c r="G13" s="223"/>
      <c r="H13" s="223">
        <v>-100</v>
      </c>
      <c r="I13" s="223">
        <v>-150</v>
      </c>
      <c r="J13" s="223">
        <v>-200</v>
      </c>
      <c r="K13" s="223">
        <v>-300</v>
      </c>
      <c r="L13" s="223">
        <v>-300</v>
      </c>
      <c r="N13" s="223"/>
      <c r="O13" s="223"/>
      <c r="P13" s="223"/>
      <c r="Q13" s="223"/>
      <c r="R13" s="223"/>
      <c r="S13" s="223"/>
      <c r="T13" s="223"/>
      <c r="U13" s="223"/>
    </row>
    <row r="14" spans="1:22">
      <c r="A14" s="225" t="s">
        <v>454</v>
      </c>
      <c r="B14" s="223"/>
      <c r="C14" s="223"/>
      <c r="D14" s="223"/>
      <c r="E14" s="223"/>
      <c r="F14" s="223"/>
      <c r="G14" s="223"/>
      <c r="H14" s="223"/>
      <c r="I14" s="223">
        <v>-100</v>
      </c>
      <c r="J14" s="223">
        <v>-150</v>
      </c>
      <c r="K14" s="223">
        <v>-200</v>
      </c>
      <c r="L14" s="223">
        <v>-300</v>
      </c>
      <c r="M14" s="223">
        <v>-300</v>
      </c>
      <c r="N14" s="223"/>
      <c r="O14" s="223"/>
      <c r="P14" s="223"/>
      <c r="Q14" s="223"/>
      <c r="R14" s="223"/>
      <c r="S14" s="223"/>
      <c r="T14" s="223"/>
      <c r="U14" s="223"/>
    </row>
    <row r="15" spans="1:22">
      <c r="A15" s="225" t="s">
        <v>455</v>
      </c>
      <c r="B15" s="223"/>
      <c r="C15" s="223"/>
      <c r="D15" s="223"/>
      <c r="E15" s="223"/>
      <c r="F15" s="223"/>
      <c r="G15" s="223"/>
      <c r="H15" s="223"/>
      <c r="I15" s="223"/>
      <c r="J15" s="223">
        <v>-100</v>
      </c>
      <c r="K15" s="223">
        <v>-150</v>
      </c>
      <c r="L15" s="223">
        <v>-200</v>
      </c>
      <c r="M15" s="223">
        <v>-300</v>
      </c>
      <c r="N15" s="223">
        <v>-300</v>
      </c>
      <c r="O15" s="223"/>
      <c r="P15" s="223"/>
      <c r="Q15" s="223"/>
      <c r="R15" s="223"/>
      <c r="S15" s="223"/>
      <c r="T15" s="223"/>
      <c r="U15" s="223"/>
    </row>
    <row r="16" spans="1:22">
      <c r="A16" s="225" t="s">
        <v>456</v>
      </c>
      <c r="B16" s="223"/>
      <c r="C16" s="223"/>
      <c r="D16" s="223"/>
      <c r="E16" s="223"/>
      <c r="F16" s="223"/>
      <c r="G16" s="223"/>
      <c r="H16" s="223"/>
      <c r="I16" s="223"/>
      <c r="J16" s="223"/>
      <c r="K16" s="223">
        <v>-100</v>
      </c>
      <c r="L16" s="223">
        <v>-150</v>
      </c>
      <c r="M16" s="223">
        <v>-200</v>
      </c>
      <c r="N16" s="223">
        <v>-300</v>
      </c>
      <c r="O16" s="223">
        <v>-300</v>
      </c>
      <c r="P16" s="223"/>
      <c r="Q16" s="223"/>
      <c r="R16" s="223"/>
      <c r="S16" s="223"/>
      <c r="T16" s="223"/>
      <c r="U16" s="223"/>
    </row>
    <row r="17" spans="1:21">
      <c r="A17" s="153" t="s">
        <v>73</v>
      </c>
      <c r="B17" s="223">
        <f>(B10+B12+B13+B14+B15+B16)*12*B9</f>
        <v>-6000</v>
      </c>
      <c r="C17" s="223">
        <f>(C10+C12+C13+C14+C15+C16)*12*C9</f>
        <v>-9000</v>
      </c>
      <c r="D17" s="223">
        <f t="shared" ref="D17:U17" si="1">(D10+D12+D13+D14+D15+D16)*12*D9</f>
        <v>-12000</v>
      </c>
      <c r="E17" s="223">
        <f>(E10+E12+E13+E14+E15+E16)*12*E9</f>
        <v>-18000</v>
      </c>
      <c r="F17" s="223">
        <f>(F10+F12+F13+F14+F15+F16)*12*F9</f>
        <v>-14400</v>
      </c>
      <c r="G17" s="223">
        <f t="shared" si="1"/>
        <v>-12000</v>
      </c>
      <c r="H17" s="223">
        <f t="shared" si="1"/>
        <v>-45000</v>
      </c>
      <c r="I17" s="223">
        <f t="shared" si="1"/>
        <v>-57000</v>
      </c>
      <c r="J17" s="223">
        <f t="shared" si="1"/>
        <v>-75000</v>
      </c>
      <c r="K17" s="223">
        <f t="shared" si="1"/>
        <v>-93000</v>
      </c>
      <c r="L17" s="223">
        <f t="shared" si="1"/>
        <v>-87000</v>
      </c>
      <c r="M17" s="223">
        <f t="shared" si="1"/>
        <v>-78000</v>
      </c>
      <c r="N17" s="223">
        <f t="shared" si="1"/>
        <v>-66000</v>
      </c>
      <c r="O17" s="223">
        <f t="shared" si="1"/>
        <v>-48000</v>
      </c>
      <c r="P17" s="223">
        <f t="shared" si="1"/>
        <v>-30000</v>
      </c>
      <c r="Q17" s="223">
        <f t="shared" si="1"/>
        <v>-24000</v>
      </c>
      <c r="R17" s="223">
        <f t="shared" si="1"/>
        <v>-24000</v>
      </c>
      <c r="S17" s="223">
        <f t="shared" si="1"/>
        <v>-24000</v>
      </c>
      <c r="T17" s="223">
        <f t="shared" si="1"/>
        <v>-24000</v>
      </c>
      <c r="U17" s="223">
        <f t="shared" si="1"/>
        <v>-24000</v>
      </c>
    </row>
    <row r="18" spans="1:21" ht="11.25" customHeight="1"/>
    <row r="19" spans="1:21">
      <c r="A19" s="153" t="s">
        <v>74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75</v>
      </c>
      <c r="B20" s="223">
        <v>0</v>
      </c>
      <c r="C20" s="223">
        <v>0</v>
      </c>
      <c r="D20" s="223">
        <v>0</v>
      </c>
      <c r="E20" s="223">
        <v>0</v>
      </c>
      <c r="F20" s="223">
        <v>0</v>
      </c>
      <c r="G20" s="223">
        <f>G19*12</f>
        <v>4800</v>
      </c>
      <c r="H20" s="223">
        <f t="shared" ref="H20:U20" si="2">H19*12</f>
        <v>6000</v>
      </c>
      <c r="I20" s="223">
        <f t="shared" si="2"/>
        <v>6000</v>
      </c>
      <c r="J20" s="223">
        <f t="shared" si="2"/>
        <v>6000</v>
      </c>
      <c r="K20" s="223">
        <f t="shared" si="2"/>
        <v>6000</v>
      </c>
      <c r="L20" s="223">
        <f t="shared" si="2"/>
        <v>7200</v>
      </c>
      <c r="M20" s="223">
        <f t="shared" si="2"/>
        <v>9600</v>
      </c>
      <c r="N20" s="223">
        <f t="shared" si="2"/>
        <v>9600</v>
      </c>
      <c r="O20" s="223">
        <f t="shared" si="2"/>
        <v>9600</v>
      </c>
      <c r="P20" s="223">
        <f t="shared" si="2"/>
        <v>4800</v>
      </c>
      <c r="Q20" s="223">
        <f t="shared" si="2"/>
        <v>3600</v>
      </c>
      <c r="R20" s="223">
        <f t="shared" si="2"/>
        <v>3600</v>
      </c>
      <c r="S20" s="223">
        <f t="shared" si="2"/>
        <v>2400</v>
      </c>
      <c r="T20" s="223">
        <f t="shared" si="2"/>
        <v>2400</v>
      </c>
      <c r="U20" s="223">
        <f t="shared" si="2"/>
        <v>2400</v>
      </c>
    </row>
    <row r="21" spans="1:21">
      <c r="A21" s="153" t="s">
        <v>76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77</v>
      </c>
      <c r="B23" s="223">
        <f t="shared" ref="B23:U24" si="4">B10+B19</f>
        <v>-100</v>
      </c>
      <c r="C23" s="223">
        <f t="shared" si="4"/>
        <v>-150</v>
      </c>
      <c r="D23" s="223">
        <f t="shared" si="4"/>
        <v>-200</v>
      </c>
      <c r="E23" s="223">
        <f t="shared" si="4"/>
        <v>-300</v>
      </c>
      <c r="F23" s="223">
        <f t="shared" si="4"/>
        <v>-400</v>
      </c>
      <c r="G23" s="223">
        <f t="shared" si="4"/>
        <v>0</v>
      </c>
      <c r="H23" s="223">
        <f t="shared" si="4"/>
        <v>0</v>
      </c>
      <c r="I23" s="223">
        <f t="shared" si="4"/>
        <v>0</v>
      </c>
      <c r="J23" s="223">
        <f t="shared" si="4"/>
        <v>0</v>
      </c>
      <c r="K23" s="223">
        <f t="shared" si="4"/>
        <v>0</v>
      </c>
      <c r="L23" s="223">
        <f t="shared" si="4"/>
        <v>100</v>
      </c>
      <c r="M23" s="223">
        <f t="shared" si="4"/>
        <v>300</v>
      </c>
      <c r="N23" s="223">
        <f t="shared" si="4"/>
        <v>300</v>
      </c>
      <c r="O23" s="223">
        <f t="shared" si="4"/>
        <v>300</v>
      </c>
      <c r="P23" s="223">
        <f t="shared" si="4"/>
        <v>-100</v>
      </c>
      <c r="Q23" s="223">
        <f t="shared" si="4"/>
        <v>-100</v>
      </c>
      <c r="R23" s="223">
        <f t="shared" si="4"/>
        <v>-100</v>
      </c>
      <c r="S23" s="223">
        <f t="shared" si="4"/>
        <v>-200</v>
      </c>
      <c r="T23" s="223">
        <f t="shared" si="4"/>
        <v>-200</v>
      </c>
      <c r="U23" s="223">
        <f t="shared" si="4"/>
        <v>-200</v>
      </c>
    </row>
    <row r="24" spans="1:21">
      <c r="A24" s="153" t="s">
        <v>78</v>
      </c>
      <c r="B24" s="223">
        <f t="shared" si="4"/>
        <v>-1200</v>
      </c>
      <c r="C24" s="223">
        <f t="shared" si="4"/>
        <v>-1800</v>
      </c>
      <c r="D24" s="223">
        <f t="shared" si="4"/>
        <v>-2400</v>
      </c>
      <c r="E24" s="223">
        <f t="shared" si="4"/>
        <v>-3600</v>
      </c>
      <c r="F24" s="223">
        <f t="shared" si="4"/>
        <v>-4800</v>
      </c>
      <c r="G24" s="223">
        <f t="shared" si="4"/>
        <v>0</v>
      </c>
      <c r="H24" s="223">
        <f t="shared" si="4"/>
        <v>0</v>
      </c>
      <c r="I24" s="223">
        <f t="shared" si="4"/>
        <v>0</v>
      </c>
      <c r="J24" s="223">
        <f t="shared" si="4"/>
        <v>0</v>
      </c>
      <c r="K24" s="223">
        <f t="shared" si="4"/>
        <v>0</v>
      </c>
      <c r="L24" s="223">
        <f t="shared" si="4"/>
        <v>1200</v>
      </c>
      <c r="M24" s="223">
        <f t="shared" si="4"/>
        <v>3600</v>
      </c>
      <c r="N24" s="223">
        <f t="shared" si="4"/>
        <v>3600</v>
      </c>
      <c r="O24" s="223">
        <f t="shared" si="4"/>
        <v>3600</v>
      </c>
      <c r="P24" s="223">
        <f t="shared" si="4"/>
        <v>-1200</v>
      </c>
      <c r="Q24" s="223">
        <f t="shared" si="4"/>
        <v>-1200</v>
      </c>
      <c r="R24" s="223">
        <f t="shared" si="4"/>
        <v>-1200</v>
      </c>
      <c r="S24" s="223">
        <f t="shared" si="4"/>
        <v>-2400</v>
      </c>
      <c r="T24" s="223">
        <f t="shared" si="4"/>
        <v>-2400</v>
      </c>
      <c r="U24" s="223">
        <f t="shared" si="4"/>
        <v>-2400</v>
      </c>
    </row>
    <row r="25" spans="1:21">
      <c r="A25" s="153" t="s">
        <v>79</v>
      </c>
      <c r="B25" s="223">
        <f t="shared" ref="B25:U25" si="5">B17+B21</f>
        <v>-6000</v>
      </c>
      <c r="C25" s="223">
        <f t="shared" si="5"/>
        <v>-9000</v>
      </c>
      <c r="D25" s="223">
        <f t="shared" si="5"/>
        <v>-12000</v>
      </c>
      <c r="E25" s="223">
        <f t="shared" si="5"/>
        <v>-18000</v>
      </c>
      <c r="F25" s="223">
        <f t="shared" si="5"/>
        <v>-14400</v>
      </c>
      <c r="G25" s="223">
        <f t="shared" si="5"/>
        <v>-2400</v>
      </c>
      <c r="H25" s="223">
        <f t="shared" si="5"/>
        <v>-15000</v>
      </c>
      <c r="I25" s="223">
        <f t="shared" si="5"/>
        <v>-27000</v>
      </c>
      <c r="J25" s="223">
        <f t="shared" si="5"/>
        <v>-45000</v>
      </c>
      <c r="K25" s="223">
        <f t="shared" si="5"/>
        <v>-63000</v>
      </c>
      <c r="L25" s="223">
        <f t="shared" si="5"/>
        <v>-51000</v>
      </c>
      <c r="M25" s="223">
        <f t="shared" si="5"/>
        <v>-30000</v>
      </c>
      <c r="N25" s="223">
        <f t="shared" si="5"/>
        <v>-18000</v>
      </c>
      <c r="O25" s="223">
        <f t="shared" si="5"/>
        <v>0</v>
      </c>
      <c r="P25" s="223">
        <f t="shared" si="5"/>
        <v>-6000</v>
      </c>
      <c r="Q25" s="223">
        <f t="shared" si="5"/>
        <v>-6000</v>
      </c>
      <c r="R25" s="223">
        <f t="shared" si="5"/>
        <v>-6000</v>
      </c>
      <c r="S25" s="223">
        <f t="shared" si="5"/>
        <v>-12000</v>
      </c>
      <c r="T25" s="223">
        <f t="shared" si="5"/>
        <v>-12000</v>
      </c>
      <c r="U25" s="223">
        <f t="shared" si="5"/>
        <v>-12000</v>
      </c>
    </row>
    <row r="26" spans="1:21">
      <c r="A26" s="153" t="s">
        <v>80</v>
      </c>
      <c r="B26" s="223">
        <f>B25</f>
        <v>-6000</v>
      </c>
      <c r="C26" s="223">
        <f t="shared" ref="C26:U26" si="6">B26+C25</f>
        <v>-15000</v>
      </c>
      <c r="D26" s="223">
        <f t="shared" si="6"/>
        <v>-27000</v>
      </c>
      <c r="E26" s="223">
        <f t="shared" si="6"/>
        <v>-45000</v>
      </c>
      <c r="F26" s="223">
        <f t="shared" si="6"/>
        <v>-59400</v>
      </c>
      <c r="G26" s="223">
        <f t="shared" si="6"/>
        <v>-61800</v>
      </c>
      <c r="H26" s="223">
        <f t="shared" si="6"/>
        <v>-76800</v>
      </c>
      <c r="I26" s="223">
        <f t="shared" si="6"/>
        <v>-103800</v>
      </c>
      <c r="J26" s="223">
        <f t="shared" si="6"/>
        <v>-148800</v>
      </c>
      <c r="K26" s="223">
        <f t="shared" si="6"/>
        <v>-211800</v>
      </c>
      <c r="L26" s="223">
        <f t="shared" si="6"/>
        <v>-262800</v>
      </c>
      <c r="M26" s="223">
        <f t="shared" si="6"/>
        <v>-292800</v>
      </c>
      <c r="N26" s="223">
        <f t="shared" si="6"/>
        <v>-310800</v>
      </c>
      <c r="O26" s="223">
        <f t="shared" si="6"/>
        <v>-310800</v>
      </c>
      <c r="P26" s="223">
        <f t="shared" si="6"/>
        <v>-316800</v>
      </c>
      <c r="Q26" s="223">
        <f t="shared" si="6"/>
        <v>-322800</v>
      </c>
      <c r="R26" s="223">
        <f t="shared" si="6"/>
        <v>-328800</v>
      </c>
      <c r="S26" s="223">
        <f t="shared" si="6"/>
        <v>-340800</v>
      </c>
      <c r="T26" s="223">
        <f t="shared" si="6"/>
        <v>-352800</v>
      </c>
      <c r="U26" s="223">
        <f t="shared" si="6"/>
        <v>-364800</v>
      </c>
    </row>
    <row r="28" spans="1:21">
      <c r="A28" s="225" t="s">
        <v>457</v>
      </c>
      <c r="B28" s="223"/>
      <c r="C28" s="223"/>
      <c r="D28" s="223"/>
      <c r="E28" s="223"/>
      <c r="F28" s="223"/>
      <c r="G28" s="223">
        <v>150</v>
      </c>
      <c r="H28" s="223">
        <v>200</v>
      </c>
      <c r="I28" s="223">
        <v>250</v>
      </c>
      <c r="J28" s="223">
        <v>350</v>
      </c>
      <c r="K28" s="223">
        <v>350</v>
      </c>
      <c r="L28" s="223"/>
      <c r="M28" s="223"/>
      <c r="N28" s="223"/>
      <c r="O28" s="223"/>
      <c r="P28" s="223"/>
      <c r="Q28" s="223"/>
      <c r="R28" s="223"/>
      <c r="S28" s="223"/>
      <c r="T28" s="223"/>
      <c r="U28" s="223"/>
    </row>
    <row r="29" spans="1:21">
      <c r="A29" s="225" t="s">
        <v>458</v>
      </c>
      <c r="B29" s="223"/>
      <c r="C29" s="223"/>
      <c r="D29" s="223"/>
      <c r="E29" s="223"/>
      <c r="F29" s="223"/>
      <c r="G29" s="223"/>
      <c r="H29" s="223">
        <v>150</v>
      </c>
      <c r="I29" s="223">
        <v>200</v>
      </c>
      <c r="J29" s="223">
        <v>250</v>
      </c>
      <c r="K29" s="223">
        <v>350</v>
      </c>
      <c r="L29" s="223">
        <v>350</v>
      </c>
      <c r="M29" s="223"/>
      <c r="N29" s="223"/>
      <c r="O29" s="223"/>
      <c r="P29" s="223"/>
      <c r="Q29" s="223"/>
      <c r="R29" s="223"/>
      <c r="S29" s="223"/>
      <c r="T29" s="223"/>
      <c r="U29" s="223"/>
    </row>
    <row r="30" spans="1:21">
      <c r="A30" s="225" t="s">
        <v>459</v>
      </c>
      <c r="B30" s="223"/>
      <c r="C30" s="223"/>
      <c r="D30" s="223"/>
      <c r="E30" s="223"/>
      <c r="F30" s="223"/>
      <c r="G30" s="223"/>
      <c r="H30" s="223"/>
      <c r="I30" s="223">
        <v>150</v>
      </c>
      <c r="J30" s="223">
        <v>200</v>
      </c>
      <c r="K30" s="223">
        <v>250</v>
      </c>
      <c r="L30" s="223">
        <v>350</v>
      </c>
      <c r="M30" s="223">
        <v>350</v>
      </c>
      <c r="N30" s="223"/>
      <c r="O30" s="223"/>
      <c r="P30" s="223"/>
      <c r="Q30" s="223"/>
      <c r="R30" s="223"/>
      <c r="S30" s="223"/>
      <c r="T30" s="223"/>
      <c r="U30" s="223"/>
    </row>
    <row r="31" spans="1:21">
      <c r="A31" s="225" t="s">
        <v>460</v>
      </c>
      <c r="B31" s="223"/>
      <c r="C31" s="223"/>
      <c r="D31" s="223"/>
      <c r="E31" s="223"/>
      <c r="F31" s="223"/>
      <c r="G31" s="223"/>
      <c r="H31" s="223"/>
      <c r="I31" s="223"/>
      <c r="J31" s="223">
        <v>150</v>
      </c>
      <c r="K31" s="223">
        <v>200</v>
      </c>
      <c r="L31" s="223">
        <v>250</v>
      </c>
      <c r="M31" s="223">
        <v>350</v>
      </c>
      <c r="N31" s="223">
        <v>350</v>
      </c>
      <c r="O31" s="223"/>
      <c r="P31" s="223"/>
      <c r="Q31" s="223"/>
      <c r="R31" s="223"/>
      <c r="S31" s="223"/>
      <c r="T31" s="223"/>
      <c r="U31" s="223"/>
    </row>
    <row r="32" spans="1:21">
      <c r="A32" s="225" t="s">
        <v>461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>
        <v>150</v>
      </c>
      <c r="L32" s="223">
        <v>200</v>
      </c>
      <c r="M32" s="223">
        <v>250</v>
      </c>
      <c r="N32" s="223">
        <v>350</v>
      </c>
      <c r="O32" s="223">
        <v>350</v>
      </c>
      <c r="P32" s="223"/>
      <c r="Q32" s="223"/>
      <c r="R32" s="223"/>
      <c r="S32" s="223"/>
      <c r="T32" s="223"/>
      <c r="U32" s="223"/>
    </row>
    <row r="33" spans="1:22">
      <c r="A33" s="225" t="s">
        <v>462</v>
      </c>
      <c r="B33" s="223">
        <f t="shared" ref="B33:F33" si="7">(B28+B29+B30+B31+B32)*12*B9</f>
        <v>0</v>
      </c>
      <c r="C33" s="223">
        <f t="shared" si="7"/>
        <v>0</v>
      </c>
      <c r="D33" s="223">
        <f t="shared" si="7"/>
        <v>0</v>
      </c>
      <c r="E33" s="223">
        <f t="shared" si="7"/>
        <v>0</v>
      </c>
      <c r="F33" s="223">
        <f t="shared" si="7"/>
        <v>0</v>
      </c>
      <c r="G33" s="223">
        <f>(G28+G29+G30+G31+G32)*12*G9</f>
        <v>3600</v>
      </c>
      <c r="H33" s="223">
        <f t="shared" ref="H33:U33" si="8">(H28+H29+H30+H31+H32)*12*H9</f>
        <v>21000</v>
      </c>
      <c r="I33" s="223">
        <f t="shared" si="8"/>
        <v>36000</v>
      </c>
      <c r="J33" s="223">
        <f t="shared" si="8"/>
        <v>57000</v>
      </c>
      <c r="K33" s="223">
        <f t="shared" si="8"/>
        <v>78000</v>
      </c>
      <c r="L33" s="223">
        <f t="shared" si="8"/>
        <v>69000</v>
      </c>
      <c r="M33" s="223">
        <f t="shared" si="8"/>
        <v>57000</v>
      </c>
      <c r="N33" s="223">
        <f t="shared" si="8"/>
        <v>42000</v>
      </c>
      <c r="O33" s="223">
        <f t="shared" si="8"/>
        <v>21000</v>
      </c>
      <c r="P33" s="223">
        <f t="shared" si="8"/>
        <v>0</v>
      </c>
      <c r="Q33" s="223">
        <f t="shared" si="8"/>
        <v>0</v>
      </c>
      <c r="R33" s="223">
        <f t="shared" si="8"/>
        <v>0</v>
      </c>
      <c r="S33" s="223">
        <f t="shared" si="8"/>
        <v>0</v>
      </c>
      <c r="T33" s="223">
        <f t="shared" si="8"/>
        <v>0</v>
      </c>
      <c r="U33" s="223">
        <f t="shared" si="8"/>
        <v>0</v>
      </c>
    </row>
    <row r="34" spans="1:22">
      <c r="A34" s="225" t="s">
        <v>463</v>
      </c>
      <c r="B34" s="223">
        <f t="shared" ref="B34:U34" si="9">B25+B33</f>
        <v>-6000</v>
      </c>
      <c r="C34" s="223">
        <f t="shared" si="9"/>
        <v>-9000</v>
      </c>
      <c r="D34" s="223">
        <f t="shared" si="9"/>
        <v>-12000</v>
      </c>
      <c r="E34" s="223">
        <f t="shared" si="9"/>
        <v>-18000</v>
      </c>
      <c r="F34" s="223">
        <f t="shared" si="9"/>
        <v>-14400</v>
      </c>
      <c r="G34" s="223">
        <f t="shared" si="9"/>
        <v>1200</v>
      </c>
      <c r="H34" s="223">
        <f t="shared" si="9"/>
        <v>6000</v>
      </c>
      <c r="I34" s="223">
        <f t="shared" si="9"/>
        <v>9000</v>
      </c>
      <c r="J34" s="223">
        <f t="shared" si="9"/>
        <v>12000</v>
      </c>
      <c r="K34" s="223">
        <f t="shared" si="9"/>
        <v>15000</v>
      </c>
      <c r="L34" s="223">
        <f t="shared" si="9"/>
        <v>18000</v>
      </c>
      <c r="M34" s="223">
        <f t="shared" si="9"/>
        <v>27000</v>
      </c>
      <c r="N34" s="223">
        <f t="shared" si="9"/>
        <v>24000</v>
      </c>
      <c r="O34" s="223">
        <f t="shared" si="9"/>
        <v>21000</v>
      </c>
      <c r="P34" s="223">
        <f t="shared" si="9"/>
        <v>-6000</v>
      </c>
      <c r="Q34" s="223">
        <f t="shared" si="9"/>
        <v>-6000</v>
      </c>
      <c r="R34" s="223">
        <f t="shared" si="9"/>
        <v>-6000</v>
      </c>
      <c r="S34" s="223">
        <f t="shared" si="9"/>
        <v>-12000</v>
      </c>
      <c r="T34" s="223">
        <f t="shared" si="9"/>
        <v>-12000</v>
      </c>
      <c r="U34" s="223">
        <f t="shared" si="9"/>
        <v>-12000</v>
      </c>
    </row>
    <row r="35" spans="1:22">
      <c r="A35" s="225" t="s">
        <v>464</v>
      </c>
      <c r="B35" s="223">
        <f>B34</f>
        <v>-6000</v>
      </c>
      <c r="C35" s="223">
        <f t="shared" ref="C35:U35" si="10">B35+C34</f>
        <v>-15000</v>
      </c>
      <c r="D35" s="223">
        <f t="shared" si="10"/>
        <v>-27000</v>
      </c>
      <c r="E35" s="223">
        <f t="shared" si="10"/>
        <v>-45000</v>
      </c>
      <c r="F35" s="223">
        <f t="shared" si="10"/>
        <v>-59400</v>
      </c>
      <c r="G35" s="223">
        <f t="shared" si="10"/>
        <v>-58200</v>
      </c>
      <c r="H35" s="223">
        <f t="shared" si="10"/>
        <v>-52200</v>
      </c>
      <c r="I35" s="223">
        <f t="shared" si="10"/>
        <v>-43200</v>
      </c>
      <c r="J35" s="223">
        <f t="shared" si="10"/>
        <v>-31200</v>
      </c>
      <c r="K35" s="223">
        <f t="shared" si="10"/>
        <v>-16200</v>
      </c>
      <c r="L35" s="223">
        <f t="shared" si="10"/>
        <v>1800</v>
      </c>
      <c r="M35" s="223">
        <f t="shared" si="10"/>
        <v>28800</v>
      </c>
      <c r="N35" s="223">
        <f t="shared" si="10"/>
        <v>52800</v>
      </c>
      <c r="O35" s="223">
        <f t="shared" si="10"/>
        <v>73800</v>
      </c>
      <c r="P35" s="223">
        <f t="shared" si="10"/>
        <v>67800</v>
      </c>
      <c r="Q35" s="223">
        <f t="shared" si="10"/>
        <v>61800</v>
      </c>
      <c r="R35" s="223">
        <f t="shared" si="10"/>
        <v>55800</v>
      </c>
      <c r="S35" s="223">
        <f t="shared" si="10"/>
        <v>43800</v>
      </c>
      <c r="T35" s="223">
        <f t="shared" si="10"/>
        <v>31800</v>
      </c>
      <c r="U35" s="223">
        <f t="shared" si="10"/>
        <v>19800</v>
      </c>
    </row>
    <row r="39" spans="1:22">
      <c r="B39" s="219">
        <v>0</v>
      </c>
      <c r="C39" s="219">
        <v>5</v>
      </c>
      <c r="D39" s="219">
        <v>10</v>
      </c>
      <c r="E39" s="219">
        <v>15</v>
      </c>
      <c r="F39" s="219">
        <v>18</v>
      </c>
      <c r="G39" s="219">
        <v>20</v>
      </c>
      <c r="H39" s="219">
        <v>25</v>
      </c>
      <c r="I39" s="219">
        <v>30</v>
      </c>
      <c r="J39" s="219">
        <v>35</v>
      </c>
      <c r="K39" s="219">
        <v>40</v>
      </c>
      <c r="L39" s="219">
        <v>45</v>
      </c>
      <c r="M39" s="219">
        <v>50</v>
      </c>
      <c r="N39" s="219">
        <v>55</v>
      </c>
      <c r="O39" s="219">
        <v>60</v>
      </c>
      <c r="P39" s="219">
        <v>65</v>
      </c>
      <c r="Q39" s="219">
        <v>70</v>
      </c>
      <c r="R39" s="219">
        <v>75</v>
      </c>
      <c r="S39" s="219">
        <v>80</v>
      </c>
      <c r="T39" s="219">
        <v>85</v>
      </c>
      <c r="U39" s="219">
        <v>90</v>
      </c>
      <c r="V39" s="226">
        <v>95</v>
      </c>
    </row>
    <row r="40" spans="1:22">
      <c r="A40" s="153" t="s">
        <v>465</v>
      </c>
      <c r="B40" s="153">
        <v>0</v>
      </c>
      <c r="C40" s="223">
        <v>-6000</v>
      </c>
      <c r="D40" s="223">
        <v>-15000</v>
      </c>
      <c r="E40" s="223">
        <v>-27000</v>
      </c>
      <c r="F40" s="223">
        <v>-45000</v>
      </c>
      <c r="G40" s="223">
        <v>-59400</v>
      </c>
      <c r="H40" s="223">
        <v>-61800</v>
      </c>
      <c r="I40" s="223">
        <v>-76800</v>
      </c>
      <c r="J40" s="223">
        <v>-103800</v>
      </c>
      <c r="K40" s="223">
        <v>-148800</v>
      </c>
      <c r="L40" s="223">
        <v>-211800</v>
      </c>
      <c r="M40" s="223">
        <v>-262800</v>
      </c>
      <c r="N40" s="223">
        <v>-292800</v>
      </c>
      <c r="O40" s="223">
        <v>-310800</v>
      </c>
      <c r="P40" s="223">
        <v>-310800</v>
      </c>
      <c r="Q40" s="223">
        <v>-316800</v>
      </c>
      <c r="R40" s="223">
        <v>-322800</v>
      </c>
      <c r="S40" s="223">
        <v>-328800</v>
      </c>
      <c r="T40" s="223">
        <v>-340800</v>
      </c>
      <c r="U40" s="223">
        <v>-352800</v>
      </c>
      <c r="V40" s="223">
        <v>-364800</v>
      </c>
    </row>
    <row r="41" spans="1:22">
      <c r="A41" s="153" t="s">
        <v>466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6"/>
  <sheetViews>
    <sheetView workbookViewId="0">
      <selection activeCell="D11" sqref="D11:J11"/>
    </sheetView>
  </sheetViews>
  <sheetFormatPr defaultRowHeight="15"/>
  <cols>
    <col min="1" max="1" width="44" customWidth="1"/>
  </cols>
  <sheetData>
    <row r="3" spans="1:10">
      <c r="A3" s="295" t="s">
        <v>57</v>
      </c>
      <c r="B3" s="295"/>
      <c r="C3" s="295"/>
      <c r="D3" s="295"/>
      <c r="E3" s="295"/>
      <c r="F3" s="295"/>
      <c r="G3" s="295"/>
      <c r="H3" s="295"/>
    </row>
    <row r="5" spans="1:10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0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</row>
    <row r="7" spans="1:10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</row>
    <row r="8" spans="1:10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</row>
    <row r="9" spans="1:10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</row>
    <row r="10" spans="1:10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0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</row>
    <row r="12" spans="1:10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</row>
    <row r="13" spans="1:10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</row>
    <row r="14" spans="1:10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</row>
    <row r="15" spans="1:10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0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28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  <pageSetup paperSize="9" scale="91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58</v>
      </c>
    </row>
    <row r="2" spans="1:21" ht="111.75">
      <c r="A2" s="64" t="s">
        <v>59</v>
      </c>
      <c r="B2" s="65" t="s">
        <v>60</v>
      </c>
      <c r="C2" s="65" t="s">
        <v>61</v>
      </c>
      <c r="D2" s="65" t="s">
        <v>62</v>
      </c>
      <c r="E2" s="65" t="s">
        <v>63</v>
      </c>
      <c r="F2" s="65" t="s">
        <v>64</v>
      </c>
      <c r="G2" s="65"/>
      <c r="H2" s="65"/>
      <c r="I2" s="65"/>
      <c r="J2" s="65"/>
      <c r="K2" s="65"/>
      <c r="L2" s="65"/>
      <c r="M2" s="65" t="s">
        <v>65</v>
      </c>
      <c r="N2" s="66"/>
      <c r="O2" s="66"/>
      <c r="P2" s="66" t="s">
        <v>66</v>
      </c>
      <c r="Q2" s="66"/>
      <c r="R2" s="66"/>
      <c r="S2" s="66"/>
      <c r="T2" s="66"/>
      <c r="U2" s="66" t="s">
        <v>67</v>
      </c>
    </row>
    <row r="3" spans="1:21">
      <c r="A3" s="13" t="s">
        <v>68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69</v>
      </c>
    </row>
    <row r="5" spans="1:21">
      <c r="A5" t="s">
        <v>70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71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72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73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74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75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76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77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78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79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80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activeCell="C4" sqref="C4:J5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354" t="s">
        <v>499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</row>
    <row r="2" spans="1:13" ht="15.75" thickBot="1"/>
    <row r="3" spans="1:13">
      <c r="A3" s="355" t="s">
        <v>81</v>
      </c>
      <c r="B3" s="67" t="s">
        <v>82</v>
      </c>
      <c r="C3" s="358" t="s">
        <v>83</v>
      </c>
      <c r="D3" s="359"/>
      <c r="E3" s="359"/>
      <c r="F3" s="360"/>
      <c r="G3" s="361" t="s">
        <v>500</v>
      </c>
      <c r="H3" s="362"/>
      <c r="I3" s="362"/>
      <c r="J3" s="363"/>
      <c r="K3" s="364" t="s">
        <v>84</v>
      </c>
      <c r="L3" s="365"/>
      <c r="M3" s="366"/>
    </row>
    <row r="4" spans="1:13">
      <c r="A4" s="356"/>
      <c r="B4" s="68" t="s">
        <v>85</v>
      </c>
      <c r="C4" s="373">
        <v>42.5</v>
      </c>
      <c r="D4" s="374"/>
      <c r="E4" s="374"/>
      <c r="F4" s="375"/>
      <c r="G4" s="376">
        <v>511.8</v>
      </c>
      <c r="H4" s="377"/>
      <c r="I4" s="377"/>
      <c r="J4" s="378"/>
      <c r="K4" s="367"/>
      <c r="L4" s="368"/>
      <c r="M4" s="369"/>
    </row>
    <row r="5" spans="1:13">
      <c r="A5" s="356"/>
      <c r="B5" s="68" t="s">
        <v>469</v>
      </c>
      <c r="C5" s="379">
        <f>33.4954</f>
        <v>33.495399999999997</v>
      </c>
      <c r="D5" s="380"/>
      <c r="E5" s="380"/>
      <c r="F5" s="381"/>
      <c r="G5" s="382">
        <v>1</v>
      </c>
      <c r="H5" s="383"/>
      <c r="I5" s="383"/>
      <c r="J5" s="384"/>
      <c r="K5" s="370"/>
      <c r="L5" s="371"/>
      <c r="M5" s="372"/>
    </row>
    <row r="6" spans="1:13" ht="52.5" thickBot="1">
      <c r="A6" s="357"/>
      <c r="B6" s="69" t="s">
        <v>86</v>
      </c>
      <c r="C6" s="238" t="s">
        <v>87</v>
      </c>
      <c r="D6" s="239" t="s">
        <v>88</v>
      </c>
      <c r="E6" s="240" t="s">
        <v>89</v>
      </c>
      <c r="F6" s="241" t="s">
        <v>90</v>
      </c>
      <c r="G6" s="70" t="s">
        <v>87</v>
      </c>
      <c r="H6" s="71" t="s">
        <v>88</v>
      </c>
      <c r="I6" s="72" t="s">
        <v>89</v>
      </c>
      <c r="J6" s="73" t="s">
        <v>90</v>
      </c>
      <c r="K6" s="74" t="s">
        <v>89</v>
      </c>
      <c r="L6" s="75" t="s">
        <v>90</v>
      </c>
      <c r="M6" s="76" t="s">
        <v>88</v>
      </c>
    </row>
    <row r="7" spans="1:13">
      <c r="A7" s="77"/>
      <c r="B7" s="68" t="s">
        <v>91</v>
      </c>
      <c r="C7" s="227">
        <f>2983/C5</f>
        <v>89.057004842455981</v>
      </c>
      <c r="D7" s="227" t="s">
        <v>92</v>
      </c>
      <c r="E7" s="93">
        <f>C7/$C$4*1000</f>
        <v>2095.4589374695524</v>
      </c>
      <c r="F7" s="242">
        <f>E7/12</f>
        <v>174.62157812246269</v>
      </c>
      <c r="G7" s="234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93</v>
      </c>
      <c r="C8" s="227">
        <f>2652.082/C5</f>
        <v>79.177498999862678</v>
      </c>
      <c r="D8" s="227" t="s">
        <v>92</v>
      </c>
      <c r="E8" s="93">
        <f t="shared" ref="E8:E25" si="0">C8/$C$4*1000</f>
        <v>1862.9999764673571</v>
      </c>
      <c r="F8" s="242">
        <f>E8/12</f>
        <v>155.24999803894642</v>
      </c>
      <c r="G8" s="234"/>
      <c r="H8" s="78"/>
      <c r="I8" s="79"/>
      <c r="J8" s="80"/>
      <c r="K8" s="81"/>
      <c r="L8" s="82"/>
      <c r="M8" s="83"/>
    </row>
    <row r="9" spans="1:13">
      <c r="A9" s="84" t="s">
        <v>94</v>
      </c>
      <c r="B9" s="85" t="s">
        <v>95</v>
      </c>
      <c r="C9" s="243">
        <f>1209.097/C5</f>
        <v>36.097404419711367</v>
      </c>
      <c r="D9" s="243" t="s">
        <v>92</v>
      </c>
      <c r="E9" s="93">
        <f t="shared" si="0"/>
        <v>849.35069222850279</v>
      </c>
      <c r="F9" s="244">
        <f t="shared" ref="F9:F11" si="1">E9/12</f>
        <v>70.779224352375238</v>
      </c>
      <c r="G9" s="235"/>
      <c r="H9" s="86"/>
      <c r="I9" s="87"/>
      <c r="J9" s="88"/>
      <c r="K9" s="89"/>
      <c r="L9" s="90"/>
      <c r="M9" s="91"/>
    </row>
    <row r="10" spans="1:13" ht="30">
      <c r="A10" s="84" t="s">
        <v>96</v>
      </c>
      <c r="B10" s="92" t="s">
        <v>97</v>
      </c>
      <c r="C10" s="243">
        <f>(477.854+78.673)/C5</f>
        <v>16.615027735151696</v>
      </c>
      <c r="D10" s="243" t="s">
        <v>92</v>
      </c>
      <c r="E10" s="93">
        <f t="shared" si="0"/>
        <v>390.94182906239286</v>
      </c>
      <c r="F10" s="244">
        <f t="shared" si="1"/>
        <v>32.578485755199402</v>
      </c>
      <c r="G10" s="235"/>
      <c r="H10" s="86"/>
      <c r="I10" s="87"/>
      <c r="J10" s="88"/>
      <c r="K10" s="89"/>
      <c r="L10" s="90"/>
      <c r="M10" s="91"/>
    </row>
    <row r="11" spans="1:13">
      <c r="A11" s="84" t="s">
        <v>98</v>
      </c>
      <c r="B11" s="85" t="s">
        <v>99</v>
      </c>
      <c r="C11" s="243">
        <f>886.458/C5</f>
        <v>26.465066844999615</v>
      </c>
      <c r="D11" s="243" t="s">
        <v>92</v>
      </c>
      <c r="E11" s="93">
        <f t="shared" si="0"/>
        <v>622.70745517646151</v>
      </c>
      <c r="F11" s="244">
        <f t="shared" si="1"/>
        <v>51.89228793137179</v>
      </c>
      <c r="G11" s="235"/>
      <c r="H11" s="86"/>
      <c r="I11" s="87"/>
      <c r="J11" s="88"/>
      <c r="K11" s="89"/>
      <c r="L11" s="90"/>
      <c r="M11" s="91"/>
    </row>
    <row r="12" spans="1:13">
      <c r="A12" s="77" t="s">
        <v>100</v>
      </c>
      <c r="B12" s="68" t="s">
        <v>101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242">
        <f>E12/12</f>
        <v>155.24999803894642</v>
      </c>
      <c r="G12" s="236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102</v>
      </c>
      <c r="B13" s="92" t="s">
        <v>103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242">
        <f t="shared" ref="F13:F25" si="2">E13/12</f>
        <v>74.364749060655328</v>
      </c>
      <c r="G13" s="237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104</v>
      </c>
      <c r="B14" s="92" t="s">
        <v>105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242">
        <f t="shared" si="2"/>
        <v>5.7442499274410173</v>
      </c>
      <c r="G14" s="237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106</v>
      </c>
      <c r="B15" s="92" t="s">
        <v>107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242">
        <f t="shared" si="2"/>
        <v>26.392499666620893</v>
      </c>
      <c r="G15" s="237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108</v>
      </c>
      <c r="B16" s="92" t="s">
        <v>109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242">
        <f t="shared" si="2"/>
        <v>4.8127499392073387</v>
      </c>
      <c r="G16" s="237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110</v>
      </c>
      <c r="B17" s="92" t="s">
        <v>111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242">
        <f t="shared" si="2"/>
        <v>8.5387498921420537</v>
      </c>
      <c r="G17" s="237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112</v>
      </c>
      <c r="B18" s="92" t="s">
        <v>113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242">
        <f t="shared" si="2"/>
        <v>5.8994999254799643</v>
      </c>
      <c r="G18" s="237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114</v>
      </c>
      <c r="B19" s="92" t="s">
        <v>115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242">
        <f t="shared" si="2"/>
        <v>3.1049999607789291</v>
      </c>
      <c r="G19" s="237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116</v>
      </c>
      <c r="B20" s="92" t="s">
        <v>117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242">
        <f t="shared" si="2"/>
        <v>6.0547499235189095</v>
      </c>
      <c r="G20" s="237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118</v>
      </c>
      <c r="B21" s="92" t="s">
        <v>119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242">
        <f t="shared" si="2"/>
        <v>3.8812499509736607</v>
      </c>
      <c r="G21" s="237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120</v>
      </c>
      <c r="B22" s="92" t="s">
        <v>121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242">
        <f t="shared" si="2"/>
        <v>3.5707499548957675</v>
      </c>
      <c r="G22" s="237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122</v>
      </c>
      <c r="B23" s="92" t="s">
        <v>123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242">
        <f t="shared" si="2"/>
        <v>3.7259999529347145</v>
      </c>
      <c r="G23" s="237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124</v>
      </c>
      <c r="B24" s="105" t="s">
        <v>125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242">
        <f t="shared" si="2"/>
        <v>1.7077499784284109</v>
      </c>
      <c r="G24" s="237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230" t="s">
        <v>346</v>
      </c>
      <c r="C25" s="100">
        <f t="shared" si="4"/>
        <v>3.8005199519934085</v>
      </c>
      <c r="D25" s="245">
        <v>4.8</v>
      </c>
      <c r="E25" s="93">
        <f t="shared" si="0"/>
        <v>89.423998870433152</v>
      </c>
      <c r="F25" s="242">
        <f t="shared" si="2"/>
        <v>7.4519999058694291</v>
      </c>
      <c r="G25" s="246">
        <f t="shared" si="5"/>
        <v>0</v>
      </c>
      <c r="H25" s="231"/>
      <c r="I25" s="231">
        <f t="shared" si="6"/>
        <v>0</v>
      </c>
      <c r="J25" s="233">
        <f t="shared" si="7"/>
        <v>0</v>
      </c>
      <c r="K25" s="232">
        <f t="shared" si="3"/>
        <v>-89.423998870433152</v>
      </c>
      <c r="L25" s="247">
        <f t="shared" si="3"/>
        <v>-7.4519999058694291</v>
      </c>
      <c r="M25" s="248">
        <f t="shared" si="8"/>
        <v>0</v>
      </c>
    </row>
    <row r="26" spans="1:22">
      <c r="A26" t="s">
        <v>126</v>
      </c>
    </row>
    <row r="27" spans="1:22">
      <c r="A27" t="s">
        <v>127</v>
      </c>
    </row>
    <row r="30" spans="1:22">
      <c r="B30" s="52" t="s">
        <v>128</v>
      </c>
      <c r="C30" s="52" t="s">
        <v>129</v>
      </c>
      <c r="D30" s="52" t="s">
        <v>130</v>
      </c>
      <c r="E30" s="52" t="s">
        <v>131</v>
      </c>
      <c r="F30" s="52" t="s">
        <v>132</v>
      </c>
      <c r="I30" s="385" t="s">
        <v>247</v>
      </c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111"/>
      <c r="V30" s="111"/>
    </row>
    <row r="31" spans="1:22">
      <c r="A31" s="52">
        <v>42090</v>
      </c>
      <c r="B31">
        <v>2017</v>
      </c>
      <c r="C31" t="s">
        <v>133</v>
      </c>
      <c r="D31" t="s">
        <v>134</v>
      </c>
      <c r="E31" t="s">
        <v>135</v>
      </c>
      <c r="F31" t="s">
        <v>136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352" t="s">
        <v>248</v>
      </c>
      <c r="V31" s="353"/>
    </row>
    <row r="32" spans="1:22">
      <c r="A32" s="52">
        <v>42091</v>
      </c>
      <c r="B32">
        <v>2017</v>
      </c>
      <c r="C32" t="s">
        <v>133</v>
      </c>
      <c r="D32" t="s">
        <v>134</v>
      </c>
      <c r="E32" t="s">
        <v>137</v>
      </c>
      <c r="F32" t="s">
        <v>138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249</v>
      </c>
      <c r="R32" s="114" t="s">
        <v>250</v>
      </c>
      <c r="S32" s="114" t="s">
        <v>251</v>
      </c>
      <c r="T32" s="114" t="s">
        <v>252</v>
      </c>
      <c r="U32" s="125" t="s">
        <v>253</v>
      </c>
      <c r="V32" s="135" t="s">
        <v>254</v>
      </c>
    </row>
    <row r="33" spans="1:22" ht="19.5">
      <c r="A33" s="52">
        <v>42092</v>
      </c>
      <c r="B33">
        <v>2017</v>
      </c>
      <c r="C33" t="s">
        <v>133</v>
      </c>
      <c r="D33" t="s">
        <v>134</v>
      </c>
      <c r="E33" t="s">
        <v>139</v>
      </c>
      <c r="F33" t="s">
        <v>140</v>
      </c>
      <c r="I33" s="115" t="s">
        <v>255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133</v>
      </c>
      <c r="D34" t="s">
        <v>134</v>
      </c>
      <c r="E34" t="s">
        <v>141</v>
      </c>
      <c r="F34" t="s">
        <v>142</v>
      </c>
      <c r="I34" s="118" t="s">
        <v>256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133</v>
      </c>
      <c r="D35" t="s">
        <v>134</v>
      </c>
      <c r="E35" t="s">
        <v>143</v>
      </c>
      <c r="F35" t="s">
        <v>144</v>
      </c>
      <c r="I35" s="121" t="s">
        <v>257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133</v>
      </c>
      <c r="D36" t="s">
        <v>134</v>
      </c>
      <c r="E36" t="s">
        <v>145</v>
      </c>
      <c r="F36" t="s">
        <v>146</v>
      </c>
      <c r="I36" s="121" t="s">
        <v>258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133</v>
      </c>
      <c r="D37" t="s">
        <v>134</v>
      </c>
      <c r="E37" t="s">
        <v>147</v>
      </c>
      <c r="F37" t="s">
        <v>148</v>
      </c>
      <c r="I37" s="121" t="s">
        <v>259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133</v>
      </c>
      <c r="D38" t="s">
        <v>134</v>
      </c>
      <c r="E38" t="s">
        <v>149</v>
      </c>
      <c r="F38" t="s">
        <v>150</v>
      </c>
      <c r="I38" s="121" t="s">
        <v>260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133</v>
      </c>
      <c r="D39" t="s">
        <v>134</v>
      </c>
      <c r="E39" t="s">
        <v>151</v>
      </c>
      <c r="F39" t="s">
        <v>152</v>
      </c>
      <c r="I39" s="118" t="s">
        <v>256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133</v>
      </c>
      <c r="D40" t="s">
        <v>134</v>
      </c>
      <c r="E40" t="s">
        <v>153</v>
      </c>
      <c r="F40" t="s">
        <v>154</v>
      </c>
      <c r="I40" s="122" t="s">
        <v>261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133</v>
      </c>
      <c r="D41" t="s">
        <v>134</v>
      </c>
      <c r="E41" t="s">
        <v>155</v>
      </c>
      <c r="F41" t="s">
        <v>156</v>
      </c>
      <c r="I41" s="122" t="s">
        <v>262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133</v>
      </c>
      <c r="D42" t="s">
        <v>134</v>
      </c>
      <c r="E42" t="s">
        <v>157</v>
      </c>
      <c r="F42" t="s">
        <v>158</v>
      </c>
      <c r="I42" s="122" t="s">
        <v>263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133</v>
      </c>
      <c r="D43" t="s">
        <v>134</v>
      </c>
      <c r="E43" t="s">
        <v>159</v>
      </c>
      <c r="F43" t="s">
        <v>160</v>
      </c>
      <c r="I43" s="115" t="s">
        <v>264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133</v>
      </c>
      <c r="D44" t="s">
        <v>134</v>
      </c>
      <c r="E44" t="s">
        <v>161</v>
      </c>
      <c r="F44" t="s">
        <v>162</v>
      </c>
      <c r="I44" s="118" t="s">
        <v>256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133</v>
      </c>
      <c r="D45" t="s">
        <v>134</v>
      </c>
      <c r="E45" t="s">
        <v>163</v>
      </c>
      <c r="F45" t="s">
        <v>164</v>
      </c>
      <c r="I45" s="121" t="s">
        <v>265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133</v>
      </c>
      <c r="D46" t="s">
        <v>134</v>
      </c>
      <c r="E46" t="s">
        <v>165</v>
      </c>
      <c r="F46" t="s">
        <v>166</v>
      </c>
      <c r="I46" s="121" t="s">
        <v>266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133</v>
      </c>
      <c r="D47" t="s">
        <v>134</v>
      </c>
      <c r="E47" t="s">
        <v>167</v>
      </c>
      <c r="F47" t="s">
        <v>168</v>
      </c>
      <c r="I47" s="121" t="s">
        <v>267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133</v>
      </c>
      <c r="D48" t="s">
        <v>134</v>
      </c>
      <c r="E48" t="s">
        <v>169</v>
      </c>
      <c r="F48" t="s">
        <v>170</v>
      </c>
      <c r="I48" s="118" t="s">
        <v>256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133</v>
      </c>
      <c r="D49" t="s">
        <v>134</v>
      </c>
      <c r="E49" t="s">
        <v>171</v>
      </c>
      <c r="F49" t="s">
        <v>172</v>
      </c>
      <c r="I49" s="122" t="s">
        <v>268</v>
      </c>
      <c r="J49" s="119" t="s">
        <v>269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133</v>
      </c>
      <c r="D50" t="s">
        <v>134</v>
      </c>
      <c r="E50" t="s">
        <v>173</v>
      </c>
      <c r="F50" t="s">
        <v>174</v>
      </c>
      <c r="I50" s="122" t="s">
        <v>270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133</v>
      </c>
      <c r="D51" t="s">
        <v>134</v>
      </c>
      <c r="E51" t="s">
        <v>175</v>
      </c>
      <c r="F51" t="s">
        <v>176</v>
      </c>
      <c r="I51" s="122" t="s">
        <v>262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133</v>
      </c>
      <c r="D52" t="s">
        <v>134</v>
      </c>
      <c r="E52" t="s">
        <v>177</v>
      </c>
      <c r="F52" t="s">
        <v>178</v>
      </c>
      <c r="I52" s="121" t="s">
        <v>271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133</v>
      </c>
      <c r="D53" t="s">
        <v>134</v>
      </c>
      <c r="E53" t="s">
        <v>179</v>
      </c>
      <c r="F53" t="s">
        <v>180</v>
      </c>
      <c r="I53" s="121" t="s">
        <v>272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133</v>
      </c>
      <c r="D54" t="s">
        <v>134</v>
      </c>
      <c r="E54" t="s">
        <v>181</v>
      </c>
      <c r="F54" t="s">
        <v>182</v>
      </c>
      <c r="I54" s="118" t="s">
        <v>256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133</v>
      </c>
      <c r="D55" t="s">
        <v>134</v>
      </c>
      <c r="E55" t="s">
        <v>183</v>
      </c>
      <c r="F55" t="s">
        <v>184</v>
      </c>
      <c r="I55" s="122" t="s">
        <v>273</v>
      </c>
      <c r="J55" s="119" t="s">
        <v>274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133</v>
      </c>
      <c r="D56" t="s">
        <v>134</v>
      </c>
      <c r="E56" t="s">
        <v>185</v>
      </c>
      <c r="F56" t="s">
        <v>186</v>
      </c>
      <c r="I56" s="122" t="s">
        <v>275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133</v>
      </c>
      <c r="D57" t="s">
        <v>134</v>
      </c>
      <c r="E57" t="s">
        <v>187</v>
      </c>
      <c r="F57" t="s">
        <v>188</v>
      </c>
      <c r="I57" s="122" t="s">
        <v>276</v>
      </c>
      <c r="J57" s="119" t="s">
        <v>277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133</v>
      </c>
      <c r="D58" t="s">
        <v>134</v>
      </c>
      <c r="E58" t="s">
        <v>189</v>
      </c>
      <c r="F58" t="s">
        <v>190</v>
      </c>
      <c r="I58" s="124" t="s">
        <v>278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133</v>
      </c>
      <c r="D59" t="s">
        <v>134</v>
      </c>
      <c r="E59" t="s">
        <v>191</v>
      </c>
      <c r="F59" t="s">
        <v>192</v>
      </c>
      <c r="I59" s="330" t="s">
        <v>279</v>
      </c>
      <c r="J59" s="332">
        <v>6332.1</v>
      </c>
      <c r="K59" s="332">
        <v>7771</v>
      </c>
      <c r="L59" s="332">
        <v>10126</v>
      </c>
      <c r="M59" s="332">
        <v>13716.3</v>
      </c>
      <c r="N59" s="332">
        <v>14372.8</v>
      </c>
      <c r="O59" s="332">
        <v>18485.599999999999</v>
      </c>
      <c r="P59" s="332">
        <v>21637.9</v>
      </c>
      <c r="Q59" s="332">
        <v>25206.400000000001</v>
      </c>
      <c r="R59" s="350">
        <v>26719.4</v>
      </c>
      <c r="S59" s="332">
        <v>26782.1</v>
      </c>
      <c r="T59" s="324">
        <v>31803.1</v>
      </c>
      <c r="U59" s="343">
        <v>37079.9</v>
      </c>
      <c r="V59" s="346">
        <v>47269.7</v>
      </c>
    </row>
    <row r="60" spans="1:22">
      <c r="A60" s="52">
        <v>42119</v>
      </c>
      <c r="B60">
        <v>2017</v>
      </c>
      <c r="C60" t="s">
        <v>133</v>
      </c>
      <c r="D60" t="s">
        <v>134</v>
      </c>
      <c r="E60" t="s">
        <v>193</v>
      </c>
      <c r="F60" t="s">
        <v>194</v>
      </c>
      <c r="I60" s="331"/>
      <c r="J60" s="333"/>
      <c r="K60" s="333"/>
      <c r="L60" s="333"/>
      <c r="M60" s="333"/>
      <c r="N60" s="333"/>
      <c r="O60" s="333"/>
      <c r="P60" s="333"/>
      <c r="Q60" s="333"/>
      <c r="R60" s="351"/>
      <c r="S60" s="333"/>
      <c r="T60" s="326"/>
      <c r="U60" s="344"/>
      <c r="V60" s="347"/>
    </row>
    <row r="61" spans="1:22">
      <c r="A61" s="52">
        <v>42120</v>
      </c>
      <c r="B61">
        <v>2017</v>
      </c>
      <c r="C61" t="s">
        <v>133</v>
      </c>
      <c r="D61" t="s">
        <v>134</v>
      </c>
      <c r="E61" t="s">
        <v>195</v>
      </c>
      <c r="F61" t="s">
        <v>196</v>
      </c>
      <c r="I61" s="330" t="s">
        <v>280</v>
      </c>
      <c r="J61" s="327">
        <v>123.9</v>
      </c>
      <c r="K61" s="327">
        <v>111.8</v>
      </c>
      <c r="L61" s="327">
        <v>114.8</v>
      </c>
      <c r="M61" s="327">
        <v>107.6</v>
      </c>
      <c r="N61" s="327">
        <v>90</v>
      </c>
      <c r="O61" s="327">
        <v>117.1</v>
      </c>
      <c r="P61" s="327">
        <v>108</v>
      </c>
      <c r="Q61" s="327">
        <v>113.9</v>
      </c>
      <c r="R61" s="334">
        <v>106.1</v>
      </c>
      <c r="S61" s="327">
        <v>88.5</v>
      </c>
      <c r="T61" s="324">
        <v>79.599999999999994</v>
      </c>
      <c r="U61" s="340">
        <v>102</v>
      </c>
      <c r="V61" s="348">
        <v>110.9</v>
      </c>
    </row>
    <row r="62" spans="1:22">
      <c r="A62" s="52">
        <v>42121</v>
      </c>
      <c r="B62">
        <v>2017</v>
      </c>
      <c r="C62" t="s">
        <v>133</v>
      </c>
      <c r="D62" t="s">
        <v>134</v>
      </c>
      <c r="E62" t="s">
        <v>197</v>
      </c>
      <c r="F62" t="s">
        <v>198</v>
      </c>
      <c r="I62" s="345"/>
      <c r="J62" s="328"/>
      <c r="K62" s="328"/>
      <c r="L62" s="328"/>
      <c r="M62" s="328"/>
      <c r="N62" s="328"/>
      <c r="O62" s="328"/>
      <c r="P62" s="328"/>
      <c r="Q62" s="328"/>
      <c r="R62" s="335"/>
      <c r="S62" s="328"/>
      <c r="T62" s="325"/>
      <c r="U62" s="341"/>
      <c r="V62" s="349"/>
    </row>
    <row r="63" spans="1:22">
      <c r="A63" s="52">
        <v>42122</v>
      </c>
      <c r="B63">
        <v>2017</v>
      </c>
      <c r="C63" t="s">
        <v>133</v>
      </c>
      <c r="D63" t="s">
        <v>134</v>
      </c>
      <c r="E63" t="s">
        <v>199</v>
      </c>
      <c r="F63" t="s">
        <v>200</v>
      </c>
      <c r="I63" s="331"/>
      <c r="J63" s="329"/>
      <c r="K63" s="329"/>
      <c r="L63" s="329"/>
      <c r="M63" s="329"/>
      <c r="N63" s="329"/>
      <c r="O63" s="329"/>
      <c r="P63" s="329"/>
      <c r="Q63" s="329"/>
      <c r="R63" s="336"/>
      <c r="S63" s="329"/>
      <c r="T63" s="326"/>
      <c r="U63" s="342"/>
      <c r="V63" s="349"/>
    </row>
    <row r="64" spans="1:22" ht="16.5">
      <c r="A64" s="52">
        <v>42123</v>
      </c>
      <c r="B64">
        <v>2017</v>
      </c>
      <c r="C64" t="s">
        <v>133</v>
      </c>
      <c r="D64" t="s">
        <v>134</v>
      </c>
      <c r="E64" t="s">
        <v>201</v>
      </c>
      <c r="F64" t="s">
        <v>150</v>
      </c>
      <c r="I64" s="337" t="s">
        <v>281</v>
      </c>
      <c r="J64" s="337"/>
      <c r="K64" s="337"/>
      <c r="L64" s="337"/>
      <c r="M64" s="337"/>
      <c r="N64" s="337"/>
      <c r="O64" s="337"/>
      <c r="P64" s="337"/>
      <c r="Q64" s="337"/>
      <c r="R64" s="337"/>
      <c r="S64" s="337"/>
      <c r="T64" s="337"/>
      <c r="U64" s="337"/>
      <c r="V64" s="338"/>
    </row>
    <row r="65" spans="1:22">
      <c r="A65" s="52">
        <v>42124</v>
      </c>
      <c r="B65">
        <v>2017</v>
      </c>
      <c r="C65" t="s">
        <v>133</v>
      </c>
      <c r="D65" t="s">
        <v>134</v>
      </c>
      <c r="E65" t="s">
        <v>202</v>
      </c>
      <c r="F65" t="s">
        <v>150</v>
      </c>
      <c r="I65" s="339" t="s">
        <v>282</v>
      </c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8"/>
    </row>
    <row r="66" spans="1:22">
      <c r="A66" s="52">
        <v>42125</v>
      </c>
      <c r="B66">
        <v>2017</v>
      </c>
      <c r="C66" t="s">
        <v>133</v>
      </c>
      <c r="D66" t="s">
        <v>134</v>
      </c>
      <c r="E66" t="s">
        <v>203</v>
      </c>
      <c r="F66" t="s">
        <v>150</v>
      </c>
    </row>
    <row r="67" spans="1:22">
      <c r="A67" s="52">
        <v>42126</v>
      </c>
      <c r="B67">
        <v>2017</v>
      </c>
      <c r="C67" t="s">
        <v>133</v>
      </c>
      <c r="D67" t="s">
        <v>134</v>
      </c>
      <c r="E67" t="s">
        <v>204</v>
      </c>
      <c r="F67" t="s">
        <v>205</v>
      </c>
    </row>
    <row r="68" spans="1:22">
      <c r="A68" s="52">
        <v>42127</v>
      </c>
      <c r="B68">
        <v>2017</v>
      </c>
      <c r="C68" t="s">
        <v>133</v>
      </c>
      <c r="D68" t="s">
        <v>134</v>
      </c>
      <c r="E68" t="s">
        <v>206</v>
      </c>
      <c r="F68" t="s">
        <v>207</v>
      </c>
    </row>
    <row r="69" spans="1:22">
      <c r="A69" s="52">
        <v>42128</v>
      </c>
      <c r="B69">
        <v>2017</v>
      </c>
      <c r="C69" t="s">
        <v>133</v>
      </c>
      <c r="D69" t="s">
        <v>134</v>
      </c>
      <c r="E69" t="s">
        <v>208</v>
      </c>
      <c r="F69" t="s">
        <v>209</v>
      </c>
      <c r="I69" s="136"/>
      <c r="J69" s="313" t="s">
        <v>283</v>
      </c>
      <c r="K69" s="313"/>
      <c r="L69" s="313"/>
      <c r="M69" s="313"/>
      <c r="N69" s="313"/>
      <c r="O69" s="313"/>
      <c r="P69" s="313"/>
      <c r="Q69" s="313"/>
      <c r="R69" s="136"/>
    </row>
    <row r="70" spans="1:22">
      <c r="A70" s="52">
        <v>42129</v>
      </c>
      <c r="B70">
        <v>2017</v>
      </c>
      <c r="C70" t="s">
        <v>133</v>
      </c>
      <c r="D70" t="s">
        <v>134</v>
      </c>
      <c r="E70" t="s">
        <v>210</v>
      </c>
      <c r="F70" t="s">
        <v>211</v>
      </c>
      <c r="I70" s="317" t="s">
        <v>284</v>
      </c>
      <c r="J70" s="317"/>
      <c r="K70" s="317"/>
      <c r="L70" s="317"/>
      <c r="M70" s="317"/>
      <c r="N70" s="317"/>
      <c r="O70" s="317"/>
      <c r="P70" s="317"/>
      <c r="Q70" s="317"/>
      <c r="R70" s="317"/>
    </row>
    <row r="71" spans="1:22">
      <c r="A71" s="52">
        <v>42130</v>
      </c>
      <c r="B71">
        <v>2017</v>
      </c>
      <c r="C71" t="s">
        <v>133</v>
      </c>
      <c r="D71" t="s">
        <v>134</v>
      </c>
      <c r="E71" t="s">
        <v>212</v>
      </c>
      <c r="F71" t="s">
        <v>213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285</v>
      </c>
      <c r="P71" s="148" t="s">
        <v>286</v>
      </c>
      <c r="Q71" s="148" t="s">
        <v>287</v>
      </c>
      <c r="R71" s="144" t="s">
        <v>288</v>
      </c>
    </row>
    <row r="72" spans="1:22" ht="216.75">
      <c r="A72" s="52">
        <v>42131</v>
      </c>
      <c r="B72">
        <v>2017</v>
      </c>
      <c r="C72" t="s">
        <v>133</v>
      </c>
      <c r="D72" t="s">
        <v>134</v>
      </c>
      <c r="E72" t="s">
        <v>214</v>
      </c>
      <c r="F72" t="s">
        <v>215</v>
      </c>
      <c r="I72" s="136"/>
      <c r="J72" s="145" t="s">
        <v>289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133</v>
      </c>
      <c r="D73" t="s">
        <v>134</v>
      </c>
      <c r="E73" t="s">
        <v>216</v>
      </c>
      <c r="F73" t="s">
        <v>217</v>
      </c>
      <c r="I73" s="136"/>
      <c r="J73" s="138" t="s">
        <v>290</v>
      </c>
      <c r="K73" s="314" t="s">
        <v>291</v>
      </c>
      <c r="L73" s="315"/>
      <c r="M73" s="315"/>
      <c r="N73" s="315"/>
      <c r="O73" s="315"/>
      <c r="P73" s="315"/>
      <c r="Q73" s="315"/>
      <c r="R73" s="316"/>
    </row>
    <row r="74" spans="1:22" ht="25.5">
      <c r="A74" s="52">
        <v>42133</v>
      </c>
      <c r="B74">
        <v>2017</v>
      </c>
      <c r="C74" t="s">
        <v>133</v>
      </c>
      <c r="D74" t="s">
        <v>134</v>
      </c>
      <c r="E74" t="s">
        <v>218</v>
      </c>
      <c r="F74" t="s">
        <v>219</v>
      </c>
      <c r="I74" s="136"/>
      <c r="J74" s="139" t="s">
        <v>292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133</v>
      </c>
      <c r="D75" t="s">
        <v>134</v>
      </c>
      <c r="E75" t="s">
        <v>220</v>
      </c>
      <c r="F75" t="s">
        <v>150</v>
      </c>
      <c r="I75" s="136"/>
      <c r="J75" s="139" t="s">
        <v>293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133</v>
      </c>
      <c r="D76" t="s">
        <v>134</v>
      </c>
      <c r="E76" t="s">
        <v>221</v>
      </c>
      <c r="F76" t="s">
        <v>150</v>
      </c>
      <c r="I76" s="136"/>
      <c r="J76" s="139" t="s">
        <v>294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133</v>
      </c>
      <c r="D77" t="s">
        <v>134</v>
      </c>
      <c r="E77" t="s">
        <v>222</v>
      </c>
      <c r="F77" t="s">
        <v>150</v>
      </c>
      <c r="I77" s="136"/>
      <c r="J77" s="139" t="s">
        <v>295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133</v>
      </c>
      <c r="D78" t="s">
        <v>134</v>
      </c>
      <c r="E78" t="s">
        <v>223</v>
      </c>
      <c r="F78" t="s">
        <v>150</v>
      </c>
      <c r="I78" s="136"/>
      <c r="J78" s="139" t="s">
        <v>296</v>
      </c>
      <c r="K78" s="141" t="s">
        <v>297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133</v>
      </c>
      <c r="D79" t="s">
        <v>134</v>
      </c>
      <c r="E79" t="s">
        <v>224</v>
      </c>
      <c r="F79" t="s">
        <v>150</v>
      </c>
      <c r="I79" s="136"/>
      <c r="J79" s="139" t="s">
        <v>298</v>
      </c>
      <c r="K79" s="141" t="s">
        <v>299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133</v>
      </c>
      <c r="D80" t="s">
        <v>134</v>
      </c>
      <c r="E80" t="s">
        <v>225</v>
      </c>
      <c r="F80" t="s">
        <v>226</v>
      </c>
      <c r="I80" s="136"/>
      <c r="J80" s="139" t="s">
        <v>300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133</v>
      </c>
      <c r="D81" t="s">
        <v>134</v>
      </c>
      <c r="E81" t="s">
        <v>227</v>
      </c>
      <c r="F81" t="s">
        <v>228</v>
      </c>
      <c r="I81" s="136"/>
      <c r="J81" s="139" t="s">
        <v>301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133</v>
      </c>
      <c r="D82" t="s">
        <v>134</v>
      </c>
      <c r="E82" t="s">
        <v>229</v>
      </c>
      <c r="F82" t="s">
        <v>230</v>
      </c>
      <c r="I82" s="136"/>
      <c r="J82" s="139" t="s">
        <v>302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133</v>
      </c>
      <c r="D83" t="s">
        <v>134</v>
      </c>
      <c r="E83" t="s">
        <v>231</v>
      </c>
      <c r="F83" t="s">
        <v>232</v>
      </c>
      <c r="I83" s="136"/>
      <c r="J83" s="139" t="s">
        <v>303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133</v>
      </c>
      <c r="D84" t="s">
        <v>134</v>
      </c>
      <c r="E84" t="s">
        <v>233</v>
      </c>
      <c r="F84" t="s">
        <v>234</v>
      </c>
      <c r="J84" s="140" t="s">
        <v>304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133</v>
      </c>
      <c r="D85" t="s">
        <v>134</v>
      </c>
      <c r="E85" t="s">
        <v>235</v>
      </c>
      <c r="F85" t="s">
        <v>236</v>
      </c>
      <c r="J85" s="151" t="s">
        <v>305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133</v>
      </c>
      <c r="D86" t="s">
        <v>134</v>
      </c>
      <c r="E86" t="s">
        <v>237</v>
      </c>
      <c r="F86" t="s">
        <v>150</v>
      </c>
    </row>
    <row r="87" spans="1:18">
      <c r="A87" s="52">
        <v>42146</v>
      </c>
      <c r="B87">
        <v>2017</v>
      </c>
      <c r="C87" t="s">
        <v>133</v>
      </c>
      <c r="D87" t="s">
        <v>134</v>
      </c>
      <c r="E87" t="s">
        <v>238</v>
      </c>
      <c r="F87" t="s">
        <v>239</v>
      </c>
    </row>
    <row r="88" spans="1:18">
      <c r="A88" s="52">
        <v>42147</v>
      </c>
      <c r="B88">
        <v>2017</v>
      </c>
      <c r="C88" t="s">
        <v>133</v>
      </c>
      <c r="D88" t="s">
        <v>134</v>
      </c>
      <c r="E88" t="s">
        <v>240</v>
      </c>
      <c r="F88" t="s">
        <v>241</v>
      </c>
    </row>
    <row r="89" spans="1:18">
      <c r="A89" s="52">
        <v>42148</v>
      </c>
      <c r="B89">
        <v>2017</v>
      </c>
      <c r="C89" t="s">
        <v>133</v>
      </c>
      <c r="D89" t="s">
        <v>134</v>
      </c>
      <c r="E89" t="s">
        <v>242</v>
      </c>
      <c r="F89" t="s">
        <v>243</v>
      </c>
    </row>
    <row r="90" spans="1:18">
      <c r="A90" s="52">
        <v>42149</v>
      </c>
      <c r="B90">
        <v>2017</v>
      </c>
      <c r="C90" t="s">
        <v>133</v>
      </c>
      <c r="D90" t="s">
        <v>134</v>
      </c>
      <c r="E90" t="s">
        <v>244</v>
      </c>
      <c r="F90" t="s">
        <v>245</v>
      </c>
    </row>
    <row r="91" spans="1:18">
      <c r="A91" s="52">
        <v>42150</v>
      </c>
      <c r="B91">
        <v>2017</v>
      </c>
      <c r="C91" t="s">
        <v>133</v>
      </c>
      <c r="D91" t="s">
        <v>134</v>
      </c>
      <c r="E91" t="s">
        <v>246</v>
      </c>
      <c r="F91" t="s">
        <v>150</v>
      </c>
    </row>
    <row r="96" spans="1:18" ht="15.75">
      <c r="C96" s="303" t="s">
        <v>306</v>
      </c>
      <c r="D96" s="303"/>
      <c r="E96" s="303"/>
      <c r="F96" s="303"/>
      <c r="G96" s="303"/>
      <c r="H96" s="303"/>
      <c r="I96" s="303"/>
      <c r="J96" s="304"/>
    </row>
    <row r="97" spans="3:10">
      <c r="C97" s="319"/>
      <c r="D97" s="307">
        <v>2017</v>
      </c>
      <c r="E97" s="322"/>
      <c r="F97" s="322"/>
      <c r="G97" s="322"/>
      <c r="H97" s="322"/>
      <c r="I97" s="322"/>
      <c r="J97" s="323"/>
    </row>
    <row r="98" spans="3:10">
      <c r="C98" s="320"/>
      <c r="D98" s="305" t="s">
        <v>307</v>
      </c>
      <c r="E98" s="307" t="s">
        <v>308</v>
      </c>
      <c r="F98" s="308"/>
      <c r="G98" s="305" t="s">
        <v>309</v>
      </c>
      <c r="H98" s="310" t="s">
        <v>310</v>
      </c>
      <c r="I98" s="310" t="s">
        <v>311</v>
      </c>
      <c r="J98" s="307" t="s">
        <v>312</v>
      </c>
    </row>
    <row r="99" spans="3:10">
      <c r="C99" s="321"/>
      <c r="D99" s="306"/>
      <c r="E99" s="163" t="s">
        <v>313</v>
      </c>
      <c r="F99" s="162" t="s">
        <v>314</v>
      </c>
      <c r="G99" s="309"/>
      <c r="H99" s="311"/>
      <c r="I99" s="311"/>
      <c r="J99" s="312"/>
    </row>
    <row r="100" spans="3:10" ht="51">
      <c r="C100" s="165" t="s">
        <v>315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318" t="s">
        <v>291</v>
      </c>
      <c r="D101" s="302"/>
      <c r="E101" s="302"/>
      <c r="F101" s="302"/>
      <c r="G101" s="302"/>
      <c r="H101" s="302"/>
      <c r="I101" s="302"/>
      <c r="J101" s="302"/>
    </row>
    <row r="102" spans="3:10" ht="38.25">
      <c r="C102" s="166" t="s">
        <v>316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317</v>
      </c>
      <c r="D103" s="318"/>
      <c r="E103" s="318"/>
      <c r="F103" s="318"/>
      <c r="G103" s="318"/>
      <c r="H103" s="318"/>
      <c r="I103" s="318"/>
      <c r="J103" s="178"/>
    </row>
    <row r="104" spans="3:10" ht="89.25">
      <c r="C104" s="168" t="s">
        <v>318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319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320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321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322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323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324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325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326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327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328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329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330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331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332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333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334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335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336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337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338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339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340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341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342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343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344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345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346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347</v>
      </c>
      <c r="D133" s="153"/>
      <c r="E133" s="153"/>
      <c r="F133" s="153"/>
      <c r="G133" s="153"/>
      <c r="H133" s="153"/>
      <c r="I133" s="153"/>
      <c r="J133" s="153"/>
    </row>
    <row r="134" spans="3:10">
      <c r="C134" s="300" t="s">
        <v>348</v>
      </c>
      <c r="D134" s="301"/>
      <c r="E134" s="301"/>
      <c r="F134" s="301"/>
      <c r="G134" s="301"/>
      <c r="H134" s="301"/>
      <c r="I134" s="301"/>
      <c r="J134" s="302"/>
    </row>
  </sheetData>
  <mergeCells count="56"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J69:Q69"/>
    <mergeCell ref="K73:R73"/>
    <mergeCell ref="I70:R70"/>
    <mergeCell ref="C101:J101"/>
    <mergeCell ref="D103:I103"/>
    <mergeCell ref="C97:C99"/>
    <mergeCell ref="D97:J97"/>
    <mergeCell ref="C134:J134"/>
    <mergeCell ref="C96:J96"/>
    <mergeCell ref="D98:D99"/>
    <mergeCell ref="E98:F98"/>
    <mergeCell ref="G98:G99"/>
    <mergeCell ref="I98:I99"/>
    <mergeCell ref="H98:H99"/>
    <mergeCell ref="J98:J99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90"/>
  <sheetViews>
    <sheetView topLeftCell="R4" workbookViewId="0">
      <selection activeCell="AA6" sqref="AA6:AH6"/>
    </sheetView>
  </sheetViews>
  <sheetFormatPr defaultRowHeight="15"/>
  <cols>
    <col min="1" max="1" width="32.85546875" customWidth="1"/>
    <col min="27" max="28" width="10" bestFit="1" customWidth="1"/>
    <col min="30" max="34" width="10" bestFit="1" customWidth="1"/>
  </cols>
  <sheetData>
    <row r="1" spans="1:34" ht="19.5">
      <c r="A1" s="192" t="s">
        <v>374</v>
      </c>
    </row>
    <row r="2" spans="1:34" ht="31.5">
      <c r="A2" s="193"/>
      <c r="B2" s="194" t="s">
        <v>375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34">
      <c r="A3" s="197" t="s">
        <v>376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34">
      <c r="A4" s="194"/>
      <c r="B4" s="198"/>
      <c r="C4" s="390" t="s">
        <v>377</v>
      </c>
      <c r="D4" s="391"/>
      <c r="E4" s="391"/>
      <c r="F4" s="391"/>
      <c r="G4" s="392"/>
      <c r="Z4" t="s">
        <v>470</v>
      </c>
    </row>
    <row r="5" spans="1:34">
      <c r="A5" s="200" t="s">
        <v>359</v>
      </c>
      <c r="B5" s="201" t="s">
        <v>378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93" t="s">
        <v>421</v>
      </c>
      <c r="N5" s="393"/>
      <c r="O5" s="393"/>
      <c r="P5" s="393"/>
      <c r="Q5" s="393"/>
      <c r="R5" s="393"/>
      <c r="S5" s="393"/>
      <c r="T5" s="393"/>
      <c r="U5" s="393"/>
      <c r="V5" s="393"/>
      <c r="Z5" t="s">
        <v>471</v>
      </c>
    </row>
    <row r="6" spans="1:34" ht="31.5">
      <c r="A6" s="200" t="s">
        <v>379</v>
      </c>
      <c r="B6" s="201" t="s">
        <v>380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R6" s="206"/>
      <c r="S6" s="206"/>
      <c r="T6" s="206"/>
      <c r="U6" s="206"/>
      <c r="V6" s="206"/>
      <c r="Z6" s="199" t="s">
        <v>376</v>
      </c>
      <c r="AA6" s="199">
        <v>7.9356</v>
      </c>
      <c r="AB6" s="199">
        <v>7.9676</v>
      </c>
      <c r="AC6" s="199">
        <v>7.9909999999999997</v>
      </c>
      <c r="AD6" s="249">
        <v>7.9930000000000003</v>
      </c>
      <c r="AE6" s="249">
        <v>11.886699999999999</v>
      </c>
      <c r="AF6" s="249">
        <v>21.8447</v>
      </c>
      <c r="AG6" s="249">
        <v>25.551300000000001</v>
      </c>
      <c r="AH6" s="249">
        <v>26.596599999999999</v>
      </c>
    </row>
    <row r="7" spans="1:34" ht="21">
      <c r="A7" s="200" t="s">
        <v>381</v>
      </c>
      <c r="B7" s="201" t="s">
        <v>382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375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  <c r="Y7" s="208"/>
      <c r="Z7" s="209" t="s">
        <v>375</v>
      </c>
      <c r="AA7" s="209">
        <v>2010</v>
      </c>
      <c r="AB7" s="209">
        <v>2011</v>
      </c>
      <c r="AC7" s="209">
        <v>2012</v>
      </c>
      <c r="AD7" s="209">
        <v>2013</v>
      </c>
      <c r="AE7" s="209">
        <v>2014</v>
      </c>
      <c r="AF7" s="209">
        <v>2015</v>
      </c>
      <c r="AG7" s="210">
        <v>2016</v>
      </c>
      <c r="AH7" s="210">
        <v>2017</v>
      </c>
    </row>
    <row r="8" spans="1:34" ht="21">
      <c r="A8" s="200" t="s">
        <v>383</v>
      </c>
      <c r="B8" s="201" t="s">
        <v>384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86" t="s">
        <v>422</v>
      </c>
      <c r="P8" s="387"/>
      <c r="Q8" s="387"/>
      <c r="R8" s="387"/>
      <c r="S8" s="387"/>
      <c r="T8" s="387"/>
      <c r="U8" s="387"/>
      <c r="V8" s="388"/>
      <c r="Y8" s="208"/>
      <c r="Z8" s="208"/>
      <c r="AA8" s="386" t="s">
        <v>472</v>
      </c>
      <c r="AB8" s="387"/>
      <c r="AC8" s="387"/>
      <c r="AD8" s="387"/>
      <c r="AE8" s="387"/>
      <c r="AF8" s="387"/>
      <c r="AG8" s="387"/>
      <c r="AH8" s="388"/>
    </row>
    <row r="9" spans="1:34" ht="52.5">
      <c r="A9" s="200" t="s">
        <v>362</v>
      </c>
      <c r="B9" s="201" t="s">
        <v>385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423</v>
      </c>
      <c r="N9" s="211"/>
      <c r="O9" s="215">
        <v>2507439</v>
      </c>
      <c r="P9" s="215">
        <v>3045241</v>
      </c>
      <c r="Q9" s="215">
        <v>3234174</v>
      </c>
      <c r="R9" s="215">
        <v>3260553</v>
      </c>
      <c r="S9" s="215">
        <v>3558223</v>
      </c>
      <c r="T9" s="215">
        <v>4488398</v>
      </c>
      <c r="U9" s="215">
        <v>5420433</v>
      </c>
      <c r="V9" s="215">
        <v>6719718</v>
      </c>
      <c r="Y9" s="208" t="s">
        <v>423</v>
      </c>
      <c r="Z9" s="211"/>
      <c r="AA9" s="250">
        <f>O9/$AA$6</f>
        <v>315973.46136398002</v>
      </c>
      <c r="AB9" s="250">
        <f>P9/$AB$6</f>
        <v>382203.047341734</v>
      </c>
      <c r="AC9" s="250">
        <f>Q9/$AC$6</f>
        <v>404727.06795144541</v>
      </c>
      <c r="AD9" s="250">
        <f>R9/$AD$6</f>
        <v>407926.06030276488</v>
      </c>
      <c r="AE9" s="250">
        <f>S9/$AE$6</f>
        <v>299344.89807936602</v>
      </c>
      <c r="AF9" s="250">
        <f>T9/$AF$6</f>
        <v>205468.51181293404</v>
      </c>
      <c r="AG9" s="250">
        <f>U9/$AG$6</f>
        <v>212139.22579281678</v>
      </c>
      <c r="AH9" s="250">
        <f>V9/$AH$6</f>
        <v>252653.27147078951</v>
      </c>
    </row>
    <row r="10" spans="1:34" ht="78.75">
      <c r="A10" s="200" t="s">
        <v>386</v>
      </c>
      <c r="B10" s="201" t="s">
        <v>387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381</v>
      </c>
      <c r="N10" s="211" t="s">
        <v>382</v>
      </c>
      <c r="O10" s="216">
        <v>189373</v>
      </c>
      <c r="P10" s="216">
        <v>253485</v>
      </c>
      <c r="Q10" s="216">
        <v>261707</v>
      </c>
      <c r="R10" s="216">
        <v>306998</v>
      </c>
      <c r="S10" s="216">
        <v>381227</v>
      </c>
      <c r="T10" s="216">
        <v>558788</v>
      </c>
      <c r="U10" s="216">
        <v>655569</v>
      </c>
      <c r="V10" s="216">
        <v>727352</v>
      </c>
      <c r="Y10" s="212" t="s">
        <v>381</v>
      </c>
      <c r="Z10" s="211" t="s">
        <v>382</v>
      </c>
      <c r="AA10" s="251">
        <f>O10/$AA$6</f>
        <v>23863.728010484399</v>
      </c>
      <c r="AB10" s="251">
        <f t="shared" ref="AB10:AB31" si="0">P10/$AB$6</f>
        <v>31814.473618153523</v>
      </c>
      <c r="AC10" s="251">
        <f t="shared" ref="AC10:AC31" si="1">Q10/$AC$6</f>
        <v>32750.218996370917</v>
      </c>
      <c r="AD10" s="251">
        <f t="shared" ref="AD10:AD31" si="2">R10/$AD$6</f>
        <v>38408.357312648564</v>
      </c>
      <c r="AE10" s="251">
        <f t="shared" ref="AE10:AE31" si="3">S10/$AE$6</f>
        <v>32071.72722454508</v>
      </c>
      <c r="AF10" s="251">
        <f t="shared" ref="AF10:AF31" si="4">T10/$AF$6</f>
        <v>25580.026276396562</v>
      </c>
      <c r="AG10" s="251">
        <f t="shared" ref="AG10:AG31" si="5">U10/$AG$6</f>
        <v>25656.972443672141</v>
      </c>
      <c r="AH10" s="251">
        <f t="shared" ref="AH10:AH31" si="6">V10/$AH$6</f>
        <v>27347.555702608606</v>
      </c>
    </row>
    <row r="11" spans="1:34" ht="56.25">
      <c r="A11" s="200" t="s">
        <v>388</v>
      </c>
      <c r="B11" s="201" t="s">
        <v>389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386</v>
      </c>
      <c r="N11" s="211" t="s">
        <v>387</v>
      </c>
      <c r="O11" s="216">
        <v>118720</v>
      </c>
      <c r="P11" s="216">
        <v>156001</v>
      </c>
      <c r="Q11" s="216">
        <v>151486</v>
      </c>
      <c r="R11" s="216">
        <v>153957</v>
      </c>
      <c r="S11" s="216">
        <v>156192</v>
      </c>
      <c r="T11" s="216">
        <v>186194</v>
      </c>
      <c r="U11" s="216">
        <v>253770</v>
      </c>
      <c r="V11" s="216">
        <v>344157</v>
      </c>
      <c r="Y11" s="212" t="s">
        <v>386</v>
      </c>
      <c r="Z11" s="211" t="s">
        <v>387</v>
      </c>
      <c r="AA11" s="251">
        <f t="shared" ref="AA11:AA31" si="7">O11/$AA$6</f>
        <v>14960.431473360553</v>
      </c>
      <c r="AB11" s="251">
        <f t="shared" si="0"/>
        <v>19579.421657713741</v>
      </c>
      <c r="AC11" s="251">
        <f t="shared" si="1"/>
        <v>18957.076711300215</v>
      </c>
      <c r="AD11" s="251">
        <f t="shared" si="2"/>
        <v>19261.478793944701</v>
      </c>
      <c r="AE11" s="251">
        <f t="shared" si="3"/>
        <v>13140.064105260502</v>
      </c>
      <c r="AF11" s="251">
        <f t="shared" si="4"/>
        <v>8523.5320237860906</v>
      </c>
      <c r="AG11" s="251">
        <f t="shared" si="5"/>
        <v>9931.7842927757101</v>
      </c>
      <c r="AH11" s="251">
        <f t="shared" si="6"/>
        <v>12939.887053232369</v>
      </c>
    </row>
    <row r="12" spans="1:34" ht="33.75">
      <c r="A12" s="200" t="s">
        <v>390</v>
      </c>
      <c r="B12" s="201" t="s">
        <v>391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424</v>
      </c>
      <c r="N12" s="211" t="s">
        <v>425</v>
      </c>
      <c r="O12" s="216">
        <v>792317</v>
      </c>
      <c r="P12" s="216">
        <v>948757</v>
      </c>
      <c r="Q12" s="216">
        <v>952726</v>
      </c>
      <c r="R12" s="216">
        <v>883426</v>
      </c>
      <c r="S12" s="216">
        <v>975675</v>
      </c>
      <c r="T12" s="216">
        <v>1206047</v>
      </c>
      <c r="U12" s="216">
        <v>1458786</v>
      </c>
      <c r="V12" s="216">
        <v>1805097</v>
      </c>
      <c r="Y12" s="212" t="s">
        <v>424</v>
      </c>
      <c r="Z12" s="211" t="s">
        <v>425</v>
      </c>
      <c r="AA12" s="251">
        <f t="shared" si="7"/>
        <v>99843.36408085085</v>
      </c>
      <c r="AB12" s="251">
        <f t="shared" si="0"/>
        <v>119076.88638987902</v>
      </c>
      <c r="AC12" s="251">
        <f t="shared" si="1"/>
        <v>119224.87798773621</v>
      </c>
      <c r="AD12" s="251">
        <f t="shared" si="2"/>
        <v>110524.95933942198</v>
      </c>
      <c r="AE12" s="251">
        <f t="shared" si="3"/>
        <v>82081.233647690286</v>
      </c>
      <c r="AF12" s="251">
        <f t="shared" si="4"/>
        <v>55210.050950573823</v>
      </c>
      <c r="AG12" s="251">
        <f t="shared" si="5"/>
        <v>57092.437566777422</v>
      </c>
      <c r="AH12" s="251">
        <f t="shared" si="6"/>
        <v>67869.464518021108</v>
      </c>
    </row>
    <row r="13" spans="1:34" ht="78.75">
      <c r="A13" s="200" t="s">
        <v>364</v>
      </c>
      <c r="B13" s="201" t="s">
        <v>392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388</v>
      </c>
      <c r="N13" s="211" t="s">
        <v>389</v>
      </c>
      <c r="O13" s="216">
        <v>93571</v>
      </c>
      <c r="P13" s="216">
        <v>123383</v>
      </c>
      <c r="Q13" s="216">
        <v>137976</v>
      </c>
      <c r="R13" s="216">
        <v>134516</v>
      </c>
      <c r="S13" s="216">
        <v>148408</v>
      </c>
      <c r="T13" s="216">
        <v>176768</v>
      </c>
      <c r="U13" s="216">
        <v>242236</v>
      </c>
      <c r="V13" s="216">
        <v>283985</v>
      </c>
      <c r="Y13" s="212" t="s">
        <v>388</v>
      </c>
      <c r="Z13" s="211" t="s">
        <v>389</v>
      </c>
      <c r="AA13" s="251">
        <f t="shared" si="7"/>
        <v>11791.294924139322</v>
      </c>
      <c r="AB13" s="251">
        <f t="shared" si="0"/>
        <v>15485.591646166977</v>
      </c>
      <c r="AC13" s="251">
        <f t="shared" si="1"/>
        <v>17266.424727818798</v>
      </c>
      <c r="AD13" s="251">
        <f t="shared" si="2"/>
        <v>16829.225572375828</v>
      </c>
      <c r="AE13" s="251">
        <f t="shared" si="3"/>
        <v>12485.214567541876</v>
      </c>
      <c r="AF13" s="251">
        <f t="shared" si="4"/>
        <v>8092.0314767426426</v>
      </c>
      <c r="AG13" s="251">
        <f t="shared" si="5"/>
        <v>9480.3786891469317</v>
      </c>
      <c r="AH13" s="251">
        <f t="shared" si="6"/>
        <v>10677.492611837604</v>
      </c>
    </row>
    <row r="14" spans="1:34" ht="56.25">
      <c r="A14" s="200" t="s">
        <v>393</v>
      </c>
      <c r="B14" s="201" t="s">
        <v>394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407</v>
      </c>
      <c r="N14" s="211" t="s">
        <v>426</v>
      </c>
      <c r="O14" s="216">
        <v>24060</v>
      </c>
      <c r="P14" s="216">
        <v>24831</v>
      </c>
      <c r="Q14" s="216">
        <v>22859</v>
      </c>
      <c r="R14" s="216">
        <v>21334</v>
      </c>
      <c r="S14" s="216">
        <v>23465</v>
      </c>
      <c r="T14" s="216">
        <v>26982</v>
      </c>
      <c r="U14" s="216">
        <v>30680</v>
      </c>
      <c r="V14" s="216">
        <v>37104</v>
      </c>
      <c r="Y14" s="212" t="s">
        <v>407</v>
      </c>
      <c r="Z14" s="211" t="s">
        <v>426</v>
      </c>
      <c r="AA14" s="251">
        <f t="shared" si="7"/>
        <v>3031.9068501436564</v>
      </c>
      <c r="AB14" s="251">
        <f t="shared" si="0"/>
        <v>3116.4968120889603</v>
      </c>
      <c r="AC14" s="251">
        <f t="shared" si="1"/>
        <v>2860.5931673132277</v>
      </c>
      <c r="AD14" s="251">
        <f t="shared" si="2"/>
        <v>2669.0854497685473</v>
      </c>
      <c r="AE14" s="251">
        <f t="shared" si="3"/>
        <v>1974.0550363010761</v>
      </c>
      <c r="AF14" s="251">
        <f t="shared" si="4"/>
        <v>1235.1737492389459</v>
      </c>
      <c r="AG14" s="251">
        <f t="shared" si="5"/>
        <v>1200.7216853936982</v>
      </c>
      <c r="AH14" s="251">
        <f t="shared" si="6"/>
        <v>1395.0655346924043</v>
      </c>
    </row>
    <row r="15" spans="1:34" ht="22.5">
      <c r="A15" s="200" t="s">
        <v>395</v>
      </c>
      <c r="B15" s="201" t="s">
        <v>396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362</v>
      </c>
      <c r="N15" s="211" t="s">
        <v>427</v>
      </c>
      <c r="O15" s="216">
        <v>132351</v>
      </c>
      <c r="P15" s="216">
        <v>159378</v>
      </c>
      <c r="Q15" s="216">
        <v>178225</v>
      </c>
      <c r="R15" s="216">
        <v>167196</v>
      </c>
      <c r="S15" s="216">
        <v>162551</v>
      </c>
      <c r="T15" s="216">
        <v>188595</v>
      </c>
      <c r="U15" s="216">
        <v>240327</v>
      </c>
      <c r="V15" s="216">
        <v>326496</v>
      </c>
      <c r="Y15" s="212" t="s">
        <v>362</v>
      </c>
      <c r="Z15" s="211" t="s">
        <v>427</v>
      </c>
      <c r="AA15" s="251">
        <f t="shared" si="7"/>
        <v>16678.133978527145</v>
      </c>
      <c r="AB15" s="251">
        <f t="shared" si="0"/>
        <v>20003.263216024901</v>
      </c>
      <c r="AC15" s="251">
        <f t="shared" si="1"/>
        <v>22303.216118132899</v>
      </c>
      <c r="AD15" s="251">
        <f t="shared" si="2"/>
        <v>20917.803077692981</v>
      </c>
      <c r="AE15" s="251">
        <f t="shared" si="3"/>
        <v>13675.031758183517</v>
      </c>
      <c r="AF15" s="251">
        <f t="shared" si="4"/>
        <v>8633.4442679460008</v>
      </c>
      <c r="AG15" s="251">
        <f t="shared" si="5"/>
        <v>9405.6662479012812</v>
      </c>
      <c r="AH15" s="251">
        <f t="shared" si="6"/>
        <v>12275.854808509359</v>
      </c>
    </row>
    <row r="16" spans="1:34" ht="90">
      <c r="A16" s="200" t="s">
        <v>397</v>
      </c>
      <c r="B16" s="201" t="s">
        <v>398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379</v>
      </c>
      <c r="N16" s="211" t="s">
        <v>428</v>
      </c>
      <c r="O16" s="216">
        <v>283566</v>
      </c>
      <c r="P16" s="216">
        <v>347459</v>
      </c>
      <c r="Q16" s="216">
        <v>382352</v>
      </c>
      <c r="R16" s="216">
        <v>391144</v>
      </c>
      <c r="S16" s="216">
        <v>442955</v>
      </c>
      <c r="T16" s="216">
        <v>549163</v>
      </c>
      <c r="U16" s="216">
        <v>645171</v>
      </c>
      <c r="V16" s="216">
        <v>832350</v>
      </c>
      <c r="Y16" s="212" t="s">
        <v>379</v>
      </c>
      <c r="Z16" s="211" t="s">
        <v>428</v>
      </c>
      <c r="AA16" s="251">
        <f t="shared" si="7"/>
        <v>35733.403901406324</v>
      </c>
      <c r="AB16" s="251">
        <f t="shared" si="0"/>
        <v>43608.991415231685</v>
      </c>
      <c r="AC16" s="251">
        <f t="shared" si="1"/>
        <v>47847.828807408339</v>
      </c>
      <c r="AD16" s="251">
        <f t="shared" si="2"/>
        <v>48935.818841486296</v>
      </c>
      <c r="AE16" s="251">
        <f t="shared" si="3"/>
        <v>37264.758090975629</v>
      </c>
      <c r="AF16" s="251">
        <f t="shared" si="4"/>
        <v>25139.415968175348</v>
      </c>
      <c r="AG16" s="251">
        <f t="shared" si="5"/>
        <v>25250.026417442554</v>
      </c>
      <c r="AH16" s="251">
        <f t="shared" si="6"/>
        <v>31295.353541430108</v>
      </c>
    </row>
    <row r="17" spans="1:34" ht="78.75">
      <c r="A17" s="200" t="s">
        <v>399</v>
      </c>
      <c r="B17" s="201" t="s">
        <v>400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383</v>
      </c>
      <c r="N17" s="211" t="s">
        <v>429</v>
      </c>
      <c r="O17" s="216">
        <v>161779</v>
      </c>
      <c r="P17" s="216">
        <v>205952</v>
      </c>
      <c r="Q17" s="216">
        <v>212286</v>
      </c>
      <c r="R17" s="216">
        <v>219891</v>
      </c>
      <c r="S17" s="216">
        <v>217287</v>
      </c>
      <c r="T17" s="216">
        <v>295634</v>
      </c>
      <c r="U17" s="216">
        <v>341938</v>
      </c>
      <c r="V17" s="216">
        <v>420484</v>
      </c>
      <c r="Y17" s="212" t="s">
        <v>383</v>
      </c>
      <c r="Z17" s="211" t="s">
        <v>429</v>
      </c>
      <c r="AA17" s="251">
        <f t="shared" si="7"/>
        <v>20386.486214022883</v>
      </c>
      <c r="AB17" s="251">
        <f t="shared" si="0"/>
        <v>25848.687183091519</v>
      </c>
      <c r="AC17" s="251">
        <f t="shared" si="1"/>
        <v>26565.636340883495</v>
      </c>
      <c r="AD17" s="251">
        <f t="shared" si="2"/>
        <v>27510.446640810707</v>
      </c>
      <c r="AE17" s="251">
        <f t="shared" si="3"/>
        <v>18279.842176550264</v>
      </c>
      <c r="AF17" s="251">
        <f t="shared" si="4"/>
        <v>13533.442894615169</v>
      </c>
      <c r="AG17" s="251">
        <f t="shared" si="5"/>
        <v>13382.411071060964</v>
      </c>
      <c r="AH17" s="251">
        <f t="shared" si="6"/>
        <v>15809.689960370875</v>
      </c>
    </row>
    <row r="18" spans="1:34" ht="56.25">
      <c r="A18" s="200" t="s">
        <v>401</v>
      </c>
      <c r="B18" s="201" t="s">
        <v>402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405</v>
      </c>
      <c r="N18" s="211" t="s">
        <v>430</v>
      </c>
      <c r="O18" s="216">
        <v>19910</v>
      </c>
      <c r="P18" s="216">
        <v>22234</v>
      </c>
      <c r="Q18" s="216">
        <v>22024</v>
      </c>
      <c r="R18" s="216">
        <v>21917</v>
      </c>
      <c r="S18" s="216">
        <v>21438</v>
      </c>
      <c r="T18" s="216">
        <v>25458</v>
      </c>
      <c r="U18" s="216">
        <v>32637</v>
      </c>
      <c r="V18" s="216">
        <v>37737</v>
      </c>
      <c r="Y18" s="212" t="s">
        <v>405</v>
      </c>
      <c r="Z18" s="211" t="s">
        <v>430</v>
      </c>
      <c r="AA18" s="251">
        <f t="shared" si="7"/>
        <v>2508.9470235394929</v>
      </c>
      <c r="AB18" s="251">
        <f t="shared" si="0"/>
        <v>2790.5517345248254</v>
      </c>
      <c r="AC18" s="251">
        <f t="shared" si="1"/>
        <v>2756.1006131898389</v>
      </c>
      <c r="AD18" s="251">
        <f t="shared" si="2"/>
        <v>2742.0242712373324</v>
      </c>
      <c r="AE18" s="251">
        <f t="shared" si="3"/>
        <v>1803.5283131567214</v>
      </c>
      <c r="AF18" s="251">
        <f t="shared" si="4"/>
        <v>1165.4085430333216</v>
      </c>
      <c r="AG18" s="251">
        <f t="shared" si="5"/>
        <v>1277.3127003322727</v>
      </c>
      <c r="AH18" s="251">
        <f t="shared" si="6"/>
        <v>1418.865569283292</v>
      </c>
    </row>
    <row r="19" spans="1:34" ht="45">
      <c r="A19" s="200" t="s">
        <v>403</v>
      </c>
      <c r="B19" s="201" t="s">
        <v>404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395</v>
      </c>
      <c r="N19" s="211" t="s">
        <v>396</v>
      </c>
      <c r="O19" s="216">
        <v>68300</v>
      </c>
      <c r="P19" s="216">
        <v>79133</v>
      </c>
      <c r="Q19" s="216">
        <v>88595</v>
      </c>
      <c r="R19" s="216">
        <v>97499</v>
      </c>
      <c r="S19" s="216">
        <v>105116</v>
      </c>
      <c r="T19" s="216">
        <v>142223</v>
      </c>
      <c r="U19" s="216">
        <v>182886</v>
      </c>
      <c r="V19" s="216">
        <v>225659</v>
      </c>
      <c r="Y19" s="212" t="s">
        <v>395</v>
      </c>
      <c r="Z19" s="211" t="s">
        <v>396</v>
      </c>
      <c r="AA19" s="251">
        <f t="shared" si="7"/>
        <v>8606.7846161600883</v>
      </c>
      <c r="AB19" s="251">
        <f t="shared" si="0"/>
        <v>9931.8489884030314</v>
      </c>
      <c r="AC19" s="251">
        <f t="shared" si="1"/>
        <v>11086.847703666626</v>
      </c>
      <c r="AD19" s="251">
        <f t="shared" si="2"/>
        <v>12198.048292255724</v>
      </c>
      <c r="AE19" s="251">
        <f t="shared" si="3"/>
        <v>8843.1608436319584</v>
      </c>
      <c r="AF19" s="251">
        <f t="shared" si="4"/>
        <v>6510.6410250541321</v>
      </c>
      <c r="AG19" s="251">
        <f t="shared" si="5"/>
        <v>7157.6005917507127</v>
      </c>
      <c r="AH19" s="251">
        <f t="shared" si="6"/>
        <v>8484.505538301888</v>
      </c>
    </row>
    <row r="20" spans="1:34" ht="33.75">
      <c r="A20" s="200" t="s">
        <v>405</v>
      </c>
      <c r="B20" s="201" t="s">
        <v>406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393</v>
      </c>
      <c r="N20" s="211" t="s">
        <v>394</v>
      </c>
      <c r="O20" s="216">
        <v>98888</v>
      </c>
      <c r="P20" s="216">
        <v>95165</v>
      </c>
      <c r="Q20" s="216">
        <v>98044</v>
      </c>
      <c r="R20" s="216">
        <v>104206</v>
      </c>
      <c r="S20" s="216">
        <v>116826</v>
      </c>
      <c r="T20" s="216">
        <v>107764</v>
      </c>
      <c r="U20" s="216">
        <v>107615</v>
      </c>
      <c r="V20" s="216">
        <v>121142</v>
      </c>
      <c r="Y20" s="212" t="s">
        <v>393</v>
      </c>
      <c r="Z20" s="211" t="s">
        <v>394</v>
      </c>
      <c r="AA20" s="251">
        <f t="shared" si="7"/>
        <v>12461.313574272897</v>
      </c>
      <c r="AB20" s="251">
        <f t="shared" si="0"/>
        <v>11943.998192680356</v>
      </c>
      <c r="AC20" s="251">
        <f t="shared" si="1"/>
        <v>12269.302965836567</v>
      </c>
      <c r="AD20" s="251">
        <f t="shared" si="2"/>
        <v>13037.15751282372</v>
      </c>
      <c r="AE20" s="251">
        <f t="shared" si="3"/>
        <v>9828.2954899173037</v>
      </c>
      <c r="AF20" s="251">
        <f t="shared" si="4"/>
        <v>4933.1874550806378</v>
      </c>
      <c r="AG20" s="251">
        <f t="shared" si="5"/>
        <v>4211.7230825828819</v>
      </c>
      <c r="AH20" s="251">
        <f t="shared" si="6"/>
        <v>4554.7927178661939</v>
      </c>
    </row>
    <row r="21" spans="1:34" ht="33.75">
      <c r="A21" s="200" t="s">
        <v>407</v>
      </c>
      <c r="B21" s="201" t="s">
        <v>408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390</v>
      </c>
      <c r="N21" s="211" t="s">
        <v>431</v>
      </c>
      <c r="O21" s="216">
        <v>90082</v>
      </c>
      <c r="P21" s="216">
        <v>108877</v>
      </c>
      <c r="Q21" s="216">
        <v>121293</v>
      </c>
      <c r="R21" s="216">
        <v>135283</v>
      </c>
      <c r="S21" s="216">
        <v>139848</v>
      </c>
      <c r="T21" s="216">
        <v>176078</v>
      </c>
      <c r="U21" s="216">
        <v>208144</v>
      </c>
      <c r="V21" s="216">
        <v>238141</v>
      </c>
      <c r="Y21" s="212" t="s">
        <v>390</v>
      </c>
      <c r="Z21" s="211" t="s">
        <v>431</v>
      </c>
      <c r="AA21" s="251">
        <f t="shared" si="7"/>
        <v>11351.630626543676</v>
      </c>
      <c r="AB21" s="251">
        <f t="shared" si="0"/>
        <v>13664.968120889604</v>
      </c>
      <c r="AC21" s="251">
        <f t="shared" si="1"/>
        <v>15178.701038668503</v>
      </c>
      <c r="AD21" s="251">
        <f t="shared" si="2"/>
        <v>16925.184536469409</v>
      </c>
      <c r="AE21" s="251">
        <f t="shared" si="3"/>
        <v>11765.081982383674</v>
      </c>
      <c r="AF21" s="251">
        <f t="shared" si="4"/>
        <v>8060.444867633797</v>
      </c>
      <c r="AG21" s="251">
        <f t="shared" si="5"/>
        <v>8146.1217237479104</v>
      </c>
      <c r="AH21" s="251">
        <f t="shared" si="6"/>
        <v>8953.8136453531661</v>
      </c>
    </row>
    <row r="22" spans="1:34" ht="45">
      <c r="A22" s="200" t="s">
        <v>409</v>
      </c>
      <c r="B22" s="201" t="s">
        <v>410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399</v>
      </c>
      <c r="N22" s="211" t="s">
        <v>432</v>
      </c>
      <c r="O22" s="216">
        <v>53946</v>
      </c>
      <c r="P22" s="216">
        <v>61701</v>
      </c>
      <c r="Q22" s="216">
        <v>86000</v>
      </c>
      <c r="R22" s="216">
        <v>95510</v>
      </c>
      <c r="S22" s="216">
        <v>92230</v>
      </c>
      <c r="T22" s="216">
        <v>107124</v>
      </c>
      <c r="U22" s="216">
        <v>135141</v>
      </c>
      <c r="V22" s="216">
        <v>171630</v>
      </c>
      <c r="Y22" s="212" t="s">
        <v>399</v>
      </c>
      <c r="Z22" s="211" t="s">
        <v>432</v>
      </c>
      <c r="AA22" s="251">
        <f t="shared" si="7"/>
        <v>6797.9736881899289</v>
      </c>
      <c r="AB22" s="251">
        <f t="shared" si="0"/>
        <v>7743.9881520156632</v>
      </c>
      <c r="AC22" s="251">
        <f t="shared" si="1"/>
        <v>10762.107370792142</v>
      </c>
      <c r="AD22" s="251">
        <f t="shared" si="2"/>
        <v>11949.205554860502</v>
      </c>
      <c r="AE22" s="251">
        <f t="shared" si="3"/>
        <v>7759.0920945258149</v>
      </c>
      <c r="AF22" s="251">
        <f t="shared" si="4"/>
        <v>4903.8897306898243</v>
      </c>
      <c r="AG22" s="251">
        <f t="shared" si="5"/>
        <v>5289.0068215707224</v>
      </c>
      <c r="AH22" s="251">
        <f t="shared" si="6"/>
        <v>6453.0804689321194</v>
      </c>
    </row>
    <row r="23" spans="1:34" ht="90">
      <c r="A23" s="200" t="s">
        <v>411</v>
      </c>
      <c r="B23" s="201" t="s">
        <v>412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403</v>
      </c>
      <c r="N23" s="211" t="s">
        <v>433</v>
      </c>
      <c r="O23" s="216">
        <v>24403</v>
      </c>
      <c r="P23" s="216">
        <v>30217</v>
      </c>
      <c r="Q23" s="216">
        <v>33072</v>
      </c>
      <c r="R23" s="216">
        <v>35846</v>
      </c>
      <c r="S23" s="216">
        <v>35938</v>
      </c>
      <c r="T23" s="216">
        <v>43370</v>
      </c>
      <c r="U23" s="216">
        <v>59338</v>
      </c>
      <c r="V23" s="216">
        <v>70820</v>
      </c>
      <c r="Y23" s="212" t="s">
        <v>403</v>
      </c>
      <c r="Z23" s="211" t="s">
        <v>433</v>
      </c>
      <c r="AA23" s="251">
        <f t="shared" si="7"/>
        <v>3075.1297948485308</v>
      </c>
      <c r="AB23" s="251">
        <f t="shared" si="0"/>
        <v>3792.484562478036</v>
      </c>
      <c r="AC23" s="251">
        <f t="shared" si="1"/>
        <v>4138.6559879864853</v>
      </c>
      <c r="AD23" s="251">
        <f t="shared" si="2"/>
        <v>4484.6740898285998</v>
      </c>
      <c r="AE23" s="251">
        <f t="shared" si="3"/>
        <v>3023.379070726106</v>
      </c>
      <c r="AF23" s="251">
        <f t="shared" si="4"/>
        <v>1985.3786044212097</v>
      </c>
      <c r="AG23" s="251">
        <f t="shared" si="5"/>
        <v>2322.3084539729875</v>
      </c>
      <c r="AH23" s="251">
        <f t="shared" si="6"/>
        <v>2662.7463660768672</v>
      </c>
    </row>
    <row r="24" spans="1:34" ht="78.75">
      <c r="A24" s="203" t="s">
        <v>413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397</v>
      </c>
      <c r="N24" s="211" t="s">
        <v>434</v>
      </c>
      <c r="O24" s="216">
        <v>69434</v>
      </c>
      <c r="P24" s="216">
        <v>71090</v>
      </c>
      <c r="Q24" s="216">
        <v>82703</v>
      </c>
      <c r="R24" s="216">
        <v>90930</v>
      </c>
      <c r="S24" s="216">
        <v>117168</v>
      </c>
      <c r="T24" s="216">
        <v>147578</v>
      </c>
      <c r="U24" s="216">
        <v>182158</v>
      </c>
      <c r="V24" s="216">
        <v>236970</v>
      </c>
      <c r="Y24" s="212" t="s">
        <v>397</v>
      </c>
      <c r="Z24" s="211" t="s">
        <v>434</v>
      </c>
      <c r="AA24" s="251">
        <f t="shared" si="7"/>
        <v>8749.6849639598768</v>
      </c>
      <c r="AB24" s="251">
        <f t="shared" si="0"/>
        <v>8922.385661930819</v>
      </c>
      <c r="AC24" s="251">
        <f t="shared" si="1"/>
        <v>10349.518207983983</v>
      </c>
      <c r="AD24" s="251">
        <f t="shared" si="2"/>
        <v>11376.204178656324</v>
      </c>
      <c r="AE24" s="251">
        <f t="shared" si="3"/>
        <v>9857.0671422682499</v>
      </c>
      <c r="AF24" s="251">
        <f t="shared" si="4"/>
        <v>6755.7805783553904</v>
      </c>
      <c r="AG24" s="251">
        <f t="shared" si="5"/>
        <v>7129.1088907413705</v>
      </c>
      <c r="AH24" s="251">
        <f t="shared" si="6"/>
        <v>8909.7854612995652</v>
      </c>
    </row>
    <row r="25" spans="1:34">
      <c r="A25" s="200" t="s">
        <v>371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364</v>
      </c>
      <c r="N25" s="211" t="s">
        <v>435</v>
      </c>
      <c r="O25" s="216">
        <v>80349</v>
      </c>
      <c r="P25" s="216">
        <v>87242</v>
      </c>
      <c r="Q25" s="216">
        <v>101823</v>
      </c>
      <c r="R25" s="216">
        <v>107528</v>
      </c>
      <c r="S25" s="216">
        <v>106305</v>
      </c>
      <c r="T25" s="216">
        <v>119928</v>
      </c>
      <c r="U25" s="216">
        <v>132745</v>
      </c>
      <c r="V25" s="216">
        <v>180011</v>
      </c>
      <c r="Y25" s="212" t="s">
        <v>364</v>
      </c>
      <c r="Z25" s="211" t="s">
        <v>435</v>
      </c>
      <c r="AA25" s="251">
        <f t="shared" si="7"/>
        <v>10125.132315136852</v>
      </c>
      <c r="AB25" s="251">
        <f t="shared" si="0"/>
        <v>10949.595863246146</v>
      </c>
      <c r="AC25" s="251">
        <f t="shared" si="1"/>
        <v>12742.209986234515</v>
      </c>
      <c r="AD25" s="251">
        <f t="shared" si="2"/>
        <v>13452.77117477793</v>
      </c>
      <c r="AE25" s="251">
        <f t="shared" si="3"/>
        <v>8943.1886057526481</v>
      </c>
      <c r="AF25" s="251">
        <f t="shared" si="4"/>
        <v>5490.0273292835336</v>
      </c>
      <c r="AG25" s="251">
        <f t="shared" si="5"/>
        <v>5195.2346847322833</v>
      </c>
      <c r="AH25" s="251">
        <f t="shared" si="6"/>
        <v>6768.1959348187365</v>
      </c>
    </row>
    <row r="26" spans="1:34" ht="56.25">
      <c r="A26" s="200" t="s">
        <v>372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401</v>
      </c>
      <c r="N26" s="211" t="s">
        <v>436</v>
      </c>
      <c r="O26" s="216">
        <v>58478</v>
      </c>
      <c r="P26" s="216">
        <v>64303</v>
      </c>
      <c r="Q26" s="216">
        <v>74131</v>
      </c>
      <c r="R26" s="216">
        <v>72603</v>
      </c>
      <c r="S26" s="216">
        <v>71755</v>
      </c>
      <c r="T26" s="216">
        <v>88636</v>
      </c>
      <c r="U26" s="216">
        <v>99304</v>
      </c>
      <c r="V26" s="216">
        <v>131970</v>
      </c>
      <c r="Y26" s="212" t="s">
        <v>401</v>
      </c>
      <c r="Z26" s="211" t="s">
        <v>436</v>
      </c>
      <c r="AA26" s="251">
        <f t="shared" si="7"/>
        <v>7369.0710217248852</v>
      </c>
      <c r="AB26" s="251">
        <f t="shared" si="0"/>
        <v>8070.5607711230487</v>
      </c>
      <c r="AC26" s="251">
        <f t="shared" si="1"/>
        <v>9276.8114128394445</v>
      </c>
      <c r="AD26" s="251">
        <f t="shared" si="2"/>
        <v>9083.3229075441013</v>
      </c>
      <c r="AE26" s="251">
        <f t="shared" si="3"/>
        <v>6036.5786971993912</v>
      </c>
      <c r="AF26" s="251">
        <f t="shared" si="4"/>
        <v>4057.5517173502039</v>
      </c>
      <c r="AG26" s="251">
        <f t="shared" si="5"/>
        <v>3886.4558750435399</v>
      </c>
      <c r="AH26" s="251">
        <f t="shared" si="6"/>
        <v>4961.9124248964154</v>
      </c>
    </row>
    <row r="27" spans="1:34" ht="45">
      <c r="A27" s="203" t="s">
        <v>414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411</v>
      </c>
      <c r="N27" s="211" t="s">
        <v>437</v>
      </c>
      <c r="O27" s="216">
        <v>9908</v>
      </c>
      <c r="P27" s="216">
        <v>12344</v>
      </c>
      <c r="Q27" s="216">
        <v>17319</v>
      </c>
      <c r="R27" s="216">
        <v>19563</v>
      </c>
      <c r="S27" s="216">
        <v>19135</v>
      </c>
      <c r="T27" s="216">
        <v>20436</v>
      </c>
      <c r="U27" s="216">
        <v>23155</v>
      </c>
      <c r="V27" s="216">
        <v>28264</v>
      </c>
      <c r="Y27" s="212" t="s">
        <v>411</v>
      </c>
      <c r="Z27" s="211" t="s">
        <v>437</v>
      </c>
      <c r="AA27" s="251">
        <f t="shared" si="7"/>
        <v>1248.5508342154342</v>
      </c>
      <c r="AB27" s="251">
        <f t="shared" si="0"/>
        <v>1549.2745619760028</v>
      </c>
      <c r="AC27" s="251">
        <f t="shared" si="1"/>
        <v>2167.3132273808037</v>
      </c>
      <c r="AD27" s="251">
        <f t="shared" si="2"/>
        <v>2447.5165770048793</v>
      </c>
      <c r="AE27" s="251">
        <f t="shared" si="3"/>
        <v>1609.782361799322</v>
      </c>
      <c r="AF27" s="251">
        <f t="shared" si="4"/>
        <v>935.51296195415819</v>
      </c>
      <c r="AG27" s="251">
        <f t="shared" si="5"/>
        <v>906.21612207598048</v>
      </c>
      <c r="AH27" s="251">
        <f t="shared" si="6"/>
        <v>1062.6922238180821</v>
      </c>
    </row>
    <row r="28" spans="1:34" ht="33.75">
      <c r="M28" s="212" t="s">
        <v>409</v>
      </c>
      <c r="N28" s="211" t="s">
        <v>438</v>
      </c>
      <c r="O28" s="216">
        <v>13130</v>
      </c>
      <c r="P28" s="216">
        <v>16256</v>
      </c>
      <c r="Q28" s="216">
        <v>17953</v>
      </c>
      <c r="R28" s="216">
        <v>19820</v>
      </c>
      <c r="S28" s="216">
        <v>20508</v>
      </c>
      <c r="T28" s="216">
        <v>22475</v>
      </c>
      <c r="U28" s="216">
        <v>26694</v>
      </c>
      <c r="V28" s="216">
        <v>36028</v>
      </c>
      <c r="Y28" s="212" t="s">
        <v>409</v>
      </c>
      <c r="Z28" s="211" t="s">
        <v>438</v>
      </c>
      <c r="AA28" s="251">
        <f t="shared" si="7"/>
        <v>1654.5692827259438</v>
      </c>
      <c r="AB28" s="251">
        <f t="shared" si="0"/>
        <v>2040.2630654149305</v>
      </c>
      <c r="AC28" s="251">
        <f t="shared" si="1"/>
        <v>2246.6524840445504</v>
      </c>
      <c r="AD28" s="251">
        <f t="shared" si="2"/>
        <v>2479.6697109971224</v>
      </c>
      <c r="AE28" s="251">
        <f t="shared" si="3"/>
        <v>1725.2896093953748</v>
      </c>
      <c r="AF28" s="251">
        <f t="shared" si="4"/>
        <v>1028.8536807555151</v>
      </c>
      <c r="AG28" s="251">
        <f t="shared" si="5"/>
        <v>1044.7217949771634</v>
      </c>
      <c r="AH28" s="251">
        <f t="shared" si="6"/>
        <v>1354.6092357669777</v>
      </c>
    </row>
    <row r="29" spans="1:34" ht="52.5">
      <c r="A29" t="s">
        <v>415</v>
      </c>
      <c r="G29" s="204">
        <v>176263.81834104841</v>
      </c>
      <c r="M29" s="208" t="s">
        <v>439</v>
      </c>
      <c r="N29" s="213"/>
      <c r="O29" s="217">
        <v>2382565</v>
      </c>
      <c r="P29" s="217">
        <v>2867808</v>
      </c>
      <c r="Q29" s="217">
        <v>3042574</v>
      </c>
      <c r="R29" s="217">
        <v>3079167</v>
      </c>
      <c r="S29" s="217">
        <v>3354027</v>
      </c>
      <c r="T29" s="217">
        <v>4189241</v>
      </c>
      <c r="U29" s="217">
        <v>5058294</v>
      </c>
      <c r="V29" s="217">
        <v>6255397</v>
      </c>
      <c r="Y29" s="208" t="s">
        <v>439</v>
      </c>
      <c r="Z29" s="213"/>
      <c r="AA29" s="251">
        <f t="shared" si="7"/>
        <v>300237.53717425273</v>
      </c>
      <c r="AB29" s="251">
        <f t="shared" si="0"/>
        <v>359933.73161303281</v>
      </c>
      <c r="AC29" s="251">
        <f t="shared" si="1"/>
        <v>380750.09385558753</v>
      </c>
      <c r="AD29" s="251">
        <f t="shared" si="2"/>
        <v>385232.95383460529</v>
      </c>
      <c r="AE29" s="251">
        <f t="shared" si="3"/>
        <v>282166.37081780477</v>
      </c>
      <c r="AF29" s="251">
        <f t="shared" si="4"/>
        <v>191773.7941010863</v>
      </c>
      <c r="AG29" s="251">
        <f t="shared" si="5"/>
        <v>197966.20915569854</v>
      </c>
      <c r="AH29" s="251">
        <f t="shared" si="6"/>
        <v>235195.36331711573</v>
      </c>
    </row>
    <row r="30" spans="1:34" ht="22.5">
      <c r="A30" t="s">
        <v>416</v>
      </c>
      <c r="G30" s="205">
        <f>G29/G27</f>
        <v>0.42086272759643351</v>
      </c>
      <c r="M30" s="212" t="s">
        <v>371</v>
      </c>
      <c r="N30" s="214"/>
      <c r="O30" s="218">
        <v>127358</v>
      </c>
      <c r="P30" s="218">
        <v>179296</v>
      </c>
      <c r="Q30" s="218">
        <v>195450</v>
      </c>
      <c r="R30" s="218">
        <v>183586</v>
      </c>
      <c r="S30" s="218">
        <v>206336</v>
      </c>
      <c r="T30" s="218">
        <v>302344</v>
      </c>
      <c r="U30" s="218">
        <v>367786</v>
      </c>
      <c r="V30" s="218">
        <v>473084</v>
      </c>
      <c r="Y30" s="212" t="s">
        <v>371</v>
      </c>
      <c r="Z30" s="214"/>
      <c r="AA30" s="251">
        <f t="shared" si="7"/>
        <v>16048.943999193507</v>
      </c>
      <c r="AB30" s="251">
        <f t="shared" si="0"/>
        <v>22503.137707716251</v>
      </c>
      <c r="AC30" s="251">
        <f t="shared" si="1"/>
        <v>24458.766111875862</v>
      </c>
      <c r="AD30" s="251">
        <f t="shared" si="2"/>
        <v>22968.347303890903</v>
      </c>
      <c r="AE30" s="251">
        <f t="shared" si="3"/>
        <v>17358.560407850793</v>
      </c>
      <c r="AF30" s="251">
        <f t="shared" si="4"/>
        <v>13840.611223775104</v>
      </c>
      <c r="AG30" s="251">
        <f t="shared" si="5"/>
        <v>14394.023004700348</v>
      </c>
      <c r="AH30" s="251">
        <f t="shared" si="6"/>
        <v>17787.386357654737</v>
      </c>
    </row>
    <row r="31" spans="1:34" ht="22.5">
      <c r="A31" s="229" t="s">
        <v>417</v>
      </c>
      <c r="B31" s="229"/>
      <c r="C31" s="229"/>
      <c r="D31" s="229"/>
      <c r="E31" s="229"/>
      <c r="F31" s="229"/>
      <c r="G31" s="252">
        <v>81242.017190041282</v>
      </c>
      <c r="H31" t="s">
        <v>473</v>
      </c>
      <c r="M31" s="212" t="s">
        <v>440</v>
      </c>
      <c r="N31" s="214"/>
      <c r="O31" s="218">
        <v>-2484</v>
      </c>
      <c r="P31" s="218">
        <v>-1863</v>
      </c>
      <c r="Q31" s="218">
        <v>-3850</v>
      </c>
      <c r="R31" s="218">
        <v>-2200</v>
      </c>
      <c r="S31" s="218">
        <v>-2140</v>
      </c>
      <c r="T31" s="218">
        <v>-3187</v>
      </c>
      <c r="U31" s="218">
        <v>-5647</v>
      </c>
      <c r="V31" s="218">
        <v>-8763</v>
      </c>
      <c r="Y31" s="212" t="s">
        <v>440</v>
      </c>
      <c r="Z31" s="214"/>
      <c r="AA31" s="251">
        <f t="shared" si="7"/>
        <v>-313.01980946620296</v>
      </c>
      <c r="AB31" s="251">
        <f t="shared" si="0"/>
        <v>-233.82197901501078</v>
      </c>
      <c r="AC31" s="251">
        <f t="shared" si="1"/>
        <v>-481.79201601802032</v>
      </c>
      <c r="AD31" s="251">
        <f t="shared" si="2"/>
        <v>-275.24083573126484</v>
      </c>
      <c r="AE31" s="251">
        <f t="shared" si="3"/>
        <v>-180.0331462895505</v>
      </c>
      <c r="AF31" s="251">
        <f t="shared" si="4"/>
        <v>-145.89351192737826</v>
      </c>
      <c r="AG31" s="251">
        <f t="shared" si="5"/>
        <v>-221.00636758207997</v>
      </c>
      <c r="AH31" s="251">
        <f t="shared" si="6"/>
        <v>-329.47820398095996</v>
      </c>
    </row>
    <row r="32" spans="1:34">
      <c r="A32" t="s">
        <v>418</v>
      </c>
      <c r="G32" s="205">
        <f>G31/G27</f>
        <v>0.19398046219491502</v>
      </c>
      <c r="M32" s="389" t="s">
        <v>441</v>
      </c>
      <c r="N32" s="389"/>
      <c r="O32" s="389"/>
      <c r="P32" s="389"/>
      <c r="Q32" s="389"/>
      <c r="R32" s="389"/>
      <c r="S32" s="389"/>
      <c r="T32" s="389"/>
      <c r="U32" s="389"/>
      <c r="V32" s="389"/>
      <c r="Y32" s="389" t="s">
        <v>441</v>
      </c>
      <c r="Z32" s="389"/>
      <c r="AA32" s="389"/>
      <c r="AB32" s="389"/>
      <c r="AC32" s="389"/>
      <c r="AD32" s="389"/>
      <c r="AE32" s="389"/>
      <c r="AF32" s="389"/>
      <c r="AG32" s="389"/>
      <c r="AH32" s="389"/>
    </row>
    <row r="33" spans="1:34">
      <c r="A33" s="229" t="s">
        <v>419</v>
      </c>
      <c r="B33" s="229"/>
      <c r="C33" s="229"/>
      <c r="D33" s="229"/>
      <c r="E33" s="229"/>
      <c r="F33" s="229"/>
      <c r="G33" s="252">
        <v>4855.1510196421859</v>
      </c>
      <c r="H33" t="s">
        <v>473</v>
      </c>
    </row>
    <row r="34" spans="1:34" ht="52.5">
      <c r="A34" t="s">
        <v>418</v>
      </c>
      <c r="G34" s="205">
        <f>G33/G27</f>
        <v>1.1592578217417174E-2</v>
      </c>
      <c r="Y34" s="208" t="s">
        <v>474</v>
      </c>
      <c r="Z34" s="13"/>
      <c r="AA34" s="13">
        <v>136.01300000000001</v>
      </c>
      <c r="AB34" s="13">
        <v>163.16</v>
      </c>
      <c r="AC34" s="13">
        <v>175.78100000000001</v>
      </c>
      <c r="AD34" s="13">
        <v>183.31</v>
      </c>
      <c r="AE34" s="13">
        <v>133.50299999999999</v>
      </c>
      <c r="AF34" s="13">
        <v>91.031000000000006</v>
      </c>
      <c r="AG34" s="13">
        <v>93.27</v>
      </c>
      <c r="AH34" s="13">
        <v>112.154</v>
      </c>
    </row>
    <row r="35" spans="1:34">
      <c r="A35" s="229" t="s">
        <v>420</v>
      </c>
      <c r="B35" s="229"/>
      <c r="C35" s="229"/>
      <c r="D35" s="229"/>
      <c r="E35" s="229"/>
      <c r="F35" s="229"/>
      <c r="G35" s="252">
        <f>'[1]Сжатая версия'!$I$9/G3/1000</f>
        <v>86097.168209683485</v>
      </c>
      <c r="H35" t="s">
        <v>473</v>
      </c>
    </row>
    <row r="36" spans="1:34">
      <c r="A36" t="s">
        <v>418</v>
      </c>
      <c r="G36" s="205">
        <f>G35/G27</f>
        <v>0.20557304041233224</v>
      </c>
    </row>
    <row r="41" spans="1:34">
      <c r="B41" t="s">
        <v>376</v>
      </c>
      <c r="C41">
        <v>7.9356</v>
      </c>
      <c r="D41">
        <v>7.9676</v>
      </c>
      <c r="E41">
        <v>7.9909999999999997</v>
      </c>
      <c r="F41">
        <v>7.9930000000000003</v>
      </c>
      <c r="G41">
        <v>11.886699999999999</v>
      </c>
      <c r="H41">
        <v>21.8447</v>
      </c>
      <c r="I41">
        <v>25.551300000000001</v>
      </c>
      <c r="J41">
        <v>26.596599999999999</v>
      </c>
    </row>
    <row r="42" spans="1:34" ht="15" customHeight="1">
      <c r="B42" t="s">
        <v>375</v>
      </c>
      <c r="C42">
        <v>2010</v>
      </c>
      <c r="D42">
        <v>2011</v>
      </c>
      <c r="E42">
        <v>2012</v>
      </c>
      <c r="F42">
        <v>2013</v>
      </c>
      <c r="G42">
        <v>2014</v>
      </c>
      <c r="H42">
        <v>2015</v>
      </c>
      <c r="I42">
        <v>2016</v>
      </c>
      <c r="J42">
        <v>2017</v>
      </c>
    </row>
    <row r="43" spans="1:34">
      <c r="C43" t="s">
        <v>472</v>
      </c>
    </row>
    <row r="44" spans="1:34">
      <c r="A44" t="s">
        <v>423</v>
      </c>
      <c r="C44">
        <v>315973.46136398002</v>
      </c>
      <c r="D44">
        <v>382203.047341734</v>
      </c>
      <c r="E44">
        <v>404727.06795144541</v>
      </c>
      <c r="F44">
        <v>407926.06030276488</v>
      </c>
      <c r="G44">
        <v>299344.89807936602</v>
      </c>
      <c r="H44">
        <v>205468.51181293404</v>
      </c>
      <c r="I44">
        <v>212139.22579281678</v>
      </c>
      <c r="J44">
        <v>252653.27147078951</v>
      </c>
    </row>
    <row r="45" spans="1:34">
      <c r="A45" t="s">
        <v>381</v>
      </c>
      <c r="B45" t="s">
        <v>382</v>
      </c>
      <c r="C45">
        <v>23863.728010484399</v>
      </c>
      <c r="D45">
        <v>31814.473618153523</v>
      </c>
      <c r="E45">
        <v>32750.218996370917</v>
      </c>
      <c r="F45">
        <v>38408.357312648564</v>
      </c>
      <c r="G45">
        <v>32071.72722454508</v>
      </c>
      <c r="H45">
        <v>25580.026276396562</v>
      </c>
      <c r="I45">
        <v>25656.972443672141</v>
      </c>
      <c r="J45">
        <v>27347.555702608606</v>
      </c>
    </row>
    <row r="46" spans="1:34">
      <c r="A46" t="s">
        <v>386</v>
      </c>
      <c r="B46" t="s">
        <v>387</v>
      </c>
      <c r="C46">
        <v>14960.431473360553</v>
      </c>
      <c r="D46">
        <v>19579.421657713741</v>
      </c>
      <c r="E46">
        <v>18957.076711300215</v>
      </c>
      <c r="F46">
        <v>19261.478793944701</v>
      </c>
      <c r="G46">
        <v>13140.064105260502</v>
      </c>
      <c r="H46">
        <v>8523.5320237860906</v>
      </c>
      <c r="I46">
        <v>9931.7842927757101</v>
      </c>
      <c r="J46">
        <v>12939.887053232369</v>
      </c>
    </row>
    <row r="47" spans="1:34">
      <c r="A47" t="s">
        <v>424</v>
      </c>
      <c r="B47" t="s">
        <v>425</v>
      </c>
      <c r="C47">
        <v>99843.36408085085</v>
      </c>
      <c r="D47">
        <v>119076.88638987902</v>
      </c>
      <c r="E47">
        <v>119224.87798773621</v>
      </c>
      <c r="F47">
        <v>110524.95933942198</v>
      </c>
      <c r="G47">
        <v>82081.233647690286</v>
      </c>
      <c r="H47">
        <v>55210.050950573823</v>
      </c>
      <c r="I47">
        <v>57092.437566777422</v>
      </c>
      <c r="J47">
        <v>67869.464518021108</v>
      </c>
    </row>
    <row r="48" spans="1:34">
      <c r="A48" t="s">
        <v>388</v>
      </c>
      <c r="B48" t="s">
        <v>389</v>
      </c>
      <c r="C48">
        <v>11791.294924139322</v>
      </c>
      <c r="D48">
        <v>15485.591646166977</v>
      </c>
      <c r="E48">
        <v>17266.424727818798</v>
      </c>
      <c r="F48">
        <v>16829.225572375828</v>
      </c>
      <c r="G48">
        <v>12485.214567541876</v>
      </c>
      <c r="H48">
        <v>8092.0314767426426</v>
      </c>
      <c r="I48">
        <v>9480.3786891469317</v>
      </c>
      <c r="J48">
        <v>10677.492611837604</v>
      </c>
    </row>
    <row r="49" spans="1:10">
      <c r="A49" t="s">
        <v>407</v>
      </c>
      <c r="B49" t="s">
        <v>426</v>
      </c>
      <c r="C49">
        <v>3031.9068501436564</v>
      </c>
      <c r="D49">
        <v>3116.4968120889603</v>
      </c>
      <c r="E49">
        <v>2860.5931673132277</v>
      </c>
      <c r="F49">
        <v>2669.0854497685473</v>
      </c>
      <c r="G49">
        <v>1974.0550363010761</v>
      </c>
      <c r="H49">
        <v>1235.1737492389459</v>
      </c>
      <c r="I49">
        <v>1200.7216853936982</v>
      </c>
      <c r="J49">
        <v>1395.0655346924043</v>
      </c>
    </row>
    <row r="50" spans="1:10">
      <c r="A50" t="s">
        <v>362</v>
      </c>
      <c r="B50" t="s">
        <v>427</v>
      </c>
      <c r="C50">
        <v>16678.133978527145</v>
      </c>
      <c r="D50">
        <v>20003.263216024901</v>
      </c>
      <c r="E50">
        <v>22303.216118132899</v>
      </c>
      <c r="F50">
        <v>20917.803077692981</v>
      </c>
      <c r="G50">
        <v>13675.031758183517</v>
      </c>
      <c r="H50">
        <v>8633.4442679460008</v>
      </c>
      <c r="I50">
        <v>9405.6662479012812</v>
      </c>
      <c r="J50">
        <v>12275.854808509359</v>
      </c>
    </row>
    <row r="51" spans="1:10">
      <c r="A51" t="s">
        <v>379</v>
      </c>
      <c r="B51" t="s">
        <v>428</v>
      </c>
      <c r="C51">
        <v>35733.403901406324</v>
      </c>
      <c r="D51">
        <v>43608.991415231685</v>
      </c>
      <c r="E51">
        <v>47847.828807408339</v>
      </c>
      <c r="F51">
        <v>48935.818841486296</v>
      </c>
      <c r="G51">
        <v>37264.758090975629</v>
      </c>
      <c r="H51">
        <v>25139.415968175348</v>
      </c>
      <c r="I51">
        <v>25250.026417442554</v>
      </c>
      <c r="J51">
        <v>31295.353541430108</v>
      </c>
    </row>
    <row r="52" spans="1:10">
      <c r="A52" t="s">
        <v>383</v>
      </c>
      <c r="B52" t="s">
        <v>429</v>
      </c>
      <c r="C52">
        <v>20386.486214022883</v>
      </c>
      <c r="D52">
        <v>25848.687183091519</v>
      </c>
      <c r="E52">
        <v>26565.636340883495</v>
      </c>
      <c r="F52">
        <v>27510.446640810707</v>
      </c>
      <c r="G52">
        <v>18279.842176550264</v>
      </c>
      <c r="H52">
        <v>13533.442894615169</v>
      </c>
      <c r="I52">
        <v>13382.411071060964</v>
      </c>
      <c r="J52">
        <v>15809.689960370875</v>
      </c>
    </row>
    <row r="53" spans="1:10">
      <c r="A53" t="s">
        <v>405</v>
      </c>
      <c r="B53" t="s">
        <v>430</v>
      </c>
      <c r="C53">
        <v>2508.9470235394929</v>
      </c>
      <c r="D53">
        <v>2790.5517345248254</v>
      </c>
      <c r="E53">
        <v>2756.1006131898389</v>
      </c>
      <c r="F53">
        <v>2742.0242712373324</v>
      </c>
      <c r="G53">
        <v>1803.5283131567214</v>
      </c>
      <c r="H53">
        <v>1165.4085430333216</v>
      </c>
      <c r="I53">
        <v>1277.3127003322727</v>
      </c>
      <c r="J53">
        <v>1418.865569283292</v>
      </c>
    </row>
    <row r="54" spans="1:10">
      <c r="A54" t="s">
        <v>395</v>
      </c>
      <c r="B54" t="s">
        <v>396</v>
      </c>
      <c r="C54">
        <v>8606.7846161600883</v>
      </c>
      <c r="D54">
        <v>9931.8489884030314</v>
      </c>
      <c r="E54">
        <v>11086.847703666626</v>
      </c>
      <c r="F54">
        <v>12198.048292255724</v>
      </c>
      <c r="G54">
        <v>8843.1608436319584</v>
      </c>
      <c r="H54">
        <v>6510.6410250541321</v>
      </c>
      <c r="I54">
        <v>7157.6005917507127</v>
      </c>
      <c r="J54">
        <v>8484.505538301888</v>
      </c>
    </row>
    <row r="55" spans="1:10">
      <c r="A55" t="s">
        <v>393</v>
      </c>
      <c r="B55" t="s">
        <v>394</v>
      </c>
      <c r="C55">
        <v>12461.313574272897</v>
      </c>
      <c r="D55">
        <v>11943.998192680356</v>
      </c>
      <c r="E55">
        <v>12269.302965836567</v>
      </c>
      <c r="F55">
        <v>13037.15751282372</v>
      </c>
      <c r="G55">
        <v>9828.2954899173037</v>
      </c>
      <c r="H55">
        <v>4933.1874550806378</v>
      </c>
      <c r="I55">
        <v>4211.7230825828819</v>
      </c>
      <c r="J55">
        <v>4554.7927178661939</v>
      </c>
    </row>
    <row r="56" spans="1:10">
      <c r="A56" t="s">
        <v>390</v>
      </c>
      <c r="B56" t="s">
        <v>431</v>
      </c>
      <c r="C56">
        <v>11351.630626543676</v>
      </c>
      <c r="D56">
        <v>13664.968120889604</v>
      </c>
      <c r="E56">
        <v>15178.701038668503</v>
      </c>
      <c r="F56">
        <v>16925.184536469409</v>
      </c>
      <c r="G56">
        <v>11765.081982383674</v>
      </c>
      <c r="H56">
        <v>8060.444867633797</v>
      </c>
      <c r="I56">
        <v>8146.1217237479104</v>
      </c>
      <c r="J56">
        <v>8953.8136453531661</v>
      </c>
    </row>
    <row r="57" spans="1:10">
      <c r="A57" t="s">
        <v>399</v>
      </c>
      <c r="B57" t="s">
        <v>432</v>
      </c>
      <c r="C57">
        <v>6797.9736881899289</v>
      </c>
      <c r="D57">
        <v>7743.9881520156632</v>
      </c>
      <c r="E57">
        <v>10762.107370792142</v>
      </c>
      <c r="F57">
        <v>11949.205554860502</v>
      </c>
      <c r="G57">
        <v>7759.0920945258149</v>
      </c>
      <c r="H57">
        <v>4903.8897306898243</v>
      </c>
      <c r="I57">
        <v>5289.0068215707224</v>
      </c>
      <c r="J57">
        <v>6453.0804689321194</v>
      </c>
    </row>
    <row r="58" spans="1:10">
      <c r="A58" t="s">
        <v>403</v>
      </c>
      <c r="B58" t="s">
        <v>433</v>
      </c>
      <c r="C58">
        <v>3075.1297948485308</v>
      </c>
      <c r="D58">
        <v>3792.484562478036</v>
      </c>
      <c r="E58">
        <v>4138.6559879864853</v>
      </c>
      <c r="F58">
        <v>4484.6740898285998</v>
      </c>
      <c r="G58">
        <v>3023.379070726106</v>
      </c>
      <c r="H58">
        <v>1985.3786044212097</v>
      </c>
      <c r="I58">
        <v>2322.3084539729875</v>
      </c>
      <c r="J58">
        <v>2662.7463660768672</v>
      </c>
    </row>
    <row r="59" spans="1:10">
      <c r="A59" t="s">
        <v>397</v>
      </c>
      <c r="B59" t="s">
        <v>434</v>
      </c>
      <c r="C59">
        <v>8749.6849639598768</v>
      </c>
      <c r="D59">
        <v>8922.385661930819</v>
      </c>
      <c r="E59">
        <v>10349.518207983983</v>
      </c>
      <c r="F59">
        <v>11376.204178656324</v>
      </c>
      <c r="G59">
        <v>9857.0671422682499</v>
      </c>
      <c r="H59">
        <v>6755.7805783553904</v>
      </c>
      <c r="I59">
        <v>7129.1088907413705</v>
      </c>
      <c r="J59">
        <v>8909.7854612995652</v>
      </c>
    </row>
    <row r="60" spans="1:10">
      <c r="A60" t="s">
        <v>364</v>
      </c>
      <c r="B60" t="s">
        <v>435</v>
      </c>
      <c r="C60">
        <v>10125.132315136852</v>
      </c>
      <c r="D60">
        <v>10949.595863246146</v>
      </c>
      <c r="E60">
        <v>12742.209986234515</v>
      </c>
      <c r="F60">
        <v>13452.77117477793</v>
      </c>
      <c r="G60">
        <v>8943.1886057526481</v>
      </c>
      <c r="H60">
        <v>5490.0273292835336</v>
      </c>
      <c r="I60">
        <v>5195.2346847322833</v>
      </c>
      <c r="J60">
        <v>6768.1959348187365</v>
      </c>
    </row>
    <row r="61" spans="1:10">
      <c r="A61" t="s">
        <v>401</v>
      </c>
      <c r="B61" t="s">
        <v>436</v>
      </c>
      <c r="C61">
        <v>7369.0710217248852</v>
      </c>
      <c r="D61">
        <v>8070.5607711230487</v>
      </c>
      <c r="E61">
        <v>9276.8114128394445</v>
      </c>
      <c r="F61">
        <v>9083.3229075441013</v>
      </c>
      <c r="G61">
        <v>6036.5786971993912</v>
      </c>
      <c r="H61">
        <v>4057.5517173502039</v>
      </c>
      <c r="I61">
        <v>3886.4558750435399</v>
      </c>
      <c r="J61">
        <v>4961.9124248964154</v>
      </c>
    </row>
    <row r="62" spans="1:10">
      <c r="A62" t="s">
        <v>411</v>
      </c>
      <c r="B62" t="s">
        <v>437</v>
      </c>
      <c r="C62">
        <v>1248.5508342154342</v>
      </c>
      <c r="D62">
        <v>1549.2745619760028</v>
      </c>
      <c r="E62">
        <v>2167.3132273808037</v>
      </c>
      <c r="F62">
        <v>2447.5165770048793</v>
      </c>
      <c r="G62">
        <v>1609.782361799322</v>
      </c>
      <c r="H62">
        <v>935.51296195415819</v>
      </c>
      <c r="I62">
        <v>906.21612207598048</v>
      </c>
      <c r="J62">
        <v>1062.6922238180821</v>
      </c>
    </row>
    <row r="63" spans="1:10">
      <c r="A63" t="s">
        <v>409</v>
      </c>
      <c r="B63" t="s">
        <v>438</v>
      </c>
      <c r="C63">
        <v>1654.5692827259438</v>
      </c>
      <c r="D63">
        <v>2040.2630654149305</v>
      </c>
      <c r="E63">
        <v>2246.6524840445504</v>
      </c>
      <c r="F63">
        <v>2479.6697109971224</v>
      </c>
      <c r="G63">
        <v>1725.2896093953748</v>
      </c>
      <c r="H63">
        <v>1028.8536807555151</v>
      </c>
      <c r="I63">
        <v>1044.7217949771634</v>
      </c>
      <c r="J63">
        <v>1354.6092357669777</v>
      </c>
    </row>
    <row r="64" spans="1:10">
      <c r="A64" t="s">
        <v>439</v>
      </c>
      <c r="C64">
        <v>300237.53717425273</v>
      </c>
      <c r="D64">
        <v>359933.73161303281</v>
      </c>
      <c r="E64">
        <v>380750.09385558753</v>
      </c>
      <c r="F64">
        <v>385232.95383460529</v>
      </c>
      <c r="G64">
        <v>282166.37081780477</v>
      </c>
      <c r="H64">
        <v>191773.7941010863</v>
      </c>
      <c r="I64">
        <v>197966.20915569854</v>
      </c>
      <c r="J64">
        <v>235195.36331711573</v>
      </c>
    </row>
    <row r="65" spans="1:10">
      <c r="A65" t="s">
        <v>371</v>
      </c>
      <c r="C65">
        <v>16048.943999193507</v>
      </c>
      <c r="D65">
        <v>22503.137707716251</v>
      </c>
      <c r="E65">
        <v>24458.766111875862</v>
      </c>
      <c r="F65">
        <v>22968.347303890903</v>
      </c>
      <c r="G65">
        <v>17358.560407850793</v>
      </c>
      <c r="H65">
        <v>13840.611223775104</v>
      </c>
      <c r="I65">
        <v>14394.023004700348</v>
      </c>
      <c r="J65">
        <v>17787.386357654737</v>
      </c>
    </row>
    <row r="66" spans="1:10">
      <c r="A66" t="s">
        <v>440</v>
      </c>
      <c r="C66">
        <v>-313.01980946620296</v>
      </c>
      <c r="D66">
        <v>-233.82197901501078</v>
      </c>
      <c r="E66">
        <v>-481.79201601802032</v>
      </c>
      <c r="F66">
        <v>-275.24083573126484</v>
      </c>
      <c r="G66">
        <v>-180.0331462895505</v>
      </c>
      <c r="H66">
        <v>-145.89351192737826</v>
      </c>
      <c r="I66">
        <v>-221.00636758207997</v>
      </c>
      <c r="J66">
        <v>-329.47820398095996</v>
      </c>
    </row>
    <row r="67" spans="1:10">
      <c r="A67" t="s">
        <v>441</v>
      </c>
    </row>
    <row r="69" spans="1:10">
      <c r="A69" t="s">
        <v>474</v>
      </c>
      <c r="C69">
        <v>136.01300000000001</v>
      </c>
      <c r="D69">
        <v>163.16</v>
      </c>
      <c r="E69">
        <v>175.78100000000001</v>
      </c>
      <c r="F69">
        <v>183.31</v>
      </c>
      <c r="G69">
        <v>133.50299999999999</v>
      </c>
      <c r="H69">
        <v>91.031000000000006</v>
      </c>
      <c r="I69">
        <v>93.27</v>
      </c>
      <c r="J69">
        <v>112.154</v>
      </c>
    </row>
    <row r="90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scale="90" fitToHeight="0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sqref="A1:F21"/>
    </sheetView>
  </sheetViews>
  <sheetFormatPr defaultRowHeight="15"/>
  <cols>
    <col min="1" max="1" width="45.7109375" style="153" customWidth="1"/>
    <col min="2" max="2" width="10.42578125" style="262" customWidth="1"/>
    <col min="3" max="3" width="13.28515625" style="153" customWidth="1"/>
    <col min="4" max="4" width="13.5703125" style="153" customWidth="1"/>
    <col min="5" max="5" width="13.28515625" style="153" customWidth="1"/>
    <col min="6" max="6" width="15.7109375" style="153" customWidth="1"/>
    <col min="7" max="16384" width="9.140625" style="153"/>
  </cols>
  <sheetData>
    <row r="1" spans="1:6" ht="26.45" customHeight="1">
      <c r="B1" s="258" t="s">
        <v>494</v>
      </c>
      <c r="C1" s="259" t="s">
        <v>495</v>
      </c>
      <c r="D1" s="259" t="s">
        <v>496</v>
      </c>
      <c r="E1" s="259" t="s">
        <v>497</v>
      </c>
      <c r="F1" s="259" t="s">
        <v>498</v>
      </c>
    </row>
    <row r="2" spans="1:6" ht="19.5">
      <c r="A2" s="260" t="s">
        <v>381</v>
      </c>
      <c r="B2" s="259" t="s">
        <v>382</v>
      </c>
      <c r="C2" s="261">
        <v>27347.555702608606</v>
      </c>
      <c r="D2" s="261">
        <v>-10324.464884899999</v>
      </c>
      <c r="E2" s="261">
        <v>2099.5766678800001</v>
      </c>
      <c r="F2" s="261">
        <v>19122.667485588609</v>
      </c>
    </row>
    <row r="3" spans="1:6">
      <c r="A3" s="260" t="s">
        <v>386</v>
      </c>
      <c r="B3" s="259" t="s">
        <v>387</v>
      </c>
      <c r="C3" s="261">
        <v>12939.887053232369</v>
      </c>
      <c r="D3" s="261">
        <v>-3947.7218735599999</v>
      </c>
      <c r="E3" s="261">
        <v>12504.73243502</v>
      </c>
      <c r="F3" s="261">
        <v>29392.34136181237</v>
      </c>
    </row>
    <row r="4" spans="1:6">
      <c r="A4" s="260" t="s">
        <v>359</v>
      </c>
      <c r="B4" s="259" t="s">
        <v>378</v>
      </c>
      <c r="C4" s="261">
        <v>67869.464518021108</v>
      </c>
      <c r="D4" s="261">
        <v>-30501.237616150007</v>
      </c>
      <c r="E4" s="261">
        <v>34836.373559850006</v>
      </c>
      <c r="F4" s="261">
        <v>72204.6004617211</v>
      </c>
    </row>
    <row r="5" spans="1:6" ht="19.5">
      <c r="A5" s="260" t="s">
        <v>388</v>
      </c>
      <c r="B5" s="259" t="s">
        <v>389</v>
      </c>
      <c r="C5" s="261">
        <v>10677.492611837604</v>
      </c>
      <c r="D5" s="261"/>
      <c r="E5" s="261"/>
      <c r="F5" s="261"/>
    </row>
    <row r="6" spans="1:6" ht="19.5">
      <c r="A6" s="260" t="s">
        <v>407</v>
      </c>
      <c r="B6" s="259" t="s">
        <v>408</v>
      </c>
      <c r="C6" s="261">
        <v>1395.0655346924043</v>
      </c>
      <c r="D6" s="261"/>
      <c r="E6" s="261"/>
      <c r="F6" s="261"/>
    </row>
    <row r="7" spans="1:6">
      <c r="A7" s="260" t="s">
        <v>362</v>
      </c>
      <c r="B7" s="259" t="s">
        <v>385</v>
      </c>
      <c r="C7" s="261">
        <v>12275.854808509359</v>
      </c>
      <c r="D7" s="261">
        <v>-102.25636999999999</v>
      </c>
      <c r="E7" s="261">
        <v>106.65017999999999</v>
      </c>
      <c r="F7" s="261">
        <v>12280.24861850936</v>
      </c>
    </row>
    <row r="8" spans="1:6" ht="19.5">
      <c r="A8" s="260" t="s">
        <v>379</v>
      </c>
      <c r="B8" s="259" t="s">
        <v>380</v>
      </c>
      <c r="C8" s="261">
        <v>31295.353541430108</v>
      </c>
      <c r="D8" s="261"/>
      <c r="E8" s="261"/>
      <c r="F8" s="261"/>
    </row>
    <row r="9" spans="1:6" ht="19.5">
      <c r="A9" s="260" t="s">
        <v>383</v>
      </c>
      <c r="B9" s="259" t="s">
        <v>384</v>
      </c>
      <c r="C9" s="261">
        <v>15809.689960370875</v>
      </c>
      <c r="D9" s="261">
        <v>-5861.4056300000002</v>
      </c>
      <c r="E9" s="261">
        <v>1213.0736299999999</v>
      </c>
      <c r="F9" s="261">
        <v>11161.357960370875</v>
      </c>
    </row>
    <row r="10" spans="1:6">
      <c r="A10" s="260" t="s">
        <v>405</v>
      </c>
      <c r="B10" s="259" t="s">
        <v>406</v>
      </c>
      <c r="C10" s="261">
        <v>1418.865569283292</v>
      </c>
      <c r="D10" s="261"/>
      <c r="E10" s="261"/>
      <c r="F10" s="261"/>
    </row>
    <row r="11" spans="1:6">
      <c r="A11" s="260" t="s">
        <v>395</v>
      </c>
      <c r="B11" s="259" t="s">
        <v>396</v>
      </c>
      <c r="C11" s="261">
        <v>8484.505538301888</v>
      </c>
      <c r="D11" s="261">
        <v>-1760.79458</v>
      </c>
      <c r="E11" s="261">
        <v>423.96979999999996</v>
      </c>
      <c r="F11" s="261">
        <v>7147.6807583018881</v>
      </c>
    </row>
    <row r="12" spans="1:6">
      <c r="A12" s="260" t="s">
        <v>393</v>
      </c>
      <c r="B12" s="259" t="s">
        <v>394</v>
      </c>
      <c r="C12" s="261">
        <v>4554.7927178661939</v>
      </c>
      <c r="D12" s="261">
        <v>-114.01109</v>
      </c>
      <c r="E12" s="261">
        <v>552.91029000000003</v>
      </c>
      <c r="F12" s="261">
        <v>4993.6919178661938</v>
      </c>
    </row>
    <row r="13" spans="1:6">
      <c r="A13" s="260" t="s">
        <v>390</v>
      </c>
      <c r="B13" s="259" t="s">
        <v>391</v>
      </c>
      <c r="C13" s="261">
        <v>8953.8136453531661</v>
      </c>
      <c r="D13" s="261"/>
      <c r="E13" s="261"/>
      <c r="F13" s="261"/>
    </row>
    <row r="14" spans="1:6">
      <c r="A14" s="260" t="s">
        <v>399</v>
      </c>
      <c r="B14" s="259" t="s">
        <v>400</v>
      </c>
      <c r="C14" s="261">
        <v>6453.0804689321194</v>
      </c>
      <c r="D14" s="261"/>
      <c r="E14" s="261"/>
      <c r="F14" s="261"/>
    </row>
    <row r="15" spans="1:6" ht="19.5">
      <c r="A15" s="260" t="s">
        <v>403</v>
      </c>
      <c r="B15" s="259" t="s">
        <v>404</v>
      </c>
      <c r="C15" s="261">
        <v>2662.7463660768672</v>
      </c>
      <c r="D15" s="261">
        <v>-950.91711000000009</v>
      </c>
      <c r="E15" s="261">
        <v>1234.4308000000001</v>
      </c>
      <c r="F15" s="261">
        <v>2946.2600560768669</v>
      </c>
    </row>
    <row r="16" spans="1:6" ht="19.5">
      <c r="A16" s="260" t="s">
        <v>397</v>
      </c>
      <c r="B16" s="259" t="s">
        <v>398</v>
      </c>
      <c r="C16" s="261">
        <v>8909.7854612995652</v>
      </c>
      <c r="D16" s="261">
        <v>-3.8128699999999998</v>
      </c>
      <c r="E16" s="261">
        <v>1055.27134</v>
      </c>
      <c r="F16" s="261">
        <v>9961.2439312995648</v>
      </c>
    </row>
    <row r="17" spans="1:6">
      <c r="A17" s="260" t="s">
        <v>364</v>
      </c>
      <c r="B17" s="259" t="s">
        <v>392</v>
      </c>
      <c r="C17" s="261">
        <v>6768.1959348187365</v>
      </c>
      <c r="D17" s="261"/>
      <c r="E17" s="261"/>
      <c r="F17" s="261"/>
    </row>
    <row r="18" spans="1:6">
      <c r="A18" s="260" t="s">
        <v>401</v>
      </c>
      <c r="B18" s="259" t="s">
        <v>402</v>
      </c>
      <c r="C18" s="261">
        <v>4961.9124248964154</v>
      </c>
      <c r="D18" s="261"/>
      <c r="E18" s="261"/>
      <c r="F18" s="261"/>
    </row>
    <row r="19" spans="1:6">
      <c r="A19" s="260" t="s">
        <v>411</v>
      </c>
      <c r="B19" s="259" t="s">
        <v>412</v>
      </c>
      <c r="C19" s="261">
        <v>1062.6922238180821</v>
      </c>
      <c r="D19" s="261">
        <v>-242.74900000000002</v>
      </c>
      <c r="E19" s="261">
        <v>795.17393000000004</v>
      </c>
      <c r="F19" s="261">
        <v>1615.117153818082</v>
      </c>
    </row>
    <row r="20" spans="1:6">
      <c r="A20" s="260" t="s">
        <v>409</v>
      </c>
      <c r="B20" s="259" t="s">
        <v>410</v>
      </c>
      <c r="C20" s="261">
        <v>1354.6092357669777</v>
      </c>
      <c r="D20" s="261">
        <v>-14.73752</v>
      </c>
      <c r="E20" s="261">
        <v>20.57396</v>
      </c>
      <c r="F20" s="261">
        <f>SUM(C20:E20)</f>
        <v>1360.4456757669777</v>
      </c>
    </row>
    <row r="21" spans="1:6">
      <c r="A21" s="260"/>
      <c r="B21" s="259"/>
      <c r="C21" s="261">
        <f>SUM(C2:C20)</f>
        <v>235195.3633171157</v>
      </c>
      <c r="D21" s="261">
        <f t="shared" ref="D21:F21" si="0">SUM(D2:D20)</f>
        <v>-53824.108544610019</v>
      </c>
      <c r="E21" s="261">
        <f t="shared" si="0"/>
        <v>54842.73659275</v>
      </c>
      <c r="F21" s="261">
        <f t="shared" si="0"/>
        <v>172185.65538113189</v>
      </c>
    </row>
    <row r="24" spans="1:6">
      <c r="A24" t="s">
        <v>493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C1" workbookViewId="0">
      <selection activeCell="J1" sqref="J1:P21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</cols>
  <sheetData>
    <row r="1" spans="1:17">
      <c r="Q1" t="s">
        <v>491</v>
      </c>
    </row>
    <row r="2" spans="1:17">
      <c r="B2" s="396" t="s">
        <v>349</v>
      </c>
      <c r="C2" s="396"/>
      <c r="D2" s="396"/>
      <c r="E2" s="396"/>
      <c r="F2" s="396"/>
      <c r="G2" s="396"/>
      <c r="K2" s="396" t="s">
        <v>475</v>
      </c>
      <c r="L2" s="396"/>
      <c r="M2" s="396"/>
      <c r="N2" s="396"/>
      <c r="O2" s="396"/>
      <c r="P2" s="396"/>
      <c r="Q2" s="50" t="s">
        <v>492</v>
      </c>
    </row>
    <row r="3" spans="1:17">
      <c r="B3" s="397" t="s">
        <v>350</v>
      </c>
      <c r="C3" s="397"/>
      <c r="D3" s="397"/>
      <c r="E3" s="397"/>
      <c r="K3" s="397" t="s">
        <v>350</v>
      </c>
      <c r="L3" s="397"/>
      <c r="M3" s="397"/>
      <c r="N3" s="397"/>
    </row>
    <row r="4" spans="1:17">
      <c r="A4" s="398" t="s">
        <v>81</v>
      </c>
      <c r="B4" s="398" t="s">
        <v>351</v>
      </c>
      <c r="C4" s="400" t="s">
        <v>352</v>
      </c>
      <c r="D4" s="400" t="s">
        <v>353</v>
      </c>
      <c r="E4" s="400" t="s">
        <v>354</v>
      </c>
      <c r="F4" s="400" t="s">
        <v>355</v>
      </c>
      <c r="G4" s="400" t="s">
        <v>356</v>
      </c>
      <c r="J4" s="398" t="s">
        <v>81</v>
      </c>
      <c r="K4" s="398" t="s">
        <v>351</v>
      </c>
      <c r="L4" s="400" t="s">
        <v>352</v>
      </c>
      <c r="M4" s="400" t="s">
        <v>353</v>
      </c>
      <c r="N4" s="400" t="s">
        <v>354</v>
      </c>
      <c r="O4" s="400" t="s">
        <v>355</v>
      </c>
      <c r="P4" s="400" t="s">
        <v>356</v>
      </c>
    </row>
    <row r="5" spans="1:17" ht="24.75" customHeight="1">
      <c r="A5" s="399"/>
      <c r="B5" s="399"/>
      <c r="C5" s="401"/>
      <c r="D5" s="401"/>
      <c r="E5" s="401"/>
      <c r="F5" s="402"/>
      <c r="G5" s="402"/>
      <c r="J5" s="399"/>
      <c r="K5" s="399"/>
      <c r="L5" s="401"/>
      <c r="M5" s="401"/>
      <c r="N5" s="401"/>
      <c r="O5" s="402"/>
      <c r="P5" s="402"/>
    </row>
    <row r="6" spans="1:17" ht="114.75">
      <c r="A6" s="182">
        <v>1</v>
      </c>
      <c r="B6" s="182" t="s">
        <v>357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  <c r="J6" s="182">
        <v>1</v>
      </c>
      <c r="K6" s="182" t="s">
        <v>357</v>
      </c>
      <c r="L6" s="253" t="s">
        <v>476</v>
      </c>
      <c r="M6" s="253">
        <v>423403</v>
      </c>
      <c r="N6" s="253">
        <v>303949</v>
      </c>
      <c r="O6" s="255">
        <v>2860.7</v>
      </c>
      <c r="P6" s="253">
        <f t="shared" ref="P6" si="0">N6/O6*1000</f>
        <v>106249.86891320307</v>
      </c>
    </row>
    <row r="7" spans="1:17" ht="51">
      <c r="A7" s="184">
        <v>2</v>
      </c>
      <c r="B7" s="184" t="s">
        <v>358</v>
      </c>
      <c r="C7" s="183">
        <v>147856</v>
      </c>
      <c r="D7" s="183">
        <v>64653</v>
      </c>
      <c r="E7" s="183">
        <v>83203</v>
      </c>
      <c r="F7" s="403">
        <v>3303</v>
      </c>
      <c r="G7" s="405">
        <f>(E7+E8)/F7*1000</f>
        <v>81180.744777475033</v>
      </c>
      <c r="J7" s="184">
        <v>2</v>
      </c>
      <c r="K7" s="184" t="s">
        <v>358</v>
      </c>
      <c r="L7" s="253" t="s">
        <v>477</v>
      </c>
      <c r="M7" s="253">
        <v>166987</v>
      </c>
      <c r="N7" s="253">
        <v>177170</v>
      </c>
      <c r="O7" s="394">
        <v>2440.6</v>
      </c>
      <c r="P7" s="394">
        <f>(N7+N8)/O7*1000</f>
        <v>220043.02220765388</v>
      </c>
    </row>
    <row r="8" spans="1:17" ht="51">
      <c r="A8" s="184">
        <v>3</v>
      </c>
      <c r="B8" s="184" t="s">
        <v>359</v>
      </c>
      <c r="C8" s="183">
        <v>982102</v>
      </c>
      <c r="D8" s="183">
        <v>797165</v>
      </c>
      <c r="E8" s="183">
        <v>184937</v>
      </c>
      <c r="F8" s="404"/>
      <c r="G8" s="406"/>
      <c r="J8" s="184">
        <v>3</v>
      </c>
      <c r="K8" s="184" t="s">
        <v>359</v>
      </c>
      <c r="L8" s="253" t="s">
        <v>478</v>
      </c>
      <c r="M8" s="253">
        <v>1445230</v>
      </c>
      <c r="N8" s="253">
        <v>359867</v>
      </c>
      <c r="O8" s="395"/>
      <c r="P8" s="395"/>
    </row>
    <row r="9" spans="1:17" ht="102">
      <c r="A9" s="184">
        <v>4</v>
      </c>
      <c r="B9" s="184" t="s">
        <v>360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  <c r="J9" s="184">
        <v>4</v>
      </c>
      <c r="K9" s="184" t="s">
        <v>360</v>
      </c>
      <c r="L9" s="253" t="s">
        <v>479</v>
      </c>
      <c r="M9" s="253">
        <v>198015</v>
      </c>
      <c r="N9" s="253">
        <v>85970</v>
      </c>
      <c r="O9" s="254">
        <v>0</v>
      </c>
      <c r="P9" s="254">
        <v>0</v>
      </c>
    </row>
    <row r="10" spans="1:17" ht="178.5">
      <c r="A10" s="184">
        <v>5</v>
      </c>
      <c r="B10" s="184" t="s">
        <v>361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  <c r="J10" s="184">
        <v>5</v>
      </c>
      <c r="K10" s="184" t="s">
        <v>361</v>
      </c>
      <c r="L10" s="253" t="s">
        <v>480</v>
      </c>
      <c r="M10" s="253">
        <v>422356</v>
      </c>
      <c r="N10" s="253">
        <v>409994</v>
      </c>
      <c r="O10" s="254">
        <v>3525.8</v>
      </c>
      <c r="P10" s="254">
        <f>(N10)/O10*1000</f>
        <v>116283.96392308128</v>
      </c>
    </row>
    <row r="11" spans="1:17" ht="25.5">
      <c r="A11" s="184">
        <v>6</v>
      </c>
      <c r="B11" s="184" t="s">
        <v>362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1">E11/F11*1000</f>
        <v>43368.432720017729</v>
      </c>
      <c r="J11" s="184">
        <v>6</v>
      </c>
      <c r="K11" s="184" t="s">
        <v>362</v>
      </c>
      <c r="L11" s="253" t="s">
        <v>481</v>
      </c>
      <c r="M11" s="253">
        <v>262065</v>
      </c>
      <c r="N11" s="253">
        <v>64431</v>
      </c>
      <c r="O11" s="255">
        <v>644.29999999999995</v>
      </c>
      <c r="P11" s="253">
        <f>N11/O11*1000</f>
        <v>100001.55207201616</v>
      </c>
    </row>
    <row r="12" spans="1:17" ht="63.75">
      <c r="A12" s="184">
        <v>7</v>
      </c>
      <c r="B12" s="184" t="s">
        <v>363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1"/>
        <v>95345.62550503196</v>
      </c>
      <c r="J12" s="184">
        <v>7</v>
      </c>
      <c r="K12" s="184" t="s">
        <v>363</v>
      </c>
      <c r="L12" s="253" t="s">
        <v>482</v>
      </c>
      <c r="M12" s="253">
        <v>229275</v>
      </c>
      <c r="N12" s="253">
        <v>191209</v>
      </c>
      <c r="O12" s="253">
        <f>991.6+274.1</f>
        <v>1265.7</v>
      </c>
      <c r="P12" s="253">
        <f t="shared" ref="P12:P17" si="2">N12/O12*1000</f>
        <v>151069.76376708539</v>
      </c>
    </row>
    <row r="13" spans="1:17">
      <c r="A13" s="184">
        <v>8</v>
      </c>
      <c r="B13" s="184" t="s">
        <v>364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1"/>
        <v>44901.667762567995</v>
      </c>
      <c r="J13" s="184">
        <v>8</v>
      </c>
      <c r="K13" s="184" t="s">
        <v>364</v>
      </c>
      <c r="L13" s="253" t="s">
        <v>483</v>
      </c>
      <c r="M13" s="253">
        <v>46798</v>
      </c>
      <c r="N13" s="253">
        <v>133213</v>
      </c>
      <c r="O13" s="256">
        <v>1423.4</v>
      </c>
      <c r="P13" s="253">
        <f t="shared" si="2"/>
        <v>93587.888155121531</v>
      </c>
    </row>
    <row r="14" spans="1:17" ht="114.75">
      <c r="A14" s="184">
        <v>9</v>
      </c>
      <c r="B14" s="184" t="s">
        <v>365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1"/>
        <v>41006.947095198098</v>
      </c>
      <c r="J14" s="184">
        <v>9</v>
      </c>
      <c r="K14" s="184" t="s">
        <v>365</v>
      </c>
      <c r="L14" s="253" t="s">
        <v>484</v>
      </c>
      <c r="M14" s="253">
        <v>55830</v>
      </c>
      <c r="N14" s="253">
        <v>76140</v>
      </c>
      <c r="O14" s="253">
        <v>1013.6</v>
      </c>
      <c r="P14" s="253">
        <f t="shared" si="2"/>
        <v>75118.38989739542</v>
      </c>
    </row>
    <row r="15" spans="1:17" ht="76.5">
      <c r="A15" s="184">
        <v>10</v>
      </c>
      <c r="B15" s="184" t="s">
        <v>366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1"/>
        <v>154503.52497269388</v>
      </c>
      <c r="J15" s="184">
        <v>10</v>
      </c>
      <c r="K15" s="184" t="s">
        <v>366</v>
      </c>
      <c r="L15" s="253" t="s">
        <v>485</v>
      </c>
      <c r="M15" s="253">
        <v>13538</v>
      </c>
      <c r="N15" s="253">
        <v>22490</v>
      </c>
      <c r="O15" s="253">
        <f>344.6+199.8+415.8+252.3+276.3+297.9</f>
        <v>1786.6999999999998</v>
      </c>
      <c r="P15" s="253">
        <f t="shared" si="2"/>
        <v>12587.451726646892</v>
      </c>
    </row>
    <row r="16" spans="1:17" ht="76.5">
      <c r="A16" s="184">
        <v>11</v>
      </c>
      <c r="B16" s="184" t="s">
        <v>367</v>
      </c>
      <c r="C16" s="187" t="s">
        <v>368</v>
      </c>
      <c r="D16" s="183">
        <v>40109</v>
      </c>
      <c r="E16" s="183">
        <v>-40109</v>
      </c>
      <c r="F16" s="183">
        <v>324.3</v>
      </c>
      <c r="G16" s="183">
        <f t="shared" si="1"/>
        <v>-123678.6925686093</v>
      </c>
      <c r="J16" s="257">
        <v>11</v>
      </c>
      <c r="K16" s="257" t="s">
        <v>367</v>
      </c>
      <c r="L16" s="253" t="s">
        <v>368</v>
      </c>
      <c r="M16" s="253">
        <v>40109</v>
      </c>
      <c r="N16" s="253">
        <v>-40109</v>
      </c>
      <c r="O16" s="253">
        <v>215.9</v>
      </c>
      <c r="P16" s="253">
        <f t="shared" si="2"/>
        <v>-185775.82213987957</v>
      </c>
    </row>
    <row r="17" spans="1:16" ht="51">
      <c r="A17" s="184"/>
      <c r="B17" s="184" t="s">
        <v>369</v>
      </c>
      <c r="C17" s="187" t="s">
        <v>368</v>
      </c>
      <c r="D17" s="187" t="s">
        <v>368</v>
      </c>
      <c r="E17" s="187" t="s">
        <v>368</v>
      </c>
      <c r="F17" s="183">
        <v>1079.4000000000001</v>
      </c>
      <c r="G17" s="183">
        <v>0</v>
      </c>
      <c r="J17" s="184"/>
      <c r="K17" s="184" t="s">
        <v>369</v>
      </c>
      <c r="L17" s="253" t="s">
        <v>486</v>
      </c>
      <c r="M17" s="253">
        <v>73172</v>
      </c>
      <c r="N17" s="253">
        <v>163798</v>
      </c>
      <c r="O17" s="253">
        <v>979.7</v>
      </c>
      <c r="P17" s="253">
        <f t="shared" si="2"/>
        <v>167191.99755027049</v>
      </c>
    </row>
    <row r="18" spans="1:16" ht="63.75">
      <c r="A18" s="188">
        <v>12</v>
      </c>
      <c r="B18" s="189" t="s">
        <v>370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1"/>
        <v>59659.865282479353</v>
      </c>
      <c r="J18" s="188">
        <v>12</v>
      </c>
      <c r="K18" s="189" t="s">
        <v>370</v>
      </c>
      <c r="L18" s="186" t="s">
        <v>490</v>
      </c>
      <c r="M18" s="186">
        <v>3735836</v>
      </c>
      <c r="N18" s="186">
        <v>2519561</v>
      </c>
      <c r="O18" s="186">
        <f>SUM(O6:O17)</f>
        <v>16156.4</v>
      </c>
      <c r="P18" s="186">
        <f t="shared" ref="P18" si="3">N18/O18*1000</f>
        <v>155948.16914659209</v>
      </c>
    </row>
    <row r="19" spans="1:16" ht="51">
      <c r="A19" s="184">
        <v>13</v>
      </c>
      <c r="B19" s="184" t="s">
        <v>371</v>
      </c>
      <c r="C19" s="183">
        <v>200912</v>
      </c>
      <c r="D19" s="187" t="s">
        <v>368</v>
      </c>
      <c r="E19" s="183">
        <v>200912</v>
      </c>
      <c r="F19" s="183"/>
      <c r="G19" s="183"/>
      <c r="J19" s="184">
        <v>13</v>
      </c>
      <c r="K19" s="184" t="s">
        <v>371</v>
      </c>
      <c r="L19" s="183" t="s">
        <v>488</v>
      </c>
      <c r="M19" s="187" t="s">
        <v>368</v>
      </c>
      <c r="N19" s="183">
        <v>473084</v>
      </c>
      <c r="O19" s="183"/>
      <c r="P19" s="183"/>
    </row>
    <row r="20" spans="1:16" ht="51">
      <c r="A20" s="184">
        <v>14</v>
      </c>
      <c r="B20" s="184" t="s">
        <v>372</v>
      </c>
      <c r="C20" s="183">
        <v>-3973</v>
      </c>
      <c r="D20" s="187" t="s">
        <v>368</v>
      </c>
      <c r="E20" s="183">
        <v>-3973</v>
      </c>
      <c r="F20" s="183"/>
      <c r="G20" s="183"/>
      <c r="J20" s="184">
        <v>14</v>
      </c>
      <c r="K20" s="184" t="s">
        <v>372</v>
      </c>
      <c r="L20" s="183" t="s">
        <v>489</v>
      </c>
      <c r="M20" s="187" t="s">
        <v>368</v>
      </c>
      <c r="N20" s="183">
        <v>-8763</v>
      </c>
      <c r="O20" s="183"/>
      <c r="P20" s="183"/>
    </row>
    <row r="21" spans="1:16" ht="114.75">
      <c r="A21" s="190">
        <v>15</v>
      </c>
      <c r="B21" s="191" t="s">
        <v>373</v>
      </c>
      <c r="C21" s="186">
        <v>3208452</v>
      </c>
      <c r="D21" s="186">
        <v>1797214</v>
      </c>
      <c r="E21" s="186">
        <v>1411238</v>
      </c>
      <c r="F21" s="186"/>
      <c r="G21" s="186"/>
      <c r="J21" s="190">
        <v>15</v>
      </c>
      <c r="K21" s="191" t="s">
        <v>373</v>
      </c>
      <c r="L21" s="186" t="s">
        <v>487</v>
      </c>
      <c r="M21" s="186">
        <v>3735836</v>
      </c>
      <c r="N21" s="186">
        <v>2983882</v>
      </c>
      <c r="O21" s="186"/>
      <c r="P21" s="186"/>
    </row>
  </sheetData>
  <mergeCells count="22"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442</v>
      </c>
    </row>
    <row r="2" spans="1:21">
      <c r="A2" s="153" t="s">
        <v>58</v>
      </c>
    </row>
    <row r="3" spans="1:21" ht="120.75" customHeight="1">
      <c r="A3" s="219" t="s">
        <v>59</v>
      </c>
      <c r="B3" s="220" t="s">
        <v>60</v>
      </c>
      <c r="C3" s="220" t="s">
        <v>61</v>
      </c>
      <c r="D3" s="220" t="s">
        <v>62</v>
      </c>
      <c r="E3" s="220" t="s">
        <v>63</v>
      </c>
      <c r="F3" s="220" t="s">
        <v>64</v>
      </c>
      <c r="G3" s="220"/>
      <c r="H3" s="220"/>
      <c r="I3" s="220"/>
      <c r="J3" s="220"/>
      <c r="K3" s="220"/>
      <c r="L3" s="220"/>
      <c r="M3" s="220" t="s">
        <v>65</v>
      </c>
      <c r="N3" s="221"/>
      <c r="O3" s="221"/>
      <c r="P3" s="221" t="s">
        <v>66</v>
      </c>
      <c r="Q3" s="221"/>
      <c r="R3" s="221"/>
      <c r="S3" s="221"/>
      <c r="T3" s="221"/>
      <c r="U3" s="221" t="s">
        <v>67</v>
      </c>
    </row>
    <row r="4" spans="1:21">
      <c r="A4" s="222" t="s">
        <v>68</v>
      </c>
      <c r="B4" s="219">
        <v>0</v>
      </c>
      <c r="C4" s="219">
        <v>5</v>
      </c>
      <c r="D4" s="219">
        <v>10</v>
      </c>
      <c r="E4" s="219">
        <v>15</v>
      </c>
      <c r="F4" s="219">
        <v>18</v>
      </c>
      <c r="G4" s="219">
        <v>20</v>
      </c>
      <c r="H4" s="219">
        <v>25</v>
      </c>
      <c r="I4" s="219">
        <v>30</v>
      </c>
      <c r="J4" s="219">
        <v>35</v>
      </c>
      <c r="K4" s="219">
        <v>40</v>
      </c>
      <c r="L4" s="219">
        <v>45</v>
      </c>
      <c r="M4" s="219">
        <v>50</v>
      </c>
      <c r="N4" s="219">
        <v>55</v>
      </c>
      <c r="O4" s="219">
        <v>60</v>
      </c>
      <c r="P4" s="219">
        <v>65</v>
      </c>
      <c r="Q4" s="219">
        <v>70</v>
      </c>
      <c r="R4" s="219">
        <v>75</v>
      </c>
      <c r="S4" s="219">
        <v>80</v>
      </c>
      <c r="T4" s="219">
        <v>85</v>
      </c>
      <c r="U4" s="219" t="s">
        <v>69</v>
      </c>
    </row>
    <row r="5" spans="1:21" ht="9" customHeight="1"/>
    <row r="6" spans="1:21">
      <c r="A6" s="153" t="s">
        <v>70</v>
      </c>
      <c r="B6" s="223">
        <v>5</v>
      </c>
      <c r="C6" s="223">
        <v>5</v>
      </c>
      <c r="D6" s="223">
        <v>5</v>
      </c>
      <c r="E6" s="223">
        <v>5</v>
      </c>
      <c r="F6" s="223">
        <v>3</v>
      </c>
      <c r="G6" s="223">
        <v>2</v>
      </c>
      <c r="H6" s="223">
        <v>5</v>
      </c>
      <c r="I6" s="223">
        <v>5</v>
      </c>
      <c r="J6" s="223">
        <v>5</v>
      </c>
      <c r="K6" s="223">
        <v>5</v>
      </c>
      <c r="L6" s="223">
        <v>5</v>
      </c>
      <c r="M6" s="223">
        <v>5</v>
      </c>
      <c r="N6" s="223">
        <v>5</v>
      </c>
      <c r="O6" s="223">
        <v>5</v>
      </c>
      <c r="P6" s="223">
        <v>5</v>
      </c>
      <c r="Q6" s="223">
        <v>5</v>
      </c>
      <c r="R6" s="223">
        <v>5</v>
      </c>
      <c r="S6" s="223">
        <v>5</v>
      </c>
      <c r="T6" s="223">
        <v>5</v>
      </c>
      <c r="U6" s="223">
        <v>5</v>
      </c>
    </row>
    <row r="7" spans="1:21">
      <c r="A7" s="153" t="s">
        <v>71</v>
      </c>
      <c r="B7" s="223">
        <v>-100</v>
      </c>
      <c r="C7" s="223">
        <v>-150</v>
      </c>
      <c r="D7" s="223">
        <v>-200</v>
      </c>
      <c r="E7" s="223">
        <v>-300</v>
      </c>
      <c r="F7" s="223">
        <v>-400</v>
      </c>
      <c r="G7" s="223">
        <v>-400</v>
      </c>
      <c r="H7" s="223">
        <v>-500</v>
      </c>
      <c r="I7" s="223">
        <v>-500</v>
      </c>
      <c r="J7" s="223">
        <v>-500</v>
      </c>
      <c r="K7" s="223">
        <v>-500</v>
      </c>
      <c r="L7" s="223">
        <v>-500</v>
      </c>
      <c r="M7" s="223">
        <v>-500</v>
      </c>
      <c r="N7" s="223">
        <v>-500</v>
      </c>
      <c r="O7" s="223">
        <v>-500</v>
      </c>
      <c r="P7" s="223">
        <v>-500</v>
      </c>
      <c r="Q7" s="223">
        <v>-400</v>
      </c>
      <c r="R7" s="223">
        <v>-400</v>
      </c>
      <c r="S7" s="223">
        <v>-400</v>
      </c>
      <c r="T7" s="223">
        <v>-400</v>
      </c>
      <c r="U7" s="223">
        <v>-400</v>
      </c>
    </row>
    <row r="8" spans="1:21">
      <c r="A8" s="153" t="s">
        <v>72</v>
      </c>
      <c r="B8" s="223">
        <f>B7*12</f>
        <v>-1200</v>
      </c>
      <c r="C8" s="223">
        <f>C7*12</f>
        <v>-1800</v>
      </c>
      <c r="D8" s="223">
        <f>D7*12</f>
        <v>-2400</v>
      </c>
      <c r="E8" s="223">
        <f>E7*12</f>
        <v>-3600</v>
      </c>
      <c r="F8" s="223">
        <f>F7*12</f>
        <v>-4800</v>
      </c>
      <c r="G8" s="223">
        <f t="shared" ref="G8:U8" si="0">G7*12</f>
        <v>-4800</v>
      </c>
      <c r="H8" s="223">
        <f t="shared" si="0"/>
        <v>-6000</v>
      </c>
      <c r="I8" s="223">
        <f t="shared" si="0"/>
        <v>-6000</v>
      </c>
      <c r="J8" s="223">
        <f t="shared" si="0"/>
        <v>-6000</v>
      </c>
      <c r="K8" s="223">
        <f t="shared" si="0"/>
        <v>-6000</v>
      </c>
      <c r="L8" s="223">
        <f t="shared" si="0"/>
        <v>-6000</v>
      </c>
      <c r="M8" s="223">
        <f t="shared" si="0"/>
        <v>-6000</v>
      </c>
      <c r="N8" s="223">
        <f t="shared" si="0"/>
        <v>-6000</v>
      </c>
      <c r="O8" s="223">
        <f t="shared" si="0"/>
        <v>-6000</v>
      </c>
      <c r="P8" s="223">
        <f t="shared" si="0"/>
        <v>-6000</v>
      </c>
      <c r="Q8" s="223">
        <f t="shared" si="0"/>
        <v>-4800</v>
      </c>
      <c r="R8" s="223">
        <f t="shared" si="0"/>
        <v>-4800</v>
      </c>
      <c r="S8" s="223">
        <f t="shared" si="0"/>
        <v>-4800</v>
      </c>
      <c r="T8" s="223">
        <f t="shared" si="0"/>
        <v>-4800</v>
      </c>
      <c r="U8" s="223">
        <f t="shared" si="0"/>
        <v>-4800</v>
      </c>
    </row>
    <row r="9" spans="1:21">
      <c r="A9" s="153" t="s">
        <v>73</v>
      </c>
      <c r="B9" s="223">
        <f>B8*B6</f>
        <v>-6000</v>
      </c>
      <c r="C9" s="223">
        <f>C8*C6</f>
        <v>-9000</v>
      </c>
      <c r="D9" s="223">
        <f>D8*D6</f>
        <v>-12000</v>
      </c>
      <c r="E9" s="223">
        <f>E8*E6</f>
        <v>-18000</v>
      </c>
      <c r="F9" s="223">
        <f>F8*F6</f>
        <v>-14400</v>
      </c>
      <c r="G9" s="223">
        <f t="shared" ref="G9:U9" si="1">G8*G6</f>
        <v>-9600</v>
      </c>
      <c r="H9" s="223">
        <f t="shared" si="1"/>
        <v>-30000</v>
      </c>
      <c r="I9" s="223">
        <f t="shared" si="1"/>
        <v>-30000</v>
      </c>
      <c r="J9" s="223">
        <f t="shared" si="1"/>
        <v>-30000</v>
      </c>
      <c r="K9" s="223">
        <f t="shared" si="1"/>
        <v>-30000</v>
      </c>
      <c r="L9" s="223">
        <f t="shared" si="1"/>
        <v>-30000</v>
      </c>
      <c r="M9" s="223">
        <f t="shared" si="1"/>
        <v>-30000</v>
      </c>
      <c r="N9" s="223">
        <f t="shared" si="1"/>
        <v>-30000</v>
      </c>
      <c r="O9" s="223">
        <f t="shared" si="1"/>
        <v>-30000</v>
      </c>
      <c r="P9" s="223">
        <f t="shared" si="1"/>
        <v>-30000</v>
      </c>
      <c r="Q9" s="223">
        <f t="shared" si="1"/>
        <v>-24000</v>
      </c>
      <c r="R9" s="223">
        <f t="shared" si="1"/>
        <v>-24000</v>
      </c>
      <c r="S9" s="223">
        <f t="shared" si="1"/>
        <v>-24000</v>
      </c>
      <c r="T9" s="223">
        <f t="shared" si="1"/>
        <v>-24000</v>
      </c>
      <c r="U9" s="223">
        <f t="shared" si="1"/>
        <v>-24000</v>
      </c>
    </row>
    <row r="10" spans="1:21" ht="11.25" customHeight="1"/>
    <row r="11" spans="1:21">
      <c r="A11" s="153" t="s">
        <v>74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75</v>
      </c>
      <c r="B12" s="223">
        <v>0</v>
      </c>
      <c r="C12" s="223">
        <v>0</v>
      </c>
      <c r="D12" s="223">
        <v>0</v>
      </c>
      <c r="E12" s="223">
        <v>0</v>
      </c>
      <c r="F12" s="223">
        <v>0</v>
      </c>
      <c r="G12" s="223">
        <f>G11*12</f>
        <v>3600</v>
      </c>
      <c r="H12" s="223">
        <f t="shared" ref="H12:U12" si="2">H11*12</f>
        <v>6600</v>
      </c>
      <c r="I12" s="223">
        <f t="shared" si="2"/>
        <v>8400</v>
      </c>
      <c r="J12" s="223">
        <f t="shared" si="2"/>
        <v>9600</v>
      </c>
      <c r="K12" s="223">
        <f t="shared" si="2"/>
        <v>12000</v>
      </c>
      <c r="L12" s="223">
        <f t="shared" si="2"/>
        <v>12000</v>
      </c>
      <c r="M12" s="223">
        <f t="shared" si="2"/>
        <v>12000</v>
      </c>
      <c r="N12" s="223">
        <f t="shared" si="2"/>
        <v>12000</v>
      </c>
      <c r="O12" s="223">
        <f t="shared" si="2"/>
        <v>12000</v>
      </c>
      <c r="P12" s="223">
        <f t="shared" si="2"/>
        <v>4800</v>
      </c>
      <c r="Q12" s="223">
        <f t="shared" si="2"/>
        <v>3600</v>
      </c>
      <c r="R12" s="223">
        <f t="shared" si="2"/>
        <v>3600</v>
      </c>
      <c r="S12" s="223">
        <f t="shared" si="2"/>
        <v>2400</v>
      </c>
      <c r="T12" s="223">
        <f t="shared" si="2"/>
        <v>2400</v>
      </c>
      <c r="U12" s="223">
        <f t="shared" si="2"/>
        <v>2400</v>
      </c>
    </row>
    <row r="13" spans="1:21">
      <c r="A13" s="153" t="s">
        <v>76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77</v>
      </c>
      <c r="B15" s="223">
        <f t="shared" ref="B15:U17" si="4">B7+B11</f>
        <v>-100</v>
      </c>
      <c r="C15" s="223">
        <f t="shared" si="4"/>
        <v>-150</v>
      </c>
      <c r="D15" s="223">
        <f t="shared" si="4"/>
        <v>-200</v>
      </c>
      <c r="E15" s="223">
        <f t="shared" si="4"/>
        <v>-300</v>
      </c>
      <c r="F15" s="223">
        <f t="shared" si="4"/>
        <v>-400</v>
      </c>
      <c r="G15" s="223">
        <f t="shared" si="4"/>
        <v>-100</v>
      </c>
      <c r="H15" s="223">
        <f t="shared" si="4"/>
        <v>50</v>
      </c>
      <c r="I15" s="223">
        <f t="shared" si="4"/>
        <v>200</v>
      </c>
      <c r="J15" s="223">
        <f t="shared" si="4"/>
        <v>300</v>
      </c>
      <c r="K15" s="223">
        <f t="shared" si="4"/>
        <v>500</v>
      </c>
      <c r="L15" s="223">
        <f t="shared" si="4"/>
        <v>500</v>
      </c>
      <c r="M15" s="223">
        <f t="shared" si="4"/>
        <v>500</v>
      </c>
      <c r="N15" s="223">
        <f t="shared" si="4"/>
        <v>500</v>
      </c>
      <c r="O15" s="223">
        <f t="shared" si="4"/>
        <v>500</v>
      </c>
      <c r="P15" s="223">
        <f t="shared" si="4"/>
        <v>-100</v>
      </c>
      <c r="Q15" s="223">
        <f t="shared" si="4"/>
        <v>-100</v>
      </c>
      <c r="R15" s="223">
        <f t="shared" si="4"/>
        <v>-100</v>
      </c>
      <c r="S15" s="223">
        <f t="shared" si="4"/>
        <v>-200</v>
      </c>
      <c r="T15" s="223">
        <f t="shared" si="4"/>
        <v>-200</v>
      </c>
      <c r="U15" s="223">
        <f t="shared" si="4"/>
        <v>-200</v>
      </c>
    </row>
    <row r="16" spans="1:21">
      <c r="A16" s="153" t="s">
        <v>78</v>
      </c>
      <c r="B16" s="223">
        <f t="shared" si="4"/>
        <v>-1200</v>
      </c>
      <c r="C16" s="223">
        <f t="shared" si="4"/>
        <v>-1800</v>
      </c>
      <c r="D16" s="223">
        <f t="shared" si="4"/>
        <v>-2400</v>
      </c>
      <c r="E16" s="223">
        <f t="shared" si="4"/>
        <v>-3600</v>
      </c>
      <c r="F16" s="223">
        <f t="shared" si="4"/>
        <v>-4800</v>
      </c>
      <c r="G16" s="223">
        <f t="shared" si="4"/>
        <v>-1200</v>
      </c>
      <c r="H16" s="223">
        <f t="shared" si="4"/>
        <v>600</v>
      </c>
      <c r="I16" s="223">
        <f t="shared" si="4"/>
        <v>2400</v>
      </c>
      <c r="J16" s="223">
        <f t="shared" si="4"/>
        <v>3600</v>
      </c>
      <c r="K16" s="223">
        <f t="shared" si="4"/>
        <v>6000</v>
      </c>
      <c r="L16" s="223">
        <f t="shared" si="4"/>
        <v>6000</v>
      </c>
      <c r="M16" s="223">
        <f t="shared" si="4"/>
        <v>6000</v>
      </c>
      <c r="N16" s="223">
        <f t="shared" si="4"/>
        <v>6000</v>
      </c>
      <c r="O16" s="223">
        <f t="shared" si="4"/>
        <v>6000</v>
      </c>
      <c r="P16" s="223">
        <f t="shared" si="4"/>
        <v>-1200</v>
      </c>
      <c r="Q16" s="223">
        <f t="shared" si="4"/>
        <v>-1200</v>
      </c>
      <c r="R16" s="223">
        <f t="shared" si="4"/>
        <v>-1200</v>
      </c>
      <c r="S16" s="223">
        <f t="shared" si="4"/>
        <v>-2400</v>
      </c>
      <c r="T16" s="223">
        <f t="shared" si="4"/>
        <v>-2400</v>
      </c>
      <c r="U16" s="223">
        <f t="shared" si="4"/>
        <v>-2400</v>
      </c>
    </row>
    <row r="17" spans="1:21">
      <c r="A17" s="153" t="s">
        <v>79</v>
      </c>
      <c r="B17" s="223">
        <f t="shared" si="4"/>
        <v>-6000</v>
      </c>
      <c r="C17" s="223">
        <f t="shared" si="4"/>
        <v>-9000</v>
      </c>
      <c r="D17" s="223">
        <f t="shared" si="4"/>
        <v>-12000</v>
      </c>
      <c r="E17" s="223">
        <f t="shared" si="4"/>
        <v>-18000</v>
      </c>
      <c r="F17" s="223">
        <f t="shared" si="4"/>
        <v>-14400</v>
      </c>
      <c r="G17" s="223">
        <f t="shared" si="4"/>
        <v>-2400</v>
      </c>
      <c r="H17" s="223">
        <f t="shared" si="4"/>
        <v>3000</v>
      </c>
      <c r="I17" s="223">
        <f t="shared" si="4"/>
        <v>12000</v>
      </c>
      <c r="J17" s="223">
        <f t="shared" si="4"/>
        <v>18000</v>
      </c>
      <c r="K17" s="223">
        <f t="shared" si="4"/>
        <v>30000</v>
      </c>
      <c r="L17" s="223">
        <f t="shared" si="4"/>
        <v>30000</v>
      </c>
      <c r="M17" s="223">
        <f t="shared" si="4"/>
        <v>30000</v>
      </c>
      <c r="N17" s="223">
        <f t="shared" si="4"/>
        <v>30000</v>
      </c>
      <c r="O17" s="223">
        <f t="shared" si="4"/>
        <v>30000</v>
      </c>
      <c r="P17" s="223">
        <f t="shared" si="4"/>
        <v>-6000</v>
      </c>
      <c r="Q17" s="223">
        <f t="shared" si="4"/>
        <v>-6000</v>
      </c>
      <c r="R17" s="223">
        <f t="shared" si="4"/>
        <v>-6000</v>
      </c>
      <c r="S17" s="223">
        <f t="shared" si="4"/>
        <v>-12000</v>
      </c>
      <c r="T17" s="223">
        <f t="shared" si="4"/>
        <v>-12000</v>
      </c>
      <c r="U17" s="223">
        <f t="shared" si="4"/>
        <v>-12000</v>
      </c>
    </row>
    <row r="18" spans="1:21">
      <c r="A18" s="153" t="s">
        <v>80</v>
      </c>
      <c r="B18" s="223">
        <f>B17</f>
        <v>-6000</v>
      </c>
      <c r="C18" s="223">
        <f t="shared" ref="C18:S18" si="5">B18+C17</f>
        <v>-15000</v>
      </c>
      <c r="D18" s="223">
        <f t="shared" si="5"/>
        <v>-27000</v>
      </c>
      <c r="E18" s="223">
        <f t="shared" si="5"/>
        <v>-45000</v>
      </c>
      <c r="F18" s="223">
        <f t="shared" si="5"/>
        <v>-59400</v>
      </c>
      <c r="G18" s="223">
        <f t="shared" si="5"/>
        <v>-61800</v>
      </c>
      <c r="H18" s="223">
        <f t="shared" si="5"/>
        <v>-58800</v>
      </c>
      <c r="I18" s="223">
        <f t="shared" si="5"/>
        <v>-46800</v>
      </c>
      <c r="J18" s="223">
        <f t="shared" si="5"/>
        <v>-28800</v>
      </c>
      <c r="K18" s="223">
        <f t="shared" si="5"/>
        <v>1200</v>
      </c>
      <c r="L18" s="223">
        <f t="shared" si="5"/>
        <v>31200</v>
      </c>
      <c r="M18" s="223">
        <f t="shared" si="5"/>
        <v>61200</v>
      </c>
      <c r="N18" s="223">
        <f t="shared" si="5"/>
        <v>91200</v>
      </c>
      <c r="O18" s="223">
        <f t="shared" si="5"/>
        <v>121200</v>
      </c>
      <c r="P18" s="223">
        <f t="shared" si="5"/>
        <v>115200</v>
      </c>
      <c r="Q18" s="223">
        <f t="shared" si="5"/>
        <v>109200</v>
      </c>
      <c r="R18" s="223">
        <f t="shared" si="5"/>
        <v>103200</v>
      </c>
      <c r="S18" s="223">
        <f t="shared" si="5"/>
        <v>91200</v>
      </c>
      <c r="T18" s="223">
        <f t="shared" ref="T18:U18" si="6">Q18+T17</f>
        <v>97200</v>
      </c>
      <c r="U18" s="223">
        <f t="shared" si="6"/>
        <v>91200</v>
      </c>
    </row>
    <row r="19" spans="1:21">
      <c r="B19" s="219">
        <v>0</v>
      </c>
      <c r="C19" s="219">
        <v>5</v>
      </c>
      <c r="D19" s="219">
        <v>10</v>
      </c>
      <c r="E19" s="219">
        <v>15</v>
      </c>
      <c r="F19" s="219">
        <v>18</v>
      </c>
      <c r="G19" s="219">
        <v>20</v>
      </c>
      <c r="H19" s="219">
        <v>25</v>
      </c>
      <c r="I19" s="219">
        <v>30</v>
      </c>
      <c r="J19" s="219">
        <v>35</v>
      </c>
      <c r="K19" s="219">
        <v>40</v>
      </c>
      <c r="L19" s="219">
        <v>45</v>
      </c>
      <c r="M19" s="219">
        <v>50</v>
      </c>
      <c r="N19" s="219">
        <v>55</v>
      </c>
      <c r="O19" s="219">
        <v>60</v>
      </c>
      <c r="P19" s="219">
        <v>65</v>
      </c>
      <c r="Q19" s="219">
        <v>70</v>
      </c>
      <c r="R19" s="219">
        <v>75</v>
      </c>
      <c r="S19" s="219">
        <v>80</v>
      </c>
      <c r="T19" s="219">
        <v>85</v>
      </c>
      <c r="U19" s="219" t="s">
        <v>69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Slide5</vt:lpstr>
      <vt:lpstr>Slide7</vt:lpstr>
      <vt:lpstr>Slide9</vt:lpstr>
      <vt:lpstr>Slide14</vt:lpstr>
      <vt:lpstr>Slide21</vt:lpstr>
      <vt:lpstr>Sheet4</vt:lpstr>
      <vt:lpstr>Slide22</vt:lpstr>
      <vt:lpstr>Slide23</vt:lpstr>
      <vt:lpstr>Модель бездетной</vt:lpstr>
      <vt:lpstr>Slide7_v1</vt:lpstr>
      <vt:lpstr>Slide5_v1</vt:lpstr>
      <vt:lpstr>Модель многодетной</vt:lpstr>
      <vt:lpstr>Slide14!Print_Area</vt:lpstr>
      <vt:lpstr>Slide21!Print_Area</vt:lpstr>
      <vt:lpstr>Slide23!Print_Area</vt:lpstr>
      <vt:lpstr>Slide5!Print_Area</vt:lpstr>
      <vt:lpstr>Slide7!Print_Area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2019-05-28T09:42:57Z</cp:lastPrinted>
  <dcterms:created xsi:type="dcterms:W3CDTF">2019-05-16T07:36:03Z</dcterms:created>
  <dcterms:modified xsi:type="dcterms:W3CDTF">2019-05-30T09:39:24Z</dcterms:modified>
</cp:coreProperties>
</file>