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7365" yWindow="600" windowWidth="19185" windowHeight="14640" tabRatio="541" activeTab="5"/>
  </bookViews>
  <sheets>
    <sheet name="таблиця_слайд5_оновлена" sheetId="12" r:id="rId1"/>
    <sheet name="таблиця_слайд7_оновлена" sheetId="13" r:id="rId2"/>
    <sheet name="Slide9" sheetId="3" r:id="rId3"/>
    <sheet name="Slide14" sheetId="4" r:id="rId4"/>
    <sheet name="Slide21" sheetId="5" r:id="rId5"/>
    <sheet name="Slide22" sheetId="11" r:id="rId6"/>
    <sheet name="Sheet1" sheetId="14" r:id="rId7"/>
    <sheet name="Sheet2" sheetId="15" r:id="rId8"/>
    <sheet name="Slide23" sheetId="6" r:id="rId9"/>
    <sheet name="Модель бездетной" sheetId="8" r:id="rId10"/>
    <sheet name="Модель многодетной" sheetId="9" r:id="rId11"/>
  </sheets>
  <externalReferences>
    <externalReference r:id="rId12"/>
  </externalReferences>
  <definedNames>
    <definedName name="_xlnm.Print_Area" localSheetId="3">Slide14!$A$1:$M$27</definedName>
    <definedName name="_xlnm.Print_Area" localSheetId="4">Slide21!$Y$6:$AH$34</definedName>
    <definedName name="_xlnm.Print_Area" localSheetId="8">Slide23!$J$1:$P$21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4" i="6" l="1"/>
  <c r="Q17" i="6"/>
  <c r="P16" i="6"/>
  <c r="Q18" i="6"/>
  <c r="Q12" i="6"/>
  <c r="Q13" i="6"/>
  <c r="Q15" i="6"/>
  <c r="Q11" i="6"/>
  <c r="Q10" i="6"/>
  <c r="P10" i="6"/>
  <c r="Q7" i="6"/>
  <c r="P7" i="6"/>
  <c r="Q6" i="6"/>
  <c r="P6" i="6"/>
  <c r="K32" i="13"/>
  <c r="J32" i="13"/>
  <c r="I32" i="13"/>
  <c r="H32" i="13"/>
  <c r="H31" i="13" s="1"/>
  <c r="G32" i="13"/>
  <c r="F32" i="13"/>
  <c r="E32" i="13"/>
  <c r="K31" i="13"/>
  <c r="J31" i="13"/>
  <c r="I31" i="13"/>
  <c r="G31" i="13"/>
  <c r="F31" i="13"/>
  <c r="E31" i="13"/>
  <c r="C31" i="13"/>
  <c r="K30" i="13"/>
  <c r="J30" i="13"/>
  <c r="I30" i="13"/>
  <c r="H30" i="13"/>
  <c r="G30" i="13"/>
  <c r="F30" i="13"/>
  <c r="E30" i="13"/>
  <c r="C29" i="13"/>
  <c r="K28" i="13"/>
  <c r="J28" i="13"/>
  <c r="I28" i="13"/>
  <c r="H28" i="13"/>
  <c r="G28" i="13"/>
  <c r="F28" i="13"/>
  <c r="E28" i="13"/>
  <c r="C27" i="13"/>
  <c r="K25" i="13"/>
  <c r="J25" i="13"/>
  <c r="I25" i="13"/>
  <c r="H25" i="13"/>
  <c r="G25" i="13"/>
  <c r="F25" i="13"/>
  <c r="E25" i="13"/>
  <c r="C25" i="13"/>
  <c r="C26" i="13" s="1"/>
  <c r="K24" i="13"/>
  <c r="J24" i="13"/>
  <c r="I24" i="13"/>
  <c r="H24" i="13"/>
  <c r="G24" i="13"/>
  <c r="F24" i="13"/>
  <c r="E24" i="13"/>
  <c r="K23" i="13"/>
  <c r="J23" i="13"/>
  <c r="I23" i="13"/>
  <c r="H23" i="13"/>
  <c r="G23" i="13"/>
  <c r="F23" i="13"/>
  <c r="E23" i="13"/>
  <c r="C22" i="13"/>
  <c r="C24" i="13" s="1"/>
  <c r="K21" i="13"/>
  <c r="J21" i="13"/>
  <c r="I21" i="13"/>
  <c r="H21" i="13"/>
  <c r="G21" i="13"/>
  <c r="F21" i="13"/>
  <c r="E21" i="13"/>
  <c r="C20" i="13"/>
  <c r="K19" i="13"/>
  <c r="J19" i="13"/>
  <c r="I19" i="13"/>
  <c r="H19" i="13"/>
  <c r="G19" i="13"/>
  <c r="F19" i="13"/>
  <c r="E19" i="13"/>
  <c r="C19" i="13"/>
  <c r="K16" i="13"/>
  <c r="J16" i="13"/>
  <c r="I16" i="13"/>
  <c r="H16" i="13"/>
  <c r="G16" i="13"/>
  <c r="F16" i="13"/>
  <c r="E16" i="13"/>
  <c r="C14" i="13"/>
  <c r="C15" i="13" s="1"/>
  <c r="K12" i="13"/>
  <c r="J12" i="13"/>
  <c r="I12" i="13"/>
  <c r="H12" i="13"/>
  <c r="G12" i="13"/>
  <c r="F12" i="13"/>
  <c r="E12" i="13"/>
  <c r="F9" i="13"/>
  <c r="F14" i="13" s="1"/>
  <c r="F13" i="13" s="1"/>
  <c r="E9" i="13"/>
  <c r="E14" i="13" s="1"/>
  <c r="E13" i="13" s="1"/>
  <c r="C9" i="13"/>
  <c r="E8" i="13"/>
  <c r="K7" i="13"/>
  <c r="J7" i="13"/>
  <c r="I7" i="13"/>
  <c r="H7" i="13"/>
  <c r="G7" i="13"/>
  <c r="F7" i="13"/>
  <c r="E7" i="13"/>
  <c r="K32" i="12"/>
  <c r="J32" i="12"/>
  <c r="J31" i="12" s="1"/>
  <c r="I32" i="12"/>
  <c r="H32" i="12"/>
  <c r="H31" i="12" s="1"/>
  <c r="G32" i="12"/>
  <c r="F32" i="12"/>
  <c r="F31" i="12" s="1"/>
  <c r="E32" i="12"/>
  <c r="K31" i="12"/>
  <c r="I31" i="12"/>
  <c r="G31" i="12"/>
  <c r="E31" i="12"/>
  <c r="C31" i="12"/>
  <c r="K30" i="12"/>
  <c r="J30" i="12"/>
  <c r="I30" i="12"/>
  <c r="H30" i="12"/>
  <c r="G30" i="12"/>
  <c r="F30" i="12"/>
  <c r="E30" i="12"/>
  <c r="C29" i="12"/>
  <c r="K28" i="12"/>
  <c r="J28" i="12"/>
  <c r="I28" i="12"/>
  <c r="H28" i="12"/>
  <c r="G28" i="12"/>
  <c r="F28" i="12"/>
  <c r="E28" i="12"/>
  <c r="C27" i="12"/>
  <c r="K25" i="12"/>
  <c r="J25" i="12"/>
  <c r="I25" i="12"/>
  <c r="H25" i="12"/>
  <c r="G25" i="12"/>
  <c r="F25" i="12"/>
  <c r="E25" i="12"/>
  <c r="C25" i="12"/>
  <c r="C26" i="12" s="1"/>
  <c r="K24" i="12"/>
  <c r="J24" i="12"/>
  <c r="I24" i="12"/>
  <c r="H24" i="12"/>
  <c r="G24" i="12"/>
  <c r="F24" i="12"/>
  <c r="E24" i="12"/>
  <c r="K23" i="12"/>
  <c r="J23" i="12"/>
  <c r="I23" i="12"/>
  <c r="H23" i="12"/>
  <c r="G23" i="12"/>
  <c r="F23" i="12"/>
  <c r="E23" i="12"/>
  <c r="C22" i="12"/>
  <c r="C24" i="12" s="1"/>
  <c r="K21" i="12"/>
  <c r="J21" i="12"/>
  <c r="I21" i="12"/>
  <c r="H21" i="12"/>
  <c r="G21" i="12"/>
  <c r="F21" i="12"/>
  <c r="E21" i="12"/>
  <c r="C20" i="12"/>
  <c r="K19" i="12"/>
  <c r="J19" i="12"/>
  <c r="I19" i="12"/>
  <c r="H19" i="12"/>
  <c r="G19" i="12"/>
  <c r="F19" i="12"/>
  <c r="E19" i="12"/>
  <c r="C19" i="12"/>
  <c r="K16" i="12"/>
  <c r="J16" i="12"/>
  <c r="I16" i="12"/>
  <c r="H16" i="12"/>
  <c r="G16" i="12"/>
  <c r="F16" i="12"/>
  <c r="E16" i="12"/>
  <c r="C14" i="12"/>
  <c r="C15" i="12" s="1"/>
  <c r="K12" i="12"/>
  <c r="J12" i="12"/>
  <c r="I12" i="12"/>
  <c r="H12" i="12"/>
  <c r="G12" i="12"/>
  <c r="F12" i="12"/>
  <c r="E12" i="12"/>
  <c r="F9" i="12"/>
  <c r="F14" i="12" s="1"/>
  <c r="F13" i="12" s="1"/>
  <c r="E9" i="12"/>
  <c r="E14" i="12" s="1"/>
  <c r="E13" i="12" s="1"/>
  <c r="C9" i="12"/>
  <c r="E8" i="12"/>
  <c r="K7" i="12"/>
  <c r="J7" i="12"/>
  <c r="I7" i="12"/>
  <c r="H7" i="12"/>
  <c r="G7" i="12"/>
  <c r="F7" i="12"/>
  <c r="E7" i="12"/>
  <c r="F8" i="13" l="1"/>
  <c r="G9" i="13"/>
  <c r="F8" i="12"/>
  <c r="G9" i="12"/>
  <c r="G14" i="13" l="1"/>
  <c r="G13" i="13" s="1"/>
  <c r="H9" i="13"/>
  <c r="G8" i="13"/>
  <c r="G14" i="12"/>
  <c r="G13" i="12" s="1"/>
  <c r="H9" i="12"/>
  <c r="G8" i="12"/>
  <c r="I9" i="13" l="1"/>
  <c r="H14" i="13"/>
  <c r="H13" i="13" s="1"/>
  <c r="H8" i="13"/>
  <c r="I9" i="12"/>
  <c r="H14" i="12"/>
  <c r="H13" i="12" s="1"/>
  <c r="H8" i="12"/>
  <c r="I8" i="13" l="1"/>
  <c r="J9" i="13"/>
  <c r="I14" i="13"/>
  <c r="I13" i="13" s="1"/>
  <c r="I8" i="12"/>
  <c r="I14" i="12"/>
  <c r="I13" i="12" s="1"/>
  <c r="J9" i="12"/>
  <c r="J14" i="13" l="1"/>
  <c r="J13" i="13" s="1"/>
  <c r="J8" i="13"/>
  <c r="K9" i="13"/>
  <c r="J14" i="12"/>
  <c r="J13" i="12" s="1"/>
  <c r="J8" i="12"/>
  <c r="K9" i="12"/>
  <c r="K14" i="13" l="1"/>
  <c r="K13" i="13" s="1"/>
  <c r="K8" i="13"/>
  <c r="K14" i="12"/>
  <c r="K13" i="12" s="1"/>
  <c r="K8" i="12"/>
  <c r="D22" i="8" l="1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C22" i="8"/>
  <c r="G7" i="6"/>
  <c r="G6" i="6"/>
  <c r="M16" i="4"/>
  <c r="M21" i="4"/>
  <c r="I24" i="4" l="1"/>
  <c r="I23" i="4"/>
  <c r="I22" i="4"/>
  <c r="I21" i="4"/>
  <c r="I20" i="4"/>
  <c r="I19" i="4"/>
  <c r="I18" i="4"/>
  <c r="I17" i="4"/>
  <c r="I16" i="4"/>
  <c r="I15" i="4"/>
  <c r="I14" i="4"/>
  <c r="I13" i="4"/>
  <c r="J24" i="4"/>
  <c r="J23" i="4"/>
  <c r="J22" i="4"/>
  <c r="J21" i="4"/>
  <c r="J20" i="4"/>
  <c r="J19" i="4"/>
  <c r="J18" i="4"/>
  <c r="J17" i="4"/>
  <c r="J16" i="4"/>
  <c r="J15" i="4"/>
  <c r="J14" i="4"/>
  <c r="J13" i="4"/>
  <c r="E21" i="11" l="1"/>
  <c r="D21" i="11"/>
  <c r="C21" i="11"/>
  <c r="F20" i="11"/>
  <c r="F21" i="11" s="1"/>
  <c r="P17" i="6" l="1"/>
  <c r="P11" i="6"/>
  <c r="O15" i="6"/>
  <c r="O12" i="6"/>
  <c r="O18" i="6" s="1"/>
  <c r="P14" i="6"/>
  <c r="P13" i="6"/>
  <c r="G30" i="5"/>
  <c r="P12" i="6" l="1"/>
  <c r="P18" i="6"/>
  <c r="P15" i="6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9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10" i="5"/>
  <c r="AA9" i="5"/>
  <c r="G25" i="4" l="1"/>
  <c r="G14" i="4"/>
  <c r="G15" i="4"/>
  <c r="G16" i="4"/>
  <c r="G17" i="4"/>
  <c r="G18" i="4"/>
  <c r="G19" i="4"/>
  <c r="G20" i="4"/>
  <c r="G21" i="4"/>
  <c r="G22" i="4"/>
  <c r="G23" i="4"/>
  <c r="G24" i="4"/>
  <c r="G13" i="4"/>
  <c r="C11" i="4"/>
  <c r="E11" i="4" s="1"/>
  <c r="C10" i="4"/>
  <c r="E10" i="4" s="1"/>
  <c r="C5" i="4"/>
  <c r="C9" i="4" s="1"/>
  <c r="E9" i="4" s="1"/>
  <c r="C8" i="4"/>
  <c r="E8" i="4" s="1"/>
  <c r="C7" i="4" l="1"/>
  <c r="E7" i="4" s="1"/>
  <c r="C12" i="4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F21" i="9"/>
  <c r="E21" i="9"/>
  <c r="D21" i="9"/>
  <c r="C21" i="9"/>
  <c r="B21" i="9"/>
  <c r="U20" i="9"/>
  <c r="U21" i="9" s="1"/>
  <c r="T20" i="9"/>
  <c r="T21" i="9" s="1"/>
  <c r="S20" i="9"/>
  <c r="S21" i="9" s="1"/>
  <c r="R20" i="9"/>
  <c r="R21" i="9" s="1"/>
  <c r="Q20" i="9"/>
  <c r="Q21" i="9" s="1"/>
  <c r="P20" i="9"/>
  <c r="P21" i="9" s="1"/>
  <c r="O20" i="9"/>
  <c r="O21" i="9" s="1"/>
  <c r="N20" i="9"/>
  <c r="M20" i="9"/>
  <c r="M21" i="9" s="1"/>
  <c r="L20" i="9"/>
  <c r="L21" i="9" s="1"/>
  <c r="K20" i="9"/>
  <c r="K21" i="9" s="1"/>
  <c r="J20" i="9"/>
  <c r="J21" i="9" s="1"/>
  <c r="I20" i="9"/>
  <c r="I21" i="9" s="1"/>
  <c r="H20" i="9"/>
  <c r="H21" i="9" s="1"/>
  <c r="G20" i="9"/>
  <c r="G21" i="9" s="1"/>
  <c r="U17" i="9"/>
  <c r="T17" i="9"/>
  <c r="T25" i="9" s="1"/>
  <c r="T34" i="9" s="1"/>
  <c r="S17" i="9"/>
  <c r="R17" i="9"/>
  <c r="Q17" i="9"/>
  <c r="P17" i="9"/>
  <c r="P25" i="9" s="1"/>
  <c r="P34" i="9" s="1"/>
  <c r="O17" i="9"/>
  <c r="N17" i="9"/>
  <c r="M17" i="9"/>
  <c r="L17" i="9"/>
  <c r="L25" i="9" s="1"/>
  <c r="L34" i="9" s="1"/>
  <c r="K17" i="9"/>
  <c r="J17" i="9"/>
  <c r="I17" i="9"/>
  <c r="H17" i="9"/>
  <c r="H25" i="9" s="1"/>
  <c r="H34" i="9" s="1"/>
  <c r="G17" i="9"/>
  <c r="F17" i="9"/>
  <c r="E17" i="9"/>
  <c r="E25" i="9" s="1"/>
  <c r="E34" i="9" s="1"/>
  <c r="D17" i="9"/>
  <c r="D25" i="9" s="1"/>
  <c r="D34" i="9" s="1"/>
  <c r="C17" i="9"/>
  <c r="B17" i="9"/>
  <c r="U11" i="9"/>
  <c r="T11" i="9"/>
  <c r="T24" i="9" s="1"/>
  <c r="S11" i="9"/>
  <c r="R11" i="9"/>
  <c r="Q11" i="9"/>
  <c r="Q24" i="9" s="1"/>
  <c r="P11" i="9"/>
  <c r="P24" i="9" s="1"/>
  <c r="O11" i="9"/>
  <c r="N11" i="9"/>
  <c r="M11" i="9"/>
  <c r="L11" i="9"/>
  <c r="L24" i="9" s="1"/>
  <c r="K11" i="9"/>
  <c r="J11" i="9"/>
  <c r="I11" i="9"/>
  <c r="I24" i="9" s="1"/>
  <c r="H11" i="9"/>
  <c r="H24" i="9" s="1"/>
  <c r="G11" i="9"/>
  <c r="F11" i="9"/>
  <c r="F24" i="9" s="1"/>
  <c r="E11" i="9"/>
  <c r="E24" i="9" s="1"/>
  <c r="D11" i="9"/>
  <c r="D24" i="9" s="1"/>
  <c r="C11" i="9"/>
  <c r="C24" i="9" s="1"/>
  <c r="B11" i="9"/>
  <c r="B24" i="9" s="1"/>
  <c r="K24" i="9" l="1"/>
  <c r="S24" i="9"/>
  <c r="K25" i="9"/>
  <c r="K34" i="9" s="1"/>
  <c r="S25" i="9"/>
  <c r="S34" i="9" s="1"/>
  <c r="N24" i="9"/>
  <c r="B25" i="9"/>
  <c r="B26" i="9" s="1"/>
  <c r="C40" i="9" s="1"/>
  <c r="G25" i="9"/>
  <c r="G34" i="9" s="1"/>
  <c r="O25" i="9"/>
  <c r="O34" i="9" s="1"/>
  <c r="M24" i="9"/>
  <c r="U24" i="9"/>
  <c r="J25" i="9"/>
  <c r="J34" i="9" s="1"/>
  <c r="R25" i="9"/>
  <c r="R34" i="9" s="1"/>
  <c r="F25" i="9"/>
  <c r="F34" i="9" s="1"/>
  <c r="C18" i="4"/>
  <c r="E18" i="4" s="1"/>
  <c r="F18" i="4" s="1"/>
  <c r="C13" i="4"/>
  <c r="E13" i="4" s="1"/>
  <c r="F13" i="4" s="1"/>
  <c r="C23" i="4"/>
  <c r="E23" i="4" s="1"/>
  <c r="F23" i="4" s="1"/>
  <c r="C24" i="4"/>
  <c r="E24" i="4" s="1"/>
  <c r="F24" i="4" s="1"/>
  <c r="C19" i="4"/>
  <c r="E19" i="4" s="1"/>
  <c r="F19" i="4" s="1"/>
  <c r="C21" i="4"/>
  <c r="E21" i="4" s="1"/>
  <c r="F21" i="4" s="1"/>
  <c r="C20" i="4"/>
  <c r="E20" i="4" s="1"/>
  <c r="F20" i="4" s="1"/>
  <c r="C15" i="4"/>
  <c r="E15" i="4" s="1"/>
  <c r="F15" i="4" s="1"/>
  <c r="C16" i="4"/>
  <c r="E16" i="4" s="1"/>
  <c r="F16" i="4" s="1"/>
  <c r="C14" i="4"/>
  <c r="E14" i="4" s="1"/>
  <c r="F14" i="4" s="1"/>
  <c r="C22" i="4"/>
  <c r="E22" i="4" s="1"/>
  <c r="F22" i="4" s="1"/>
  <c r="C25" i="4"/>
  <c r="E25" i="4" s="1"/>
  <c r="F25" i="4" s="1"/>
  <c r="E12" i="4"/>
  <c r="C17" i="4"/>
  <c r="E17" i="4" s="1"/>
  <c r="F17" i="4" s="1"/>
  <c r="G24" i="9"/>
  <c r="O24" i="9"/>
  <c r="C25" i="9"/>
  <c r="C34" i="9" s="1"/>
  <c r="I25" i="9"/>
  <c r="I34" i="9" s="1"/>
  <c r="M25" i="9"/>
  <c r="M34" i="9" s="1"/>
  <c r="Q25" i="9"/>
  <c r="Q34" i="9" s="1"/>
  <c r="U25" i="9"/>
  <c r="U34" i="9" s="1"/>
  <c r="R24" i="9"/>
  <c r="N21" i="9"/>
  <c r="N25" i="9" s="1"/>
  <c r="N34" i="9" s="1"/>
  <c r="J24" i="9"/>
  <c r="B34" i="9" l="1"/>
  <c r="B35" i="9" s="1"/>
  <c r="C26" i="9"/>
  <c r="C35" i="9" l="1"/>
  <c r="C41" i="9"/>
  <c r="D26" i="9"/>
  <c r="D40" i="9"/>
  <c r="G35" i="5"/>
  <c r="G36" i="5" s="1"/>
  <c r="G34" i="5"/>
  <c r="G32" i="5"/>
  <c r="E26" i="9" l="1"/>
  <c r="E40" i="9"/>
  <c r="D35" i="9"/>
  <c r="D41" i="9"/>
  <c r="G16" i="6"/>
  <c r="F15" i="6"/>
  <c r="F18" i="6" s="1"/>
  <c r="G18" i="6" s="1"/>
  <c r="G14" i="6"/>
  <c r="G13" i="6"/>
  <c r="G12" i="6"/>
  <c r="G11" i="6"/>
  <c r="G10" i="6"/>
  <c r="E35" i="9" l="1"/>
  <c r="E41" i="9"/>
  <c r="F26" i="9"/>
  <c r="F40" i="9"/>
  <c r="G15" i="6"/>
  <c r="I12" i="4"/>
  <c r="J12" i="4" s="1"/>
  <c r="F9" i="4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F12" i="3"/>
  <c r="E12" i="3"/>
  <c r="D12" i="3"/>
  <c r="C12" i="3"/>
  <c r="B12" i="3"/>
  <c r="U11" i="3"/>
  <c r="U12" i="3" s="1"/>
  <c r="T11" i="3"/>
  <c r="T12" i="3" s="1"/>
  <c r="S11" i="3"/>
  <c r="S15" i="3" s="1"/>
  <c r="R11" i="3"/>
  <c r="R12" i="3" s="1"/>
  <c r="Q11" i="3"/>
  <c r="Q12" i="3" s="1"/>
  <c r="P11" i="3"/>
  <c r="P12" i="3" s="1"/>
  <c r="O11" i="3"/>
  <c r="O15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5" i="3" s="1"/>
  <c r="U7" i="3"/>
  <c r="U15" i="3" s="1"/>
  <c r="T7" i="3"/>
  <c r="T8" i="3" s="1"/>
  <c r="S7" i="3"/>
  <c r="S8" i="3" s="1"/>
  <c r="R7" i="3"/>
  <c r="R8" i="3" s="1"/>
  <c r="Q7" i="3"/>
  <c r="Q15" i="3" s="1"/>
  <c r="P7" i="3"/>
  <c r="P8" i="3" s="1"/>
  <c r="O7" i="3"/>
  <c r="O8" i="3" s="1"/>
  <c r="N7" i="3"/>
  <c r="M7" i="3"/>
  <c r="M15" i="3" s="1"/>
  <c r="L7" i="3"/>
  <c r="L8" i="3" s="1"/>
  <c r="K7" i="3"/>
  <c r="K8" i="3" s="1"/>
  <c r="J7" i="3"/>
  <c r="J8" i="3" s="1"/>
  <c r="I7" i="3"/>
  <c r="I15" i="3" s="1"/>
  <c r="H7" i="3"/>
  <c r="H8" i="3" s="1"/>
  <c r="G7" i="3"/>
  <c r="G8" i="3" s="1"/>
  <c r="F7" i="3"/>
  <c r="F8" i="3" s="1"/>
  <c r="E7" i="3"/>
  <c r="E15" i="3" s="1"/>
  <c r="D7" i="3"/>
  <c r="D8" i="3" s="1"/>
  <c r="D16" i="3" s="1"/>
  <c r="C7" i="3"/>
  <c r="C8" i="3" s="1"/>
  <c r="C16" i="3" s="1"/>
  <c r="B7" i="3"/>
  <c r="B15" i="3" s="1"/>
  <c r="G26" i="9" l="1"/>
  <c r="G40" i="9"/>
  <c r="F35" i="9"/>
  <c r="F41" i="9"/>
  <c r="L16" i="3"/>
  <c r="T16" i="3"/>
  <c r="F16" i="3"/>
  <c r="N15" i="3"/>
  <c r="C15" i="3"/>
  <c r="H16" i="3"/>
  <c r="P16" i="3"/>
  <c r="I25" i="4"/>
  <c r="K25" i="4" s="1"/>
  <c r="F7" i="4"/>
  <c r="F10" i="4"/>
  <c r="F8" i="4"/>
  <c r="F11" i="4"/>
  <c r="J16" i="3"/>
  <c r="K16" i="3"/>
  <c r="R16" i="3"/>
  <c r="B8" i="3"/>
  <c r="B16" i="3" s="1"/>
  <c r="B17" i="3" s="1"/>
  <c r="C17" i="3" s="1"/>
  <c r="D17" i="3" s="1"/>
  <c r="N8" i="3"/>
  <c r="N16" i="3" s="1"/>
  <c r="O12" i="3"/>
  <c r="O16" i="3" s="1"/>
  <c r="K15" i="3"/>
  <c r="E8" i="3"/>
  <c r="E16" i="3" s="1"/>
  <c r="I8" i="3"/>
  <c r="I16" i="3" s="1"/>
  <c r="M8" i="3"/>
  <c r="M16" i="3" s="1"/>
  <c r="Q8" i="3"/>
  <c r="Q16" i="3" s="1"/>
  <c r="U8" i="3"/>
  <c r="U16" i="3" s="1"/>
  <c r="F15" i="3"/>
  <c r="J15" i="3"/>
  <c r="R15" i="3"/>
  <c r="S12" i="3"/>
  <c r="S16" i="3" s="1"/>
  <c r="D15" i="3"/>
  <c r="H15" i="3"/>
  <c r="L15" i="3"/>
  <c r="P15" i="3"/>
  <c r="T15" i="3"/>
  <c r="G12" i="3"/>
  <c r="G16" i="3" s="1"/>
  <c r="G35" i="9" l="1"/>
  <c r="G41" i="9"/>
  <c r="H26" i="9"/>
  <c r="H40" i="9"/>
  <c r="E17" i="3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I26" i="9" l="1"/>
  <c r="I40" i="9"/>
  <c r="H35" i="9"/>
  <c r="H41" i="9"/>
  <c r="F12" i="4"/>
  <c r="M12" i="4" s="1"/>
  <c r="K12" i="4"/>
  <c r="J25" i="4" s="1"/>
  <c r="T17" i="3"/>
  <c r="R17" i="3"/>
  <c r="J26" i="9" l="1"/>
  <c r="J40" i="9"/>
  <c r="I35" i="9"/>
  <c r="I41" i="9"/>
  <c r="L25" i="4"/>
  <c r="M25" i="4"/>
  <c r="K22" i="4"/>
  <c r="K18" i="4"/>
  <c r="K14" i="4"/>
  <c r="K23" i="4"/>
  <c r="K19" i="4"/>
  <c r="K15" i="4"/>
  <c r="K21" i="4"/>
  <c r="K17" i="4"/>
  <c r="K13" i="4"/>
  <c r="K24" i="4"/>
  <c r="K20" i="4"/>
  <c r="K16" i="4"/>
  <c r="L12" i="4"/>
  <c r="U17" i="3"/>
  <c r="S17" i="3"/>
  <c r="J35" i="9" l="1"/>
  <c r="J41" i="9"/>
  <c r="K26" i="9"/>
  <c r="K40" i="9"/>
  <c r="M15" i="4"/>
  <c r="L15" i="4"/>
  <c r="L21" i="4"/>
  <c r="M19" i="4"/>
  <c r="L19" i="4"/>
  <c r="L14" i="4"/>
  <c r="M14" i="4"/>
  <c r="M23" i="4"/>
  <c r="L23" i="4"/>
  <c r="M13" i="4"/>
  <c r="L13" i="4"/>
  <c r="M18" i="4"/>
  <c r="L18" i="4"/>
  <c r="L20" i="4"/>
  <c r="M20" i="4"/>
  <c r="L24" i="4"/>
  <c r="M24" i="4"/>
  <c r="L16" i="4"/>
  <c r="M17" i="4"/>
  <c r="L17" i="4"/>
  <c r="M22" i="4"/>
  <c r="L22" i="4"/>
  <c r="L26" i="9" l="1"/>
  <c r="L40" i="9"/>
  <c r="K35" i="9"/>
  <c r="K41" i="9"/>
  <c r="L35" i="9" l="1"/>
  <c r="L41" i="9"/>
  <c r="M26" i="9"/>
  <c r="M40" i="9"/>
  <c r="N26" i="9" l="1"/>
  <c r="N40" i="9"/>
  <c r="M35" i="9"/>
  <c r="M41" i="9"/>
  <c r="N35" i="9" l="1"/>
  <c r="N41" i="9"/>
  <c r="O26" i="9"/>
  <c r="O40" i="9"/>
  <c r="P26" i="9" l="1"/>
  <c r="P40" i="9"/>
  <c r="O35" i="9"/>
  <c r="O41" i="9"/>
  <c r="P35" i="9" l="1"/>
  <c r="P41" i="9"/>
  <c r="Q26" i="9"/>
  <c r="Q40" i="9"/>
  <c r="Q35" i="9" l="1"/>
  <c r="Q41" i="9"/>
  <c r="R26" i="9"/>
  <c r="R40" i="9"/>
  <c r="S26" i="9" l="1"/>
  <c r="S40" i="9"/>
  <c r="R35" i="9"/>
  <c r="R41" i="9"/>
  <c r="S35" i="9" l="1"/>
  <c r="S41" i="9"/>
  <c r="T26" i="9"/>
  <c r="T40" i="9"/>
  <c r="T35" i="9" l="1"/>
  <c r="T41" i="9"/>
  <c r="U26" i="9"/>
  <c r="V40" i="9" s="1"/>
  <c r="U40" i="9"/>
  <c r="U35" i="9" l="1"/>
  <c r="V41" i="9" s="1"/>
  <c r="U41" i="9"/>
  <c r="D12" i="4"/>
</calcChain>
</file>

<file path=xl/sharedStrings.xml><?xml version="1.0" encoding="utf-8"?>
<sst xmlns="http://schemas.openxmlformats.org/spreadsheetml/2006/main" count="962" uniqueCount="473">
  <si>
    <t>Экономическая модель жизни бездетной  женщины и мужщины, дол. США</t>
  </si>
  <si>
    <t>Наименование</t>
  </si>
  <si>
    <t>До зачатие и рождения</t>
  </si>
  <si>
    <t>Ранее детство</t>
  </si>
  <si>
    <t>Подросток</t>
  </si>
  <si>
    <t>Половое созревание</t>
  </si>
  <si>
    <t>Совершенолетие</t>
  </si>
  <si>
    <t>Окончание детородного возраста</t>
  </si>
  <si>
    <t>Пенсия</t>
  </si>
  <si>
    <t>Смерть</t>
  </si>
  <si>
    <t>возраст</t>
  </si>
  <si>
    <t>&gt;85</t>
  </si>
  <si>
    <t>к-во лет</t>
  </si>
  <si>
    <t>расходы в месяц</t>
  </si>
  <si>
    <t>Расходы в год</t>
  </si>
  <si>
    <t>Расходы за период</t>
  </si>
  <si>
    <t>Доходы  в месяц</t>
  </si>
  <si>
    <t>Доходы в год</t>
  </si>
  <si>
    <t>Доходы за период</t>
  </si>
  <si>
    <t>Сальдо в месяц</t>
  </si>
  <si>
    <t>Сальдо в год</t>
  </si>
  <si>
    <t>Сальдо за период</t>
  </si>
  <si>
    <t>Сальдо по накоплению</t>
  </si>
  <si>
    <t>№</t>
  </si>
  <si>
    <t>Статьи расходов</t>
  </si>
  <si>
    <t>Украина*</t>
  </si>
  <si>
    <t>Разница</t>
  </si>
  <si>
    <t>Итого населения, млн. чел.</t>
  </si>
  <si>
    <t>Наименование статей</t>
  </si>
  <si>
    <t>млрд. евро</t>
  </si>
  <si>
    <t>%</t>
  </si>
  <si>
    <t>1 чел/год евро</t>
  </si>
  <si>
    <t>1 чел/мес евро</t>
  </si>
  <si>
    <t>ВВП</t>
  </si>
  <si>
    <t>X</t>
  </si>
  <si>
    <t>Итого доходов населения</t>
  </si>
  <si>
    <t>1.1</t>
  </si>
  <si>
    <t>Зароботная плата</t>
  </si>
  <si>
    <t>1.2</t>
  </si>
  <si>
    <t>Доходы от предпринимательской, арендной и инвестиционной деятельности</t>
  </si>
  <si>
    <t>1.3</t>
  </si>
  <si>
    <t>Соц помощь и др. выплаты из бюджета</t>
  </si>
  <si>
    <t>2</t>
  </si>
  <si>
    <t>Итого расходов</t>
  </si>
  <si>
    <t>2.1</t>
  </si>
  <si>
    <t>Продукты питания и безалкогольные напитки</t>
  </si>
  <si>
    <t>2.2</t>
  </si>
  <si>
    <t>Транспорт</t>
  </si>
  <si>
    <t>2.3</t>
  </si>
  <si>
    <t>Жилье, вода, электроэнергия, газ и другие виды топлива</t>
  </si>
  <si>
    <t>2.4</t>
  </si>
  <si>
    <t>Алкогольные напитки, табачные изделия, наркотики</t>
  </si>
  <si>
    <t>2.5</t>
  </si>
  <si>
    <t>Одежда и обувь</t>
  </si>
  <si>
    <t>2.6</t>
  </si>
  <si>
    <t>Здравоохранение</t>
  </si>
  <si>
    <t>2.7</t>
  </si>
  <si>
    <t>Предметы домашнего обихода, бытовая техника, содержание жилища</t>
  </si>
  <si>
    <t>2.8</t>
  </si>
  <si>
    <t>Отдых и культура</t>
  </si>
  <si>
    <t>2.9</t>
  </si>
  <si>
    <t>Разные товары и услуги</t>
  </si>
  <si>
    <t>2.10</t>
  </si>
  <si>
    <t>Рестора и отели</t>
  </si>
  <si>
    <t>2.11</t>
  </si>
  <si>
    <t>Связь</t>
  </si>
  <si>
    <t>2.12</t>
  </si>
  <si>
    <t>Образование</t>
  </si>
  <si>
    <t>*) Данные Укрстата</t>
  </si>
  <si>
    <t>**) Данные Eurostat</t>
  </si>
  <si>
    <t>TIME</t>
  </si>
  <si>
    <t>GEO</t>
  </si>
  <si>
    <t>UNIT</t>
  </si>
  <si>
    <t>COICOP</t>
  </si>
  <si>
    <t>Value</t>
  </si>
  <si>
    <t>European Union - 28 countries</t>
  </si>
  <si>
    <t>Current prices, million euro</t>
  </si>
  <si>
    <t>Total</t>
  </si>
  <si>
    <t>8,362,260.4</t>
  </si>
  <si>
    <t>Food and non-alcoholic beverages</t>
  </si>
  <si>
    <t>1,023,731.4</t>
  </si>
  <si>
    <t>Food</t>
  </si>
  <si>
    <t>926,181.5</t>
  </si>
  <si>
    <t>Non-alcoholic beverages</t>
  </si>
  <si>
    <t>97,549.9</t>
  </si>
  <si>
    <t>Alcoholic beverages, tobacco and narcotics</t>
  </si>
  <si>
    <t>320,896.0</t>
  </si>
  <si>
    <t>Alcoholic beverages</t>
  </si>
  <si>
    <t>131,046.8</t>
  </si>
  <si>
    <t>Tobacco</t>
  </si>
  <si>
    <t>152,985.8</t>
  </si>
  <si>
    <t>Narcotics</t>
  </si>
  <si>
    <t>:</t>
  </si>
  <si>
    <t>Clothing and footwear</t>
  </si>
  <si>
    <t>408,751.2</t>
  </si>
  <si>
    <t>Clothing</t>
  </si>
  <si>
    <t>331,330.3</t>
  </si>
  <si>
    <t>Footwear</t>
  </si>
  <si>
    <t>77,420.9</t>
  </si>
  <si>
    <t>Housing, water, electricity, gas and other fuels</t>
  </si>
  <si>
    <t>2,020,057.2</t>
  </si>
  <si>
    <t>Actual rentals for housing</t>
  </si>
  <si>
    <t>405,459.3</t>
  </si>
  <si>
    <t>Imputed rentals for housing</t>
  </si>
  <si>
    <t>1,075,298.9</t>
  </si>
  <si>
    <t>Maintenance and repair of the dwelling</t>
  </si>
  <si>
    <t>75,396.3</t>
  </si>
  <si>
    <t>Water supply and miscellaneous services relating to the dwelling</t>
  </si>
  <si>
    <t>134,418.4</t>
  </si>
  <si>
    <t>Electricity, gas and other fuels</t>
  </si>
  <si>
    <t>329,484.2</t>
  </si>
  <si>
    <t>Furnishings, household equipment and routine household maintenance</t>
  </si>
  <si>
    <t>463,103.5</t>
  </si>
  <si>
    <t>Furniture and furnishings, carpets and other floor coverings</t>
  </si>
  <si>
    <t>159,940.6</t>
  </si>
  <si>
    <t>Household textiles</t>
  </si>
  <si>
    <t>36,691.7</t>
  </si>
  <si>
    <t>Household appliances</t>
  </si>
  <si>
    <t>67,723.7</t>
  </si>
  <si>
    <t>Glassware, tableware and household utensils</t>
  </si>
  <si>
    <t>42,012.2</t>
  </si>
  <si>
    <t>Tools and equipment for house and garden</t>
  </si>
  <si>
    <t>33,832.5</t>
  </si>
  <si>
    <t>Goods and services for routine household maintenance</t>
  </si>
  <si>
    <t>122,902.7</t>
  </si>
  <si>
    <t>Health</t>
  </si>
  <si>
    <t>330,948.5</t>
  </si>
  <si>
    <t>Medical products, appliances and equipment</t>
  </si>
  <si>
    <t>135,708.4</t>
  </si>
  <si>
    <t>Out-patient services</t>
  </si>
  <si>
    <t>139,379.6</t>
  </si>
  <si>
    <t>Hospital services</t>
  </si>
  <si>
    <t>55,860.6</t>
  </si>
  <si>
    <t>Transport</t>
  </si>
  <si>
    <t>1,089,274.6</t>
  </si>
  <si>
    <t>Purchase of vehicles</t>
  </si>
  <si>
    <t>313,393.3</t>
  </si>
  <si>
    <t>Operation of personal transport equipment</t>
  </si>
  <si>
    <t>541,746.2</t>
  </si>
  <si>
    <t>Transport services</t>
  </si>
  <si>
    <t>234,135.0</t>
  </si>
  <si>
    <t>Communications</t>
  </si>
  <si>
    <t>210,242.2</t>
  </si>
  <si>
    <t>Postal services</t>
  </si>
  <si>
    <t>Telephone and telefax equipment</t>
  </si>
  <si>
    <t>Telephone and telefax services</t>
  </si>
  <si>
    <t>Recreation and culture</t>
  </si>
  <si>
    <t>712,431.6</t>
  </si>
  <si>
    <t>Audio-visual, photographic and information processing equipment</t>
  </si>
  <si>
    <t>109,332.0</t>
  </si>
  <si>
    <t>Other major durables for recreation and culture</t>
  </si>
  <si>
    <t>37,554.9</t>
  </si>
  <si>
    <t>Other recreational items and equipment, gardens and pets</t>
  </si>
  <si>
    <t>168,221.7</t>
  </si>
  <si>
    <t>Recreational and cultural services</t>
  </si>
  <si>
    <t>255,825.4</t>
  </si>
  <si>
    <t>Newspapers, books and stationery</t>
  </si>
  <si>
    <t>91,884.8</t>
  </si>
  <si>
    <t>Package holidays</t>
  </si>
  <si>
    <t>49,612.9</t>
  </si>
  <si>
    <t>Education</t>
  </si>
  <si>
    <t>91,911.7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</si>
  <si>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</si>
  <si>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</si>
  <si>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</si>
  <si>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</si>
  <si>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</si>
  <si>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 and hotels</t>
  </si>
  <si>
    <t>738,289.1</t>
  </si>
  <si>
    <t>Catering services</t>
  </si>
  <si>
    <t>593,390.6</t>
  </si>
  <si>
    <t>Accommodation services</t>
  </si>
  <si>
    <t>144,898.5</t>
  </si>
  <si>
    <t>Miscellaneous goods and services</t>
  </si>
  <si>
    <t>952,623.5</t>
  </si>
  <si>
    <t>Personal care</t>
  </si>
  <si>
    <t>203,524.5</t>
  </si>
  <si>
    <t>Prostitution; other services n.e.c.</t>
  </si>
  <si>
    <t>133,017.5</t>
  </si>
  <si>
    <t>Prostitution</t>
  </si>
  <si>
    <t>Personal effects n.e.c.</t>
  </si>
  <si>
    <t>79,177.9</t>
  </si>
  <si>
    <t>Social protection</t>
  </si>
  <si>
    <t>114,827.6</t>
  </si>
  <si>
    <t>Insurance</t>
  </si>
  <si>
    <t>207,604.7</t>
  </si>
  <si>
    <t>Financial services n.e.c.</t>
  </si>
  <si>
    <t>214,560.5</t>
  </si>
  <si>
    <t>Other services n.e.c.</t>
  </si>
  <si>
    <r>
      <t>Household income and</t>
    </r>
    <r>
      <rPr>
        <sz val="10"/>
        <color indexed="8"/>
        <rFont val="Verdana"/>
        <family val="2"/>
        <charset val="204"/>
      </rPr>
      <t xml:space="preserve"> </t>
    </r>
    <r>
      <rPr>
        <b/>
        <sz val="10"/>
        <color indexed="8"/>
        <rFont val="Verdana"/>
        <family val="2"/>
        <charset val="204"/>
      </rPr>
      <t>expenditure of Ukraine</t>
    </r>
  </si>
  <si>
    <t xml:space="preserve">   (UAH mln.)</t>
  </si>
  <si>
    <t>2012¹</t>
  </si>
  <si>
    <t>2013¹</t>
  </si>
  <si>
    <t>2014¹,²</t>
  </si>
  <si>
    <t>2015¹,²</t>
  </si>
  <si>
    <t>2016¹,²</t>
  </si>
  <si>
    <t>2017¹,²</t>
  </si>
  <si>
    <t>Income total</t>
  </si>
  <si>
    <t>of which;</t>
  </si>
  <si>
    <t>wages and salaries</t>
  </si>
  <si>
    <r>
      <t xml:space="preserve">profit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mixed income</t>
    </r>
  </si>
  <si>
    <t>property income (receivable)</t>
  </si>
  <si>
    <r>
      <t xml:space="preserve">social benefits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receivable</t>
    </r>
  </si>
  <si>
    <t>- social benefits</t>
  </si>
  <si>
    <t>- other current transfers</t>
  </si>
  <si>
    <t>- social transfers in kind</t>
  </si>
  <si>
    <r>
      <t xml:space="preserve">Expenditure </t>
    </r>
    <r>
      <rPr>
        <b/>
        <sz val="7.5"/>
        <color indexed="8"/>
        <rFont val="Verdana"/>
        <family val="2"/>
        <charset val="204"/>
      </rPr>
      <t xml:space="preserve">and saving </t>
    </r>
    <r>
      <rPr>
        <b/>
        <sz val="7.5"/>
        <color indexed="8"/>
        <rFont val="Verdana"/>
        <family val="2"/>
        <charset val="204"/>
      </rPr>
      <t>total</t>
    </r>
  </si>
  <si>
    <t>goods and services purchasing</t>
  </si>
  <si>
    <t>property income (payable)</t>
  </si>
  <si>
    <r>
      <t xml:space="preserve">current taxes on income, wealth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payable</t>
    </r>
  </si>
  <si>
    <t>- current taxes on income, wealth</t>
  </si>
  <si>
    <t>17774</t>
  </si>
  <si>
    <t>- social contributions</t>
  </si>
  <si>
    <t>accumulation of nonfinancial assets</t>
  </si>
  <si>
    <t>increase in financial assets</t>
  </si>
  <si>
    <t>- increase of savings  and securities</t>
  </si>
  <si>
    <t>53297</t>
  </si>
  <si>
    <t>- savings in foreign currency</t>
  </si>
  <si>
    <t>- loans received less paid (-)</t>
  </si>
  <si>
    <t>19355</t>
  </si>
  <si>
    <t xml:space="preserve">Disposable income </t>
  </si>
  <si>
    <t>Disposable income per capita, UAH</t>
  </si>
  <si>
    <t>Real disposable income, per cent of corresponding period of the previous year</t>
  </si>
  <si>
    <t>¹ Compiled according to the "Methodological provisions for updated version of the system of national accounts 2008"  (SSSU order of 17.12.2013 №398).</t>
  </si>
  <si>
    <r>
      <t>² Excluding</t>
    </r>
    <r>
      <rPr>
        <sz val="7.5"/>
        <color indexed="8"/>
        <rFont val="Verdana"/>
        <family val="2"/>
        <charset val="204"/>
      </rPr>
      <t xml:space="preserve"> the temporarily occupied territory of the Autonomous Republic of Crimea, the city of Sevastopol and a part of temporarily occupied territories in the Donetsk and Luhansk regions.</t>
    </r>
  </si>
  <si>
    <t>Структура сукупних ресурсів</t>
  </si>
  <si>
    <t>(без урахування тимчасово окупованої території Автономної Республіки Крим та м.Севастополя)</t>
  </si>
  <si>
    <r>
      <t>2014</t>
    </r>
    <r>
      <rPr>
        <vertAlign val="superscript"/>
        <sz val="10"/>
        <rFont val="Verdana"/>
        <family val="2"/>
        <charset val="204"/>
      </rPr>
      <t>1</t>
    </r>
  </si>
  <si>
    <r>
      <t>2015</t>
    </r>
    <r>
      <rPr>
        <vertAlign val="superscript"/>
        <sz val="10"/>
        <rFont val="Verdana"/>
        <family val="2"/>
        <charset val="204"/>
      </rPr>
      <t>1</t>
    </r>
  </si>
  <si>
    <r>
      <t>2016</t>
    </r>
    <r>
      <rPr>
        <vertAlign val="superscript"/>
        <sz val="10"/>
        <rFont val="Verdana"/>
        <family val="2"/>
        <charset val="204"/>
      </rPr>
      <t>1</t>
    </r>
  </si>
  <si>
    <t>20171</t>
  </si>
  <si>
    <t>Сукупні ресурси в середньому за місяць у розрахунку на одне домогосподарство, грн.</t>
  </si>
  <si>
    <t>Структура сукупних ресурсів домогосподарств</t>
  </si>
  <si>
    <t>відсотків</t>
  </si>
  <si>
    <t>Грошові доходи</t>
  </si>
  <si>
    <t>- оплата праці</t>
  </si>
  <si>
    <t>- доходи від підприємницької діяльності та самозяйнятості</t>
  </si>
  <si>
    <t>- доходи від продажу сільськогосподарської продукції</t>
  </si>
  <si>
    <t>- пенсії, стипендії, соціальні допомоги, надані готівкою</t>
  </si>
  <si>
    <t>25,8</t>
  </si>
  <si>
    <t>- грошова допомога від родичів, інших осіб та інші грошові доходи</t>
  </si>
  <si>
    <t>6,2</t>
  </si>
  <si>
    <t>Вартість спожитої продукції, отриманої з особистого підсобного господарства та від самозаготівель</t>
  </si>
  <si>
    <t>Пільги та субсидії безготівкові на оплату житлово-комунальних послуг, електроенергії, палива</t>
  </si>
  <si>
    <t>Пільги безготівкові на оплату товарів та послуг з охорони здоров’я, туристичних послуг, путівок на бази відпочинку тощо, на оплату послуг транспорту, зв’язку</t>
  </si>
  <si>
    <t>Інші надходження</t>
  </si>
  <si>
    <t>Довідково: загальні доходи, грн.</t>
  </si>
  <si>
    <r>
      <t>1</t>
    </r>
    <r>
      <rPr>
        <sz val="10"/>
        <rFont val="Verdana"/>
        <family val="2"/>
        <charset val="204"/>
      </rPr>
      <t>Без урахування частини тимчасово окупованих територій у Донецькій та Луганській областях.</t>
    </r>
  </si>
  <si>
    <t>Продовження додатка 9</t>
  </si>
  <si>
    <t>усі домогос-подарства</t>
  </si>
  <si>
    <t>у т.ч. проживають</t>
  </si>
  <si>
    <t>домогос-подар-ства з дітьми</t>
  </si>
  <si>
    <t>домогос-подарства, у складі яких є діти, які не мають одного чи обох батьків</t>
  </si>
  <si>
    <t>домогос-подарства без дітей</t>
  </si>
  <si>
    <r>
      <t>домогос-подарства, у складі яких є молоді сім</t>
    </r>
    <r>
      <rPr>
        <sz val="10.5"/>
        <color theme="1"/>
        <rFont val="Шрифт текста"/>
        <charset val="204"/>
      </rPr>
      <t>ʼ</t>
    </r>
    <r>
      <rPr>
        <sz val="10.5"/>
        <color theme="1"/>
        <rFont val="Times New Roman"/>
        <family val="1"/>
        <charset val="204"/>
      </rPr>
      <t>ї</t>
    </r>
  </si>
  <si>
    <t>у міських поселеннях</t>
  </si>
  <si>
    <t>у сільській місцевості</t>
  </si>
  <si>
    <t>Усього сукупних витрат, грн</t>
  </si>
  <si>
    <t>Споживчі сукупні витрати</t>
  </si>
  <si>
    <t>у тому числі</t>
  </si>
  <si>
    <t>продукти харчування та безалкогольні напої</t>
  </si>
  <si>
    <t>алкогольні напої</t>
  </si>
  <si>
    <t>тютюнові вироби</t>
  </si>
  <si>
    <t>одяг і взуття</t>
  </si>
  <si>
    <t>житло, вода, електроенергія, газ та інші види палива</t>
  </si>
  <si>
    <t>Довідково: оплата житла, комунальних продуктів та послуг</t>
  </si>
  <si>
    <t>з них  сума пільг та субсидій</t>
  </si>
  <si>
    <t>предмети домашнього вжитку, побутова техніка та поточне утримання житла</t>
  </si>
  <si>
    <t>охорона здоров’я</t>
  </si>
  <si>
    <t>з них сума пільг та дотацій на товари і послуги з охорони здоров’я</t>
  </si>
  <si>
    <t>транспорт</t>
  </si>
  <si>
    <t>з них сума пільг на проїзд в транспорті</t>
  </si>
  <si>
    <t>зв’язок</t>
  </si>
  <si>
    <t>відпочинок і культура</t>
  </si>
  <si>
    <t>з них сума пільг на оплату туристичних послуг</t>
  </si>
  <si>
    <t>освіта</t>
  </si>
  <si>
    <t>ресторани та готелі</t>
  </si>
  <si>
    <t xml:space="preserve">з них </t>
  </si>
  <si>
    <t>харчування поза домом</t>
  </si>
  <si>
    <t>витрати на оплату путівок на бази відпочинку тощо</t>
  </si>
  <si>
    <t>з них пільги безготівкові на оплату путівок на бази відпочинку тощо</t>
  </si>
  <si>
    <t>різні товари та послуги</t>
  </si>
  <si>
    <t>Розподіл споживчих сукупних витрат</t>
  </si>
  <si>
    <t>продовольчі товари</t>
  </si>
  <si>
    <t>непродовольчі товари</t>
  </si>
  <si>
    <t>послуги</t>
  </si>
  <si>
    <t xml:space="preserve">Довідково: послуги (без витрат на харчування поза домом) </t>
  </si>
  <si>
    <t>витрати на продовольчі товари та харчування поза домом</t>
  </si>
  <si>
    <t>Неспоживчі сукупні витрати (допомога родичам та іншим особам, купівля акцій, сертифікатів, вклади до банків, аліменти, будівництво та капітальний ремонт житла тощо)</t>
  </si>
  <si>
    <t>__________________</t>
  </si>
  <si>
    <r>
      <t xml:space="preserve">1 </t>
    </r>
    <r>
      <rPr>
        <sz val="10"/>
        <color rgb="FF000000"/>
        <rFont val="Times New Roman"/>
        <family val="1"/>
        <charset val="204"/>
      </rPr>
      <t>Сукупні витрати складаються з грошових витрат, а також вартості спожитих домогосподарством продовольчих товарів, отриманих з особистого підсобного господарства та в порядку самозаготівель або подарованих родичами та іншими особами, суми отриманих пільг та безготівкових субсидій на оплату житла, комунальних продуктів та послуг, суми пільг на оплату телефону, проїзду в транспорті, туристичних послуг, путівок на бази відпочинку тощо, на оплату ліків, вітамінів, інших аптекарських товарів, медичних послуг. Вартість подарованих домогосподарством родичам та іншим особам продуктів харчування, отриманих з особистого підсобного господарства, включається до сукупних витрат у зв’язку з постійним характером цієї допомоги.</t>
    </r>
  </si>
  <si>
    <t>Виробництво та розподіл валового внутрішнього продукту за видами економічної діяльності у 2012 р. та эффектівність праці.</t>
  </si>
  <si>
    <t>(у фактичних цінах; млн.грн.)</t>
  </si>
  <si>
    <t>Від економічної діяльності</t>
  </si>
  <si>
    <t>Випуск</t>
  </si>
  <si>
    <t>Проміжне споживання</t>
  </si>
  <si>
    <t>Валова додана вартість</t>
  </si>
  <si>
    <t>Кількість зайнятого населення, тис. осіб</t>
  </si>
  <si>
    <t>Валова додана вартість на одного зайнят. грн</t>
  </si>
  <si>
    <t>Сільське господарство, мисливство, лісове господарство</t>
  </si>
  <si>
    <t>Добувна промисловість</t>
  </si>
  <si>
    <t>Переробна промисловість</t>
  </si>
  <si>
    <t>Виробництво та розподілення електроенергії, газу та води</t>
  </si>
  <si>
    <t>Торгівля; ремонт автомобілів, побутових виробів та предметів особистого вжитку</t>
  </si>
  <si>
    <t>Будівництво</t>
  </si>
  <si>
    <t>Діяльність транспорту та зв'язку</t>
  </si>
  <si>
    <t>Освіта</t>
  </si>
  <si>
    <t>Охорона здоров'я та надання  соціальної допомоги</t>
  </si>
  <si>
    <t>Інші види економічної діяльності</t>
  </si>
  <si>
    <t>Оплата послуг фінансових посередників</t>
  </si>
  <si>
    <t>х</t>
  </si>
  <si>
    <t>Державне управління</t>
  </si>
  <si>
    <t>Усього (в основних цінах)</t>
  </si>
  <si>
    <t>Податки на продукти</t>
  </si>
  <si>
    <t>Субсидії на продукти</t>
  </si>
  <si>
    <t>Валовий внутрішній продукт (у ринкових цінах)</t>
  </si>
  <si>
    <t>Випуск товарів та послуг за 2000-2012рр.  млн. дол. США</t>
  </si>
  <si>
    <t>Код КВЕД-2010</t>
  </si>
  <si>
    <t>курс, грн/дол.</t>
  </si>
  <si>
    <t> у фактичних цінах; млн.дол.</t>
  </si>
  <si>
    <t>C</t>
  </si>
  <si>
    <t>Оптова та роздрібна торгівля; ремонт автотранспортних засобів і мотоциклів</t>
  </si>
  <si>
    <t>G</t>
  </si>
  <si>
    <t>Сільське господарство, лісове господарство та рибне господарство</t>
  </si>
  <si>
    <t>A</t>
  </si>
  <si>
    <t>Транспорт, складське господарство, поштова та кур'єрська діяльність</t>
  </si>
  <si>
    <t>H</t>
  </si>
  <si>
    <t>F</t>
  </si>
  <si>
    <t>Добувна промисловість і розроблення кар'єрів</t>
  </si>
  <si>
    <t>B</t>
  </si>
  <si>
    <t>Постачання електроенергії, газу, пари та кондиційованого повітря</t>
  </si>
  <si>
    <t>D</t>
  </si>
  <si>
    <t>Операції з нерухомим майном</t>
  </si>
  <si>
    <t>L</t>
  </si>
  <si>
    <t>P</t>
  </si>
  <si>
    <t>Фінансова та страхова діяльність</t>
  </si>
  <si>
    <t>K</t>
  </si>
  <si>
    <t>Інформація та телекомунікації</t>
  </si>
  <si>
    <t>J</t>
  </si>
  <si>
    <t>Державне управління й оборона; обов'язкове соціальне страхування</t>
  </si>
  <si>
    <t>O</t>
  </si>
  <si>
    <t>Професійна, наукова та технічна діяльність</t>
  </si>
  <si>
    <t>М</t>
  </si>
  <si>
    <t>Охорона здоров'я та надання соціальної допомоги</t>
  </si>
  <si>
    <t>Q</t>
  </si>
  <si>
    <t>Діяльність у сфері адміністративного та допоміжного обслуговування</t>
  </si>
  <si>
    <t>N</t>
  </si>
  <si>
    <t>Тимчасове розміщування й організація харчування</t>
  </si>
  <si>
    <t>I</t>
  </si>
  <si>
    <t>Водопостачання; каналізація, поводження з відходами</t>
  </si>
  <si>
    <t>E</t>
  </si>
  <si>
    <t>Надання інших видів послуг</t>
  </si>
  <si>
    <t>S</t>
  </si>
  <si>
    <t>Мистецтво, спорт, розваги та відпочинок</t>
  </si>
  <si>
    <t>R</t>
  </si>
  <si>
    <t>Випуск товарів та послуг в основних цінах</t>
  </si>
  <si>
    <t>Випуск товарів та послуг у ринкових цінах</t>
  </si>
  <si>
    <t>ВВП в млн. дол. США</t>
  </si>
  <si>
    <t>Рентабельность к выпуску</t>
  </si>
  <si>
    <t>Изьятия в  млн. дол. США</t>
  </si>
  <si>
    <t>в процентах к выпуску</t>
  </si>
  <si>
    <t>Запозичення в  млн. дол. США</t>
  </si>
  <si>
    <t>Всего витрат в млн. дол. США</t>
  </si>
  <si>
    <r>
      <t>Валовий внутрішній продукт виробничим методом та валова додана вартість за видами економічної діяльності</t>
    </r>
    <r>
      <rPr>
        <b/>
        <vertAlign val="superscript"/>
        <sz val="8"/>
        <color rgb="FF000000"/>
        <rFont val="Times New Roman"/>
        <family val="1"/>
        <charset val="204"/>
      </rPr>
      <t>1</t>
    </r>
  </si>
  <si>
    <t>у фактичних цінах; млн.грн</t>
  </si>
  <si>
    <t>Випуск товарів і послуг у ринкових цінах</t>
  </si>
  <si>
    <t xml:space="preserve">Переробна промисловість </t>
  </si>
  <si>
    <t xml:space="preserve">C </t>
  </si>
  <si>
    <t xml:space="preserve">E </t>
  </si>
  <si>
    <t xml:space="preserve">F </t>
  </si>
  <si>
    <t xml:space="preserve">G </t>
  </si>
  <si>
    <t xml:space="preserve">H </t>
  </si>
  <si>
    <t xml:space="preserve">I  </t>
  </si>
  <si>
    <t xml:space="preserve">L </t>
  </si>
  <si>
    <t xml:space="preserve">М  </t>
  </si>
  <si>
    <t xml:space="preserve">N </t>
  </si>
  <si>
    <t xml:space="preserve">O </t>
  </si>
  <si>
    <t xml:space="preserve">P </t>
  </si>
  <si>
    <t xml:space="preserve">Q </t>
  </si>
  <si>
    <t xml:space="preserve">R </t>
  </si>
  <si>
    <t>S,T</t>
  </si>
  <si>
    <t>Випуск товарів і послуг в основних цінах</t>
  </si>
  <si>
    <t xml:space="preserve">Субсидії на продукти </t>
  </si>
  <si>
    <t xml:space="preserve">¹Без урахування тимчасово окупованої території Автономної Республіки Крим, м.Севастополя та з 2014 року – також без частини тимчасово окупованих територій у Донецькій та Луганській областях. </t>
  </si>
  <si>
    <t>`</t>
  </si>
  <si>
    <t>Экономическая модель жизни многодетной  женщины, дол. США</t>
  </si>
  <si>
    <t>Первый ребенок</t>
  </si>
  <si>
    <t>Второй ребенок</t>
  </si>
  <si>
    <t>Третий ребенок</t>
  </si>
  <si>
    <t>Четвертый ребенок</t>
  </si>
  <si>
    <t>Пятый ребенок</t>
  </si>
  <si>
    <t>Маленькая вероятность</t>
  </si>
  <si>
    <t>расходы в месяц на себя</t>
  </si>
  <si>
    <t>Расходы в год на себя</t>
  </si>
  <si>
    <t>Расходы  на ребенка №1 мес.</t>
  </si>
  <si>
    <t>Расходы  на ребенка №2 мес.</t>
  </si>
  <si>
    <t>Расходы  на ребенка №3 мес.</t>
  </si>
  <si>
    <t>Расходы  на ребенка №4 мес.</t>
  </si>
  <si>
    <t>Расходы  на ребенка №5 мес.</t>
  </si>
  <si>
    <t>Поддержка  на ребенка №1 мес.</t>
  </si>
  <si>
    <t>Поддержка  на ребенка №2 мес.</t>
  </si>
  <si>
    <t>Поддержка  на ребенка №3 мес.</t>
  </si>
  <si>
    <t>Поддержка  на ребенка №4 мес.</t>
  </si>
  <si>
    <t>Поддержка  на ребенка №5 мес.</t>
  </si>
  <si>
    <t>Итого поддержка за период</t>
  </si>
  <si>
    <t xml:space="preserve">Итого сальдо за период </t>
  </si>
  <si>
    <t>Итого сальдо по накоплению</t>
  </si>
  <si>
    <t>Сальдо по накоплению без поддержки</t>
  </si>
  <si>
    <t>Сальдо по накоплению с поддержкой</t>
  </si>
  <si>
    <t>Курс грн/евро</t>
  </si>
  <si>
    <t>https://bank.gov.ua/files/Exchange_r.xls</t>
  </si>
  <si>
    <t>Офіційний курс гривні щодо іноземних валют (середній за період)</t>
  </si>
  <si>
    <t>у фактичних цінах; млн.дол</t>
  </si>
  <si>
    <t>??</t>
  </si>
  <si>
    <t xml:space="preserve">ВВП (у поточних цінах), млрд.дол.США </t>
  </si>
  <si>
    <t>Виробництво та розподіл валового внутрішнього продукту за видами економічної діяльності у 2017 р. та эффектівність праці.</t>
  </si>
  <si>
    <t>Кількість зайнятих працівників</t>
  </si>
  <si>
    <t>http://www.ukrstat.gov.ua/operativ/operativ2014/rp/zn_ed/zn_ed_u/zn_ed_2013_u.htm</t>
  </si>
  <si>
    <t>http://www.ukrstat.gov.ua/druk/publicat/kat_u/2018/zb/06/zb_ztutp2017.xls</t>
  </si>
  <si>
    <t>млн.дол.США</t>
  </si>
  <si>
    <t>Випуск товарів та послуг</t>
  </si>
  <si>
    <t>Екпорт</t>
  </si>
  <si>
    <t>Імпорт</t>
  </si>
  <si>
    <t>Споживання в Україні</t>
  </si>
  <si>
    <t>Структура расходов украинских домохозяйств и домохозяйств 28 стран ЕС за 2017 г.</t>
  </si>
  <si>
    <t>ЕС(28)**</t>
  </si>
  <si>
    <t>Зачатие и рождение</t>
  </si>
  <si>
    <t xml:space="preserve">Демографические параметры населения Украины. Без изменений политики </t>
  </si>
  <si>
    <t>Показник</t>
  </si>
  <si>
    <t>2010*</t>
  </si>
  <si>
    <t>Населення світу,  млн. осіб</t>
  </si>
  <si>
    <t>темп росту населення світу в рік, %</t>
  </si>
  <si>
    <t>ВВП світу, млрд. дол. США</t>
  </si>
  <si>
    <t>ВВП світу на 1 особу, тис. дол. США</t>
  </si>
  <si>
    <t>темп росту ВВП світу в рік, %</t>
  </si>
  <si>
    <t>Населення України, млн. осіб</t>
  </si>
  <si>
    <t>частка населення України від населення світу, %</t>
  </si>
  <si>
    <t>ВВП України, млрд.дол.США</t>
  </si>
  <si>
    <t>ВВП на 1 особу України,  тис.дол. США</t>
  </si>
  <si>
    <t>частка ВВП України від ВВП світу на одну особу, %</t>
  </si>
  <si>
    <t>у т.ч. міського населення України , млн. осіб</t>
  </si>
  <si>
    <t>частка міського населення від населення України, %</t>
  </si>
  <si>
    <t> Сальдо міжнародних мігрантів в Україні, млн.осіб</t>
  </si>
  <si>
    <t>частка сальдо міжнародних мігрантів від населення України, %</t>
  </si>
  <si>
    <t>Жінок дітородного віку (18-49 років) в Україні, млн.осіб</t>
  </si>
  <si>
    <t>частка жінок дітородного віку від населення  України, %</t>
  </si>
  <si>
    <t>Дітей (0-17 років) в Україні, млн. осіб</t>
  </si>
  <si>
    <t>частка дітей  від населення України, %</t>
  </si>
  <si>
    <t>Дітей на одну жінку дітородного віку в Україні, осіб</t>
  </si>
  <si>
    <t>Народилося  в Україні за рік, млн. осіб</t>
  </si>
  <si>
    <t>Народилося в Україні на 1000 жінок дітородного віку, осіб</t>
  </si>
  <si>
    <t xml:space="preserve">Чоловіки (18-60 р.) та жінки  (50-60 р.) в Україні, млн. осіб </t>
  </si>
  <si>
    <t>частка чоловіків (18-60р.) та жінок (50-60 р.) від населення України, %</t>
  </si>
  <si>
    <t>Населення від 61 року в Україні, млн. осіб</t>
  </si>
  <si>
    <t>частка населення від 61 років  від населення України, %</t>
  </si>
  <si>
    <t>Померлих за рік в Україні, млн. осіб</t>
  </si>
  <si>
    <t>Померлих на 1000 жителів України, осіб</t>
  </si>
  <si>
    <t>Випуск на одного зайнят. грн</t>
  </si>
  <si>
    <t>Найменування</t>
  </si>
  <si>
    <t>Код</t>
  </si>
  <si>
    <t>Випуск товарів та послуг, тис.дол.США</t>
  </si>
  <si>
    <t>По товарам та послугам, тис.дол.США</t>
  </si>
  <si>
    <t>Споживання в Україні, тис.дол.США</t>
  </si>
  <si>
    <t>Рейтинг по випуску</t>
  </si>
  <si>
    <t>Рейтинг по експорту</t>
  </si>
  <si>
    <t>Експорт</t>
  </si>
  <si>
    <t xml:space="preserve">Експорт та імпорт сальдо по товарам та послугам </t>
  </si>
  <si>
    <t>С</t>
  </si>
  <si>
    <t>А</t>
  </si>
  <si>
    <t>В</t>
  </si>
  <si>
    <t>-С</t>
  </si>
  <si>
    <t>-В</t>
  </si>
  <si>
    <t>-А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</si>
</sst>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"/>
    <numFmt numFmtId="165" formatCode="0.0"/>
    <numFmt numFmtId="166" formatCode="0.0000"/>
    <numFmt numFmtId="167" formatCode="#,##0.000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  <font>
      <sz val="7.5"/>
      <color indexed="8"/>
      <name val="Verdana"/>
      <family val="2"/>
      <charset val="204"/>
    </font>
    <font>
      <b/>
      <sz val="7.5"/>
      <color indexed="8"/>
      <name val="Verdana"/>
      <family val="2"/>
      <charset val="204"/>
    </font>
    <font>
      <b/>
      <sz val="7.5"/>
      <name val="Verdana"/>
      <family val="2"/>
      <charset val="204"/>
    </font>
    <font>
      <sz val="9"/>
      <name val="Verdana"/>
      <family val="2"/>
      <charset val="204"/>
    </font>
    <font>
      <sz val="7.5"/>
      <name val="Verdana"/>
      <family val="2"/>
      <charset val="204"/>
    </font>
    <font>
      <sz val="7.5"/>
      <color rgb="FF000000"/>
      <name val="Verdana"/>
      <family val="2"/>
      <charset val="204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b/>
      <sz val="7.5"/>
      <color rgb="FF000000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9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name val="Arial Cyr"/>
      <charset val="204"/>
    </font>
    <font>
      <b/>
      <sz val="10"/>
      <name val="Verdana"/>
      <family val="2"/>
      <charset val="204"/>
    </font>
    <font>
      <vertAlign val="superscript"/>
      <sz val="10"/>
      <name val="Verdana"/>
      <family val="2"/>
      <charset val="204"/>
    </font>
    <font>
      <b/>
      <sz val="12"/>
      <name val="Verdana"/>
      <family val="2"/>
      <charset val="204"/>
    </font>
    <font>
      <sz val="10"/>
      <name val="Verdana"/>
      <family val="2"/>
      <charset val="204"/>
    </font>
    <font>
      <i/>
      <sz val="10"/>
      <name val="Verdana"/>
      <family val="2"/>
      <charset val="204"/>
    </font>
    <font>
      <sz val="10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.5"/>
      <color theme="1"/>
      <name val="Шрифт текста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6"/>
      <color rgb="FF000000"/>
      <name val="Verdana"/>
      <family val="2"/>
      <charset val="204"/>
    </font>
    <font>
      <b/>
      <sz val="8"/>
      <color rgb="FF000000"/>
      <name val="Verdana"/>
      <family val="2"/>
      <charset val="204"/>
    </font>
    <font>
      <sz val="6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2"/>
      <color theme="1"/>
      <name val="Times New Roman"/>
      <family val="2"/>
      <charset val="204"/>
    </font>
    <font>
      <b/>
      <sz val="8"/>
      <color rgb="FF000000"/>
      <name val="Times New Roman"/>
      <family val="1"/>
      <charset val="204"/>
    </font>
    <font>
      <b/>
      <vertAlign val="superscript"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name val="Arial Cyr"/>
      <charset val="204"/>
    </font>
    <font>
      <sz val="11"/>
      <color rgb="FFFF0000"/>
      <name val="Calibri"/>
      <family val="2"/>
      <scheme val="minor"/>
    </font>
    <font>
      <b/>
      <sz val="8"/>
      <color rgb="FFFF0000"/>
      <name val="Verdana"/>
      <family val="2"/>
      <charset val="204"/>
    </font>
    <font>
      <i/>
      <sz val="7.5"/>
      <color theme="1"/>
      <name val="Verdana"/>
      <family val="2"/>
      <charset val="204"/>
    </font>
    <font>
      <b/>
      <sz val="11"/>
      <color theme="1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8"/>
      <color rgb="FF000000"/>
      <name val="Calibri"/>
    </font>
    <font>
      <b/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</borders>
  <cellStyleXfs count="9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0" borderId="0"/>
    <xf numFmtId="0" fontId="22" fillId="0" borderId="0"/>
    <xf numFmtId="0" fontId="3" fillId="0" borderId="0"/>
    <xf numFmtId="0" fontId="46" fillId="0" borderId="0"/>
    <xf numFmtId="0" fontId="50" fillId="0" borderId="0"/>
    <xf numFmtId="0" fontId="3" fillId="0" borderId="0"/>
  </cellStyleXfs>
  <cellXfs count="377">
    <xf numFmtId="0" fontId="0" fillId="0" borderId="0" xfId="0"/>
    <xf numFmtId="0" fontId="0" fillId="0" borderId="1" xfId="0" applyBorder="1"/>
    <xf numFmtId="0" fontId="4" fillId="0" borderId="0" xfId="2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0" fontId="6" fillId="0" borderId="3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2" fontId="6" fillId="0" borderId="27" xfId="0" applyNumberFormat="1" applyFont="1" applyBorder="1" applyAlignment="1">
      <alignment horizontal="center" wrapText="1"/>
    </xf>
    <xf numFmtId="2" fontId="6" fillId="0" borderId="28" xfId="0" applyNumberFormat="1" applyFont="1" applyBorder="1" applyAlignment="1">
      <alignment horizontal="center" wrapText="1"/>
    </xf>
    <xf numFmtId="2" fontId="6" fillId="0" borderId="28" xfId="0" applyNumberFormat="1" applyFont="1" applyBorder="1" applyAlignment="1">
      <alignment horizontal="center" textRotation="90" wrapText="1"/>
    </xf>
    <xf numFmtId="2" fontId="6" fillId="2" borderId="29" xfId="0" applyNumberFormat="1" applyFont="1" applyFill="1" applyBorder="1" applyAlignment="1">
      <alignment horizontal="center" textRotation="90" wrapText="1"/>
    </xf>
    <xf numFmtId="2" fontId="6" fillId="0" borderId="27" xfId="0" applyNumberFormat="1" applyFont="1" applyBorder="1" applyAlignment="1">
      <alignment horizontal="center" textRotation="90" wrapText="1"/>
    </xf>
    <xf numFmtId="2" fontId="6" fillId="2" borderId="28" xfId="0" applyNumberFormat="1" applyFont="1" applyFill="1" applyBorder="1" applyAlignment="1">
      <alignment horizontal="center" textRotation="90" wrapText="1"/>
    </xf>
    <xf numFmtId="2" fontId="6" fillId="0" borderId="29" xfId="0" applyNumberFormat="1" applyFont="1" applyBorder="1" applyAlignment="1">
      <alignment horizontal="center" wrapText="1"/>
    </xf>
    <xf numFmtId="49" fontId="6" fillId="0" borderId="30" xfId="0" applyNumberFormat="1" applyFont="1" applyBorder="1" applyAlignment="1">
      <alignment horizontal="center" vertical="center"/>
    </xf>
    <xf numFmtId="2" fontId="6" fillId="0" borderId="32" xfId="0" applyNumberFormat="1" applyFont="1" applyBorder="1" applyAlignment="1">
      <alignment horizontal="center" wrapText="1"/>
    </xf>
    <xf numFmtId="2" fontId="6" fillId="0" borderId="32" xfId="0" applyNumberFormat="1" applyFont="1" applyBorder="1" applyAlignment="1">
      <alignment horizontal="center" textRotation="90" wrapText="1"/>
    </xf>
    <xf numFmtId="2" fontId="6" fillId="2" borderId="31" xfId="0" applyNumberFormat="1" applyFont="1" applyFill="1" applyBorder="1" applyAlignment="1">
      <alignment horizontal="center" textRotation="90" wrapText="1"/>
    </xf>
    <xf numFmtId="2" fontId="6" fillId="0" borderId="22" xfId="0" applyNumberFormat="1" applyFont="1" applyBorder="1" applyAlignment="1">
      <alignment horizontal="center" textRotation="90" wrapText="1"/>
    </xf>
    <xf numFmtId="2" fontId="6" fillId="2" borderId="14" xfId="0" applyNumberFormat="1" applyFont="1" applyFill="1" applyBorder="1" applyAlignment="1">
      <alignment horizontal="center" textRotation="90" wrapText="1"/>
    </xf>
    <xf numFmtId="2" fontId="6" fillId="0" borderId="31" xfId="0" applyNumberFormat="1" applyFont="1" applyBorder="1" applyAlignment="1">
      <alignment horizontal="center" wrapText="1"/>
    </xf>
    <xf numFmtId="49" fontId="0" fillId="0" borderId="30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2" fontId="0" fillId="0" borderId="32" xfId="0" applyNumberFormat="1" applyFont="1" applyBorder="1" applyAlignment="1">
      <alignment horizontal="center" wrapText="1"/>
    </xf>
    <xf numFmtId="2" fontId="0" fillId="0" borderId="32" xfId="0" applyNumberFormat="1" applyFont="1" applyBorder="1" applyAlignment="1">
      <alignment horizontal="center" textRotation="90" wrapText="1"/>
    </xf>
    <xf numFmtId="2" fontId="0" fillId="2" borderId="31" xfId="0" applyNumberFormat="1" applyFont="1" applyFill="1" applyBorder="1" applyAlignment="1">
      <alignment horizontal="center" textRotation="90" wrapText="1"/>
    </xf>
    <xf numFmtId="2" fontId="0" fillId="0" borderId="22" xfId="0" applyNumberFormat="1" applyFont="1" applyBorder="1" applyAlignment="1">
      <alignment horizontal="center" textRotation="90" wrapText="1"/>
    </xf>
    <xf numFmtId="2" fontId="0" fillId="2" borderId="14" xfId="0" applyNumberFormat="1" applyFont="1" applyFill="1" applyBorder="1" applyAlignment="1">
      <alignment horizontal="center" textRotation="90" wrapText="1"/>
    </xf>
    <xf numFmtId="2" fontId="0" fillId="0" borderId="31" xfId="0" applyNumberFormat="1" applyFont="1" applyBorder="1" applyAlignment="1">
      <alignment horizontal="center" wrapText="1"/>
    </xf>
    <xf numFmtId="0" fontId="0" fillId="0" borderId="33" xfId="0" applyBorder="1" applyAlignment="1">
      <alignment wrapText="1"/>
    </xf>
    <xf numFmtId="164" fontId="6" fillId="0" borderId="1" xfId="0" applyNumberFormat="1" applyFont="1" applyBorder="1" applyAlignment="1">
      <alignment horizontal="right" wrapText="1"/>
    </xf>
    <xf numFmtId="164" fontId="6" fillId="2" borderId="19" xfId="0" applyNumberFormat="1" applyFont="1" applyFill="1" applyBorder="1" applyAlignment="1">
      <alignment horizontal="right" wrapText="1"/>
    </xf>
    <xf numFmtId="164" fontId="6" fillId="0" borderId="22" xfId="0" applyNumberFormat="1" applyFont="1" applyBorder="1" applyAlignment="1">
      <alignment horizontal="right" wrapText="1"/>
    </xf>
    <xf numFmtId="164" fontId="6" fillId="2" borderId="14" xfId="0" applyNumberFormat="1" applyFont="1" applyFill="1" applyBorder="1" applyAlignment="1">
      <alignment horizontal="right" wrapText="1"/>
    </xf>
    <xf numFmtId="164" fontId="6" fillId="0" borderId="19" xfId="0" applyNumberFormat="1" applyFont="1" applyBorder="1" applyAlignment="1">
      <alignment horizontal="right" wrapText="1"/>
    </xf>
    <xf numFmtId="49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6" fillId="2" borderId="19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164" fontId="0" fillId="0" borderId="19" xfId="0" applyNumberFormat="1" applyBorder="1" applyAlignment="1">
      <alignment horizontal="right"/>
    </xf>
    <xf numFmtId="49" fontId="0" fillId="0" borderId="27" xfId="0" applyNumberFormat="1" applyBorder="1"/>
    <xf numFmtId="0" fontId="0" fillId="0" borderId="34" xfId="0" applyBorder="1" applyAlignment="1">
      <alignment wrapText="1"/>
    </xf>
    <xf numFmtId="164" fontId="0" fillId="0" borderId="27" xfId="0" applyNumberFormat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164" fontId="6" fillId="2" borderId="29" xfId="0" applyNumberFormat="1" applyFont="1" applyFill="1" applyBorder="1" applyAlignment="1">
      <alignment horizontal="right"/>
    </xf>
    <xf numFmtId="164" fontId="6" fillId="2" borderId="28" xfId="0" applyNumberFormat="1" applyFont="1" applyFill="1" applyBorder="1" applyAlignment="1">
      <alignment horizontal="right"/>
    </xf>
    <xf numFmtId="164" fontId="0" fillId="0" borderId="29" xfId="0" applyNumberFormat="1" applyBorder="1" applyAlignment="1">
      <alignment horizontal="right"/>
    </xf>
    <xf numFmtId="0" fontId="7" fillId="0" borderId="0" xfId="3"/>
    <xf numFmtId="0" fontId="15" fillId="0" borderId="0" xfId="3" applyFont="1" applyAlignment="1">
      <alignment vertical="center"/>
    </xf>
    <xf numFmtId="0" fontId="16" fillId="0" borderId="37" xfId="3" applyFont="1" applyBorder="1" applyAlignment="1">
      <alignment horizontal="center" vertical="center" wrapText="1"/>
    </xf>
    <xf numFmtId="0" fontId="17" fillId="0" borderId="37" xfId="3" applyFont="1" applyBorder="1" applyAlignment="1">
      <alignment horizontal="center" vertical="center" wrapText="1"/>
    </xf>
    <xf numFmtId="0" fontId="18" fillId="0" borderId="37" xfId="3" applyFont="1" applyBorder="1" applyAlignment="1">
      <alignment vertical="center" wrapText="1"/>
    </xf>
    <xf numFmtId="0" fontId="17" fillId="0" borderId="37" xfId="3" applyFont="1" applyBorder="1" applyAlignment="1">
      <alignment horizontal="right" vertical="center" wrapText="1"/>
    </xf>
    <xf numFmtId="0" fontId="17" fillId="0" borderId="37" xfId="3" applyFont="1" applyBorder="1" applyAlignment="1">
      <alignment horizontal="right" vertical="center"/>
    </xf>
    <xf numFmtId="0" fontId="15" fillId="0" borderId="37" xfId="3" applyFont="1" applyBorder="1" applyAlignment="1">
      <alignment horizontal="left" vertical="center" wrapText="1" indent="5"/>
    </xf>
    <xf numFmtId="0" fontId="16" fillId="0" borderId="37" xfId="3" applyFont="1" applyBorder="1" applyAlignment="1">
      <alignment horizontal="right" vertical="center" wrapText="1"/>
    </xf>
    <xf numFmtId="0" fontId="16" fillId="0" borderId="37" xfId="3" applyFont="1" applyBorder="1" applyAlignment="1">
      <alignment horizontal="right" vertical="center"/>
    </xf>
    <xf numFmtId="0" fontId="15" fillId="0" borderId="37" xfId="3" applyFont="1" applyBorder="1" applyAlignment="1">
      <alignment vertical="center" wrapText="1"/>
    </xf>
    <xf numFmtId="0" fontId="15" fillId="0" borderId="37" xfId="3" applyFont="1" applyBorder="1" applyAlignment="1">
      <alignment horizontal="left" vertical="center" wrapText="1" indent="2"/>
    </xf>
    <xf numFmtId="0" fontId="15" fillId="0" borderId="37" xfId="3" applyFont="1" applyBorder="1" applyAlignment="1">
      <alignment horizontal="right" vertical="center" wrapText="1"/>
    </xf>
    <xf numFmtId="0" fontId="17" fillId="0" borderId="37" xfId="3" applyFont="1" applyBorder="1" applyAlignment="1">
      <alignment vertical="center" wrapText="1"/>
    </xf>
    <xf numFmtId="0" fontId="17" fillId="0" borderId="38" xfId="3" applyFont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right" vertical="center" wrapText="1"/>
    </xf>
    <xf numFmtId="0" fontId="13" fillId="0" borderId="1" xfId="3" applyFont="1" applyFill="1" applyBorder="1"/>
    <xf numFmtId="0" fontId="14" fillId="0" borderId="1" xfId="3" applyFont="1" applyFill="1" applyBorder="1" applyAlignment="1">
      <alignment horizontal="right" vertical="center" wrapText="1"/>
    </xf>
    <xf numFmtId="0" fontId="17" fillId="0" borderId="38" xfId="3" applyFont="1" applyFill="1" applyBorder="1" applyAlignment="1">
      <alignment horizontal="right" vertical="center" wrapText="1"/>
    </xf>
    <xf numFmtId="0" fontId="17" fillId="0" borderId="33" xfId="3" applyFont="1" applyFill="1" applyBorder="1" applyAlignment="1">
      <alignment horizontal="right" vertical="center" wrapText="1"/>
    </xf>
    <xf numFmtId="0" fontId="21" fillId="0" borderId="38" xfId="3" applyFont="1" applyFill="1" applyBorder="1" applyAlignment="1">
      <alignment horizontal="right" vertical="center" wrapText="1"/>
    </xf>
    <xf numFmtId="0" fontId="21" fillId="0" borderId="33" xfId="3" applyFont="1" applyFill="1" applyBorder="1" applyAlignment="1">
      <alignment horizontal="right" vertical="center" wrapText="1"/>
    </xf>
    <xf numFmtId="0" fontId="16" fillId="0" borderId="38" xfId="3" applyFont="1" applyFill="1" applyBorder="1" applyAlignment="1">
      <alignment horizontal="right" vertical="center" wrapText="1"/>
    </xf>
    <xf numFmtId="0" fontId="16" fillId="0" borderId="33" xfId="3" applyFont="1" applyFill="1" applyBorder="1" applyAlignment="1">
      <alignment horizontal="right" vertical="center" wrapText="1"/>
    </xf>
    <xf numFmtId="0" fontId="17" fillId="0" borderId="1" xfId="3" applyFont="1" applyBorder="1" applyAlignment="1">
      <alignment horizontal="center" vertical="center" wrapText="1"/>
    </xf>
    <xf numFmtId="0" fontId="22" fillId="0" borderId="0" xfId="4"/>
    <xf numFmtId="0" fontId="26" fillId="0" borderId="37" xfId="4" applyFont="1" applyBorder="1" applyAlignment="1">
      <alignment horizontal="center" vertical="center" wrapText="1"/>
    </xf>
    <xf numFmtId="0" fontId="23" fillId="0" borderId="37" xfId="4" applyFont="1" applyBorder="1" applyAlignment="1">
      <alignment vertical="center" wrapText="1"/>
    </xf>
    <xf numFmtId="0" fontId="26" fillId="0" borderId="37" xfId="4" applyFont="1" applyBorder="1" applyAlignment="1">
      <alignment vertical="center" wrapText="1"/>
    </xf>
    <xf numFmtId="0" fontId="27" fillId="0" borderId="37" xfId="4" applyFont="1" applyBorder="1" applyAlignment="1">
      <alignment vertical="center" wrapText="1"/>
    </xf>
    <xf numFmtId="165" fontId="26" fillId="0" borderId="37" xfId="4" applyNumberFormat="1" applyFont="1" applyBorder="1" applyAlignment="1">
      <alignment horizontal="right" vertical="center" wrapText="1"/>
    </xf>
    <xf numFmtId="165" fontId="26" fillId="0" borderId="37" xfId="4" applyNumberFormat="1" applyFont="1" applyFill="1" applyBorder="1" applyAlignment="1">
      <alignment horizontal="right" vertical="center" wrapText="1"/>
    </xf>
    <xf numFmtId="165" fontId="26" fillId="3" borderId="37" xfId="4" applyNumberFormat="1" applyFont="1" applyFill="1" applyBorder="1" applyAlignment="1">
      <alignment horizontal="right" vertical="center" wrapText="1"/>
    </xf>
    <xf numFmtId="49" fontId="26" fillId="3" borderId="37" xfId="4" applyNumberFormat="1" applyFont="1" applyFill="1" applyBorder="1" applyAlignment="1">
      <alignment horizontal="center" vertical="center" wrapText="1"/>
    </xf>
    <xf numFmtId="0" fontId="23" fillId="0" borderId="38" xfId="4" applyFont="1" applyBorder="1" applyAlignment="1">
      <alignment vertical="center" wrapText="1"/>
    </xf>
    <xf numFmtId="0" fontId="26" fillId="0" borderId="39" xfId="4" applyFont="1" applyBorder="1" applyAlignment="1">
      <alignment horizontal="center" vertical="center" wrapText="1"/>
    </xf>
    <xf numFmtId="49" fontId="26" fillId="0" borderId="39" xfId="4" applyNumberFormat="1" applyFont="1" applyBorder="1" applyAlignment="1">
      <alignment horizontal="center" vertical="center" wrapText="1"/>
    </xf>
    <xf numFmtId="49" fontId="26" fillId="0" borderId="39" xfId="4" applyNumberFormat="1" applyFont="1" applyFill="1" applyBorder="1" applyAlignment="1">
      <alignment horizontal="center" vertical="center" wrapText="1"/>
    </xf>
    <xf numFmtId="165" fontId="26" fillId="0" borderId="1" xfId="4" applyNumberFormat="1" applyFont="1" applyFill="1" applyBorder="1"/>
    <xf numFmtId="165" fontId="26" fillId="4" borderId="1" xfId="4" applyNumberFormat="1" applyFont="1" applyFill="1" applyBorder="1"/>
    <xf numFmtId="0" fontId="24" fillId="5" borderId="0" xfId="4" applyFont="1" applyFill="1"/>
    <xf numFmtId="0" fontId="22" fillId="5" borderId="0" xfId="4" applyFill="1"/>
    <xf numFmtId="0" fontId="3" fillId="0" borderId="0" xfId="5"/>
    <xf numFmtId="0" fontId="2" fillId="0" borderId="0" xfId="5" applyFont="1" applyAlignment="1">
      <alignment horizontal="justify" vertical="center"/>
    </xf>
    <xf numFmtId="165" fontId="29" fillId="0" borderId="0" xfId="5" applyNumberFormat="1" applyFont="1" applyAlignment="1">
      <alignment horizontal="right" vertical="center" wrapText="1"/>
    </xf>
    <xf numFmtId="165" fontId="29" fillId="0" borderId="0" xfId="5" applyNumberFormat="1" applyFont="1" applyAlignment="1">
      <alignment horizontal="right" wrapText="1"/>
    </xf>
    <xf numFmtId="165" fontId="30" fillId="0" borderId="0" xfId="5" applyNumberFormat="1" applyFont="1" applyBorder="1" applyAlignment="1">
      <alignment horizontal="right" vertical="center" wrapText="1"/>
    </xf>
    <xf numFmtId="165" fontId="29" fillId="0" borderId="0" xfId="5" applyNumberFormat="1" applyFont="1" applyBorder="1" applyAlignment="1">
      <alignment horizontal="right" wrapText="1"/>
    </xf>
    <xf numFmtId="165" fontId="29" fillId="0" borderId="23" xfId="5" applyNumberFormat="1" applyFont="1" applyBorder="1" applyAlignment="1">
      <alignment horizontal="right" wrapText="1"/>
    </xf>
    <xf numFmtId="165" fontId="30" fillId="0" borderId="0" xfId="5" applyNumberFormat="1" applyFont="1" applyAlignment="1">
      <alignment horizontal="right" vertical="center" wrapText="1"/>
    </xf>
    <xf numFmtId="165" fontId="29" fillId="0" borderId="47" xfId="5" applyNumberFormat="1" applyFont="1" applyBorder="1" applyAlignment="1">
      <alignment horizontal="right" wrapText="1"/>
    </xf>
    <xf numFmtId="0" fontId="29" fillId="0" borderId="32" xfId="5" applyFont="1" applyBorder="1" applyAlignment="1">
      <alignment horizontal="center" vertical="center" wrapText="1"/>
    </xf>
    <xf numFmtId="0" fontId="29" fillId="0" borderId="23" xfId="5" applyFont="1" applyBorder="1" applyAlignment="1">
      <alignment horizontal="center" vertical="center" wrapText="1"/>
    </xf>
    <xf numFmtId="0" fontId="28" fillId="0" borderId="0" xfId="5" applyFont="1" applyBorder="1" applyAlignment="1">
      <alignment horizontal="left" vertical="center" wrapText="1" indent="3"/>
    </xf>
    <xf numFmtId="0" fontId="36" fillId="0" borderId="0" xfId="5" applyFont="1" applyBorder="1" applyAlignment="1">
      <alignment vertical="center" wrapText="1"/>
    </xf>
    <xf numFmtId="0" fontId="28" fillId="0" borderId="0" xfId="5" applyFont="1" applyAlignment="1">
      <alignment vertical="center" wrapText="1"/>
    </xf>
    <xf numFmtId="0" fontId="28" fillId="0" borderId="0" xfId="5" applyFont="1" applyAlignment="1">
      <alignment horizontal="center" vertical="center" wrapText="1"/>
    </xf>
    <xf numFmtId="0" fontId="28" fillId="0" borderId="0" xfId="5" applyFont="1" applyAlignment="1">
      <alignment horizontal="left" vertical="center" wrapText="1" indent="1"/>
    </xf>
    <xf numFmtId="0" fontId="35" fillId="0" borderId="0" xfId="5" applyFont="1" applyAlignment="1">
      <alignment horizontal="left" vertical="center" wrapText="1" indent="2"/>
    </xf>
    <xf numFmtId="0" fontId="35" fillId="0" borderId="0" xfId="5" applyFont="1" applyAlignment="1">
      <alignment horizontal="left" vertical="center" wrapText="1" indent="4"/>
    </xf>
    <xf numFmtId="0" fontId="35" fillId="0" borderId="0" xfId="5" applyFont="1" applyBorder="1" applyAlignment="1">
      <alignment horizontal="left" vertical="center" wrapText="1" indent="1"/>
    </xf>
    <xf numFmtId="0" fontId="28" fillId="0" borderId="0" xfId="5" applyFont="1" applyBorder="1" applyAlignment="1">
      <alignment horizontal="left" vertical="center" wrapText="1" indent="1"/>
    </xf>
    <xf numFmtId="0" fontId="28" fillId="0" borderId="47" xfId="5" applyFont="1" applyBorder="1" applyAlignment="1">
      <alignment vertical="center" wrapText="1"/>
    </xf>
    <xf numFmtId="0" fontId="35" fillId="0" borderId="23" xfId="5" applyFont="1" applyBorder="1" applyAlignment="1">
      <alignment horizontal="left" vertical="center" wrapText="1" indent="1"/>
    </xf>
    <xf numFmtId="0" fontId="28" fillId="0" borderId="23" xfId="5" applyFont="1" applyBorder="1" applyAlignment="1">
      <alignment vertical="center" wrapText="1"/>
    </xf>
    <xf numFmtId="0" fontId="28" fillId="0" borderId="0" xfId="5" applyFont="1" applyAlignment="1">
      <alignment horizontal="left" vertical="center" wrapText="1" indent="3"/>
    </xf>
    <xf numFmtId="165" fontId="30" fillId="0" borderId="0" xfId="5" applyNumberFormat="1" applyFont="1" applyFill="1" applyBorder="1" applyAlignment="1">
      <alignment horizontal="right" vertical="center" wrapText="1"/>
    </xf>
    <xf numFmtId="165" fontId="2" fillId="0" borderId="0" xfId="5" applyNumberFormat="1" applyFont="1"/>
    <xf numFmtId="165" fontId="2" fillId="0" borderId="47" xfId="5" applyNumberFormat="1" applyFont="1" applyBorder="1"/>
    <xf numFmtId="165" fontId="2" fillId="0" borderId="23" xfId="5" applyNumberFormat="1" applyFont="1" applyBorder="1"/>
    <xf numFmtId="165" fontId="2" fillId="0" borderId="16" xfId="5" applyNumberFormat="1" applyFont="1" applyBorder="1"/>
    <xf numFmtId="0" fontId="41" fillId="0" borderId="48" xfId="0" applyFont="1" applyBorder="1" applyAlignment="1">
      <alignment vertical="center" wrapText="1"/>
    </xf>
    <xf numFmtId="3" fontId="41" fillId="0" borderId="37" xfId="0" applyNumberFormat="1" applyFont="1" applyBorder="1" applyAlignment="1">
      <alignment horizontal="right" vertical="center" wrapText="1"/>
    </xf>
    <xf numFmtId="0" fontId="41" fillId="0" borderId="53" xfId="0" applyFont="1" applyBorder="1" applyAlignment="1">
      <alignment vertical="center" wrapText="1"/>
    </xf>
    <xf numFmtId="3" fontId="41" fillId="0" borderId="39" xfId="0" applyNumberFormat="1" applyFont="1" applyBorder="1" applyAlignment="1">
      <alignment vertical="center" wrapText="1"/>
    </xf>
    <xf numFmtId="3" fontId="19" fillId="0" borderId="37" xfId="0" applyNumberFormat="1" applyFont="1" applyBorder="1" applyAlignment="1">
      <alignment horizontal="right" vertical="center" wrapText="1"/>
    </xf>
    <xf numFmtId="3" fontId="40" fillId="0" borderId="37" xfId="0" applyNumberFormat="1" applyFont="1" applyBorder="1" applyAlignment="1">
      <alignment horizontal="right" vertical="center" wrapText="1"/>
    </xf>
    <xf numFmtId="0" fontId="19" fillId="0" borderId="53" xfId="0" applyFont="1" applyBorder="1" applyAlignment="1">
      <alignment horizontal="right" vertical="center" wrapText="1"/>
    </xf>
    <xf numFmtId="0" fontId="19" fillId="0" borderId="53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left" vertical="center" wrapText="1"/>
    </xf>
    <xf numFmtId="0" fontId="42" fillId="0" borderId="0" xfId="0" applyFont="1" applyAlignment="1">
      <alignment horizontal="left" vertical="center"/>
    </xf>
    <xf numFmtId="0" fontId="43" fillId="0" borderId="37" xfId="0" applyFont="1" applyBorder="1" applyAlignment="1">
      <alignment horizontal="center" vertical="center" wrapText="1"/>
    </xf>
    <xf numFmtId="0" fontId="43" fillId="0" borderId="38" xfId="0" applyFont="1" applyBorder="1" applyAlignment="1">
      <alignment horizontal="center" vertical="center" wrapText="1"/>
    </xf>
    <xf numFmtId="0" fontId="43" fillId="0" borderId="33" xfId="0" applyFont="1" applyBorder="1" applyAlignment="1">
      <alignment vertical="center" wrapText="1"/>
    </xf>
    <xf numFmtId="0" fontId="43" fillId="0" borderId="1" xfId="0" applyFont="1" applyBorder="1" applyAlignment="1">
      <alignment vertical="center" wrapText="1"/>
    </xf>
    <xf numFmtId="0" fontId="44" fillId="0" borderId="54" xfId="0" applyFont="1" applyBorder="1" applyAlignment="1">
      <alignment horizontal="center" vertical="center" wrapText="1"/>
    </xf>
    <xf numFmtId="0" fontId="43" fillId="0" borderId="54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37" xfId="0" applyFont="1" applyBorder="1" applyAlignment="1">
      <alignment horizontal="left" vertical="center" wrapText="1"/>
    </xf>
    <xf numFmtId="0" fontId="45" fillId="0" borderId="38" xfId="0" applyFont="1" applyBorder="1" applyAlignment="1">
      <alignment horizontal="center" vertical="center" wrapText="1"/>
    </xf>
    <xf numFmtId="3" fontId="45" fillId="0" borderId="1" xfId="0" applyNumberFormat="1" applyFont="1" applyBorder="1" applyAlignment="1">
      <alignment horizontal="right" vertical="center" wrapText="1"/>
    </xf>
    <xf numFmtId="0" fontId="43" fillId="0" borderId="37" xfId="0" applyFont="1" applyBorder="1" applyAlignment="1">
      <alignment horizontal="left" vertical="center" wrapText="1"/>
    </xf>
    <xf numFmtId="3" fontId="43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0" fontId="46" fillId="0" borderId="0" xfId="6"/>
    <xf numFmtId="0" fontId="47" fillId="0" borderId="0" xfId="6" applyFont="1" applyAlignment="1">
      <alignment horizontal="center" vertical="center"/>
    </xf>
    <xf numFmtId="0" fontId="47" fillId="0" borderId="1" xfId="6" applyFont="1" applyBorder="1" applyAlignment="1">
      <alignment vertical="center" wrapText="1"/>
    </xf>
    <xf numFmtId="0" fontId="47" fillId="0" borderId="1" xfId="6" applyFont="1" applyBorder="1" applyAlignment="1">
      <alignment horizontal="center" vertical="center" wrapText="1"/>
    </xf>
    <xf numFmtId="0" fontId="47" fillId="0" borderId="1" xfId="6" applyFont="1" applyFill="1" applyBorder="1" applyAlignment="1">
      <alignment horizontal="center" vertical="center" wrapText="1"/>
    </xf>
    <xf numFmtId="0" fontId="49" fillId="0" borderId="1" xfId="6" applyFont="1" applyBorder="1" applyAlignment="1">
      <alignment horizontal="center" vertical="center"/>
    </xf>
    <xf numFmtId="0" fontId="49" fillId="0" borderId="1" xfId="6" applyFont="1" applyBorder="1" applyAlignment="1">
      <alignment vertical="center" wrapText="1"/>
    </xf>
    <xf numFmtId="0" fontId="47" fillId="0" borderId="1" xfId="6" applyFont="1" applyBorder="1" applyAlignment="1">
      <alignment vertical="center"/>
    </xf>
    <xf numFmtId="0" fontId="49" fillId="0" borderId="1" xfId="6" applyFont="1" applyBorder="1" applyAlignment="1">
      <alignment vertical="center"/>
    </xf>
    <xf numFmtId="0" fontId="47" fillId="0" borderId="1" xfId="6" applyFont="1" applyBorder="1" applyAlignment="1">
      <alignment wrapText="1"/>
    </xf>
    <xf numFmtId="0" fontId="49" fillId="0" borderId="1" xfId="6" applyFont="1" applyBorder="1" applyAlignment="1">
      <alignment wrapText="1"/>
    </xf>
    <xf numFmtId="0" fontId="47" fillId="0" borderId="1" xfId="6" applyFont="1" applyBorder="1" applyAlignment="1">
      <alignment horizontal="right" wrapText="1"/>
    </xf>
    <xf numFmtId="0" fontId="49" fillId="0" borderId="1" xfId="6" applyFont="1" applyBorder="1" applyAlignment="1">
      <alignment horizontal="right" wrapText="1"/>
    </xf>
    <xf numFmtId="0" fontId="3" fillId="0" borderId="1" xfId="5" applyBorder="1" applyAlignment="1">
      <alignment horizontal="center" vertical="center"/>
    </xf>
    <xf numFmtId="0" fontId="3" fillId="0" borderId="1" xfId="5" applyBorder="1" applyAlignment="1">
      <alignment textRotation="90" wrapText="1"/>
    </xf>
    <xf numFmtId="0" fontId="3" fillId="0" borderId="1" xfId="5" applyBorder="1" applyAlignment="1">
      <alignment textRotation="90"/>
    </xf>
    <xf numFmtId="0" fontId="3" fillId="0" borderId="1" xfId="5" applyBorder="1"/>
    <xf numFmtId="3" fontId="3" fillId="0" borderId="0" xfId="5" applyNumberFormat="1"/>
    <xf numFmtId="0" fontId="3" fillId="0" borderId="0" xfId="5" applyAlignment="1">
      <alignment horizontal="center" vertical="center"/>
    </xf>
    <xf numFmtId="0" fontId="3" fillId="0" borderId="0" xfId="5" applyFill="1" applyBorder="1"/>
    <xf numFmtId="0" fontId="3" fillId="0" borderId="55" xfId="5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wrapText="1"/>
    </xf>
    <xf numFmtId="0" fontId="51" fillId="0" borderId="0" xfId="0" applyFont="1"/>
    <xf numFmtId="0" fontId="0" fillId="0" borderId="0" xfId="0" applyAlignment="1">
      <alignment wrapText="1"/>
    </xf>
    <xf numFmtId="164" fontId="0" fillId="0" borderId="55" xfId="0" applyNumberFormat="1" applyFill="1" applyBorder="1" applyAlignment="1">
      <alignment horizontal="right"/>
    </xf>
    <xf numFmtId="164" fontId="0" fillId="0" borderId="13" xfId="0" applyNumberFormat="1" applyFill="1" applyBorder="1" applyAlignment="1">
      <alignment horizontal="right"/>
    </xf>
    <xf numFmtId="164" fontId="6" fillId="2" borderId="56" xfId="0" applyNumberFormat="1" applyFont="1" applyFill="1" applyBorder="1" applyAlignment="1">
      <alignment horizontal="right"/>
    </xf>
    <xf numFmtId="2" fontId="6" fillId="0" borderId="51" xfId="0" applyNumberFormat="1" applyFont="1" applyBorder="1" applyAlignment="1">
      <alignment horizontal="center" wrapText="1"/>
    </xf>
    <xf numFmtId="2" fontId="0" fillId="0" borderId="51" xfId="0" applyNumberFormat="1" applyFont="1" applyBorder="1" applyAlignment="1">
      <alignment horizontal="center" wrapText="1"/>
    </xf>
    <xf numFmtId="164" fontId="6" fillId="0" borderId="50" xfId="0" applyNumberFormat="1" applyFont="1" applyBorder="1" applyAlignment="1">
      <alignment horizontal="right" wrapText="1"/>
    </xf>
    <xf numFmtId="164" fontId="0" fillId="0" borderId="50" xfId="0" applyNumberFormat="1" applyBorder="1" applyAlignment="1">
      <alignment horizontal="right"/>
    </xf>
    <xf numFmtId="2" fontId="6" fillId="0" borderId="13" xfId="0" applyNumberFormat="1" applyFont="1" applyBorder="1" applyAlignment="1">
      <alignment horizontal="center" wrapText="1"/>
    </xf>
    <xf numFmtId="2" fontId="6" fillId="0" borderId="36" xfId="0" applyNumberFormat="1" applyFont="1" applyBorder="1" applyAlignment="1">
      <alignment horizontal="center" wrapText="1"/>
    </xf>
    <xf numFmtId="2" fontId="6" fillId="0" borderId="36" xfId="0" applyNumberFormat="1" applyFont="1" applyBorder="1" applyAlignment="1">
      <alignment horizontal="center" textRotation="90" wrapText="1"/>
    </xf>
    <xf numFmtId="2" fontId="6" fillId="2" borderId="56" xfId="0" applyNumberFormat="1" applyFont="1" applyFill="1" applyBorder="1" applyAlignment="1">
      <alignment horizontal="center" textRotation="90" wrapText="1"/>
    </xf>
    <xf numFmtId="164" fontId="6" fillId="2" borderId="1" xfId="0" applyNumberFormat="1" applyFont="1" applyFill="1" applyBorder="1" applyAlignment="1">
      <alignment horizontal="right" wrapText="1"/>
    </xf>
    <xf numFmtId="2" fontId="0" fillId="0" borderId="1" xfId="0" applyNumberFormat="1" applyFont="1" applyBorder="1" applyAlignment="1">
      <alignment horizontal="center" wrapText="1"/>
    </xf>
    <xf numFmtId="164" fontId="0" fillId="2" borderId="1" xfId="0" applyNumberFormat="1" applyFont="1" applyFill="1" applyBorder="1" applyAlignment="1">
      <alignment horizontal="right" wrapText="1"/>
    </xf>
    <xf numFmtId="164" fontId="0" fillId="0" borderId="1" xfId="0" applyNumberFormat="1" applyFill="1" applyBorder="1" applyAlignment="1">
      <alignment horizontal="right"/>
    </xf>
    <xf numFmtId="164" fontId="0" fillId="0" borderId="45" xfId="0" applyNumberFormat="1" applyFill="1" applyBorder="1" applyAlignment="1">
      <alignment horizontal="right"/>
    </xf>
    <xf numFmtId="164" fontId="6" fillId="2" borderId="55" xfId="0" applyNumberFormat="1" applyFont="1" applyFill="1" applyBorder="1" applyAlignment="1">
      <alignment horizontal="right"/>
    </xf>
    <xf numFmtId="164" fontId="0" fillId="0" borderId="56" xfId="0" applyNumberFormat="1" applyFill="1" applyBorder="1" applyAlignment="1">
      <alignment horizontal="right"/>
    </xf>
    <xf numFmtId="0" fontId="44" fillId="0" borderId="1" xfId="0" applyFont="1" applyFill="1" applyBorder="1" applyAlignment="1">
      <alignment horizontal="center" vertical="center" wrapText="1"/>
    </xf>
    <xf numFmtId="3" fontId="47" fillId="0" borderId="1" xfId="6" applyNumberFormat="1" applyFont="1" applyBorder="1" applyAlignment="1">
      <alignment wrapText="1"/>
    </xf>
    <xf numFmtId="3" fontId="49" fillId="0" borderId="1" xfId="6" applyNumberFormat="1" applyFont="1" applyBorder="1" applyAlignment="1">
      <alignment wrapText="1"/>
    </xf>
    <xf numFmtId="3" fontId="52" fillId="0" borderId="1" xfId="0" applyNumberFormat="1" applyFont="1" applyBorder="1" applyAlignment="1">
      <alignment horizontal="right" vertical="center" wrapText="1"/>
    </xf>
    <xf numFmtId="3" fontId="26" fillId="0" borderId="37" xfId="0" applyNumberFormat="1" applyFont="1" applyBorder="1" applyAlignment="1">
      <alignment horizontal="right" vertical="center" wrapText="1"/>
    </xf>
    <xf numFmtId="3" fontId="26" fillId="0" borderId="39" xfId="0" applyNumberFormat="1" applyFont="1" applyBorder="1" applyAlignment="1">
      <alignment vertical="center" wrapText="1"/>
    </xf>
    <xf numFmtId="3" fontId="13" fillId="0" borderId="37" xfId="0" applyNumberFormat="1" applyFont="1" applyBorder="1" applyAlignment="1">
      <alignment horizontal="right" vertical="center" wrapText="1"/>
    </xf>
    <xf numFmtId="3" fontId="13" fillId="0" borderId="0" xfId="0" applyNumberFormat="1" applyFont="1"/>
    <xf numFmtId="0" fontId="26" fillId="0" borderId="53" xfId="0" applyFont="1" applyBorder="1" applyAlignment="1">
      <alignment vertical="center" wrapText="1"/>
    </xf>
    <xf numFmtId="0" fontId="53" fillId="0" borderId="1" xfId="5" applyFont="1" applyBorder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0" fontId="16" fillId="0" borderId="1" xfId="5" applyFont="1" applyBorder="1" applyAlignment="1">
      <alignment vertical="center" wrapText="1"/>
    </xf>
    <xf numFmtId="3" fontId="16" fillId="0" borderId="1" xfId="5" applyNumberFormat="1" applyFont="1" applyBorder="1" applyAlignment="1">
      <alignment vertical="center" wrapText="1"/>
    </xf>
    <xf numFmtId="0" fontId="3" fillId="0" borderId="0" xfId="5" applyAlignment="1">
      <alignment horizontal="center"/>
    </xf>
    <xf numFmtId="0" fontId="3" fillId="0" borderId="0" xfId="8"/>
    <xf numFmtId="0" fontId="2" fillId="0" borderId="1" xfId="8" applyNumberFormat="1" applyFont="1" applyBorder="1" applyAlignment="1">
      <alignment wrapText="1"/>
    </xf>
    <xf numFmtId="0" fontId="54" fillId="0" borderId="1" xfId="8" applyFont="1" applyBorder="1" applyAlignment="1">
      <alignment horizontal="center" vertical="center"/>
    </xf>
    <xf numFmtId="0" fontId="54" fillId="0" borderId="1" xfId="8" applyFont="1" applyBorder="1"/>
    <xf numFmtId="3" fontId="54" fillId="0" borderId="1" xfId="8" applyNumberFormat="1" applyFont="1" applyBorder="1"/>
    <xf numFmtId="3" fontId="55" fillId="0" borderId="1" xfId="8" applyNumberFormat="1" applyFont="1" applyBorder="1"/>
    <xf numFmtId="4" fontId="54" fillId="0" borderId="1" xfId="8" applyNumberFormat="1" applyFont="1" applyBorder="1" applyAlignment="1">
      <alignment horizontal="right" vertical="center"/>
    </xf>
    <xf numFmtId="167" fontId="54" fillId="6" borderId="1" xfId="8" applyNumberFormat="1" applyFont="1" applyFill="1" applyBorder="1"/>
    <xf numFmtId="4" fontId="56" fillId="0" borderId="1" xfId="8" applyNumberFormat="1" applyFont="1" applyBorder="1" applyAlignment="1">
      <alignment horizontal="right" vertical="center"/>
    </xf>
    <xf numFmtId="164" fontId="54" fillId="0" borderId="1" xfId="8" applyNumberFormat="1" applyFont="1" applyBorder="1"/>
    <xf numFmtId="164" fontId="55" fillId="0" borderId="1" xfId="8" applyNumberFormat="1" applyFont="1" applyBorder="1"/>
    <xf numFmtId="0" fontId="2" fillId="0" borderId="1" xfId="8" applyFont="1" applyBorder="1"/>
    <xf numFmtId="164" fontId="2" fillId="0" borderId="1" xfId="8" applyNumberFormat="1" applyFont="1" applyBorder="1"/>
    <xf numFmtId="0" fontId="54" fillId="0" borderId="1" xfId="8" applyFont="1" applyBorder="1" applyAlignment="1">
      <alignment horizontal="right" vertical="center"/>
    </xf>
    <xf numFmtId="164" fontId="57" fillId="0" borderId="1" xfId="8" applyNumberFormat="1" applyFont="1" applyBorder="1"/>
    <xf numFmtId="164" fontId="58" fillId="0" borderId="1" xfId="8" applyNumberFormat="1" applyFont="1" applyBorder="1"/>
    <xf numFmtId="167" fontId="57" fillId="0" borderId="1" xfId="8" applyNumberFormat="1" applyFont="1" applyBorder="1"/>
    <xf numFmtId="167" fontId="58" fillId="0" borderId="1" xfId="8" applyNumberFormat="1" applyFont="1" applyBorder="1"/>
    <xf numFmtId="0" fontId="54" fillId="7" borderId="1" xfId="8" applyNumberFormat="1" applyFont="1" applyFill="1" applyBorder="1" applyAlignment="1">
      <alignment wrapText="1"/>
    </xf>
    <xf numFmtId="164" fontId="54" fillId="7" borderId="1" xfId="8" applyNumberFormat="1" applyFont="1" applyFill="1" applyBorder="1"/>
    <xf numFmtId="164" fontId="55" fillId="7" borderId="1" xfId="8" applyNumberFormat="1" applyFont="1" applyFill="1" applyBorder="1"/>
    <xf numFmtId="164" fontId="55" fillId="7" borderId="1" xfId="1" applyNumberFormat="1" applyFont="1" applyFill="1" applyBorder="1"/>
    <xf numFmtId="0" fontId="2" fillId="7" borderId="1" xfId="8" applyFont="1" applyFill="1" applyBorder="1"/>
    <xf numFmtId="164" fontId="57" fillId="7" borderId="1" xfId="8" applyNumberFormat="1" applyFont="1" applyFill="1" applyBorder="1"/>
    <xf numFmtId="164" fontId="2" fillId="7" borderId="1" xfId="8" applyNumberFormat="1" applyFont="1" applyFill="1" applyBorder="1"/>
    <xf numFmtId="0" fontId="54" fillId="2" borderId="1" xfId="8" applyFont="1" applyFill="1" applyBorder="1"/>
    <xf numFmtId="164" fontId="54" fillId="2" borderId="1" xfId="8" applyNumberFormat="1" applyFont="1" applyFill="1" applyBorder="1"/>
    <xf numFmtId="164" fontId="55" fillId="2" borderId="1" xfId="8" applyNumberFormat="1" applyFont="1" applyFill="1" applyBorder="1"/>
    <xf numFmtId="0" fontId="2" fillId="2" borderId="1" xfId="8" applyFont="1" applyFill="1" applyBorder="1"/>
    <xf numFmtId="164" fontId="57" fillId="2" borderId="1" xfId="8" applyNumberFormat="1" applyFont="1" applyFill="1" applyBorder="1"/>
    <xf numFmtId="164" fontId="2" fillId="2" borderId="1" xfId="8" applyNumberFormat="1" applyFont="1" applyFill="1" applyBorder="1"/>
    <xf numFmtId="0" fontId="2" fillId="2" borderId="1" xfId="8" applyNumberFormat="1" applyFont="1" applyFill="1" applyBorder="1" applyAlignment="1">
      <alignment wrapText="1"/>
    </xf>
    <xf numFmtId="0" fontId="54" fillId="2" borderId="1" xfId="8" applyNumberFormat="1" applyFont="1" applyFill="1" applyBorder="1" applyAlignment="1">
      <alignment wrapText="1"/>
    </xf>
    <xf numFmtId="167" fontId="54" fillId="2" borderId="1" xfId="8" applyNumberFormat="1" applyFont="1" applyFill="1" applyBorder="1"/>
    <xf numFmtId="164" fontId="59" fillId="2" borderId="1" xfId="8" applyNumberFormat="1" applyFont="1" applyFill="1" applyBorder="1"/>
    <xf numFmtId="0" fontId="54" fillId="8" borderId="1" xfId="8" applyFont="1" applyFill="1" applyBorder="1" applyAlignment="1">
      <alignment wrapText="1"/>
    </xf>
    <xf numFmtId="164" fontId="54" fillId="8" borderId="1" xfId="8" applyNumberFormat="1" applyFont="1" applyFill="1" applyBorder="1"/>
    <xf numFmtId="164" fontId="55" fillId="8" borderId="1" xfId="8" applyNumberFormat="1" applyFont="1" applyFill="1" applyBorder="1"/>
    <xf numFmtId="0" fontId="2" fillId="8" borderId="1" xfId="8" applyNumberFormat="1" applyFont="1" applyFill="1" applyBorder="1" applyAlignment="1">
      <alignment wrapText="1"/>
    </xf>
    <xf numFmtId="164" fontId="57" fillId="8" borderId="1" xfId="8" applyNumberFormat="1" applyFont="1" applyFill="1" applyBorder="1"/>
    <xf numFmtId="164" fontId="2" fillId="8" borderId="1" xfId="8" applyNumberFormat="1" applyFont="1" applyFill="1" applyBorder="1"/>
    <xf numFmtId="0" fontId="54" fillId="9" borderId="1" xfId="8" applyFont="1" applyFill="1" applyBorder="1"/>
    <xf numFmtId="164" fontId="54" fillId="9" borderId="1" xfId="8" applyNumberFormat="1" applyFont="1" applyFill="1" applyBorder="1"/>
    <xf numFmtId="164" fontId="55" fillId="9" borderId="1" xfId="8" applyNumberFormat="1" applyFont="1" applyFill="1" applyBorder="1"/>
    <xf numFmtId="0" fontId="2" fillId="9" borderId="1" xfId="8" applyNumberFormat="1" applyFont="1" applyFill="1" applyBorder="1" applyAlignment="1">
      <alignment wrapText="1"/>
    </xf>
    <xf numFmtId="164" fontId="57" fillId="9" borderId="1" xfId="8" applyNumberFormat="1" applyFont="1" applyFill="1" applyBorder="1"/>
    <xf numFmtId="164" fontId="2" fillId="9" borderId="1" xfId="8" applyNumberFormat="1" applyFont="1" applyFill="1" applyBorder="1"/>
    <xf numFmtId="0" fontId="54" fillId="9" borderId="1" xfId="8" applyNumberFormat="1" applyFont="1" applyFill="1" applyBorder="1" applyAlignment="1">
      <alignment wrapText="1"/>
    </xf>
    <xf numFmtId="167" fontId="54" fillId="9" borderId="1" xfId="8" applyNumberFormat="1" applyFont="1" applyFill="1" applyBorder="1"/>
    <xf numFmtId="164" fontId="60" fillId="9" borderId="1" xfId="8" applyNumberFormat="1" applyFont="1" applyFill="1" applyBorder="1"/>
    <xf numFmtId="3" fontId="26" fillId="0" borderId="57" xfId="0" applyNumberFormat="1" applyFont="1" applyFill="1" applyBorder="1" applyAlignment="1">
      <alignment horizontal="right" vertical="center" wrapText="1"/>
    </xf>
    <xf numFmtId="0" fontId="3" fillId="0" borderId="0" xfId="8" applyAlignment="1">
      <alignment horizontal="left"/>
    </xf>
    <xf numFmtId="0" fontId="15" fillId="0" borderId="0" xfId="3" applyFont="1" applyAlignment="1">
      <alignment horizontal="right" vertical="center"/>
    </xf>
    <xf numFmtId="0" fontId="7" fillId="0" borderId="0" xfId="3" applyAlignment="1">
      <alignment horizontal="right"/>
    </xf>
    <xf numFmtId="0" fontId="5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166" fontId="6" fillId="0" borderId="15" xfId="0" applyNumberFormat="1" applyFont="1" applyBorder="1" applyAlignment="1">
      <alignment horizontal="center" wrapText="1"/>
    </xf>
    <xf numFmtId="166" fontId="6" fillId="0" borderId="16" xfId="0" applyNumberFormat="1" applyFont="1" applyBorder="1" applyAlignment="1">
      <alignment horizontal="center" wrapText="1"/>
    </xf>
    <xf numFmtId="166" fontId="6" fillId="0" borderId="17" xfId="0" applyNumberFormat="1" applyFont="1" applyBorder="1" applyAlignment="1">
      <alignment horizontal="center" wrapText="1"/>
    </xf>
    <xf numFmtId="2" fontId="6" fillId="0" borderId="18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2" fontId="6" fillId="0" borderId="19" xfId="0" applyNumberFormat="1" applyFont="1" applyBorder="1" applyAlignment="1">
      <alignment horizontal="center" wrapText="1"/>
    </xf>
    <xf numFmtId="0" fontId="19" fillId="0" borderId="0" xfId="3" applyFont="1" applyAlignment="1">
      <alignment horizontal="center" vertical="center"/>
    </xf>
    <xf numFmtId="0" fontId="16" fillId="0" borderId="0" xfId="3" applyFont="1" applyBorder="1" applyAlignment="1">
      <alignment horizontal="left" wrapText="1"/>
    </xf>
    <xf numFmtId="0" fontId="7" fillId="0" borderId="0" xfId="3" applyAlignment="1"/>
    <xf numFmtId="0" fontId="16" fillId="0" borderId="0" xfId="3" applyFont="1" applyAlignment="1">
      <alignment horizontal="left" vertical="center" wrapText="1"/>
    </xf>
    <xf numFmtId="165" fontId="17" fillId="0" borderId="35" xfId="3" applyNumberFormat="1" applyFont="1" applyFill="1" applyBorder="1" applyAlignment="1">
      <alignment horizontal="right" vertical="center"/>
    </xf>
    <xf numFmtId="165" fontId="7" fillId="0" borderId="36" xfId="3" applyNumberFormat="1" applyFill="1" applyBorder="1" applyAlignment="1">
      <alignment horizontal="right" vertical="center"/>
    </xf>
    <xf numFmtId="165" fontId="7" fillId="0" borderId="14" xfId="3" applyNumberFormat="1" applyFill="1" applyBorder="1" applyAlignment="1">
      <alignment horizontal="right" vertical="center"/>
    </xf>
    <xf numFmtId="0" fontId="17" fillId="0" borderId="35" xfId="3" applyFont="1" applyFill="1" applyBorder="1" applyAlignment="1">
      <alignment horizontal="right" vertical="center"/>
    </xf>
    <xf numFmtId="0" fontId="7" fillId="0" borderId="14" xfId="3" applyFill="1" applyBorder="1" applyAlignment="1">
      <alignment horizontal="right" vertical="center"/>
    </xf>
    <xf numFmtId="0" fontId="17" fillId="0" borderId="39" xfId="3" applyFont="1" applyBorder="1" applyAlignment="1">
      <alignment vertical="center" wrapText="1"/>
    </xf>
    <xf numFmtId="0" fontId="17" fillId="0" borderId="40" xfId="3" applyFont="1" applyBorder="1" applyAlignment="1">
      <alignment vertical="center" wrapText="1"/>
    </xf>
    <xf numFmtId="0" fontId="17" fillId="0" borderId="41" xfId="3" applyFont="1" applyBorder="1" applyAlignment="1">
      <alignment vertical="center" wrapText="1"/>
    </xf>
    <xf numFmtId="165" fontId="17" fillId="0" borderId="39" xfId="3" applyNumberFormat="1" applyFont="1" applyBorder="1" applyAlignment="1">
      <alignment horizontal="right" vertical="center" wrapText="1"/>
    </xf>
    <xf numFmtId="165" fontId="17" fillId="0" borderId="40" xfId="3" applyNumberFormat="1" applyFont="1" applyBorder="1" applyAlignment="1">
      <alignment horizontal="right" vertical="center" wrapText="1"/>
    </xf>
    <xf numFmtId="165" fontId="17" fillId="0" borderId="41" xfId="3" applyNumberFormat="1" applyFont="1" applyBorder="1" applyAlignment="1">
      <alignment horizontal="right" vertical="center" wrapText="1"/>
    </xf>
    <xf numFmtId="0" fontId="17" fillId="0" borderId="39" xfId="3" applyFont="1" applyBorder="1" applyAlignment="1">
      <alignment horizontal="right" vertical="center" wrapText="1"/>
    </xf>
    <xf numFmtId="0" fontId="17" fillId="0" borderId="41" xfId="3" applyFont="1" applyBorder="1" applyAlignment="1">
      <alignment horizontal="right" vertical="center" wrapText="1"/>
    </xf>
    <xf numFmtId="0" fontId="12" fillId="0" borderId="1" xfId="3" applyFont="1" applyFill="1" applyBorder="1" applyAlignment="1">
      <alignment horizontal="right" vertical="center"/>
    </xf>
    <xf numFmtId="0" fontId="20" fillId="0" borderId="1" xfId="3" applyFont="1" applyFill="1" applyBorder="1" applyAlignment="1">
      <alignment horizontal="right" vertical="center"/>
    </xf>
    <xf numFmtId="165" fontId="12" fillId="0" borderId="1" xfId="3" applyNumberFormat="1" applyFont="1" applyFill="1" applyBorder="1" applyAlignment="1">
      <alignment horizontal="right" vertical="center"/>
    </xf>
    <xf numFmtId="165" fontId="20" fillId="0" borderId="1" xfId="3" applyNumberFormat="1" applyFont="1" applyFill="1" applyBorder="1" applyAlignment="1">
      <alignment horizontal="right" vertical="center"/>
    </xf>
    <xf numFmtId="0" fontId="17" fillId="0" borderId="39" xfId="3" applyFont="1" applyBorder="1" applyAlignment="1">
      <alignment horizontal="right" vertical="center"/>
    </xf>
    <xf numFmtId="0" fontId="17" fillId="0" borderId="41" xfId="3" applyFont="1" applyBorder="1" applyAlignment="1">
      <alignment horizontal="right" vertical="center"/>
    </xf>
    <xf numFmtId="0" fontId="17" fillId="0" borderId="42" xfId="3" applyFont="1" applyFill="1" applyBorder="1" applyAlignment="1">
      <alignment horizontal="right" vertical="center"/>
    </xf>
    <xf numFmtId="0" fontId="7" fillId="0" borderId="43" xfId="3" applyFill="1" applyBorder="1" applyAlignment="1">
      <alignment horizontal="right" vertical="center"/>
    </xf>
    <xf numFmtId="0" fontId="7" fillId="0" borderId="44" xfId="3" applyFill="1" applyBorder="1" applyAlignment="1">
      <alignment horizontal="right" vertical="center"/>
    </xf>
    <xf numFmtId="165" fontId="17" fillId="0" borderId="39" xfId="3" applyNumberFormat="1" applyFont="1" applyBorder="1" applyAlignment="1">
      <alignment horizontal="right" vertical="center"/>
    </xf>
    <xf numFmtId="165" fontId="17" fillId="0" borderId="40" xfId="3" applyNumberFormat="1" applyFont="1" applyBorder="1" applyAlignment="1">
      <alignment horizontal="right" vertical="center"/>
    </xf>
    <xf numFmtId="165" fontId="17" fillId="0" borderId="41" xfId="3" applyNumberFormat="1" applyFont="1" applyBorder="1" applyAlignment="1">
      <alignment horizontal="right" vertical="center"/>
    </xf>
    <xf numFmtId="0" fontId="25" fillId="0" borderId="0" xfId="4" applyFont="1" applyAlignment="1">
      <alignment horizontal="center" vertical="center"/>
    </xf>
    <xf numFmtId="165" fontId="23" fillId="0" borderId="46" xfId="4" applyNumberFormat="1" applyFont="1" applyBorder="1" applyAlignment="1">
      <alignment horizontal="center" vertical="center" wrapText="1"/>
    </xf>
    <xf numFmtId="165" fontId="23" fillId="0" borderId="0" xfId="4" applyNumberFormat="1" applyFont="1" applyBorder="1" applyAlignment="1">
      <alignment horizontal="center" vertical="center" wrapText="1"/>
    </xf>
    <xf numFmtId="165" fontId="23" fillId="0" borderId="45" xfId="4" applyNumberFormat="1" applyFont="1" applyBorder="1" applyAlignment="1">
      <alignment horizontal="center" vertical="center" wrapText="1"/>
    </xf>
    <xf numFmtId="0" fontId="26" fillId="0" borderId="0" xfId="4" applyFont="1" applyAlignment="1">
      <alignment horizontal="center" vertical="center"/>
    </xf>
    <xf numFmtId="165" fontId="29" fillId="0" borderId="0" xfId="5" applyNumberFormat="1" applyFont="1" applyAlignment="1">
      <alignment horizontal="center" vertical="center" wrapText="1"/>
    </xf>
    <xf numFmtId="0" fontId="3" fillId="0" borderId="0" xfId="5" applyAlignment="1"/>
    <xf numFmtId="0" fontId="29" fillId="0" borderId="49" xfId="5" applyFont="1" applyBorder="1" applyAlignment="1">
      <alignment horizontal="center" vertical="center" wrapText="1"/>
    </xf>
    <xf numFmtId="0" fontId="29" fillId="0" borderId="45" xfId="5" applyFont="1" applyBorder="1" applyAlignment="1">
      <alignment horizontal="center" vertical="center" wrapText="1"/>
    </xf>
    <xf numFmtId="0" fontId="29" fillId="0" borderId="51" xfId="5" applyFont="1" applyBorder="1" applyAlignment="1">
      <alignment horizontal="center" vertical="center" wrapText="1"/>
    </xf>
    <xf numFmtId="0" fontId="29" fillId="0" borderId="33" xfId="5" applyFont="1" applyBorder="1" applyAlignment="1">
      <alignment horizontal="center" vertical="center" wrapText="1"/>
    </xf>
    <xf numFmtId="0" fontId="29" fillId="0" borderId="16" xfId="5" applyFont="1" applyBorder="1" applyAlignment="1">
      <alignment horizontal="center" vertical="center" wrapText="1"/>
    </xf>
    <xf numFmtId="0" fontId="3" fillId="0" borderId="16" xfId="5" applyBorder="1" applyAlignment="1"/>
    <xf numFmtId="0" fontId="31" fillId="0" borderId="0" xfId="5" applyFont="1" applyAlignment="1">
      <alignment horizontal="left" vertical="center" wrapText="1"/>
    </xf>
    <xf numFmtId="0" fontId="33" fillId="0" borderId="0" xfId="5" applyFont="1" applyAlignment="1">
      <alignment horizontal="left" wrapText="1"/>
    </xf>
    <xf numFmtId="0" fontId="37" fillId="0" borderId="0" xfId="5" applyFont="1" applyAlignment="1">
      <alignment horizontal="right" vertical="center"/>
    </xf>
    <xf numFmtId="0" fontId="38" fillId="0" borderId="0" xfId="5" applyFont="1" applyAlignment="1"/>
    <xf numFmtId="0" fontId="29" fillId="0" borderId="48" xfId="5" applyFont="1" applyBorder="1" applyAlignment="1">
      <alignment horizontal="center" vertical="center" wrapText="1"/>
    </xf>
    <xf numFmtId="0" fontId="3" fillId="0" borderId="32" xfId="5" applyBorder="1" applyAlignment="1">
      <alignment vertical="center" wrapText="1"/>
    </xf>
    <xf numFmtId="0" fontId="3" fillId="0" borderId="50" xfId="5" applyBorder="1" applyAlignment="1">
      <alignment horizontal="center" vertical="center" wrapText="1"/>
    </xf>
    <xf numFmtId="0" fontId="3" fillId="0" borderId="32" xfId="5" applyBorder="1" applyAlignment="1">
      <alignment horizontal="center" vertical="center" wrapText="1"/>
    </xf>
    <xf numFmtId="0" fontId="29" fillId="0" borderId="1" xfId="5" applyFont="1" applyBorder="1" applyAlignment="1">
      <alignment horizontal="center" vertical="center" wrapText="1"/>
    </xf>
    <xf numFmtId="0" fontId="3" fillId="0" borderId="1" xfId="5" applyBorder="1" applyAlignment="1">
      <alignment horizontal="center" vertical="center" wrapText="1"/>
    </xf>
    <xf numFmtId="0" fontId="3" fillId="0" borderId="33" xfId="5" applyBorder="1" applyAlignment="1">
      <alignment horizontal="center" vertical="center" wrapText="1"/>
    </xf>
    <xf numFmtId="0" fontId="47" fillId="0" borderId="33" xfId="6" applyFont="1" applyBorder="1" applyAlignment="1">
      <alignment horizontal="center" vertical="center" wrapText="1"/>
    </xf>
    <xf numFmtId="0" fontId="47" fillId="0" borderId="16" xfId="6" applyFont="1" applyBorder="1" applyAlignment="1">
      <alignment horizontal="center" vertical="center" wrapText="1"/>
    </xf>
    <xf numFmtId="0" fontId="47" fillId="0" borderId="50" xfId="6" applyFont="1" applyBorder="1" applyAlignment="1">
      <alignment horizontal="center" vertical="center" wrapText="1"/>
    </xf>
    <xf numFmtId="0" fontId="49" fillId="0" borderId="47" xfId="6" applyFont="1" applyBorder="1" applyAlignment="1">
      <alignment horizontal="left" vertical="top" wrapText="1"/>
    </xf>
    <xf numFmtId="0" fontId="45" fillId="0" borderId="33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 wrapText="1"/>
    </xf>
    <xf numFmtId="0" fontId="45" fillId="0" borderId="50" xfId="0" applyFont="1" applyBorder="1" applyAlignment="1">
      <alignment horizontal="center" vertical="center" wrapText="1"/>
    </xf>
    <xf numFmtId="0" fontId="47" fillId="0" borderId="0" xfId="6" applyFont="1" applyAlignment="1">
      <alignment horizontal="center" vertical="center"/>
    </xf>
    <xf numFmtId="3" fontId="41" fillId="0" borderId="39" xfId="0" applyNumberFormat="1" applyFont="1" applyBorder="1" applyAlignment="1">
      <alignment horizontal="center" vertical="center" wrapText="1"/>
    </xf>
    <xf numFmtId="3" fontId="41" fillId="0" borderId="40" xfId="0" applyNumberFormat="1" applyFont="1" applyBorder="1" applyAlignment="1">
      <alignment horizontal="center" vertical="center" wrapText="1"/>
    </xf>
    <xf numFmtId="3" fontId="26" fillId="0" borderId="42" xfId="0" applyNumberFormat="1" applyFont="1" applyBorder="1" applyAlignment="1">
      <alignment horizontal="right" vertical="center" wrapText="1"/>
    </xf>
    <xf numFmtId="3" fontId="26" fillId="0" borderId="43" xfId="0" applyNumberFormat="1" applyFont="1" applyBorder="1" applyAlignment="1">
      <alignment horizontal="right" vertical="center" wrapText="1"/>
    </xf>
    <xf numFmtId="3" fontId="41" fillId="0" borderId="42" xfId="0" applyNumberFormat="1" applyFont="1" applyBorder="1" applyAlignment="1">
      <alignment horizontal="right" vertical="center" wrapText="1"/>
    </xf>
    <xf numFmtId="3" fontId="41" fillId="0" borderId="43" xfId="0" applyNumberFormat="1" applyFont="1" applyBorder="1" applyAlignment="1">
      <alignment horizontal="right" vertical="center" wrapText="1"/>
    </xf>
    <xf numFmtId="3" fontId="19" fillId="0" borderId="42" xfId="0" applyNumberFormat="1" applyFont="1" applyBorder="1" applyAlignment="1">
      <alignment horizontal="right" vertical="center" wrapText="1"/>
    </xf>
    <xf numFmtId="3" fontId="19" fillId="0" borderId="43" xfId="0" applyNumberFormat="1" applyFont="1" applyBorder="1" applyAlignment="1">
      <alignment horizontal="right" vertical="center" wrapText="1"/>
    </xf>
    <xf numFmtId="0" fontId="39" fillId="0" borderId="0" xfId="0" applyFont="1" applyAlignment="1">
      <alignment horizontal="center" vertical="center" wrapText="1"/>
    </xf>
    <xf numFmtId="0" fontId="40" fillId="0" borderId="52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41" fillId="0" borderId="39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41" fillId="0" borderId="40" xfId="0" applyFont="1" applyBorder="1" applyAlignment="1">
      <alignment horizontal="center" vertical="center" wrapText="1"/>
    </xf>
    <xf numFmtId="3" fontId="41" fillId="0" borderId="41" xfId="0" applyNumberFormat="1" applyFont="1" applyBorder="1" applyAlignment="1">
      <alignment horizontal="center" vertical="center" wrapText="1"/>
    </xf>
    <xf numFmtId="0" fontId="61" fillId="0" borderId="58" xfId="0" applyFont="1" applyBorder="1" applyAlignment="1">
      <alignment horizontal="center" vertical="center" wrapText="1" readingOrder="1"/>
    </xf>
    <xf numFmtId="0" fontId="61" fillId="0" borderId="58" xfId="0" applyFont="1" applyBorder="1" applyAlignment="1">
      <alignment horizontal="left" vertical="center" wrapText="1" readingOrder="1"/>
    </xf>
    <xf numFmtId="3" fontId="61" fillId="0" borderId="58" xfId="0" applyNumberFormat="1" applyFont="1" applyBorder="1" applyAlignment="1">
      <alignment horizontal="center" vertical="center" wrapText="1" readingOrder="1"/>
    </xf>
    <xf numFmtId="0" fontId="62" fillId="0" borderId="58" xfId="0" applyFont="1" applyBorder="1" applyAlignment="1">
      <alignment horizontal="center" vertical="center" wrapText="1" readingOrder="1"/>
    </xf>
    <xf numFmtId="0" fontId="62" fillId="0" borderId="58" xfId="0" applyFont="1" applyBorder="1" applyAlignment="1">
      <alignment horizontal="left" vertical="center" wrapText="1" readingOrder="1"/>
    </xf>
    <xf numFmtId="0" fontId="61" fillId="0" borderId="59" xfId="0" applyFont="1" applyBorder="1" applyAlignment="1">
      <alignment horizontal="center" vertical="center" wrapText="1" readingOrder="1"/>
    </xf>
    <xf numFmtId="0" fontId="61" fillId="0" borderId="60" xfId="0" applyFont="1" applyBorder="1" applyAlignment="1">
      <alignment horizontal="center" vertical="center" wrapText="1" readingOrder="1"/>
    </xf>
    <xf numFmtId="0" fontId="61" fillId="0" borderId="61" xfId="0" applyFont="1" applyBorder="1" applyAlignment="1">
      <alignment horizontal="center" vertical="center" wrapText="1" readingOrder="1"/>
    </xf>
    <xf numFmtId="0" fontId="61" fillId="0" borderId="62" xfId="0" applyFont="1" applyBorder="1" applyAlignment="1">
      <alignment horizontal="center" vertical="center" wrapText="1" readingOrder="1"/>
    </xf>
    <xf numFmtId="0" fontId="61" fillId="0" borderId="63" xfId="0" applyFont="1" applyBorder="1" applyAlignment="1">
      <alignment horizontal="center" vertical="center" wrapText="1" readingOrder="1"/>
    </xf>
    <xf numFmtId="0" fontId="62" fillId="0" borderId="59" xfId="0" applyFont="1" applyBorder="1" applyAlignment="1">
      <alignment horizontal="center" vertical="center" wrapText="1" readingOrder="1"/>
    </xf>
    <xf numFmtId="0" fontId="62" fillId="0" borderId="60" xfId="0" applyFont="1" applyBorder="1" applyAlignment="1">
      <alignment horizontal="center" vertical="center" wrapText="1" readingOrder="1"/>
    </xf>
  </cellXfs>
  <cellStyles count="9">
    <cellStyle name="Hyperlink" xfId="2" builtinId="8"/>
    <cellStyle name="Normal" xfId="0" builtinId="0"/>
    <cellStyle name="Normal 2" xfId="3"/>
    <cellStyle name="Normal 2 2" xfId="8"/>
    <cellStyle name="Normal 3" xfId="4"/>
    <cellStyle name="Normal 4" xfId="5"/>
    <cellStyle name="Normal 5" xfId="6"/>
    <cellStyle name="Обычный 2" xfId="1"/>
    <cellStyle name="Обычн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'Модель бездетной'!$B$21:$V$21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бездетной'!$B$22:$V$22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-12000</c:v>
                </c:pt>
                <c:pt idx="2">
                  <c:v>-24000</c:v>
                </c:pt>
                <c:pt idx="3">
                  <c:v>-36000</c:v>
                </c:pt>
                <c:pt idx="4">
                  <c:v>-54000</c:v>
                </c:pt>
                <c:pt idx="5">
                  <c:v>-64800</c:v>
                </c:pt>
                <c:pt idx="6">
                  <c:v>-67200</c:v>
                </c:pt>
                <c:pt idx="7">
                  <c:v>-64200</c:v>
                </c:pt>
                <c:pt idx="8">
                  <c:v>-52200</c:v>
                </c:pt>
                <c:pt idx="9">
                  <c:v>-34200</c:v>
                </c:pt>
                <c:pt idx="10">
                  <c:v>-4200</c:v>
                </c:pt>
                <c:pt idx="11">
                  <c:v>25800</c:v>
                </c:pt>
                <c:pt idx="12">
                  <c:v>55800</c:v>
                </c:pt>
                <c:pt idx="13">
                  <c:v>85800</c:v>
                </c:pt>
                <c:pt idx="14">
                  <c:v>115800</c:v>
                </c:pt>
                <c:pt idx="15">
                  <c:v>109800</c:v>
                </c:pt>
                <c:pt idx="16">
                  <c:v>103800</c:v>
                </c:pt>
                <c:pt idx="17">
                  <c:v>97800</c:v>
                </c:pt>
                <c:pt idx="18">
                  <c:v>85800</c:v>
                </c:pt>
                <c:pt idx="19">
                  <c:v>91800</c:v>
                </c:pt>
                <c:pt idx="20">
                  <c:v>85800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0-42FB-B10C-AB00F3C2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144"/>
        <c:axId val="65652224"/>
      </c:scatterChart>
      <c:valAx>
        <c:axId val="65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2224"/>
        <c:crosses val="autoZero"/>
        <c:crossBetween val="midCat"/>
        <c:majorUnit val="5"/>
      </c:valAx>
      <c:valAx>
        <c:axId val="6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1062992125983"/>
          <c:y val="7.4548702245552642E-2"/>
          <c:w val="0.81149781277340327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многодетной'!$B$40:$V$40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-12000</c:v>
                </c:pt>
                <c:pt idx="2">
                  <c:v>-24000</c:v>
                </c:pt>
                <c:pt idx="3">
                  <c:v>-36000</c:v>
                </c:pt>
                <c:pt idx="4">
                  <c:v>-54000</c:v>
                </c:pt>
                <c:pt idx="5">
                  <c:v>-64800</c:v>
                </c:pt>
                <c:pt idx="6">
                  <c:v>-69600</c:v>
                </c:pt>
                <c:pt idx="7">
                  <c:v>-81600</c:v>
                </c:pt>
                <c:pt idx="8">
                  <c:v>-96600</c:v>
                </c:pt>
                <c:pt idx="9">
                  <c:v>-123600</c:v>
                </c:pt>
                <c:pt idx="10">
                  <c:v>-156600</c:v>
                </c:pt>
                <c:pt idx="11">
                  <c:v>-183600</c:v>
                </c:pt>
                <c:pt idx="12">
                  <c:v>-201600</c:v>
                </c:pt>
                <c:pt idx="13">
                  <c:v>-207600</c:v>
                </c:pt>
                <c:pt idx="14">
                  <c:v>-195600</c:v>
                </c:pt>
                <c:pt idx="15">
                  <c:v>-201600</c:v>
                </c:pt>
                <c:pt idx="16">
                  <c:v>-207600</c:v>
                </c:pt>
                <c:pt idx="17">
                  <c:v>-213600</c:v>
                </c:pt>
                <c:pt idx="18">
                  <c:v>-225600</c:v>
                </c:pt>
                <c:pt idx="19">
                  <c:v>-237600</c:v>
                </c:pt>
                <c:pt idx="20">
                  <c:v>-249600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2-4A94-9124-3DD3311CE92D}"/>
            </c:ext>
          </c:extLst>
        </c:ser>
        <c:ser>
          <c:idx val="1"/>
          <c:order val="1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многодетной'!$B$41:$V$41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-12000</c:v>
                </c:pt>
                <c:pt idx="2">
                  <c:v>-24000</c:v>
                </c:pt>
                <c:pt idx="3">
                  <c:v>-36000</c:v>
                </c:pt>
                <c:pt idx="4">
                  <c:v>-54000</c:v>
                </c:pt>
                <c:pt idx="5">
                  <c:v>-64800</c:v>
                </c:pt>
                <c:pt idx="6">
                  <c:v>-66000</c:v>
                </c:pt>
                <c:pt idx="7">
                  <c:v>-57000</c:v>
                </c:pt>
                <c:pt idx="8">
                  <c:v>-36000</c:v>
                </c:pt>
                <c:pt idx="9">
                  <c:v>-6000</c:v>
                </c:pt>
                <c:pt idx="10">
                  <c:v>39000</c:v>
                </c:pt>
                <c:pt idx="11">
                  <c:v>81000</c:v>
                </c:pt>
                <c:pt idx="12">
                  <c:v>120000</c:v>
                </c:pt>
                <c:pt idx="13">
                  <c:v>156000</c:v>
                </c:pt>
                <c:pt idx="14">
                  <c:v>189000</c:v>
                </c:pt>
                <c:pt idx="15">
                  <c:v>183000</c:v>
                </c:pt>
                <c:pt idx="16">
                  <c:v>177000</c:v>
                </c:pt>
                <c:pt idx="17">
                  <c:v>171000</c:v>
                </c:pt>
                <c:pt idx="18">
                  <c:v>159000</c:v>
                </c:pt>
                <c:pt idx="19">
                  <c:v>147000</c:v>
                </c:pt>
                <c:pt idx="20">
                  <c:v>135000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2-4A94-9124-3DD3311C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472"/>
        <c:axId val="70791936"/>
      </c:scatterChart>
      <c:valAx>
        <c:axId val="707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91936"/>
        <c:crosses val="autoZero"/>
        <c:crossBetween val="midCat"/>
        <c:majorUnit val="5"/>
      </c:valAx>
      <c:valAx>
        <c:axId val="70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139</xdr:row>
      <xdr:rowOff>0</xdr:rowOff>
    </xdr:from>
    <xdr:to>
      <xdr:col>6</xdr:col>
      <xdr:colOff>8719</xdr:colOff>
      <xdr:row>170</xdr:row>
      <xdr:rowOff>94500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801075"/>
          <a:ext cx="6447619" cy="6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23</xdr:row>
      <xdr:rowOff>0</xdr:rowOff>
    </xdr:from>
    <xdr:to>
      <xdr:col>15</xdr:col>
      <xdr:colOff>605790</xdr:colOff>
      <xdr:row>38</xdr:row>
      <xdr:rowOff>0</xdr:rowOff>
    </xdr:to>
    <xdr:graphicFrame macro="">
      <xdr:nvGraphicFramePr>
        <xdr:cNvPr id="2" name="Диаграмма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264458</xdr:colOff>
      <xdr:row>44</xdr:row>
      <xdr:rowOff>161365</xdr:rowOff>
    </xdr:from>
    <xdr:to>
      <xdr:col>13</xdr:col>
      <xdr:colOff>327211</xdr:colOff>
      <xdr:row>60</xdr:row>
      <xdr:rowOff>35859</xdr:rowOff>
    </xdr:to>
    <xdr:graphicFrame macro="">
      <xdr:nvGraphicFramePr>
        <xdr:cNvPr id="2" name="Диаграмма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.lukasevych/Documents/Work_docs/&#1055;&#1088;&#1077;&#1079;&#1077;&#1085;&#1090;&#1072;&#1094;&#1080;&#1080;%20&#1040;&#1048;/&#1041;&#1072;&#1095;&#1077;&#1085;&#1085;&#1103;%20&#1088;&#1086;&#1079;&#1074;&#1080;&#1090;&#1082;&#1091;%20&#1059;&#1082;&#1088;&#1072;&#1111;&#1085;&#1080;/&#1041;&#1072;&#1095;&#1077;&#1085;&#1085;&#1103;%20&#1088;&#1086;&#1079;&#1074;&#1080;&#1090;&#1082;&#1091;%20131014/&#1041;&#1072;&#1083;&#1072;&#1085;&#1089;%20&#1087;&#1088;&#1072;&#1074;%20&#1090;&#1072;%20&#1086;&#1073;&#1086;&#1074;&#1103;&#1079;&#1082;&#1110;&#1074;%20&#1059;&#1082;&#1088;&#1072;&#1111;&#1085;&#1080;%20%20&#1089;&#1086;&#1082;&#1088;%20&#1074;&#1077;&#1088;&#1089;&#1110;&#1103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жатая версия"/>
      <sheetName val="Детальная версия"/>
      <sheetName val="Детальная версия с исп."/>
    </sheetNames>
    <sheetDataSet>
      <sheetData sheetId="0">
        <row r="9">
          <cell r="I9">
            <v>688174665.50000012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ukrstat.gov.ua/operativ/operativ2014/rp/zn_ed/zn_ed_u/zn_ed_2013_u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opLeftCell="A7" workbookViewId="0">
      <selection activeCell="E29" sqref="E29"/>
    </sheetView>
  </sheetViews>
  <sheetFormatPr defaultRowHeight="15"/>
  <cols>
    <col min="1" max="1" width="9.140625" style="203"/>
    <col min="2" max="2" width="43.85546875" style="203" customWidth="1"/>
    <col min="3" max="4" width="9.140625" style="203"/>
    <col min="5" max="5" width="10.140625" style="203" bestFit="1" customWidth="1"/>
    <col min="6" max="16384" width="9.140625" style="203"/>
  </cols>
  <sheetData>
    <row r="3" spans="2:11">
      <c r="B3" s="254" t="s">
        <v>427</v>
      </c>
      <c r="C3" s="254"/>
      <c r="D3" s="254"/>
      <c r="E3" s="254"/>
      <c r="F3" s="254"/>
      <c r="G3" s="254"/>
      <c r="H3" s="254"/>
      <c r="I3" s="254"/>
    </row>
    <row r="5" spans="2:11">
      <c r="B5" s="204" t="s">
        <v>428</v>
      </c>
      <c r="C5" s="205" t="s">
        <v>429</v>
      </c>
      <c r="D5" s="205">
        <v>2015</v>
      </c>
      <c r="E5" s="205">
        <v>2020</v>
      </c>
      <c r="F5" s="205">
        <v>2025</v>
      </c>
      <c r="G5" s="205">
        <v>2030</v>
      </c>
      <c r="H5" s="205">
        <v>2035</v>
      </c>
      <c r="I5" s="205">
        <v>2040</v>
      </c>
      <c r="J5" s="205">
        <v>2045</v>
      </c>
      <c r="K5" s="205">
        <v>2050</v>
      </c>
    </row>
    <row r="6" spans="2:11">
      <c r="B6" s="206" t="s">
        <v>430</v>
      </c>
      <c r="C6" s="207">
        <v>6823</v>
      </c>
      <c r="D6" s="207">
        <v>7383.00882</v>
      </c>
      <c r="E6" s="208">
        <v>7794.7987389999998</v>
      </c>
      <c r="F6" s="208">
        <v>8184.4374600000001</v>
      </c>
      <c r="G6" s="208">
        <v>8548.4874</v>
      </c>
      <c r="H6" s="208">
        <v>8887.5242129999988</v>
      </c>
      <c r="I6" s="208">
        <v>9198.847240000001</v>
      </c>
      <c r="J6" s="208">
        <v>9481.8032739999999</v>
      </c>
      <c r="K6" s="208">
        <v>9735.0339899999999</v>
      </c>
    </row>
    <row r="7" spans="2:11">
      <c r="B7" s="206" t="s">
        <v>431</v>
      </c>
      <c r="C7" s="209">
        <v>1.18</v>
      </c>
      <c r="D7" s="209">
        <v>1.1585439629148819</v>
      </c>
      <c r="E7" s="209">
        <f t="shared" ref="E7:K7" si="0">((E6-D6)/5)/D6*100</f>
        <v>1.1155070487915248</v>
      </c>
      <c r="F7" s="209">
        <f t="shared" si="0"/>
        <v>0.99974029874692394</v>
      </c>
      <c r="G7" s="209">
        <f t="shared" si="0"/>
        <v>0.88961505730657719</v>
      </c>
      <c r="H7" s="209">
        <f t="shared" si="0"/>
        <v>0.79320889681605855</v>
      </c>
      <c r="I7" s="209">
        <f t="shared" si="0"/>
        <v>0.70058436869206475</v>
      </c>
      <c r="J7" s="209">
        <f t="shared" si="0"/>
        <v>0.61519889746532819</v>
      </c>
      <c r="K7" s="209">
        <f t="shared" si="0"/>
        <v>0.53414041334180085</v>
      </c>
    </row>
    <row r="8" spans="2:11">
      <c r="B8" s="206" t="s">
        <v>432</v>
      </c>
      <c r="C8" s="207">
        <v>64074.6</v>
      </c>
      <c r="D8" s="207">
        <v>75037.186502549754</v>
      </c>
      <c r="E8" s="207">
        <f t="shared" ref="E8:K8" si="1">E6*E9</f>
        <v>99028.015032254611</v>
      </c>
      <c r="F8" s="207">
        <f t="shared" si="1"/>
        <v>129972.66237360958</v>
      </c>
      <c r="G8" s="207">
        <f t="shared" si="1"/>
        <v>169692.43030987366</v>
      </c>
      <c r="H8" s="207">
        <f t="shared" si="1"/>
        <v>220528.13447760025</v>
      </c>
      <c r="I8" s="207">
        <f t="shared" si="1"/>
        <v>285316.32833898958</v>
      </c>
      <c r="J8" s="207">
        <f t="shared" si="1"/>
        <v>367615.80358767457</v>
      </c>
      <c r="K8" s="207">
        <f t="shared" si="1"/>
        <v>471792.15806454944</v>
      </c>
    </row>
    <row r="9" spans="2:11">
      <c r="B9" s="206" t="s">
        <v>433</v>
      </c>
      <c r="C9" s="210">
        <f>C8/C6</f>
        <v>9.3909717133225854</v>
      </c>
      <c r="D9" s="210">
        <v>10.163496798118381</v>
      </c>
      <c r="E9" s="210">
        <f t="shared" ref="E9:K9" si="2">(D9*E10/100)*5+D9</f>
        <v>12.704370997647976</v>
      </c>
      <c r="F9" s="210">
        <f t="shared" si="2"/>
        <v>15.88046374705997</v>
      </c>
      <c r="G9" s="210">
        <f t="shared" si="2"/>
        <v>19.850579683824961</v>
      </c>
      <c r="H9" s="210">
        <f t="shared" si="2"/>
        <v>24.813224604781201</v>
      </c>
      <c r="I9" s="210">
        <f t="shared" si="2"/>
        <v>31.0165307559765</v>
      </c>
      <c r="J9" s="210">
        <f t="shared" si="2"/>
        <v>38.770663444970623</v>
      </c>
      <c r="K9" s="210">
        <f t="shared" si="2"/>
        <v>48.463329306213282</v>
      </c>
    </row>
    <row r="10" spans="2:11">
      <c r="B10" s="206" t="s">
        <v>434</v>
      </c>
      <c r="C10" s="209">
        <v>7.3681000942978416</v>
      </c>
      <c r="D10" s="209">
        <v>-5.3992428518756412</v>
      </c>
      <c r="E10" s="211">
        <v>5</v>
      </c>
      <c r="F10" s="211">
        <v>5</v>
      </c>
      <c r="G10" s="211">
        <v>5</v>
      </c>
      <c r="H10" s="211">
        <v>5</v>
      </c>
      <c r="I10" s="211">
        <v>5</v>
      </c>
      <c r="J10" s="211">
        <v>5</v>
      </c>
      <c r="K10" s="211">
        <v>5</v>
      </c>
    </row>
    <row r="11" spans="2:11">
      <c r="B11" s="206" t="s">
        <v>435</v>
      </c>
      <c r="C11" s="212">
        <v>45.782592000000001</v>
      </c>
      <c r="D11" s="212">
        <v>42.929298000000003</v>
      </c>
      <c r="E11" s="213">
        <v>41.950595636660708</v>
      </c>
      <c r="F11" s="213">
        <v>41.124653292305382</v>
      </c>
      <c r="G11" s="213">
        <v>40.253806753748748</v>
      </c>
      <c r="H11" s="213">
        <v>39.351202868538763</v>
      </c>
      <c r="I11" s="213">
        <v>38.361203629718418</v>
      </c>
      <c r="J11" s="213">
        <v>37.299610237123261</v>
      </c>
      <c r="K11" s="213">
        <v>36.227843259707797</v>
      </c>
    </row>
    <row r="12" spans="2:11">
      <c r="B12" s="214" t="s">
        <v>436</v>
      </c>
      <c r="C12" s="215">
        <v>0.67125897698959403</v>
      </c>
      <c r="D12" s="215">
        <v>0.58146074380553159</v>
      </c>
      <c r="E12" s="215">
        <f t="shared" ref="E12:K12" si="3">E11/E6*100</f>
        <v>0.53818702754655834</v>
      </c>
      <c r="F12" s="215">
        <f t="shared" si="3"/>
        <v>0.50247379240534129</v>
      </c>
      <c r="G12" s="215">
        <f t="shared" si="3"/>
        <v>0.47088806323500865</v>
      </c>
      <c r="H12" s="215">
        <f t="shared" si="3"/>
        <v>0.44276900884251652</v>
      </c>
      <c r="I12" s="215">
        <f t="shared" si="3"/>
        <v>0.4170218575095983</v>
      </c>
      <c r="J12" s="215">
        <f t="shared" si="3"/>
        <v>0.39338097574121067</v>
      </c>
      <c r="K12" s="215">
        <f t="shared" si="3"/>
        <v>0.37213884714651929</v>
      </c>
    </row>
    <row r="13" spans="2:11">
      <c r="B13" s="204" t="s">
        <v>437</v>
      </c>
      <c r="C13" s="216">
        <v>136.4</v>
      </c>
      <c r="D13" s="216">
        <v>91.030959454696102</v>
      </c>
      <c r="E13" s="212">
        <f t="shared" ref="E13:K13" si="4">E11*E14</f>
        <v>138.56854194051698</v>
      </c>
      <c r="F13" s="212">
        <f t="shared" si="4"/>
        <v>182.86199840128251</v>
      </c>
      <c r="G13" s="212">
        <f t="shared" si="4"/>
        <v>231.72780557734845</v>
      </c>
      <c r="H13" s="212">
        <f t="shared" si="4"/>
        <v>292.92907057360873</v>
      </c>
      <c r="I13" s="212">
        <f t="shared" si="4"/>
        <v>368.84775018740595</v>
      </c>
      <c r="J13" s="212">
        <f t="shared" si="4"/>
        <v>462.76180324226777</v>
      </c>
      <c r="K13" s="212">
        <f t="shared" si="4"/>
        <v>561.83100734371146</v>
      </c>
    </row>
    <row r="14" spans="2:11">
      <c r="B14" s="204" t="s">
        <v>438</v>
      </c>
      <c r="C14" s="210">
        <f>C13/C11</f>
        <v>2.9792983324316809</v>
      </c>
      <c r="D14" s="210">
        <v>2.12048562859556</v>
      </c>
      <c r="E14" s="210">
        <f t="shared" ref="E14:K14" si="5">E9*E15/100</f>
        <v>3.3031364593884733</v>
      </c>
      <c r="F14" s="210">
        <f t="shared" si="5"/>
        <v>4.4465298491767919</v>
      </c>
      <c r="G14" s="210">
        <f t="shared" si="5"/>
        <v>5.7566681083092384</v>
      </c>
      <c r="H14" s="210">
        <f t="shared" si="5"/>
        <v>7.4439673814343594</v>
      </c>
      <c r="I14" s="210">
        <f t="shared" si="5"/>
        <v>9.6151245343527147</v>
      </c>
      <c r="J14" s="210">
        <f t="shared" si="5"/>
        <v>12.406612302390599</v>
      </c>
      <c r="K14" s="210">
        <f t="shared" si="5"/>
        <v>15.50826537798825</v>
      </c>
    </row>
    <row r="15" spans="2:11" ht="30">
      <c r="B15" s="204" t="s">
        <v>439</v>
      </c>
      <c r="C15" s="217">
        <f>C14/C9*100</f>
        <v>31.725133706931231</v>
      </c>
      <c r="D15" s="217">
        <v>20.863740804130881</v>
      </c>
      <c r="E15" s="218">
        <v>26</v>
      </c>
      <c r="F15" s="218">
        <v>28</v>
      </c>
      <c r="G15" s="218">
        <v>29</v>
      </c>
      <c r="H15" s="218">
        <v>30</v>
      </c>
      <c r="I15" s="218">
        <v>31</v>
      </c>
      <c r="J15" s="218">
        <v>32</v>
      </c>
      <c r="K15" s="218">
        <v>32</v>
      </c>
    </row>
    <row r="16" spans="2:11">
      <c r="B16" s="206" t="s">
        <v>440</v>
      </c>
      <c r="C16" s="212">
        <v>31.269164</v>
      </c>
      <c r="D16" s="212">
        <v>29.673113000000001</v>
      </c>
      <c r="E16" s="212">
        <f t="shared" ref="E16:K16" si="6">E11*E17/100</f>
        <v>28.903960393659233</v>
      </c>
      <c r="F16" s="212">
        <f t="shared" si="6"/>
        <v>28.869506611198382</v>
      </c>
      <c r="G16" s="212">
        <f t="shared" si="6"/>
        <v>28.378933761392869</v>
      </c>
      <c r="H16" s="212">
        <f t="shared" si="6"/>
        <v>27.860651630925446</v>
      </c>
      <c r="I16" s="212">
        <f t="shared" si="6"/>
        <v>27.274815780729792</v>
      </c>
      <c r="J16" s="212">
        <f t="shared" si="6"/>
        <v>26.631921709306013</v>
      </c>
      <c r="K16" s="212">
        <f t="shared" si="6"/>
        <v>25.97536361721049</v>
      </c>
    </row>
    <row r="17" spans="2:11" ht="30">
      <c r="B17" s="204" t="s">
        <v>441</v>
      </c>
      <c r="C17" s="217">
        <v>68.273283842794768</v>
      </c>
      <c r="D17" s="217">
        <v>69.120890353250132</v>
      </c>
      <c r="E17" s="218">
        <v>68.900000000000006</v>
      </c>
      <c r="F17" s="218">
        <v>70.2</v>
      </c>
      <c r="G17" s="218">
        <v>70.5</v>
      </c>
      <c r="H17" s="218">
        <v>70.8</v>
      </c>
      <c r="I17" s="218">
        <v>71.099999999999994</v>
      </c>
      <c r="J17" s="218">
        <v>71.400000000000006</v>
      </c>
      <c r="K17" s="218">
        <v>71.7</v>
      </c>
    </row>
    <row r="18" spans="2:11" ht="30">
      <c r="B18" s="204" t="s">
        <v>442</v>
      </c>
      <c r="C18" s="219">
        <v>1.61E-2</v>
      </c>
      <c r="D18" s="219">
        <v>1.4233000000000001E-2</v>
      </c>
      <c r="E18" s="220">
        <v>6.1412000000000001E-2</v>
      </c>
      <c r="F18" s="220">
        <v>6.1412000000000001E-2</v>
      </c>
      <c r="G18" s="220">
        <v>6.1412000000000001E-2</v>
      </c>
      <c r="H18" s="220">
        <v>6.1412000000000001E-2</v>
      </c>
      <c r="I18" s="220">
        <v>6.1412000000000001E-2</v>
      </c>
      <c r="J18" s="220">
        <v>6.1412000000000001E-2</v>
      </c>
      <c r="K18" s="220">
        <v>6.1412000000000001E-2</v>
      </c>
    </row>
    <row r="19" spans="2:11" ht="30">
      <c r="B19" s="204" t="s">
        <v>443</v>
      </c>
      <c r="C19" s="219">
        <f>C18/C11*100</f>
        <v>3.5166204657001508E-2</v>
      </c>
      <c r="D19" s="219">
        <v>3.3154513730925671E-2</v>
      </c>
      <c r="E19" s="219">
        <f t="shared" ref="E19:K19" si="7">E18/E11*100</f>
        <v>0.14639124681779711</v>
      </c>
      <c r="F19" s="219">
        <f t="shared" si="7"/>
        <v>0.14933135013563864</v>
      </c>
      <c r="G19" s="219">
        <f t="shared" si="7"/>
        <v>0.15256196855041751</v>
      </c>
      <c r="H19" s="219">
        <f t="shared" si="7"/>
        <v>0.15606130314531966</v>
      </c>
      <c r="I19" s="219">
        <f t="shared" si="7"/>
        <v>0.16008882461765128</v>
      </c>
      <c r="J19" s="219">
        <f t="shared" si="7"/>
        <v>0.16464515207957414</v>
      </c>
      <c r="K19" s="219">
        <f t="shared" si="7"/>
        <v>0.1695160254496898</v>
      </c>
    </row>
    <row r="20" spans="2:11" ht="29.25">
      <c r="B20" s="221" t="s">
        <v>444</v>
      </c>
      <c r="C20" s="222">
        <f>C11*C21/100</f>
        <v>11.016969000000001</v>
      </c>
      <c r="D20" s="222">
        <v>9.826098</v>
      </c>
      <c r="E20" s="223">
        <v>9.2481627439272689</v>
      </c>
      <c r="F20" s="224">
        <v>8.668158663714701</v>
      </c>
      <c r="G20" s="224">
        <v>8.2409612018248684</v>
      </c>
      <c r="H20" s="224">
        <v>7.6240987990974487</v>
      </c>
      <c r="I20" s="224">
        <v>6.7968089324054546</v>
      </c>
      <c r="J20" s="224">
        <v>6.2873475381957684</v>
      </c>
      <c r="K20" s="224">
        <v>6.0353042993986872</v>
      </c>
    </row>
    <row r="21" spans="2:11">
      <c r="B21" s="225" t="s">
        <v>445</v>
      </c>
      <c r="C21" s="226">
        <v>24.063663761108153</v>
      </c>
      <c r="D21" s="226">
        <v>22.889025578755099</v>
      </c>
      <c r="E21" s="227">
        <f t="shared" ref="E21:K21" si="8">E20/E11*100</f>
        <v>22.045366945505968</v>
      </c>
      <c r="F21" s="227">
        <f t="shared" si="8"/>
        <v>21.07776715369064</v>
      </c>
      <c r="G21" s="227">
        <f t="shared" si="8"/>
        <v>20.472501525728138</v>
      </c>
      <c r="H21" s="227">
        <f t="shared" si="8"/>
        <v>19.374499998303499</v>
      </c>
      <c r="I21" s="227">
        <f t="shared" si="8"/>
        <v>17.717924072486525</v>
      </c>
      <c r="J21" s="227">
        <f t="shared" si="8"/>
        <v>16.856335758538695</v>
      </c>
      <c r="K21" s="227">
        <f t="shared" si="8"/>
        <v>16.659297811722304</v>
      </c>
    </row>
    <row r="22" spans="2:11">
      <c r="B22" s="228" t="s">
        <v>446</v>
      </c>
      <c r="C22" s="229">
        <f>C11*C23/100</f>
        <v>8.0811260000000011</v>
      </c>
      <c r="D22" s="229">
        <v>7.6147039999999997</v>
      </c>
      <c r="E22" s="230">
        <v>7.6082838613946118</v>
      </c>
      <c r="F22" s="230">
        <v>7.3097581755374197</v>
      </c>
      <c r="G22" s="230">
        <v>6.558373898029159</v>
      </c>
      <c r="H22" s="230">
        <v>5.8325781391520302</v>
      </c>
      <c r="I22" s="230">
        <v>5.4401058915063292</v>
      </c>
      <c r="J22" s="230">
        <v>5.0248377411881133</v>
      </c>
      <c r="K22" s="230">
        <v>4.6201615936495282</v>
      </c>
    </row>
    <row r="23" spans="2:11">
      <c r="B23" s="231" t="s">
        <v>447</v>
      </c>
      <c r="C23" s="232">
        <v>17.651088868013414</v>
      </c>
      <c r="D23" s="232">
        <v>17.73777898720822</v>
      </c>
      <c r="E23" s="233">
        <f t="shared" ref="E23:K23" si="9">E22/E11*100</f>
        <v>18.136295196594819</v>
      </c>
      <c r="F23" s="233">
        <f t="shared" si="9"/>
        <v>17.774637815378519</v>
      </c>
      <c r="G23" s="233">
        <f t="shared" si="9"/>
        <v>16.292555728082515</v>
      </c>
      <c r="H23" s="233">
        <f t="shared" si="9"/>
        <v>14.821854769311688</v>
      </c>
      <c r="I23" s="233">
        <f t="shared" si="9"/>
        <v>14.181270076968804</v>
      </c>
      <c r="J23" s="233">
        <f t="shared" si="9"/>
        <v>13.471555625498285</v>
      </c>
      <c r="K23" s="233">
        <f t="shared" si="9"/>
        <v>12.753068297576577</v>
      </c>
    </row>
    <row r="24" spans="2:11" ht="30">
      <c r="B24" s="234" t="s">
        <v>448</v>
      </c>
      <c r="C24" s="233">
        <f>C22/C20</f>
        <v>0.73351626931145941</v>
      </c>
      <c r="D24" s="233">
        <v>0.77494688125439004</v>
      </c>
      <c r="E24" s="233">
        <f t="shared" ref="E24:K24" si="10">E22/E20</f>
        <v>0.8226805768951817</v>
      </c>
      <c r="F24" s="233">
        <f t="shared" si="10"/>
        <v>0.84328846057426166</v>
      </c>
      <c r="G24" s="233">
        <f t="shared" si="10"/>
        <v>0.79582632867836833</v>
      </c>
      <c r="H24" s="233">
        <f t="shared" si="10"/>
        <v>0.76501869832044922</v>
      </c>
      <c r="I24" s="233">
        <f t="shared" si="10"/>
        <v>0.80039117556612327</v>
      </c>
      <c r="J24" s="233">
        <f t="shared" si="10"/>
        <v>0.79919834408104828</v>
      </c>
      <c r="K24" s="233">
        <f t="shared" si="10"/>
        <v>0.76552255933637792</v>
      </c>
    </row>
    <row r="25" spans="2:11">
      <c r="B25" s="235" t="s">
        <v>449</v>
      </c>
      <c r="C25" s="236">
        <f>(C11*10.8)/1000</f>
        <v>0.49445199360000003</v>
      </c>
      <c r="D25" s="236">
        <v>0.41178100000000001</v>
      </c>
      <c r="E25" s="236">
        <f t="shared" ref="E25:K25" si="11">E20*E26/1000*0.9938</f>
        <v>0.34860795943732287</v>
      </c>
      <c r="F25" s="236">
        <f t="shared" si="11"/>
        <v>0.32674480191438748</v>
      </c>
      <c r="G25" s="236">
        <f t="shared" si="11"/>
        <v>0.31064166450322894</v>
      </c>
      <c r="H25" s="236">
        <f t="shared" si="11"/>
        <v>0.28738913863157767</v>
      </c>
      <c r="I25" s="236">
        <f t="shared" si="11"/>
        <v>0.25620458443674082</v>
      </c>
      <c r="J25" s="236">
        <f t="shared" si="11"/>
        <v>0.23700052175259817</v>
      </c>
      <c r="K25" s="236">
        <f t="shared" si="11"/>
        <v>0.22749979370531981</v>
      </c>
    </row>
    <row r="26" spans="2:11" ht="30">
      <c r="B26" s="234" t="s">
        <v>450</v>
      </c>
      <c r="C26" s="233">
        <f>C25/C20*1000</f>
        <v>44.880946256633742</v>
      </c>
      <c r="D26" s="233">
        <v>41.906868830333259</v>
      </c>
      <c r="E26" s="237">
        <v>37.93</v>
      </c>
      <c r="F26" s="237">
        <v>37.93</v>
      </c>
      <c r="G26" s="237">
        <v>37.93</v>
      </c>
      <c r="H26" s="237">
        <v>37.93</v>
      </c>
      <c r="I26" s="237">
        <v>37.93</v>
      </c>
      <c r="J26" s="237">
        <v>37.93</v>
      </c>
      <c r="K26" s="237">
        <v>37.93</v>
      </c>
    </row>
    <row r="27" spans="2:11" ht="29.25">
      <c r="B27" s="238" t="s">
        <v>451</v>
      </c>
      <c r="C27" s="239">
        <f>C11*C28/100</f>
        <v>17.831987999999999</v>
      </c>
      <c r="D27" s="239">
        <v>16.555828999999999</v>
      </c>
      <c r="E27" s="240">
        <v>15.63905917754489</v>
      </c>
      <c r="F27" s="240">
        <v>14.793515717226709</v>
      </c>
      <c r="G27" s="240">
        <v>14.687971455199969</v>
      </c>
      <c r="H27" s="240">
        <v>14.60286560806963</v>
      </c>
      <c r="I27" s="240">
        <v>14.157782298953171</v>
      </c>
      <c r="J27" s="240">
        <v>13.048016879018981</v>
      </c>
      <c r="K27" s="240">
        <v>11.42351823907844</v>
      </c>
    </row>
    <row r="28" spans="2:11" ht="30">
      <c r="B28" s="241" t="s">
        <v>452</v>
      </c>
      <c r="C28" s="242">
        <v>38.949275742186025</v>
      </c>
      <c r="D28" s="242">
        <v>38.565338291811798</v>
      </c>
      <c r="E28" s="243">
        <f t="shared" ref="E28:K28" si="12">E27/E11*100</f>
        <v>37.279707094022491</v>
      </c>
      <c r="F28" s="243">
        <f t="shared" si="12"/>
        <v>35.972377960435345</v>
      </c>
      <c r="G28" s="243">
        <f t="shared" si="12"/>
        <v>36.488403556595578</v>
      </c>
      <c r="H28" s="243">
        <f t="shared" si="12"/>
        <v>37.109070482174772</v>
      </c>
      <c r="I28" s="243">
        <f t="shared" si="12"/>
        <v>36.906512203347916</v>
      </c>
      <c r="J28" s="243">
        <f t="shared" si="12"/>
        <v>34.981644033461386</v>
      </c>
      <c r="K28" s="243">
        <f t="shared" si="12"/>
        <v>31.532427026324118</v>
      </c>
    </row>
    <row r="29" spans="2:11">
      <c r="B29" s="244" t="s">
        <v>453</v>
      </c>
      <c r="C29" s="245">
        <f>C11*C30/100</f>
        <v>9.2594792510043682</v>
      </c>
      <c r="D29" s="245">
        <v>8.7630300000000005</v>
      </c>
      <c r="E29" s="246">
        <v>9.4550898537939414</v>
      </c>
      <c r="F29" s="246">
        <v>10.35322073582655</v>
      </c>
      <c r="G29" s="246">
        <v>10.766500198694731</v>
      </c>
      <c r="H29" s="246">
        <v>11.29166032221965</v>
      </c>
      <c r="I29" s="246">
        <v>11.96650650685346</v>
      </c>
      <c r="J29" s="246">
        <v>12.939408078720399</v>
      </c>
      <c r="K29" s="246">
        <v>14.14885912758114</v>
      </c>
    </row>
    <row r="30" spans="2:11" ht="30">
      <c r="B30" s="247" t="s">
        <v>454</v>
      </c>
      <c r="C30" s="248">
        <v>20.224890829694324</v>
      </c>
      <c r="D30" s="248">
        <v>20.41270276537017</v>
      </c>
      <c r="E30" s="249">
        <f t="shared" ref="E30:K30" si="13">E29/E11*100</f>
        <v>22.538630763876736</v>
      </c>
      <c r="F30" s="249">
        <f t="shared" si="13"/>
        <v>25.175217070495492</v>
      </c>
      <c r="G30" s="249">
        <f t="shared" si="13"/>
        <v>26.746539189593715</v>
      </c>
      <c r="H30" s="249">
        <f t="shared" si="13"/>
        <v>28.694574750210034</v>
      </c>
      <c r="I30" s="249">
        <f t="shared" si="13"/>
        <v>31.194293647196748</v>
      </c>
      <c r="J30" s="249">
        <f t="shared" si="13"/>
        <v>34.690464582501633</v>
      </c>
      <c r="K30" s="249">
        <f t="shared" si="13"/>
        <v>39.055206864376999</v>
      </c>
    </row>
    <row r="31" spans="2:11">
      <c r="B31" s="250" t="s">
        <v>455</v>
      </c>
      <c r="C31" s="251">
        <f>(C11*15.2)/1000</f>
        <v>0.69589539840000003</v>
      </c>
      <c r="D31" s="251">
        <v>0.59479599999999999</v>
      </c>
      <c r="E31" s="251">
        <f t="shared" ref="E31:K31" si="14">E32/1000*E11</f>
        <v>0.61247869629524632</v>
      </c>
      <c r="F31" s="251">
        <f t="shared" si="14"/>
        <v>0.60041993806765859</v>
      </c>
      <c r="G31" s="251">
        <f t="shared" si="14"/>
        <v>0.58770557860473172</v>
      </c>
      <c r="H31" s="251">
        <f t="shared" si="14"/>
        <v>0.574527561880666</v>
      </c>
      <c r="I31" s="251">
        <f t="shared" si="14"/>
        <v>0.56007357299388894</v>
      </c>
      <c r="J31" s="251">
        <f t="shared" si="14"/>
        <v>0.54457430946199958</v>
      </c>
      <c r="K31" s="251">
        <f t="shared" si="14"/>
        <v>0.52892651159173387</v>
      </c>
    </row>
    <row r="32" spans="2:11">
      <c r="B32" s="247" t="s">
        <v>456</v>
      </c>
      <c r="C32" s="249">
        <v>19.335971628692409</v>
      </c>
      <c r="D32" s="249">
        <v>14.9</v>
      </c>
      <c r="E32" s="252">
        <f t="shared" ref="E32:K32" si="15">14.6</f>
        <v>14.6</v>
      </c>
      <c r="F32" s="252">
        <f t="shared" si="15"/>
        <v>14.6</v>
      </c>
      <c r="G32" s="252">
        <f t="shared" si="15"/>
        <v>14.6</v>
      </c>
      <c r="H32" s="252">
        <f t="shared" si="15"/>
        <v>14.6</v>
      </c>
      <c r="I32" s="252">
        <f t="shared" si="15"/>
        <v>14.6</v>
      </c>
      <c r="J32" s="252">
        <f t="shared" si="15"/>
        <v>14.6</v>
      </c>
      <c r="K32" s="252">
        <f t="shared" si="15"/>
        <v>14.6</v>
      </c>
    </row>
  </sheetData>
  <mergeCells count="1">
    <mergeCell ref="B3:I3"/>
  </mergeCells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zoomScaleNormal="100" workbookViewId="0">
      <selection activeCell="A6" sqref="A6:U18"/>
    </sheetView>
  </sheetViews>
  <sheetFormatPr defaultColWidth="9.140625" defaultRowHeight="15"/>
  <cols>
    <col min="1" max="1" width="22.7109375" style="94" bestFit="1" customWidth="1"/>
    <col min="2" max="2" width="6.140625" style="94" bestFit="1" customWidth="1"/>
    <col min="3" max="14" width="7.140625" style="94" bestFit="1" customWidth="1"/>
    <col min="15" max="15" width="8.28515625" style="94" customWidth="1"/>
    <col min="16" max="16" width="9.28515625" style="94" customWidth="1"/>
    <col min="17" max="17" width="8.42578125" style="94" customWidth="1"/>
    <col min="18" max="18" width="8.28515625" style="94" customWidth="1"/>
    <col min="19" max="21" width="7.140625" style="94" bestFit="1" customWidth="1"/>
    <col min="22" max="16384" width="9.140625" style="94"/>
  </cols>
  <sheetData>
    <row r="1" spans="1:21">
      <c r="U1" s="94" t="s">
        <v>384</v>
      </c>
    </row>
    <row r="2" spans="1:21">
      <c r="A2" s="94" t="s">
        <v>0</v>
      </c>
    </row>
    <row r="3" spans="1:21" ht="120.75" customHeight="1">
      <c r="A3" s="160" t="s">
        <v>1</v>
      </c>
      <c r="B3" s="161" t="s">
        <v>2</v>
      </c>
      <c r="C3" s="161" t="s">
        <v>3</v>
      </c>
      <c r="D3" s="161" t="s">
        <v>4</v>
      </c>
      <c r="E3" s="161" t="s">
        <v>5</v>
      </c>
      <c r="F3" s="161" t="s">
        <v>6</v>
      </c>
      <c r="G3" s="161"/>
      <c r="H3" s="161"/>
      <c r="I3" s="161"/>
      <c r="J3" s="161"/>
      <c r="K3" s="161"/>
      <c r="L3" s="161"/>
      <c r="M3" s="161" t="s">
        <v>7</v>
      </c>
      <c r="N3" s="162"/>
      <c r="O3" s="162"/>
      <c r="P3" s="162" t="s">
        <v>8</v>
      </c>
      <c r="Q3" s="162"/>
      <c r="R3" s="162"/>
      <c r="S3" s="162"/>
      <c r="T3" s="162"/>
      <c r="U3" s="162" t="s">
        <v>9</v>
      </c>
    </row>
    <row r="4" spans="1:21">
      <c r="A4" s="163" t="s">
        <v>10</v>
      </c>
      <c r="B4" s="160">
        <v>-1</v>
      </c>
      <c r="C4" s="160">
        <v>5</v>
      </c>
      <c r="D4" s="160">
        <v>10</v>
      </c>
      <c r="E4" s="160">
        <v>15</v>
      </c>
      <c r="F4" s="160">
        <v>18</v>
      </c>
      <c r="G4" s="160">
        <v>20</v>
      </c>
      <c r="H4" s="160">
        <v>25</v>
      </c>
      <c r="I4" s="160">
        <v>30</v>
      </c>
      <c r="J4" s="160">
        <v>35</v>
      </c>
      <c r="K4" s="160">
        <v>40</v>
      </c>
      <c r="L4" s="160">
        <v>45</v>
      </c>
      <c r="M4" s="160">
        <v>50</v>
      </c>
      <c r="N4" s="160">
        <v>55</v>
      </c>
      <c r="O4" s="160">
        <v>60</v>
      </c>
      <c r="P4" s="160">
        <v>65</v>
      </c>
      <c r="Q4" s="160">
        <v>70</v>
      </c>
      <c r="R4" s="160">
        <v>75</v>
      </c>
      <c r="S4" s="160">
        <v>80</v>
      </c>
      <c r="T4" s="160">
        <v>85</v>
      </c>
      <c r="U4" s="160" t="s">
        <v>11</v>
      </c>
    </row>
    <row r="5" spans="1:21" ht="9" customHeight="1"/>
    <row r="6" spans="1:21">
      <c r="A6" s="94" t="s">
        <v>12</v>
      </c>
      <c r="B6" s="164">
        <v>1</v>
      </c>
      <c r="C6" s="164">
        <v>5</v>
      </c>
      <c r="D6" s="164">
        <v>5</v>
      </c>
      <c r="E6" s="164">
        <v>5</v>
      </c>
      <c r="F6" s="164">
        <v>3</v>
      </c>
      <c r="G6" s="164">
        <v>2</v>
      </c>
      <c r="H6" s="164">
        <v>5</v>
      </c>
      <c r="I6" s="164">
        <v>5</v>
      </c>
      <c r="J6" s="164">
        <v>5</v>
      </c>
      <c r="K6" s="164">
        <v>5</v>
      </c>
      <c r="L6" s="164">
        <v>5</v>
      </c>
      <c r="M6" s="164">
        <v>5</v>
      </c>
      <c r="N6" s="164">
        <v>5</v>
      </c>
      <c r="O6" s="164">
        <v>5</v>
      </c>
      <c r="P6" s="164">
        <v>5</v>
      </c>
      <c r="Q6" s="164">
        <v>5</v>
      </c>
      <c r="R6" s="164">
        <v>5</v>
      </c>
      <c r="S6" s="164">
        <v>5</v>
      </c>
      <c r="T6" s="164">
        <v>5</v>
      </c>
      <c r="U6" s="164">
        <v>5</v>
      </c>
    </row>
    <row r="7" spans="1:21">
      <c r="A7" s="94" t="s">
        <v>13</v>
      </c>
      <c r="B7" s="164">
        <v>-200</v>
      </c>
      <c r="C7" s="164">
        <v>-200</v>
      </c>
      <c r="D7" s="164">
        <v>-200</v>
      </c>
      <c r="E7" s="164">
        <v>-300</v>
      </c>
      <c r="F7" s="164">
        <v>-300</v>
      </c>
      <c r="G7" s="164">
        <v>-400</v>
      </c>
      <c r="H7" s="164">
        <v>-500</v>
      </c>
      <c r="I7" s="164">
        <v>-500</v>
      </c>
      <c r="J7" s="164">
        <v>-500</v>
      </c>
      <c r="K7" s="164">
        <v>-500</v>
      </c>
      <c r="L7" s="164">
        <v>-500</v>
      </c>
      <c r="M7" s="164">
        <v>-500</v>
      </c>
      <c r="N7" s="164">
        <v>-500</v>
      </c>
      <c r="O7" s="164">
        <v>-500</v>
      </c>
      <c r="P7" s="164">
        <v>-500</v>
      </c>
      <c r="Q7" s="164">
        <v>-400</v>
      </c>
      <c r="R7" s="164">
        <v>-400</v>
      </c>
      <c r="S7" s="164">
        <v>-400</v>
      </c>
      <c r="T7" s="164">
        <v>-400</v>
      </c>
      <c r="U7" s="164">
        <v>-400</v>
      </c>
    </row>
    <row r="8" spans="1:21">
      <c r="A8" s="94" t="s">
        <v>14</v>
      </c>
      <c r="B8" s="164">
        <v>-2400</v>
      </c>
      <c r="C8" s="164">
        <v>-2400</v>
      </c>
      <c r="D8" s="164">
        <v>-2400</v>
      </c>
      <c r="E8" s="164">
        <v>-3600</v>
      </c>
      <c r="F8" s="164">
        <v>-3600</v>
      </c>
      <c r="G8" s="164">
        <v>-4800</v>
      </c>
      <c r="H8" s="164">
        <v>-6000</v>
      </c>
      <c r="I8" s="164">
        <v>-6000</v>
      </c>
      <c r="J8" s="164">
        <v>-6000</v>
      </c>
      <c r="K8" s="164">
        <v>-6000</v>
      </c>
      <c r="L8" s="164">
        <v>-6000</v>
      </c>
      <c r="M8" s="164">
        <v>-6000</v>
      </c>
      <c r="N8" s="164">
        <v>-6000</v>
      </c>
      <c r="O8" s="164">
        <v>-6000</v>
      </c>
      <c r="P8" s="164">
        <v>-6000</v>
      </c>
      <c r="Q8" s="164">
        <v>-4800</v>
      </c>
      <c r="R8" s="164">
        <v>-4800</v>
      </c>
      <c r="S8" s="164">
        <v>-4800</v>
      </c>
      <c r="T8" s="164">
        <v>-4800</v>
      </c>
      <c r="U8" s="164">
        <v>-4800</v>
      </c>
    </row>
    <row r="9" spans="1:21">
      <c r="A9" s="94" t="s">
        <v>15</v>
      </c>
      <c r="B9" s="164">
        <v>-2400</v>
      </c>
      <c r="C9" s="164">
        <v>-12000</v>
      </c>
      <c r="D9" s="164">
        <v>-12000</v>
      </c>
      <c r="E9" s="164">
        <v>-18000</v>
      </c>
      <c r="F9" s="164">
        <v>-10800</v>
      </c>
      <c r="G9" s="164">
        <v>-9600</v>
      </c>
      <c r="H9" s="164">
        <v>-30000</v>
      </c>
      <c r="I9" s="164">
        <v>-30000</v>
      </c>
      <c r="J9" s="164">
        <v>-30000</v>
      </c>
      <c r="K9" s="164">
        <v>-30000</v>
      </c>
      <c r="L9" s="164">
        <v>-30000</v>
      </c>
      <c r="M9" s="164">
        <v>-30000</v>
      </c>
      <c r="N9" s="164">
        <v>-30000</v>
      </c>
      <c r="O9" s="164">
        <v>-30000</v>
      </c>
      <c r="P9" s="164">
        <v>-30000</v>
      </c>
      <c r="Q9" s="164">
        <v>-24000</v>
      </c>
      <c r="R9" s="164">
        <v>-24000</v>
      </c>
      <c r="S9" s="164">
        <v>-24000</v>
      </c>
      <c r="T9" s="164">
        <v>-24000</v>
      </c>
      <c r="U9" s="164">
        <v>-24000</v>
      </c>
    </row>
    <row r="10" spans="1:21" ht="11.25" customHeight="1"/>
    <row r="11" spans="1:21">
      <c r="A11" s="94" t="s">
        <v>16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300</v>
      </c>
      <c r="H11" s="94">
        <v>550</v>
      </c>
      <c r="I11" s="94">
        <v>700</v>
      </c>
      <c r="J11" s="94">
        <v>800</v>
      </c>
      <c r="K11" s="94">
        <v>1000</v>
      </c>
      <c r="L11" s="94">
        <v>1000</v>
      </c>
      <c r="M11" s="94">
        <v>1000</v>
      </c>
      <c r="N11" s="94">
        <v>1000</v>
      </c>
      <c r="O11" s="94">
        <v>1000</v>
      </c>
      <c r="P11" s="94">
        <v>400</v>
      </c>
      <c r="Q11" s="94">
        <v>300</v>
      </c>
      <c r="R11" s="94">
        <v>300</v>
      </c>
      <c r="S11" s="94">
        <v>200</v>
      </c>
      <c r="T11" s="94">
        <v>200</v>
      </c>
      <c r="U11" s="94">
        <v>200</v>
      </c>
    </row>
    <row r="12" spans="1:21">
      <c r="A12" s="94" t="s">
        <v>17</v>
      </c>
      <c r="B12" s="164">
        <v>0</v>
      </c>
      <c r="C12" s="164">
        <v>0</v>
      </c>
      <c r="D12" s="164">
        <v>0</v>
      </c>
      <c r="E12" s="164">
        <v>0</v>
      </c>
      <c r="F12" s="164">
        <v>0</v>
      </c>
      <c r="G12" s="164">
        <v>3600</v>
      </c>
      <c r="H12" s="164">
        <v>6600</v>
      </c>
      <c r="I12" s="164">
        <v>8400</v>
      </c>
      <c r="J12" s="164">
        <v>9600</v>
      </c>
      <c r="K12" s="164">
        <v>12000</v>
      </c>
      <c r="L12" s="164">
        <v>12000</v>
      </c>
      <c r="M12" s="164">
        <v>12000</v>
      </c>
      <c r="N12" s="164">
        <v>12000</v>
      </c>
      <c r="O12" s="164">
        <v>12000</v>
      </c>
      <c r="P12" s="164">
        <v>4800</v>
      </c>
      <c r="Q12" s="164">
        <v>3600</v>
      </c>
      <c r="R12" s="164">
        <v>3600</v>
      </c>
      <c r="S12" s="164">
        <v>2400</v>
      </c>
      <c r="T12" s="164">
        <v>2400</v>
      </c>
      <c r="U12" s="164">
        <v>2400</v>
      </c>
    </row>
    <row r="13" spans="1:21">
      <c r="A13" s="94" t="s">
        <v>18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7200</v>
      </c>
      <c r="H13" s="94">
        <v>33000</v>
      </c>
      <c r="I13" s="94">
        <v>42000</v>
      </c>
      <c r="J13" s="94">
        <v>48000</v>
      </c>
      <c r="K13" s="94">
        <v>60000</v>
      </c>
      <c r="L13" s="94">
        <v>60000</v>
      </c>
      <c r="M13" s="94">
        <v>60000</v>
      </c>
      <c r="N13" s="94">
        <v>60000</v>
      </c>
      <c r="O13" s="94">
        <v>60000</v>
      </c>
      <c r="P13" s="94">
        <v>24000</v>
      </c>
      <c r="Q13" s="94">
        <v>18000</v>
      </c>
      <c r="R13" s="94">
        <v>18000</v>
      </c>
      <c r="S13" s="94">
        <v>12000</v>
      </c>
      <c r="T13" s="94">
        <v>12000</v>
      </c>
      <c r="U13" s="94">
        <v>12000</v>
      </c>
    </row>
    <row r="15" spans="1:21">
      <c r="A15" s="94" t="s">
        <v>19</v>
      </c>
      <c r="B15" s="164">
        <v>-200</v>
      </c>
      <c r="C15" s="164">
        <v>-200</v>
      </c>
      <c r="D15" s="164">
        <v>-200</v>
      </c>
      <c r="E15" s="164">
        <v>-300</v>
      </c>
      <c r="F15" s="164">
        <v>-300</v>
      </c>
      <c r="G15" s="164">
        <v>-100</v>
      </c>
      <c r="H15" s="164">
        <v>50</v>
      </c>
      <c r="I15" s="164">
        <v>200</v>
      </c>
      <c r="J15" s="164">
        <v>300</v>
      </c>
      <c r="K15" s="164">
        <v>500</v>
      </c>
      <c r="L15" s="164">
        <v>500</v>
      </c>
      <c r="M15" s="164">
        <v>500</v>
      </c>
      <c r="N15" s="164">
        <v>500</v>
      </c>
      <c r="O15" s="164">
        <v>500</v>
      </c>
      <c r="P15" s="164">
        <v>-100</v>
      </c>
      <c r="Q15" s="164">
        <v>-100</v>
      </c>
      <c r="R15" s="164">
        <v>-100</v>
      </c>
      <c r="S15" s="164">
        <v>-200</v>
      </c>
      <c r="T15" s="164">
        <v>-200</v>
      </c>
      <c r="U15" s="164">
        <v>-200</v>
      </c>
    </row>
    <row r="16" spans="1:21">
      <c r="A16" s="94" t="s">
        <v>20</v>
      </c>
      <c r="B16" s="164">
        <v>-2400</v>
      </c>
      <c r="C16" s="164">
        <v>-2400</v>
      </c>
      <c r="D16" s="164">
        <v>-2400</v>
      </c>
      <c r="E16" s="164">
        <v>-3600</v>
      </c>
      <c r="F16" s="164">
        <v>-3600</v>
      </c>
      <c r="G16" s="164">
        <v>-1200</v>
      </c>
      <c r="H16" s="164">
        <v>600</v>
      </c>
      <c r="I16" s="164">
        <v>2400</v>
      </c>
      <c r="J16" s="164">
        <v>3600</v>
      </c>
      <c r="K16" s="164">
        <v>6000</v>
      </c>
      <c r="L16" s="164">
        <v>6000</v>
      </c>
      <c r="M16" s="164">
        <v>6000</v>
      </c>
      <c r="N16" s="164">
        <v>6000</v>
      </c>
      <c r="O16" s="164">
        <v>6000</v>
      </c>
      <c r="P16" s="164">
        <v>-1200</v>
      </c>
      <c r="Q16" s="164">
        <v>-1200</v>
      </c>
      <c r="R16" s="164">
        <v>-1200</v>
      </c>
      <c r="S16" s="164">
        <v>-2400</v>
      </c>
      <c r="T16" s="164">
        <v>-2400</v>
      </c>
      <c r="U16" s="164">
        <v>-2400</v>
      </c>
    </row>
    <row r="17" spans="1:22">
      <c r="A17" s="94" t="s">
        <v>21</v>
      </c>
      <c r="B17" s="164">
        <v>-2400</v>
      </c>
      <c r="C17" s="164">
        <v>-12000</v>
      </c>
      <c r="D17" s="164">
        <v>-12000</v>
      </c>
      <c r="E17" s="164">
        <v>-18000</v>
      </c>
      <c r="F17" s="164">
        <v>-10800</v>
      </c>
      <c r="G17" s="164">
        <v>-2400</v>
      </c>
      <c r="H17" s="164">
        <v>3000</v>
      </c>
      <c r="I17" s="164">
        <v>12000</v>
      </c>
      <c r="J17" s="164">
        <v>18000</v>
      </c>
      <c r="K17" s="164">
        <v>30000</v>
      </c>
      <c r="L17" s="164">
        <v>30000</v>
      </c>
      <c r="M17" s="164">
        <v>30000</v>
      </c>
      <c r="N17" s="164">
        <v>30000</v>
      </c>
      <c r="O17" s="164">
        <v>30000</v>
      </c>
      <c r="P17" s="164">
        <v>-6000</v>
      </c>
      <c r="Q17" s="164">
        <v>-6000</v>
      </c>
      <c r="R17" s="164">
        <v>-6000</v>
      </c>
      <c r="S17" s="164">
        <v>-12000</v>
      </c>
      <c r="T17" s="164">
        <v>-12000</v>
      </c>
      <c r="U17" s="164">
        <v>-12000</v>
      </c>
    </row>
    <row r="18" spans="1:22">
      <c r="A18" s="94" t="s">
        <v>22</v>
      </c>
      <c r="B18" s="164">
        <v>-2400</v>
      </c>
      <c r="C18" s="164">
        <v>-14400</v>
      </c>
      <c r="D18" s="164">
        <v>-26400</v>
      </c>
      <c r="E18" s="164">
        <v>-44400</v>
      </c>
      <c r="F18" s="164">
        <v>-55200</v>
      </c>
      <c r="G18" s="164">
        <v>-57600</v>
      </c>
      <c r="H18" s="164">
        <v>-54600</v>
      </c>
      <c r="I18" s="164">
        <v>-42600</v>
      </c>
      <c r="J18" s="164">
        <v>-24600</v>
      </c>
      <c r="K18" s="164">
        <v>5400</v>
      </c>
      <c r="L18" s="164">
        <v>35400</v>
      </c>
      <c r="M18" s="164">
        <v>65400</v>
      </c>
      <c r="N18" s="164">
        <v>95400</v>
      </c>
      <c r="O18" s="164">
        <v>125400</v>
      </c>
      <c r="P18" s="164">
        <v>119400</v>
      </c>
      <c r="Q18" s="164">
        <v>113400</v>
      </c>
      <c r="R18" s="164">
        <v>107400</v>
      </c>
      <c r="S18" s="164">
        <v>95400</v>
      </c>
      <c r="T18" s="164">
        <v>101400</v>
      </c>
      <c r="U18" s="164">
        <v>95400</v>
      </c>
    </row>
    <row r="19" spans="1:22">
      <c r="B19" s="160">
        <v>0</v>
      </c>
      <c r="C19" s="160">
        <v>5</v>
      </c>
      <c r="D19" s="160">
        <v>10</v>
      </c>
      <c r="E19" s="160">
        <v>15</v>
      </c>
      <c r="F19" s="160">
        <v>18</v>
      </c>
      <c r="G19" s="160">
        <v>20</v>
      </c>
      <c r="H19" s="160">
        <v>25</v>
      </c>
      <c r="I19" s="160">
        <v>30</v>
      </c>
      <c r="J19" s="160">
        <v>35</v>
      </c>
      <c r="K19" s="160">
        <v>40</v>
      </c>
      <c r="L19" s="160">
        <v>45</v>
      </c>
      <c r="M19" s="160">
        <v>50</v>
      </c>
      <c r="N19" s="160">
        <v>55</v>
      </c>
      <c r="O19" s="160">
        <v>60</v>
      </c>
      <c r="P19" s="160">
        <v>65</v>
      </c>
      <c r="Q19" s="160">
        <v>70</v>
      </c>
      <c r="R19" s="160">
        <v>75</v>
      </c>
      <c r="S19" s="160">
        <v>80</v>
      </c>
      <c r="T19" s="160">
        <v>85</v>
      </c>
      <c r="U19" s="160" t="s">
        <v>11</v>
      </c>
    </row>
    <row r="21" spans="1:22">
      <c r="B21" s="94">
        <v>0</v>
      </c>
      <c r="C21" s="94">
        <v>5</v>
      </c>
      <c r="D21" s="94">
        <v>10</v>
      </c>
      <c r="E21" s="94">
        <v>15</v>
      </c>
      <c r="F21" s="94">
        <v>18</v>
      </c>
      <c r="G21" s="94">
        <v>20</v>
      </c>
      <c r="H21" s="94">
        <v>25</v>
      </c>
      <c r="I21" s="94">
        <v>30</v>
      </c>
      <c r="J21" s="94">
        <v>35</v>
      </c>
      <c r="K21" s="94">
        <v>40</v>
      </c>
      <c r="L21" s="94">
        <v>45</v>
      </c>
      <c r="M21" s="94">
        <v>50</v>
      </c>
      <c r="N21" s="94">
        <v>55</v>
      </c>
      <c r="O21" s="94">
        <v>60</v>
      </c>
      <c r="P21" s="94">
        <v>65</v>
      </c>
      <c r="Q21" s="94">
        <v>70</v>
      </c>
      <c r="R21" s="94">
        <v>75</v>
      </c>
      <c r="S21" s="94">
        <v>80</v>
      </c>
      <c r="T21" s="94">
        <v>85</v>
      </c>
      <c r="U21" s="94">
        <v>90</v>
      </c>
      <c r="V21" s="94">
        <v>95</v>
      </c>
    </row>
    <row r="22" spans="1:22">
      <c r="B22" s="94">
        <v>0</v>
      </c>
      <c r="C22" s="164">
        <f>B18+$B$16*4</f>
        <v>-12000</v>
      </c>
      <c r="D22" s="164">
        <f t="shared" ref="D22:V22" si="0">C18+$B$16*4</f>
        <v>-24000</v>
      </c>
      <c r="E22" s="164">
        <f t="shared" si="0"/>
        <v>-36000</v>
      </c>
      <c r="F22" s="164">
        <f t="shared" si="0"/>
        <v>-54000</v>
      </c>
      <c r="G22" s="164">
        <f t="shared" si="0"/>
        <v>-64800</v>
      </c>
      <c r="H22" s="164">
        <f t="shared" si="0"/>
        <v>-67200</v>
      </c>
      <c r="I22" s="164">
        <f t="shared" si="0"/>
        <v>-64200</v>
      </c>
      <c r="J22" s="164">
        <f t="shared" si="0"/>
        <v>-52200</v>
      </c>
      <c r="K22" s="164">
        <f t="shared" si="0"/>
        <v>-34200</v>
      </c>
      <c r="L22" s="164">
        <f t="shared" si="0"/>
        <v>-4200</v>
      </c>
      <c r="M22" s="164">
        <f t="shared" si="0"/>
        <v>25800</v>
      </c>
      <c r="N22" s="164">
        <f t="shared" si="0"/>
        <v>55800</v>
      </c>
      <c r="O22" s="164">
        <f t="shared" si="0"/>
        <v>85800</v>
      </c>
      <c r="P22" s="164">
        <f t="shared" si="0"/>
        <v>115800</v>
      </c>
      <c r="Q22" s="164">
        <f t="shared" si="0"/>
        <v>109800</v>
      </c>
      <c r="R22" s="164">
        <f t="shared" si="0"/>
        <v>103800</v>
      </c>
      <c r="S22" s="164">
        <f t="shared" si="0"/>
        <v>97800</v>
      </c>
      <c r="T22" s="164">
        <f t="shared" si="0"/>
        <v>85800</v>
      </c>
      <c r="U22" s="164">
        <f t="shared" si="0"/>
        <v>91800</v>
      </c>
      <c r="V22" s="164">
        <f t="shared" si="0"/>
        <v>85800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2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V41"/>
  <sheetViews>
    <sheetView topLeftCell="A7" zoomScale="85" zoomScaleNormal="85" workbookViewId="0">
      <selection activeCell="T53" sqref="T53"/>
    </sheetView>
  </sheetViews>
  <sheetFormatPr defaultColWidth="9.140625" defaultRowHeight="15"/>
  <cols>
    <col min="1" max="1" width="32.28515625" style="94" customWidth="1"/>
    <col min="2" max="2" width="6.140625" style="94" bestFit="1" customWidth="1"/>
    <col min="3" max="4" width="7.140625" style="94" bestFit="1" customWidth="1"/>
    <col min="5" max="5" width="8.140625" style="94" bestFit="1" customWidth="1"/>
    <col min="6" max="6" width="8.140625" style="94" customWidth="1"/>
    <col min="7" max="12" width="8.140625" style="94" bestFit="1" customWidth="1"/>
    <col min="13" max="13" width="9" style="94" customWidth="1"/>
    <col min="14" max="21" width="8.140625" style="94" bestFit="1" customWidth="1"/>
    <col min="22" max="16384" width="9.140625" style="94"/>
  </cols>
  <sheetData>
    <row r="5" spans="1:22">
      <c r="A5" s="94" t="s">
        <v>385</v>
      </c>
    </row>
    <row r="6" spans="1:22" ht="69.75" customHeight="1">
      <c r="A6" s="160" t="s">
        <v>1</v>
      </c>
      <c r="B6" s="161" t="s">
        <v>2</v>
      </c>
      <c r="C6" s="161" t="s">
        <v>3</v>
      </c>
      <c r="D6" s="161" t="s">
        <v>4</v>
      </c>
      <c r="E6" s="161" t="s">
        <v>5</v>
      </c>
      <c r="F6" s="161" t="s">
        <v>6</v>
      </c>
      <c r="G6" s="161" t="s">
        <v>386</v>
      </c>
      <c r="H6" s="161" t="s">
        <v>387</v>
      </c>
      <c r="I6" s="161" t="s">
        <v>388</v>
      </c>
      <c r="J6" s="161" t="s">
        <v>389</v>
      </c>
      <c r="K6" s="161" t="s">
        <v>390</v>
      </c>
      <c r="L6" s="161" t="s">
        <v>391</v>
      </c>
      <c r="M6" s="161" t="s">
        <v>7</v>
      </c>
      <c r="N6" s="162"/>
      <c r="O6" s="162"/>
      <c r="P6" s="162" t="s">
        <v>8</v>
      </c>
      <c r="Q6" s="162"/>
      <c r="R6" s="162"/>
      <c r="S6" s="162"/>
      <c r="T6" s="162"/>
      <c r="U6" s="162" t="s">
        <v>9</v>
      </c>
    </row>
    <row r="7" spans="1:22">
      <c r="A7" s="163" t="s">
        <v>10</v>
      </c>
      <c r="B7" s="160">
        <v>-1</v>
      </c>
      <c r="C7" s="160">
        <v>5</v>
      </c>
      <c r="D7" s="160">
        <v>10</v>
      </c>
      <c r="E7" s="160">
        <v>15</v>
      </c>
      <c r="F7" s="160">
        <v>18</v>
      </c>
      <c r="G7" s="160">
        <v>20</v>
      </c>
      <c r="H7" s="160">
        <v>25</v>
      </c>
      <c r="I7" s="160">
        <v>30</v>
      </c>
      <c r="J7" s="160">
        <v>35</v>
      </c>
      <c r="K7" s="160">
        <v>40</v>
      </c>
      <c r="L7" s="160">
        <v>45</v>
      </c>
      <c r="M7" s="160">
        <v>50</v>
      </c>
      <c r="N7" s="160">
        <v>55</v>
      </c>
      <c r="O7" s="160">
        <v>60</v>
      </c>
      <c r="P7" s="160">
        <v>65</v>
      </c>
      <c r="Q7" s="160">
        <v>70</v>
      </c>
      <c r="R7" s="160">
        <v>75</v>
      </c>
      <c r="S7" s="160">
        <v>80</v>
      </c>
      <c r="T7" s="160">
        <v>85</v>
      </c>
      <c r="U7" s="160" t="s">
        <v>11</v>
      </c>
      <c r="V7" s="165"/>
    </row>
    <row r="9" spans="1:22">
      <c r="A9" s="94" t="s">
        <v>12</v>
      </c>
      <c r="B9" s="164">
        <v>1</v>
      </c>
      <c r="C9" s="164">
        <v>5</v>
      </c>
      <c r="D9" s="164">
        <v>5</v>
      </c>
      <c r="E9" s="164">
        <v>5</v>
      </c>
      <c r="F9" s="164">
        <v>3</v>
      </c>
      <c r="G9" s="164">
        <v>2</v>
      </c>
      <c r="H9" s="164">
        <v>5</v>
      </c>
      <c r="I9" s="164">
        <v>5</v>
      </c>
      <c r="J9" s="164">
        <v>5</v>
      </c>
      <c r="K9" s="164">
        <v>5</v>
      </c>
      <c r="L9" s="164">
        <v>5</v>
      </c>
      <c r="M9" s="164">
        <v>5</v>
      </c>
      <c r="N9" s="164">
        <v>5</v>
      </c>
      <c r="O9" s="164">
        <v>5</v>
      </c>
      <c r="P9" s="164">
        <v>5</v>
      </c>
      <c r="Q9" s="164">
        <v>5</v>
      </c>
      <c r="R9" s="164">
        <v>5</v>
      </c>
      <c r="S9" s="164">
        <v>5</v>
      </c>
      <c r="T9" s="164">
        <v>5</v>
      </c>
      <c r="U9" s="164">
        <v>5</v>
      </c>
    </row>
    <row r="10" spans="1:22">
      <c r="A10" s="94" t="s">
        <v>392</v>
      </c>
      <c r="B10" s="164">
        <v>-200</v>
      </c>
      <c r="C10" s="164">
        <v>-200</v>
      </c>
      <c r="D10" s="164">
        <v>-200</v>
      </c>
      <c r="E10" s="164">
        <v>-300</v>
      </c>
      <c r="F10" s="164">
        <v>-300</v>
      </c>
      <c r="G10" s="164">
        <v>-400</v>
      </c>
      <c r="H10" s="164">
        <v>-500</v>
      </c>
      <c r="I10" s="164">
        <v>-500</v>
      </c>
      <c r="J10" s="164">
        <v>-500</v>
      </c>
      <c r="K10" s="164">
        <v>-500</v>
      </c>
      <c r="L10" s="164">
        <v>-500</v>
      </c>
      <c r="M10" s="164">
        <v>-500</v>
      </c>
      <c r="N10" s="164">
        <v>-500</v>
      </c>
      <c r="O10" s="164">
        <v>-500</v>
      </c>
      <c r="P10" s="164">
        <v>-500</v>
      </c>
      <c r="Q10" s="164">
        <v>-400</v>
      </c>
      <c r="R10" s="164">
        <v>-400</v>
      </c>
      <c r="S10" s="164">
        <v>-400</v>
      </c>
      <c r="T10" s="164">
        <v>-400</v>
      </c>
      <c r="U10" s="164">
        <v>-400</v>
      </c>
    </row>
    <row r="11" spans="1:22">
      <c r="A11" s="94" t="s">
        <v>393</v>
      </c>
      <c r="B11" s="164">
        <f>B10*12</f>
        <v>-2400</v>
      </c>
      <c r="C11" s="164">
        <f>C10*12</f>
        <v>-2400</v>
      </c>
      <c r="D11" s="164">
        <f>D10*12</f>
        <v>-2400</v>
      </c>
      <c r="E11" s="164">
        <f>E10*12</f>
        <v>-3600</v>
      </c>
      <c r="F11" s="164">
        <f>F10*12</f>
        <v>-3600</v>
      </c>
      <c r="G11" s="164">
        <f t="shared" ref="G11:U11" si="0">G10*12</f>
        <v>-4800</v>
      </c>
      <c r="H11" s="164">
        <f t="shared" si="0"/>
        <v>-6000</v>
      </c>
      <c r="I11" s="164">
        <f t="shared" si="0"/>
        <v>-6000</v>
      </c>
      <c r="J11" s="164">
        <f t="shared" si="0"/>
        <v>-6000</v>
      </c>
      <c r="K11" s="164">
        <f t="shared" si="0"/>
        <v>-6000</v>
      </c>
      <c r="L11" s="164">
        <f t="shared" si="0"/>
        <v>-6000</v>
      </c>
      <c r="M11" s="164">
        <f t="shared" si="0"/>
        <v>-6000</v>
      </c>
      <c r="N11" s="164">
        <f t="shared" si="0"/>
        <v>-6000</v>
      </c>
      <c r="O11" s="164">
        <f t="shared" si="0"/>
        <v>-6000</v>
      </c>
      <c r="P11" s="164">
        <f t="shared" si="0"/>
        <v>-6000</v>
      </c>
      <c r="Q11" s="164">
        <f t="shared" si="0"/>
        <v>-4800</v>
      </c>
      <c r="R11" s="164">
        <f t="shared" si="0"/>
        <v>-4800</v>
      </c>
      <c r="S11" s="164">
        <f t="shared" si="0"/>
        <v>-4800</v>
      </c>
      <c r="T11" s="164">
        <f t="shared" si="0"/>
        <v>-4800</v>
      </c>
      <c r="U11" s="164">
        <f t="shared" si="0"/>
        <v>-4800</v>
      </c>
    </row>
    <row r="12" spans="1:22">
      <c r="A12" s="166" t="s">
        <v>394</v>
      </c>
      <c r="B12" s="164"/>
      <c r="C12" s="164"/>
      <c r="D12" s="164"/>
      <c r="E12" s="164"/>
      <c r="F12" s="164"/>
      <c r="G12" s="164">
        <v>-100</v>
      </c>
      <c r="H12" s="164">
        <v>-150</v>
      </c>
      <c r="I12" s="164">
        <v>-200</v>
      </c>
      <c r="J12" s="164">
        <v>-300</v>
      </c>
      <c r="K12" s="164">
        <v>-300</v>
      </c>
      <c r="M12" s="164"/>
      <c r="N12" s="164"/>
      <c r="O12" s="164"/>
      <c r="P12" s="164"/>
      <c r="Q12" s="164"/>
      <c r="R12" s="164"/>
      <c r="S12" s="164"/>
      <c r="T12" s="164"/>
      <c r="U12" s="164"/>
    </row>
    <row r="13" spans="1:22">
      <c r="A13" s="166" t="s">
        <v>395</v>
      </c>
      <c r="B13" s="164"/>
      <c r="C13" s="164"/>
      <c r="D13" s="164"/>
      <c r="E13" s="164"/>
      <c r="F13" s="164"/>
      <c r="G13" s="164"/>
      <c r="H13" s="164">
        <v>-100</v>
      </c>
      <c r="I13" s="164">
        <v>-150</v>
      </c>
      <c r="J13" s="164">
        <v>-200</v>
      </c>
      <c r="K13" s="164">
        <v>-300</v>
      </c>
      <c r="L13" s="164">
        <v>-300</v>
      </c>
      <c r="N13" s="164"/>
      <c r="O13" s="164"/>
      <c r="P13" s="164"/>
      <c r="Q13" s="164"/>
      <c r="R13" s="164"/>
      <c r="S13" s="164"/>
      <c r="T13" s="164"/>
      <c r="U13" s="164"/>
    </row>
    <row r="14" spans="1:22">
      <c r="A14" s="166" t="s">
        <v>396</v>
      </c>
      <c r="B14" s="164"/>
      <c r="C14" s="164"/>
      <c r="D14" s="164"/>
      <c r="E14" s="164"/>
      <c r="F14" s="164"/>
      <c r="G14" s="164"/>
      <c r="H14" s="164"/>
      <c r="I14" s="164">
        <v>-100</v>
      </c>
      <c r="J14" s="164">
        <v>-150</v>
      </c>
      <c r="K14" s="164">
        <v>-200</v>
      </c>
      <c r="L14" s="164">
        <v>-300</v>
      </c>
      <c r="M14" s="164">
        <v>-300</v>
      </c>
      <c r="N14" s="164"/>
      <c r="O14" s="164"/>
      <c r="P14" s="164"/>
      <c r="Q14" s="164"/>
      <c r="R14" s="164"/>
      <c r="S14" s="164"/>
      <c r="T14" s="164"/>
      <c r="U14" s="164"/>
    </row>
    <row r="15" spans="1:22">
      <c r="A15" s="166" t="s">
        <v>397</v>
      </c>
      <c r="B15" s="164"/>
      <c r="C15" s="164"/>
      <c r="D15" s="164"/>
      <c r="E15" s="164"/>
      <c r="F15" s="164"/>
      <c r="G15" s="164"/>
      <c r="H15" s="164"/>
      <c r="I15" s="164"/>
      <c r="J15" s="164">
        <v>-100</v>
      </c>
      <c r="K15" s="164">
        <v>-150</v>
      </c>
      <c r="L15" s="164">
        <v>-200</v>
      </c>
      <c r="M15" s="164">
        <v>-300</v>
      </c>
      <c r="N15" s="164">
        <v>-300</v>
      </c>
      <c r="O15" s="164"/>
      <c r="P15" s="164"/>
      <c r="Q15" s="164"/>
      <c r="R15" s="164"/>
      <c r="S15" s="164"/>
      <c r="T15" s="164"/>
      <c r="U15" s="164"/>
    </row>
    <row r="16" spans="1:22">
      <c r="A16" s="166" t="s">
        <v>398</v>
      </c>
      <c r="B16" s="164"/>
      <c r="C16" s="164"/>
      <c r="D16" s="164"/>
      <c r="E16" s="164"/>
      <c r="F16" s="164"/>
      <c r="G16" s="164"/>
      <c r="H16" s="164"/>
      <c r="I16" s="164"/>
      <c r="J16" s="164"/>
      <c r="K16" s="164">
        <v>-100</v>
      </c>
      <c r="L16" s="164">
        <v>-150</v>
      </c>
      <c r="M16" s="164">
        <v>-200</v>
      </c>
      <c r="N16" s="164">
        <v>-300</v>
      </c>
      <c r="O16" s="164">
        <v>-300</v>
      </c>
      <c r="P16" s="164"/>
      <c r="Q16" s="164"/>
      <c r="R16" s="164"/>
      <c r="S16" s="164"/>
      <c r="T16" s="164"/>
      <c r="U16" s="164"/>
    </row>
    <row r="17" spans="1:21">
      <c r="A17" s="94" t="s">
        <v>15</v>
      </c>
      <c r="B17" s="164">
        <f>(B10+B12+B13+B14+B15+B16)*12*B9</f>
        <v>-2400</v>
      </c>
      <c r="C17" s="164">
        <f>(C10+C12+C13+C14+C15+C16)*12*C9</f>
        <v>-12000</v>
      </c>
      <c r="D17" s="164">
        <f t="shared" ref="D17:U17" si="1">(D10+D12+D13+D14+D15+D16)*12*D9</f>
        <v>-12000</v>
      </c>
      <c r="E17" s="164">
        <f>(E10+E12+E13+E14+E15+E16)*12*E9</f>
        <v>-18000</v>
      </c>
      <c r="F17" s="164">
        <f>(F10+F12+F13+F14+F15+F16)*12*F9</f>
        <v>-10800</v>
      </c>
      <c r="G17" s="164">
        <f t="shared" si="1"/>
        <v>-12000</v>
      </c>
      <c r="H17" s="164">
        <f t="shared" si="1"/>
        <v>-45000</v>
      </c>
      <c r="I17" s="164">
        <f t="shared" si="1"/>
        <v>-57000</v>
      </c>
      <c r="J17" s="164">
        <f t="shared" si="1"/>
        <v>-75000</v>
      </c>
      <c r="K17" s="164">
        <f t="shared" si="1"/>
        <v>-93000</v>
      </c>
      <c r="L17" s="164">
        <f t="shared" si="1"/>
        <v>-87000</v>
      </c>
      <c r="M17" s="164">
        <f t="shared" si="1"/>
        <v>-78000</v>
      </c>
      <c r="N17" s="164">
        <f t="shared" si="1"/>
        <v>-66000</v>
      </c>
      <c r="O17" s="164">
        <f t="shared" si="1"/>
        <v>-48000</v>
      </c>
      <c r="P17" s="164">
        <f t="shared" si="1"/>
        <v>-30000</v>
      </c>
      <c r="Q17" s="164">
        <f t="shared" si="1"/>
        <v>-24000</v>
      </c>
      <c r="R17" s="164">
        <f t="shared" si="1"/>
        <v>-24000</v>
      </c>
      <c r="S17" s="164">
        <f t="shared" si="1"/>
        <v>-24000</v>
      </c>
      <c r="T17" s="164">
        <f t="shared" si="1"/>
        <v>-24000</v>
      </c>
      <c r="U17" s="164">
        <f t="shared" si="1"/>
        <v>-24000</v>
      </c>
    </row>
    <row r="18" spans="1:21" ht="11.25" customHeight="1"/>
    <row r="19" spans="1:21">
      <c r="A19" s="94" t="s">
        <v>16</v>
      </c>
      <c r="B19" s="94">
        <v>0</v>
      </c>
      <c r="C19" s="94">
        <v>0</v>
      </c>
      <c r="D19" s="94">
        <v>0</v>
      </c>
      <c r="E19" s="94">
        <v>0</v>
      </c>
      <c r="F19" s="94">
        <v>0</v>
      </c>
      <c r="G19" s="94">
        <v>300</v>
      </c>
      <c r="H19" s="94">
        <v>550</v>
      </c>
      <c r="I19" s="94">
        <v>700</v>
      </c>
      <c r="J19" s="94">
        <v>800</v>
      </c>
      <c r="K19" s="94">
        <v>1000</v>
      </c>
      <c r="L19" s="94">
        <v>1000</v>
      </c>
      <c r="M19" s="94">
        <v>1000</v>
      </c>
      <c r="N19" s="94">
        <v>1000</v>
      </c>
      <c r="O19" s="94">
        <v>1000</v>
      </c>
      <c r="P19" s="94">
        <v>400</v>
      </c>
      <c r="Q19" s="94">
        <v>300</v>
      </c>
      <c r="R19" s="94">
        <v>300</v>
      </c>
      <c r="S19" s="94">
        <v>200</v>
      </c>
      <c r="T19" s="94">
        <v>200</v>
      </c>
      <c r="U19" s="94">
        <v>200</v>
      </c>
    </row>
    <row r="20" spans="1:21">
      <c r="A20" s="94" t="s">
        <v>17</v>
      </c>
      <c r="B20" s="164">
        <v>0</v>
      </c>
      <c r="C20" s="164">
        <v>0</v>
      </c>
      <c r="D20" s="164">
        <v>0</v>
      </c>
      <c r="E20" s="164">
        <v>0</v>
      </c>
      <c r="F20" s="164">
        <v>0</v>
      </c>
      <c r="G20" s="164">
        <f>G19*12</f>
        <v>3600</v>
      </c>
      <c r="H20" s="164">
        <f t="shared" ref="H20:U20" si="2">H19*12</f>
        <v>6600</v>
      </c>
      <c r="I20" s="164">
        <f t="shared" si="2"/>
        <v>8400</v>
      </c>
      <c r="J20" s="164">
        <f t="shared" si="2"/>
        <v>9600</v>
      </c>
      <c r="K20" s="164">
        <f t="shared" si="2"/>
        <v>12000</v>
      </c>
      <c r="L20" s="164">
        <f t="shared" si="2"/>
        <v>12000</v>
      </c>
      <c r="M20" s="164">
        <f t="shared" si="2"/>
        <v>12000</v>
      </c>
      <c r="N20" s="164">
        <f t="shared" si="2"/>
        <v>12000</v>
      </c>
      <c r="O20" s="164">
        <f t="shared" si="2"/>
        <v>12000</v>
      </c>
      <c r="P20" s="164">
        <f t="shared" si="2"/>
        <v>4800</v>
      </c>
      <c r="Q20" s="164">
        <f t="shared" si="2"/>
        <v>3600</v>
      </c>
      <c r="R20" s="164">
        <f t="shared" si="2"/>
        <v>3600</v>
      </c>
      <c r="S20" s="164">
        <f t="shared" si="2"/>
        <v>2400</v>
      </c>
      <c r="T20" s="164">
        <f t="shared" si="2"/>
        <v>2400</v>
      </c>
      <c r="U20" s="164">
        <f t="shared" si="2"/>
        <v>2400</v>
      </c>
    </row>
    <row r="21" spans="1:21">
      <c r="A21" s="94" t="s">
        <v>18</v>
      </c>
      <c r="B21" s="94">
        <f t="shared" ref="B21:U21" si="3">B20*B9</f>
        <v>0</v>
      </c>
      <c r="C21" s="94">
        <f t="shared" si="3"/>
        <v>0</v>
      </c>
      <c r="D21" s="94">
        <f t="shared" si="3"/>
        <v>0</v>
      </c>
      <c r="E21" s="94">
        <f t="shared" si="3"/>
        <v>0</v>
      </c>
      <c r="F21" s="94">
        <f t="shared" si="3"/>
        <v>0</v>
      </c>
      <c r="G21" s="94">
        <f t="shared" si="3"/>
        <v>7200</v>
      </c>
      <c r="H21" s="94">
        <f t="shared" si="3"/>
        <v>33000</v>
      </c>
      <c r="I21" s="94">
        <f t="shared" si="3"/>
        <v>42000</v>
      </c>
      <c r="J21" s="94">
        <f t="shared" si="3"/>
        <v>48000</v>
      </c>
      <c r="K21" s="94">
        <f t="shared" si="3"/>
        <v>60000</v>
      </c>
      <c r="L21" s="94">
        <f t="shared" si="3"/>
        <v>60000</v>
      </c>
      <c r="M21" s="94">
        <f t="shared" si="3"/>
        <v>60000</v>
      </c>
      <c r="N21" s="94">
        <f t="shared" si="3"/>
        <v>60000</v>
      </c>
      <c r="O21" s="94">
        <f t="shared" si="3"/>
        <v>60000</v>
      </c>
      <c r="P21" s="94">
        <f t="shared" si="3"/>
        <v>24000</v>
      </c>
      <c r="Q21" s="94">
        <f t="shared" si="3"/>
        <v>18000</v>
      </c>
      <c r="R21" s="94">
        <f t="shared" si="3"/>
        <v>18000</v>
      </c>
      <c r="S21" s="94">
        <f t="shared" si="3"/>
        <v>12000</v>
      </c>
      <c r="T21" s="94">
        <f t="shared" si="3"/>
        <v>12000</v>
      </c>
      <c r="U21" s="94">
        <f t="shared" si="3"/>
        <v>12000</v>
      </c>
    </row>
    <row r="23" spans="1:21">
      <c r="A23" s="94" t="s">
        <v>19</v>
      </c>
      <c r="B23" s="164">
        <f t="shared" ref="B23:U24" si="4">B10+B19</f>
        <v>-200</v>
      </c>
      <c r="C23" s="164">
        <f t="shared" si="4"/>
        <v>-200</v>
      </c>
      <c r="D23" s="164">
        <f t="shared" si="4"/>
        <v>-200</v>
      </c>
      <c r="E23" s="164">
        <f t="shared" si="4"/>
        <v>-300</v>
      </c>
      <c r="F23" s="164">
        <f t="shared" si="4"/>
        <v>-300</v>
      </c>
      <c r="G23" s="164">
        <f t="shared" si="4"/>
        <v>-100</v>
      </c>
      <c r="H23" s="164">
        <f t="shared" si="4"/>
        <v>50</v>
      </c>
      <c r="I23" s="164">
        <f t="shared" si="4"/>
        <v>200</v>
      </c>
      <c r="J23" s="164">
        <f t="shared" si="4"/>
        <v>300</v>
      </c>
      <c r="K23" s="164">
        <f t="shared" si="4"/>
        <v>500</v>
      </c>
      <c r="L23" s="164">
        <f t="shared" si="4"/>
        <v>500</v>
      </c>
      <c r="M23" s="164">
        <f t="shared" si="4"/>
        <v>500</v>
      </c>
      <c r="N23" s="164">
        <f t="shared" si="4"/>
        <v>500</v>
      </c>
      <c r="O23" s="164">
        <f t="shared" si="4"/>
        <v>500</v>
      </c>
      <c r="P23" s="164">
        <f t="shared" si="4"/>
        <v>-100</v>
      </c>
      <c r="Q23" s="164">
        <f t="shared" si="4"/>
        <v>-100</v>
      </c>
      <c r="R23" s="164">
        <f t="shared" si="4"/>
        <v>-100</v>
      </c>
      <c r="S23" s="164">
        <f t="shared" si="4"/>
        <v>-200</v>
      </c>
      <c r="T23" s="164">
        <f t="shared" si="4"/>
        <v>-200</v>
      </c>
      <c r="U23" s="164">
        <f t="shared" si="4"/>
        <v>-200</v>
      </c>
    </row>
    <row r="24" spans="1:21">
      <c r="A24" s="94" t="s">
        <v>20</v>
      </c>
      <c r="B24" s="164">
        <f t="shared" si="4"/>
        <v>-2400</v>
      </c>
      <c r="C24" s="164">
        <f t="shared" si="4"/>
        <v>-2400</v>
      </c>
      <c r="D24" s="164">
        <f t="shared" si="4"/>
        <v>-2400</v>
      </c>
      <c r="E24" s="164">
        <f t="shared" si="4"/>
        <v>-3600</v>
      </c>
      <c r="F24" s="164">
        <f t="shared" si="4"/>
        <v>-3600</v>
      </c>
      <c r="G24" s="164">
        <f t="shared" si="4"/>
        <v>-1200</v>
      </c>
      <c r="H24" s="164">
        <f t="shared" si="4"/>
        <v>600</v>
      </c>
      <c r="I24" s="164">
        <f t="shared" si="4"/>
        <v>2400</v>
      </c>
      <c r="J24" s="164">
        <f t="shared" si="4"/>
        <v>3600</v>
      </c>
      <c r="K24" s="164">
        <f t="shared" si="4"/>
        <v>6000</v>
      </c>
      <c r="L24" s="164">
        <f t="shared" si="4"/>
        <v>6000</v>
      </c>
      <c r="M24" s="164">
        <f t="shared" si="4"/>
        <v>6000</v>
      </c>
      <c r="N24" s="164">
        <f t="shared" si="4"/>
        <v>6000</v>
      </c>
      <c r="O24" s="164">
        <f t="shared" si="4"/>
        <v>6000</v>
      </c>
      <c r="P24" s="164">
        <f t="shared" si="4"/>
        <v>-1200</v>
      </c>
      <c r="Q24" s="164">
        <f t="shared" si="4"/>
        <v>-1200</v>
      </c>
      <c r="R24" s="164">
        <f t="shared" si="4"/>
        <v>-1200</v>
      </c>
      <c r="S24" s="164">
        <f t="shared" si="4"/>
        <v>-2400</v>
      </c>
      <c r="T24" s="164">
        <f t="shared" si="4"/>
        <v>-2400</v>
      </c>
      <c r="U24" s="164">
        <f t="shared" si="4"/>
        <v>-2400</v>
      </c>
    </row>
    <row r="25" spans="1:21">
      <c r="A25" s="94" t="s">
        <v>21</v>
      </c>
      <c r="B25" s="164">
        <f t="shared" ref="B25:U25" si="5">B17+B21</f>
        <v>-2400</v>
      </c>
      <c r="C25" s="164">
        <f t="shared" si="5"/>
        <v>-12000</v>
      </c>
      <c r="D25" s="164">
        <f t="shared" si="5"/>
        <v>-12000</v>
      </c>
      <c r="E25" s="164">
        <f t="shared" si="5"/>
        <v>-18000</v>
      </c>
      <c r="F25" s="164">
        <f t="shared" si="5"/>
        <v>-10800</v>
      </c>
      <c r="G25" s="164">
        <f t="shared" si="5"/>
        <v>-4800</v>
      </c>
      <c r="H25" s="164">
        <f t="shared" si="5"/>
        <v>-12000</v>
      </c>
      <c r="I25" s="164">
        <f t="shared" si="5"/>
        <v>-15000</v>
      </c>
      <c r="J25" s="164">
        <f t="shared" si="5"/>
        <v>-27000</v>
      </c>
      <c r="K25" s="164">
        <f t="shared" si="5"/>
        <v>-33000</v>
      </c>
      <c r="L25" s="164">
        <f t="shared" si="5"/>
        <v>-27000</v>
      </c>
      <c r="M25" s="164">
        <f t="shared" si="5"/>
        <v>-18000</v>
      </c>
      <c r="N25" s="164">
        <f t="shared" si="5"/>
        <v>-6000</v>
      </c>
      <c r="O25" s="164">
        <f t="shared" si="5"/>
        <v>12000</v>
      </c>
      <c r="P25" s="164">
        <f t="shared" si="5"/>
        <v>-6000</v>
      </c>
      <c r="Q25" s="164">
        <f t="shared" si="5"/>
        <v>-6000</v>
      </c>
      <c r="R25" s="164">
        <f t="shared" si="5"/>
        <v>-6000</v>
      </c>
      <c r="S25" s="164">
        <f t="shared" si="5"/>
        <v>-12000</v>
      </c>
      <c r="T25" s="164">
        <f t="shared" si="5"/>
        <v>-12000</v>
      </c>
      <c r="U25" s="164">
        <f t="shared" si="5"/>
        <v>-12000</v>
      </c>
    </row>
    <row r="26" spans="1:21">
      <c r="A26" s="94" t="s">
        <v>22</v>
      </c>
      <c r="B26" s="164">
        <f>B25</f>
        <v>-2400</v>
      </c>
      <c r="C26" s="164">
        <f t="shared" ref="C26:U26" si="6">B26+C25</f>
        <v>-14400</v>
      </c>
      <c r="D26" s="164">
        <f t="shared" si="6"/>
        <v>-26400</v>
      </c>
      <c r="E26" s="164">
        <f t="shared" si="6"/>
        <v>-44400</v>
      </c>
      <c r="F26" s="164">
        <f t="shared" si="6"/>
        <v>-55200</v>
      </c>
      <c r="G26" s="164">
        <f t="shared" si="6"/>
        <v>-60000</v>
      </c>
      <c r="H26" s="164">
        <f t="shared" si="6"/>
        <v>-72000</v>
      </c>
      <c r="I26" s="164">
        <f t="shared" si="6"/>
        <v>-87000</v>
      </c>
      <c r="J26" s="164">
        <f t="shared" si="6"/>
        <v>-114000</v>
      </c>
      <c r="K26" s="164">
        <f t="shared" si="6"/>
        <v>-147000</v>
      </c>
      <c r="L26" s="164">
        <f t="shared" si="6"/>
        <v>-174000</v>
      </c>
      <c r="M26" s="164">
        <f t="shared" si="6"/>
        <v>-192000</v>
      </c>
      <c r="N26" s="164">
        <f t="shared" si="6"/>
        <v>-198000</v>
      </c>
      <c r="O26" s="164">
        <f t="shared" si="6"/>
        <v>-186000</v>
      </c>
      <c r="P26" s="164">
        <f t="shared" si="6"/>
        <v>-192000</v>
      </c>
      <c r="Q26" s="164">
        <f t="shared" si="6"/>
        <v>-198000</v>
      </c>
      <c r="R26" s="164">
        <f t="shared" si="6"/>
        <v>-204000</v>
      </c>
      <c r="S26" s="164">
        <f t="shared" si="6"/>
        <v>-216000</v>
      </c>
      <c r="T26" s="164">
        <f t="shared" si="6"/>
        <v>-228000</v>
      </c>
      <c r="U26" s="164">
        <f t="shared" si="6"/>
        <v>-240000</v>
      </c>
    </row>
    <row r="28" spans="1:21">
      <c r="A28" s="166" t="s">
        <v>399</v>
      </c>
      <c r="B28" s="164"/>
      <c r="C28" s="164"/>
      <c r="D28" s="164"/>
      <c r="E28" s="164"/>
      <c r="F28" s="164"/>
      <c r="G28" s="164">
        <v>150</v>
      </c>
      <c r="H28" s="164">
        <v>200</v>
      </c>
      <c r="I28" s="164">
        <v>250</v>
      </c>
      <c r="J28" s="164">
        <v>350</v>
      </c>
      <c r="K28" s="164">
        <v>350</v>
      </c>
      <c r="L28" s="164"/>
      <c r="M28" s="164"/>
      <c r="N28" s="164"/>
      <c r="O28" s="164"/>
      <c r="P28" s="164"/>
      <c r="Q28" s="164"/>
      <c r="R28" s="164"/>
      <c r="S28" s="164"/>
      <c r="T28" s="164"/>
      <c r="U28" s="164"/>
    </row>
    <row r="29" spans="1:21">
      <c r="A29" s="166" t="s">
        <v>400</v>
      </c>
      <c r="B29" s="164"/>
      <c r="C29" s="164"/>
      <c r="D29" s="164"/>
      <c r="E29" s="164"/>
      <c r="F29" s="164"/>
      <c r="G29" s="164"/>
      <c r="H29" s="164">
        <v>150</v>
      </c>
      <c r="I29" s="164">
        <v>200</v>
      </c>
      <c r="J29" s="164">
        <v>250</v>
      </c>
      <c r="K29" s="164">
        <v>350</v>
      </c>
      <c r="L29" s="164">
        <v>350</v>
      </c>
      <c r="M29" s="164"/>
      <c r="N29" s="164"/>
      <c r="O29" s="164"/>
      <c r="P29" s="164"/>
      <c r="Q29" s="164"/>
      <c r="R29" s="164"/>
      <c r="S29" s="164"/>
      <c r="T29" s="164"/>
      <c r="U29" s="164"/>
    </row>
    <row r="30" spans="1:21">
      <c r="A30" s="166" t="s">
        <v>401</v>
      </c>
      <c r="B30" s="164"/>
      <c r="C30" s="164"/>
      <c r="D30" s="164"/>
      <c r="E30" s="164"/>
      <c r="F30" s="164"/>
      <c r="G30" s="164"/>
      <c r="H30" s="164"/>
      <c r="I30" s="164">
        <v>150</v>
      </c>
      <c r="J30" s="164">
        <v>200</v>
      </c>
      <c r="K30" s="164">
        <v>250</v>
      </c>
      <c r="L30" s="164">
        <v>350</v>
      </c>
      <c r="M30" s="164">
        <v>350</v>
      </c>
      <c r="N30" s="164"/>
      <c r="O30" s="164"/>
      <c r="P30" s="164"/>
      <c r="Q30" s="164"/>
      <c r="R30" s="164"/>
      <c r="S30" s="164"/>
      <c r="T30" s="164"/>
      <c r="U30" s="164"/>
    </row>
    <row r="31" spans="1:21">
      <c r="A31" s="166" t="s">
        <v>402</v>
      </c>
      <c r="B31" s="164"/>
      <c r="C31" s="164"/>
      <c r="D31" s="164"/>
      <c r="E31" s="164"/>
      <c r="F31" s="164"/>
      <c r="G31" s="164"/>
      <c r="H31" s="164"/>
      <c r="I31" s="164"/>
      <c r="J31" s="164">
        <v>150</v>
      </c>
      <c r="K31" s="164">
        <v>200</v>
      </c>
      <c r="L31" s="164">
        <v>250</v>
      </c>
      <c r="M31" s="164">
        <v>350</v>
      </c>
      <c r="N31" s="164">
        <v>350</v>
      </c>
      <c r="O31" s="164"/>
      <c r="P31" s="164"/>
      <c r="Q31" s="164"/>
      <c r="R31" s="164"/>
      <c r="S31" s="164"/>
      <c r="T31" s="164"/>
      <c r="U31" s="164"/>
    </row>
    <row r="32" spans="1:21">
      <c r="A32" s="166" t="s">
        <v>403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>
        <v>150</v>
      </c>
      <c r="L32" s="164">
        <v>200</v>
      </c>
      <c r="M32" s="164">
        <v>250</v>
      </c>
      <c r="N32" s="164">
        <v>350</v>
      </c>
      <c r="O32" s="164">
        <v>350</v>
      </c>
      <c r="P32" s="164"/>
      <c r="Q32" s="164"/>
      <c r="R32" s="164"/>
      <c r="S32" s="164"/>
      <c r="T32" s="164"/>
      <c r="U32" s="164"/>
    </row>
    <row r="33" spans="1:22">
      <c r="A33" s="166" t="s">
        <v>404</v>
      </c>
      <c r="B33" s="164">
        <f t="shared" ref="B33:F33" si="7">(B28+B29+B30+B31+B32)*12*B9</f>
        <v>0</v>
      </c>
      <c r="C33" s="164">
        <f t="shared" si="7"/>
        <v>0</v>
      </c>
      <c r="D33" s="164">
        <f t="shared" si="7"/>
        <v>0</v>
      </c>
      <c r="E33" s="164">
        <f t="shared" si="7"/>
        <v>0</v>
      </c>
      <c r="F33" s="164">
        <f t="shared" si="7"/>
        <v>0</v>
      </c>
      <c r="G33" s="164">
        <f>(G28+G29+G30+G31+G32)*12*G9</f>
        <v>3600</v>
      </c>
      <c r="H33" s="164">
        <f t="shared" ref="H33:U33" si="8">(H28+H29+H30+H31+H32)*12*H9</f>
        <v>21000</v>
      </c>
      <c r="I33" s="164">
        <f t="shared" si="8"/>
        <v>36000</v>
      </c>
      <c r="J33" s="164">
        <f t="shared" si="8"/>
        <v>57000</v>
      </c>
      <c r="K33" s="164">
        <f t="shared" si="8"/>
        <v>78000</v>
      </c>
      <c r="L33" s="164">
        <f t="shared" si="8"/>
        <v>69000</v>
      </c>
      <c r="M33" s="164">
        <f t="shared" si="8"/>
        <v>57000</v>
      </c>
      <c r="N33" s="164">
        <f t="shared" si="8"/>
        <v>42000</v>
      </c>
      <c r="O33" s="164">
        <f t="shared" si="8"/>
        <v>21000</v>
      </c>
      <c r="P33" s="164">
        <f t="shared" si="8"/>
        <v>0</v>
      </c>
      <c r="Q33" s="164">
        <f t="shared" si="8"/>
        <v>0</v>
      </c>
      <c r="R33" s="164">
        <f t="shared" si="8"/>
        <v>0</v>
      </c>
      <c r="S33" s="164">
        <f t="shared" si="8"/>
        <v>0</v>
      </c>
      <c r="T33" s="164">
        <f t="shared" si="8"/>
        <v>0</v>
      </c>
      <c r="U33" s="164">
        <f t="shared" si="8"/>
        <v>0</v>
      </c>
    </row>
    <row r="34" spans="1:22">
      <c r="A34" s="166" t="s">
        <v>405</v>
      </c>
      <c r="B34" s="164">
        <f t="shared" ref="B34:U34" si="9">B25+B33</f>
        <v>-2400</v>
      </c>
      <c r="C34" s="164">
        <f t="shared" si="9"/>
        <v>-12000</v>
      </c>
      <c r="D34" s="164">
        <f t="shared" si="9"/>
        <v>-12000</v>
      </c>
      <c r="E34" s="164">
        <f t="shared" si="9"/>
        <v>-18000</v>
      </c>
      <c r="F34" s="164">
        <f t="shared" si="9"/>
        <v>-10800</v>
      </c>
      <c r="G34" s="164">
        <f t="shared" si="9"/>
        <v>-1200</v>
      </c>
      <c r="H34" s="164">
        <f t="shared" si="9"/>
        <v>9000</v>
      </c>
      <c r="I34" s="164">
        <f t="shared" si="9"/>
        <v>21000</v>
      </c>
      <c r="J34" s="164">
        <f t="shared" si="9"/>
        <v>30000</v>
      </c>
      <c r="K34" s="164">
        <f t="shared" si="9"/>
        <v>45000</v>
      </c>
      <c r="L34" s="164">
        <f t="shared" si="9"/>
        <v>42000</v>
      </c>
      <c r="M34" s="164">
        <f t="shared" si="9"/>
        <v>39000</v>
      </c>
      <c r="N34" s="164">
        <f t="shared" si="9"/>
        <v>36000</v>
      </c>
      <c r="O34" s="164">
        <f t="shared" si="9"/>
        <v>33000</v>
      </c>
      <c r="P34" s="164">
        <f t="shared" si="9"/>
        <v>-6000</v>
      </c>
      <c r="Q34" s="164">
        <f t="shared" si="9"/>
        <v>-6000</v>
      </c>
      <c r="R34" s="164">
        <f t="shared" si="9"/>
        <v>-6000</v>
      </c>
      <c r="S34" s="164">
        <f t="shared" si="9"/>
        <v>-12000</v>
      </c>
      <c r="T34" s="164">
        <f t="shared" si="9"/>
        <v>-12000</v>
      </c>
      <c r="U34" s="164">
        <f t="shared" si="9"/>
        <v>-12000</v>
      </c>
    </row>
    <row r="35" spans="1:22">
      <c r="A35" s="166" t="s">
        <v>406</v>
      </c>
      <c r="B35" s="164">
        <f>B34</f>
        <v>-2400</v>
      </c>
      <c r="C35" s="164">
        <f t="shared" ref="C35:U35" si="10">B35+C34</f>
        <v>-14400</v>
      </c>
      <c r="D35" s="164">
        <f t="shared" si="10"/>
        <v>-26400</v>
      </c>
      <c r="E35" s="164">
        <f t="shared" si="10"/>
        <v>-44400</v>
      </c>
      <c r="F35" s="164">
        <f t="shared" si="10"/>
        <v>-55200</v>
      </c>
      <c r="G35" s="164">
        <f t="shared" si="10"/>
        <v>-56400</v>
      </c>
      <c r="H35" s="164">
        <f t="shared" si="10"/>
        <v>-47400</v>
      </c>
      <c r="I35" s="164">
        <f t="shared" si="10"/>
        <v>-26400</v>
      </c>
      <c r="J35" s="164">
        <f t="shared" si="10"/>
        <v>3600</v>
      </c>
      <c r="K35" s="164">
        <f t="shared" si="10"/>
        <v>48600</v>
      </c>
      <c r="L35" s="164">
        <f t="shared" si="10"/>
        <v>90600</v>
      </c>
      <c r="M35" s="164">
        <f t="shared" si="10"/>
        <v>129600</v>
      </c>
      <c r="N35" s="164">
        <f t="shared" si="10"/>
        <v>165600</v>
      </c>
      <c r="O35" s="164">
        <f t="shared" si="10"/>
        <v>198600</v>
      </c>
      <c r="P35" s="164">
        <f t="shared" si="10"/>
        <v>192600</v>
      </c>
      <c r="Q35" s="164">
        <f t="shared" si="10"/>
        <v>186600</v>
      </c>
      <c r="R35" s="164">
        <f t="shared" si="10"/>
        <v>180600</v>
      </c>
      <c r="S35" s="164">
        <f t="shared" si="10"/>
        <v>168600</v>
      </c>
      <c r="T35" s="164">
        <f t="shared" si="10"/>
        <v>156600</v>
      </c>
      <c r="U35" s="164">
        <f t="shared" si="10"/>
        <v>144600</v>
      </c>
    </row>
    <row r="39" spans="1:22">
      <c r="B39" s="160">
        <v>0</v>
      </c>
      <c r="C39" s="160">
        <v>5</v>
      </c>
      <c r="D39" s="160">
        <v>10</v>
      </c>
      <c r="E39" s="160">
        <v>15</v>
      </c>
      <c r="F39" s="160">
        <v>18</v>
      </c>
      <c r="G39" s="160">
        <v>20</v>
      </c>
      <c r="H39" s="160">
        <v>25</v>
      </c>
      <c r="I39" s="160">
        <v>30</v>
      </c>
      <c r="J39" s="160">
        <v>35</v>
      </c>
      <c r="K39" s="160">
        <v>40</v>
      </c>
      <c r="L39" s="160">
        <v>45</v>
      </c>
      <c r="M39" s="160">
        <v>50</v>
      </c>
      <c r="N39" s="160">
        <v>55</v>
      </c>
      <c r="O39" s="160">
        <v>60</v>
      </c>
      <c r="P39" s="160">
        <v>65</v>
      </c>
      <c r="Q39" s="160">
        <v>70</v>
      </c>
      <c r="R39" s="160">
        <v>75</v>
      </c>
      <c r="S39" s="160">
        <v>80</v>
      </c>
      <c r="T39" s="160">
        <v>85</v>
      </c>
      <c r="U39" s="160">
        <v>90</v>
      </c>
      <c r="V39" s="167">
        <v>95</v>
      </c>
    </row>
    <row r="40" spans="1:22">
      <c r="A40" s="94" t="s">
        <v>407</v>
      </c>
      <c r="B40" s="94">
        <v>0</v>
      </c>
      <c r="C40" s="164">
        <f>B26+$B$24*4</f>
        <v>-12000</v>
      </c>
      <c r="D40" s="164">
        <f t="shared" ref="D40:V40" si="11">C26+$B$24*4</f>
        <v>-24000</v>
      </c>
      <c r="E40" s="164">
        <f t="shared" si="11"/>
        <v>-36000</v>
      </c>
      <c r="F40" s="164">
        <f t="shared" si="11"/>
        <v>-54000</v>
      </c>
      <c r="G40" s="164">
        <f t="shared" si="11"/>
        <v>-64800</v>
      </c>
      <c r="H40" s="164">
        <f t="shared" si="11"/>
        <v>-69600</v>
      </c>
      <c r="I40" s="164">
        <f t="shared" si="11"/>
        <v>-81600</v>
      </c>
      <c r="J40" s="164">
        <f t="shared" si="11"/>
        <v>-96600</v>
      </c>
      <c r="K40" s="164">
        <f t="shared" si="11"/>
        <v>-123600</v>
      </c>
      <c r="L40" s="164">
        <f t="shared" si="11"/>
        <v>-156600</v>
      </c>
      <c r="M40" s="164">
        <f t="shared" si="11"/>
        <v>-183600</v>
      </c>
      <c r="N40" s="164">
        <f t="shared" si="11"/>
        <v>-201600</v>
      </c>
      <c r="O40" s="164">
        <f t="shared" si="11"/>
        <v>-207600</v>
      </c>
      <c r="P40" s="164">
        <f t="shared" si="11"/>
        <v>-195600</v>
      </c>
      <c r="Q40" s="164">
        <f t="shared" si="11"/>
        <v>-201600</v>
      </c>
      <c r="R40" s="164">
        <f t="shared" si="11"/>
        <v>-207600</v>
      </c>
      <c r="S40" s="164">
        <f t="shared" si="11"/>
        <v>-213600</v>
      </c>
      <c r="T40" s="164">
        <f t="shared" si="11"/>
        <v>-225600</v>
      </c>
      <c r="U40" s="164">
        <f t="shared" si="11"/>
        <v>-237600</v>
      </c>
      <c r="V40" s="164">
        <f t="shared" si="11"/>
        <v>-249600</v>
      </c>
    </row>
    <row r="41" spans="1:22">
      <c r="A41" s="94" t="s">
        <v>408</v>
      </c>
      <c r="B41" s="94">
        <v>0</v>
      </c>
      <c r="C41" s="164">
        <f>B35+$B$24*4</f>
        <v>-12000</v>
      </c>
      <c r="D41" s="164">
        <f t="shared" ref="D41:V41" si="12">C35+$B$24*4</f>
        <v>-24000</v>
      </c>
      <c r="E41" s="164">
        <f t="shared" si="12"/>
        <v>-36000</v>
      </c>
      <c r="F41" s="164">
        <f t="shared" si="12"/>
        <v>-54000</v>
      </c>
      <c r="G41" s="164">
        <f t="shared" si="12"/>
        <v>-64800</v>
      </c>
      <c r="H41" s="164">
        <f t="shared" si="12"/>
        <v>-66000</v>
      </c>
      <c r="I41" s="164">
        <f t="shared" si="12"/>
        <v>-57000</v>
      </c>
      <c r="J41" s="164">
        <f t="shared" si="12"/>
        <v>-36000</v>
      </c>
      <c r="K41" s="164">
        <f t="shared" si="12"/>
        <v>-6000</v>
      </c>
      <c r="L41" s="164">
        <f t="shared" si="12"/>
        <v>39000</v>
      </c>
      <c r="M41" s="164">
        <f t="shared" si="12"/>
        <v>81000</v>
      </c>
      <c r="N41" s="164">
        <f t="shared" si="12"/>
        <v>120000</v>
      </c>
      <c r="O41" s="164">
        <f t="shared" si="12"/>
        <v>156000</v>
      </c>
      <c r="P41" s="164">
        <f t="shared" si="12"/>
        <v>189000</v>
      </c>
      <c r="Q41" s="164">
        <f t="shared" si="12"/>
        <v>183000</v>
      </c>
      <c r="R41" s="164">
        <f t="shared" si="12"/>
        <v>177000</v>
      </c>
      <c r="S41" s="164">
        <f t="shared" si="12"/>
        <v>171000</v>
      </c>
      <c r="T41" s="164">
        <f t="shared" si="12"/>
        <v>159000</v>
      </c>
      <c r="U41" s="164">
        <f t="shared" si="12"/>
        <v>147000</v>
      </c>
      <c r="V41" s="164">
        <f t="shared" si="12"/>
        <v>135000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workbookViewId="0">
      <selection activeCell="G15" sqref="G15"/>
    </sheetView>
  </sheetViews>
  <sheetFormatPr defaultRowHeight="15"/>
  <cols>
    <col min="1" max="1" width="9.140625" style="203"/>
    <col min="2" max="2" width="43.85546875" style="203" customWidth="1"/>
    <col min="3" max="4" width="9.140625" style="203"/>
    <col min="5" max="5" width="10.140625" style="203" bestFit="1" customWidth="1"/>
    <col min="6" max="16384" width="9.140625" style="203"/>
  </cols>
  <sheetData>
    <row r="3" spans="2:11">
      <c r="B3" s="254" t="s">
        <v>427</v>
      </c>
      <c r="C3" s="254"/>
      <c r="D3" s="254"/>
      <c r="E3" s="254"/>
      <c r="F3" s="254"/>
      <c r="G3" s="254"/>
      <c r="H3" s="254"/>
      <c r="I3" s="254"/>
    </row>
    <row r="5" spans="2:11">
      <c r="B5" s="204" t="s">
        <v>428</v>
      </c>
      <c r="C5" s="205" t="s">
        <v>429</v>
      </c>
      <c r="D5" s="205">
        <v>2015</v>
      </c>
      <c r="E5" s="205">
        <v>2020</v>
      </c>
      <c r="F5" s="205">
        <v>2025</v>
      </c>
      <c r="G5" s="205">
        <v>2030</v>
      </c>
      <c r="H5" s="205">
        <v>2035</v>
      </c>
      <c r="I5" s="205">
        <v>2040</v>
      </c>
      <c r="J5" s="205">
        <v>2045</v>
      </c>
      <c r="K5" s="205">
        <v>2050</v>
      </c>
    </row>
    <row r="6" spans="2:11">
      <c r="B6" s="206" t="s">
        <v>430</v>
      </c>
      <c r="C6" s="207">
        <v>6823</v>
      </c>
      <c r="D6" s="207">
        <v>7383.00882</v>
      </c>
      <c r="E6" s="208">
        <v>7794.7987389999998</v>
      </c>
      <c r="F6" s="208">
        <v>8184.4374600000001</v>
      </c>
      <c r="G6" s="208">
        <v>8548.4874</v>
      </c>
      <c r="H6" s="208">
        <v>8887.5242129999988</v>
      </c>
      <c r="I6" s="208">
        <v>9198.847240000001</v>
      </c>
      <c r="J6" s="208">
        <v>9481.8032739999999</v>
      </c>
      <c r="K6" s="208">
        <v>9735.0339899999999</v>
      </c>
    </row>
    <row r="7" spans="2:11">
      <c r="B7" s="206" t="s">
        <v>431</v>
      </c>
      <c r="C7" s="209">
        <v>1.18</v>
      </c>
      <c r="D7" s="209">
        <v>1.1585439629148819</v>
      </c>
      <c r="E7" s="209">
        <f t="shared" ref="E7:K7" si="0">((E6-D6)/5)/D6*100</f>
        <v>1.1155070487915248</v>
      </c>
      <c r="F7" s="209">
        <f t="shared" si="0"/>
        <v>0.99974029874692394</v>
      </c>
      <c r="G7" s="209">
        <f t="shared" si="0"/>
        <v>0.88961505730657719</v>
      </c>
      <c r="H7" s="209">
        <f t="shared" si="0"/>
        <v>0.79320889681605855</v>
      </c>
      <c r="I7" s="209">
        <f t="shared" si="0"/>
        <v>0.70058436869206475</v>
      </c>
      <c r="J7" s="209">
        <f t="shared" si="0"/>
        <v>0.61519889746532819</v>
      </c>
      <c r="K7" s="209">
        <f t="shared" si="0"/>
        <v>0.53414041334180085</v>
      </c>
    </row>
    <row r="8" spans="2:11">
      <c r="B8" s="206" t="s">
        <v>432</v>
      </c>
      <c r="C8" s="207">
        <v>64074.6</v>
      </c>
      <c r="D8" s="207">
        <v>75037.186502549754</v>
      </c>
      <c r="E8" s="207">
        <f t="shared" ref="E8:K8" si="1">E6*E9</f>
        <v>99028.015032254611</v>
      </c>
      <c r="F8" s="207">
        <f t="shared" si="1"/>
        <v>129972.66237360958</v>
      </c>
      <c r="G8" s="207">
        <f t="shared" si="1"/>
        <v>169692.43030987366</v>
      </c>
      <c r="H8" s="207">
        <f t="shared" si="1"/>
        <v>220528.13447760025</v>
      </c>
      <c r="I8" s="207">
        <f t="shared" si="1"/>
        <v>285316.32833898958</v>
      </c>
      <c r="J8" s="207">
        <f t="shared" si="1"/>
        <v>367615.80358767457</v>
      </c>
      <c r="K8" s="207">
        <f t="shared" si="1"/>
        <v>471792.15806454944</v>
      </c>
    </row>
    <row r="9" spans="2:11">
      <c r="B9" s="206" t="s">
        <v>433</v>
      </c>
      <c r="C9" s="210">
        <f>C8/C6</f>
        <v>9.3909717133225854</v>
      </c>
      <c r="D9" s="210">
        <v>10.163496798118381</v>
      </c>
      <c r="E9" s="210">
        <f t="shared" ref="E9:K9" si="2">(D9*E10/100)*5+D9</f>
        <v>12.704370997647976</v>
      </c>
      <c r="F9" s="210">
        <f t="shared" si="2"/>
        <v>15.88046374705997</v>
      </c>
      <c r="G9" s="210">
        <f t="shared" si="2"/>
        <v>19.850579683824961</v>
      </c>
      <c r="H9" s="210">
        <f t="shared" si="2"/>
        <v>24.813224604781201</v>
      </c>
      <c r="I9" s="210">
        <f t="shared" si="2"/>
        <v>31.0165307559765</v>
      </c>
      <c r="J9" s="210">
        <f t="shared" si="2"/>
        <v>38.770663444970623</v>
      </c>
      <c r="K9" s="210">
        <f t="shared" si="2"/>
        <v>48.463329306213282</v>
      </c>
    </row>
    <row r="10" spans="2:11">
      <c r="B10" s="206" t="s">
        <v>434</v>
      </c>
      <c r="C10" s="209">
        <v>7.3681000942978416</v>
      </c>
      <c r="D10" s="209">
        <v>-5.3992428518756412</v>
      </c>
      <c r="E10" s="211">
        <v>5</v>
      </c>
      <c r="F10" s="211">
        <v>5</v>
      </c>
      <c r="G10" s="211">
        <v>5</v>
      </c>
      <c r="H10" s="211">
        <v>5</v>
      </c>
      <c r="I10" s="211">
        <v>5</v>
      </c>
      <c r="J10" s="211">
        <v>5</v>
      </c>
      <c r="K10" s="211">
        <v>5</v>
      </c>
    </row>
    <row r="11" spans="2:11">
      <c r="B11" s="206" t="s">
        <v>435</v>
      </c>
      <c r="C11" s="212">
        <v>45.782592000000001</v>
      </c>
      <c r="D11" s="212">
        <v>42.929298000000003</v>
      </c>
      <c r="E11" s="213">
        <v>41.971170681357748</v>
      </c>
      <c r="F11" s="213">
        <v>42.499242935581918</v>
      </c>
      <c r="G11" s="213">
        <v>43.855962599610322</v>
      </c>
      <c r="H11" s="213">
        <v>44.964880749176139</v>
      </c>
      <c r="I11" s="213">
        <v>45.663071790609031</v>
      </c>
      <c r="J11" s="213">
        <v>46.220742281419369</v>
      </c>
      <c r="K11" s="213">
        <v>47.06500360827404</v>
      </c>
    </row>
    <row r="12" spans="2:11">
      <c r="B12" s="214" t="s">
        <v>436</v>
      </c>
      <c r="C12" s="215">
        <v>0.67125897698959403</v>
      </c>
      <c r="D12" s="215">
        <v>0.58146074380553159</v>
      </c>
      <c r="E12" s="215">
        <f t="shared" ref="E12:K12" si="3">E11/E6*100</f>
        <v>0.53845098618597897</v>
      </c>
      <c r="F12" s="215">
        <f t="shared" si="3"/>
        <v>0.51926895578699828</v>
      </c>
      <c r="G12" s="215">
        <f t="shared" si="3"/>
        <v>0.51302599568211704</v>
      </c>
      <c r="H12" s="215">
        <f t="shared" si="3"/>
        <v>0.505932582252827</v>
      </c>
      <c r="I12" s="215">
        <f t="shared" si="3"/>
        <v>0.49639993576639752</v>
      </c>
      <c r="J12" s="215">
        <f t="shared" si="3"/>
        <v>0.48746784705142548</v>
      </c>
      <c r="K12" s="215">
        <f t="shared" si="3"/>
        <v>0.48346008505589244</v>
      </c>
    </row>
    <row r="13" spans="2:11">
      <c r="B13" s="204" t="s">
        <v>437</v>
      </c>
      <c r="C13" s="216">
        <v>136.4</v>
      </c>
      <c r="D13" s="216">
        <v>91.030959454696102</v>
      </c>
      <c r="E13" s="212">
        <f t="shared" ref="E13:K13" si="4">E11*E14</f>
        <v>138.63650412080932</v>
      </c>
      <c r="F13" s="212">
        <f t="shared" si="4"/>
        <v>188.97415228048092</v>
      </c>
      <c r="G13" s="212">
        <f t="shared" si="4"/>
        <v>252.46422125637946</v>
      </c>
      <c r="H13" s="212">
        <f t="shared" si="4"/>
        <v>334.71710560695294</v>
      </c>
      <c r="I13" s="212">
        <f t="shared" si="4"/>
        <v>439.05612188779423</v>
      </c>
      <c r="J13" s="212">
        <f t="shared" si="4"/>
        <v>573.44282981428285</v>
      </c>
      <c r="K13" s="212">
        <f t="shared" si="4"/>
        <v>729.8965659730884</v>
      </c>
    </row>
    <row r="14" spans="2:11">
      <c r="B14" s="204" t="s">
        <v>438</v>
      </c>
      <c r="C14" s="210">
        <f>C13/C11</f>
        <v>2.9792983324316809</v>
      </c>
      <c r="D14" s="210">
        <v>2.12048562859556</v>
      </c>
      <c r="E14" s="210">
        <f t="shared" ref="E14:K14" si="5">E9*E15/100</f>
        <v>3.3031364593884733</v>
      </c>
      <c r="F14" s="210">
        <f t="shared" si="5"/>
        <v>4.4465298491767919</v>
      </c>
      <c r="G14" s="210">
        <f t="shared" si="5"/>
        <v>5.7566681083092384</v>
      </c>
      <c r="H14" s="210">
        <f t="shared" si="5"/>
        <v>7.4439673814343594</v>
      </c>
      <c r="I14" s="210">
        <f t="shared" si="5"/>
        <v>9.6151245343527147</v>
      </c>
      <c r="J14" s="210">
        <f t="shared" si="5"/>
        <v>12.406612302390599</v>
      </c>
      <c r="K14" s="210">
        <f t="shared" si="5"/>
        <v>15.50826537798825</v>
      </c>
    </row>
    <row r="15" spans="2:11" ht="30">
      <c r="B15" s="204" t="s">
        <v>439</v>
      </c>
      <c r="C15" s="217">
        <f>C14/C9*100</f>
        <v>31.725133706931231</v>
      </c>
      <c r="D15" s="217">
        <v>20.863740804130881</v>
      </c>
      <c r="E15" s="218">
        <v>26</v>
      </c>
      <c r="F15" s="218">
        <v>28</v>
      </c>
      <c r="G15" s="218">
        <v>29</v>
      </c>
      <c r="H15" s="218">
        <v>30</v>
      </c>
      <c r="I15" s="218">
        <v>31</v>
      </c>
      <c r="J15" s="218">
        <v>32</v>
      </c>
      <c r="K15" s="218">
        <v>32</v>
      </c>
    </row>
    <row r="16" spans="2:11">
      <c r="B16" s="206" t="s">
        <v>440</v>
      </c>
      <c r="C16" s="212">
        <v>31.269164</v>
      </c>
      <c r="D16" s="212">
        <v>29.673113000000001</v>
      </c>
      <c r="E16" s="212">
        <f t="shared" ref="E16:K16" si="6">E11*E17/100</f>
        <v>28.918136599455494</v>
      </c>
      <c r="F16" s="212">
        <f t="shared" si="6"/>
        <v>29.834468540778506</v>
      </c>
      <c r="G16" s="212">
        <f t="shared" si="6"/>
        <v>30.918453632725278</v>
      </c>
      <c r="H16" s="212">
        <f t="shared" si="6"/>
        <v>31.835135570416707</v>
      </c>
      <c r="I16" s="212">
        <f t="shared" si="6"/>
        <v>32.466444043123019</v>
      </c>
      <c r="J16" s="212">
        <f t="shared" si="6"/>
        <v>33.001609988933431</v>
      </c>
      <c r="K16" s="212">
        <f t="shared" si="6"/>
        <v>33.74560758713249</v>
      </c>
    </row>
    <row r="17" spans="2:11" ht="30">
      <c r="B17" s="204" t="s">
        <v>441</v>
      </c>
      <c r="C17" s="217">
        <v>68.273283842794768</v>
      </c>
      <c r="D17" s="217">
        <v>69.120890353250132</v>
      </c>
      <c r="E17" s="218">
        <v>68.900000000000006</v>
      </c>
      <c r="F17" s="218">
        <v>70.2</v>
      </c>
      <c r="G17" s="218">
        <v>70.5</v>
      </c>
      <c r="H17" s="218">
        <v>70.8</v>
      </c>
      <c r="I17" s="218">
        <v>71.099999999999994</v>
      </c>
      <c r="J17" s="218">
        <v>71.400000000000006</v>
      </c>
      <c r="K17" s="218">
        <v>71.7</v>
      </c>
    </row>
    <row r="18" spans="2:11" ht="30">
      <c r="B18" s="204" t="s">
        <v>442</v>
      </c>
      <c r="C18" s="219">
        <v>1.61E-2</v>
      </c>
      <c r="D18" s="219">
        <v>1.4233000000000001E-2</v>
      </c>
      <c r="E18" s="220">
        <v>6.1412000000000001E-2</v>
      </c>
      <c r="F18" s="220">
        <v>6.1412000000000001E-2</v>
      </c>
      <c r="G18" s="220">
        <v>6.1412000000000001E-2</v>
      </c>
      <c r="H18" s="220">
        <v>6.1412000000000001E-2</v>
      </c>
      <c r="I18" s="220">
        <v>6.1412000000000001E-2</v>
      </c>
      <c r="J18" s="220">
        <v>6.1412000000000001E-2</v>
      </c>
      <c r="K18" s="220">
        <v>6.1412000000000001E-2</v>
      </c>
    </row>
    <row r="19" spans="2:11" ht="30">
      <c r="B19" s="204" t="s">
        <v>443</v>
      </c>
      <c r="C19" s="219">
        <f>C18/C11*100</f>
        <v>3.5166204657001508E-2</v>
      </c>
      <c r="D19" s="219">
        <v>3.3154513730925671E-2</v>
      </c>
      <c r="E19" s="219">
        <f t="shared" ref="E19:K19" si="7">E18/E11*100</f>
        <v>0.146319483119105</v>
      </c>
      <c r="F19" s="219">
        <f t="shared" si="7"/>
        <v>0.14450139757332861</v>
      </c>
      <c r="G19" s="219">
        <f t="shared" si="7"/>
        <v>0.14003112999860517</v>
      </c>
      <c r="H19" s="219">
        <f t="shared" si="7"/>
        <v>0.13657770014462944</v>
      </c>
      <c r="I19" s="219">
        <f t="shared" si="7"/>
        <v>0.13448941911225049</v>
      </c>
      <c r="J19" s="219">
        <f t="shared" si="7"/>
        <v>0.1328667541210983</v>
      </c>
      <c r="K19" s="219">
        <f t="shared" si="7"/>
        <v>0.1304833640535486</v>
      </c>
    </row>
    <row r="20" spans="2:11" ht="29.25">
      <c r="B20" s="221" t="s">
        <v>444</v>
      </c>
      <c r="C20" s="222">
        <f>C11*C21/100</f>
        <v>11.016969000000001</v>
      </c>
      <c r="D20" s="222">
        <v>9.826098</v>
      </c>
      <c r="E20" s="223">
        <v>9.2481625764480135</v>
      </c>
      <c r="F20" s="224">
        <v>8.6680173540732302</v>
      </c>
      <c r="G20" s="224">
        <v>8.2405513559399388</v>
      </c>
      <c r="H20" s="224">
        <v>7.6241887400487842</v>
      </c>
      <c r="I20" s="224">
        <v>6.9587130904961709</v>
      </c>
      <c r="J20" s="224">
        <v>7.4181890902340868</v>
      </c>
      <c r="K20" s="224">
        <v>8.3085013343949807</v>
      </c>
    </row>
    <row r="21" spans="2:11">
      <c r="B21" s="225" t="s">
        <v>445</v>
      </c>
      <c r="C21" s="226">
        <v>24.063663761108153</v>
      </c>
      <c r="D21" s="226">
        <v>22.889025578755099</v>
      </c>
      <c r="E21" s="227">
        <f t="shared" ref="E21:K21" si="8">E20/E11*100</f>
        <v>22.034559499565621</v>
      </c>
      <c r="F21" s="227">
        <f t="shared" si="8"/>
        <v>20.395698265053213</v>
      </c>
      <c r="G21" s="227">
        <f t="shared" si="8"/>
        <v>18.790036445382139</v>
      </c>
      <c r="H21" s="227">
        <f t="shared" si="8"/>
        <v>16.955874480304225</v>
      </c>
      <c r="I21" s="227">
        <f t="shared" si="8"/>
        <v>15.239257495434821</v>
      </c>
      <c r="J21" s="227">
        <f t="shared" si="8"/>
        <v>16.049480653226507</v>
      </c>
      <c r="K21" s="227">
        <f t="shared" si="8"/>
        <v>17.653246993344212</v>
      </c>
    </row>
    <row r="22" spans="2:11">
      <c r="B22" s="228" t="s">
        <v>446</v>
      </c>
      <c r="C22" s="229">
        <f>C11*C23/100</f>
        <v>8.0811260000000011</v>
      </c>
      <c r="D22" s="229">
        <v>7.6147039999999997</v>
      </c>
      <c r="E22" s="230">
        <v>7.6288830578572009</v>
      </c>
      <c r="F22" s="230">
        <v>8.709485748627003</v>
      </c>
      <c r="G22" s="230">
        <v>10.322760225744601</v>
      </c>
      <c r="H22" s="230">
        <v>11.875566293494691</v>
      </c>
      <c r="I22" s="230">
        <v>13.22014171473883</v>
      </c>
      <c r="J22" s="230">
        <v>12.89964501730967</v>
      </c>
      <c r="K22" s="230">
        <v>12.633986745350679</v>
      </c>
    </row>
    <row r="23" spans="2:11">
      <c r="B23" s="231" t="s">
        <v>447</v>
      </c>
      <c r="C23" s="232">
        <v>17.651088868013414</v>
      </c>
      <c r="D23" s="232">
        <v>17.73777898720822</v>
      </c>
      <c r="E23" s="233">
        <f t="shared" ref="E23:K23" si="9">E22/E11*100</f>
        <v>18.176483843577198</v>
      </c>
      <c r="F23" s="233">
        <f t="shared" si="9"/>
        <v>20.493272696241615</v>
      </c>
      <c r="G23" s="233">
        <f t="shared" si="9"/>
        <v>23.537871737049326</v>
      </c>
      <c r="H23" s="233">
        <f t="shared" si="9"/>
        <v>26.410759009323691</v>
      </c>
      <c r="I23" s="233">
        <f t="shared" si="9"/>
        <v>28.951494492881785</v>
      </c>
      <c r="J23" s="233">
        <f t="shared" si="9"/>
        <v>27.908779436662783</v>
      </c>
      <c r="K23" s="233">
        <f t="shared" si="9"/>
        <v>26.843696540436728</v>
      </c>
    </row>
    <row r="24" spans="2:11" ht="30">
      <c r="B24" s="234" t="s">
        <v>448</v>
      </c>
      <c r="C24" s="233">
        <f>C22/C20</f>
        <v>0.73351626931145941</v>
      </c>
      <c r="D24" s="233">
        <v>0.77494688125439004</v>
      </c>
      <c r="E24" s="233">
        <f t="shared" ref="E24:K24" si="10">E22/E20</f>
        <v>0.82490797439973884</v>
      </c>
      <c r="F24" s="233">
        <f t="shared" si="10"/>
        <v>1.0047840691659766</v>
      </c>
      <c r="G24" s="233">
        <f t="shared" si="10"/>
        <v>1.2526783439440332</v>
      </c>
      <c r="H24" s="233">
        <f t="shared" si="10"/>
        <v>1.5576170394515578</v>
      </c>
      <c r="I24" s="233">
        <f t="shared" si="10"/>
        <v>1.8997969226226865</v>
      </c>
      <c r="J24" s="233">
        <f t="shared" si="10"/>
        <v>1.7389210305102389</v>
      </c>
      <c r="K24" s="233">
        <f t="shared" si="10"/>
        <v>1.5206095825066961</v>
      </c>
    </row>
    <row r="25" spans="2:11">
      <c r="B25" s="235" t="s">
        <v>449</v>
      </c>
      <c r="C25" s="236">
        <f>(C11*10.8)/1000</f>
        <v>0.49445199360000003</v>
      </c>
      <c r="D25" s="236">
        <v>0.41178100000000001</v>
      </c>
      <c r="E25" s="236">
        <f t="shared" ref="E25:K25" si="11">E20*E26/1000*0.9938</f>
        <v>0.3676329587389614</v>
      </c>
      <c r="F25" s="236">
        <f t="shared" si="11"/>
        <v>0.73221342995062788</v>
      </c>
      <c r="G25" s="236">
        <f t="shared" si="11"/>
        <v>0.77799869406564559</v>
      </c>
      <c r="H25" s="236">
        <f t="shared" si="11"/>
        <v>0.7198072831367458</v>
      </c>
      <c r="I25" s="236">
        <f t="shared" si="11"/>
        <v>0.65697906158683395</v>
      </c>
      <c r="J25" s="236">
        <f t="shared" si="11"/>
        <v>0.70035865019809029</v>
      </c>
      <c r="K25" s="236">
        <f t="shared" si="11"/>
        <v>0.78441391948156458</v>
      </c>
    </row>
    <row r="26" spans="2:11" ht="30">
      <c r="B26" s="234" t="s">
        <v>450</v>
      </c>
      <c r="C26" s="233">
        <f>C25/C20*1000</f>
        <v>44.880946256633742</v>
      </c>
      <c r="D26" s="233">
        <v>41.906868830333259</v>
      </c>
      <c r="E26" s="237">
        <v>40</v>
      </c>
      <c r="F26" s="237">
        <v>85</v>
      </c>
      <c r="G26" s="237">
        <v>95</v>
      </c>
      <c r="H26" s="237">
        <v>95</v>
      </c>
      <c r="I26" s="237">
        <v>95</v>
      </c>
      <c r="J26" s="237">
        <v>95</v>
      </c>
      <c r="K26" s="237">
        <v>95</v>
      </c>
    </row>
    <row r="27" spans="2:11" ht="29.25">
      <c r="B27" s="238" t="s">
        <v>451</v>
      </c>
      <c r="C27" s="239">
        <f>C11*C28/100</f>
        <v>17.831987999999999</v>
      </c>
      <c r="D27" s="239">
        <v>16.555828999999999</v>
      </c>
      <c r="E27" s="240">
        <v>15.639055373237159</v>
      </c>
      <c r="F27" s="240">
        <v>14.789757565357929</v>
      </c>
      <c r="G27" s="240">
        <v>14.66690429782285</v>
      </c>
      <c r="H27" s="240">
        <v>14.555358340151731</v>
      </c>
      <c r="I27" s="240">
        <v>14.25408578342447</v>
      </c>
      <c r="J27" s="240">
        <v>14.156673300564631</v>
      </c>
      <c r="K27" s="240">
        <v>13.73218183372849</v>
      </c>
    </row>
    <row r="28" spans="2:11" ht="30">
      <c r="B28" s="241" t="s">
        <v>452</v>
      </c>
      <c r="C28" s="242">
        <v>38.949275742186025</v>
      </c>
      <c r="D28" s="242">
        <v>38.565338291811798</v>
      </c>
      <c r="E28" s="243">
        <f t="shared" ref="E28:K28" si="12">E27/E11*100</f>
        <v>37.261422827511289</v>
      </c>
      <c r="F28" s="243">
        <f t="shared" si="12"/>
        <v>34.800049468588071</v>
      </c>
      <c r="G28" s="243">
        <f t="shared" si="12"/>
        <v>33.443352804102332</v>
      </c>
      <c r="H28" s="243">
        <f t="shared" si="12"/>
        <v>32.370503596672876</v>
      </c>
      <c r="I28" s="243">
        <f t="shared" si="12"/>
        <v>31.215783836855088</v>
      </c>
      <c r="J28" s="243">
        <f t="shared" si="12"/>
        <v>30.628398856882011</v>
      </c>
      <c r="K28" s="243">
        <f t="shared" si="12"/>
        <v>29.177054671072771</v>
      </c>
    </row>
    <row r="29" spans="2:11">
      <c r="B29" s="244" t="s">
        <v>453</v>
      </c>
      <c r="C29" s="245">
        <f>C11*C30/100</f>
        <v>9.2594792510043682</v>
      </c>
      <c r="D29" s="245">
        <v>8.7630300000000005</v>
      </c>
      <c r="E29" s="246">
        <v>9.4550696738153803</v>
      </c>
      <c r="F29" s="246">
        <v>10.33198226752376</v>
      </c>
      <c r="G29" s="246">
        <v>10.62574672010291</v>
      </c>
      <c r="H29" s="246">
        <v>10.90976737548092</v>
      </c>
      <c r="I29" s="246">
        <v>11.230131201949559</v>
      </c>
      <c r="J29" s="246">
        <v>11.74623487331097</v>
      </c>
      <c r="K29" s="246">
        <v>12.390333694799899</v>
      </c>
    </row>
    <row r="30" spans="2:11" ht="30">
      <c r="B30" s="247" t="s">
        <v>454</v>
      </c>
      <c r="C30" s="248">
        <v>20.224890829694324</v>
      </c>
      <c r="D30" s="248">
        <v>20.41270276537017</v>
      </c>
      <c r="E30" s="249">
        <f t="shared" ref="E30:K30" si="13">E29/E11*100</f>
        <v>22.527533829345913</v>
      </c>
      <c r="F30" s="249">
        <f t="shared" si="13"/>
        <v>24.310979570117112</v>
      </c>
      <c r="G30" s="249">
        <f t="shared" si="13"/>
        <v>24.228739013466154</v>
      </c>
      <c r="H30" s="249">
        <f t="shared" si="13"/>
        <v>24.26286291369918</v>
      </c>
      <c r="I30" s="249">
        <f t="shared" si="13"/>
        <v>24.593464174828298</v>
      </c>
      <c r="J30" s="249">
        <f t="shared" si="13"/>
        <v>25.413341053228667</v>
      </c>
      <c r="K30" s="249">
        <f t="shared" si="13"/>
        <v>26.326001795146308</v>
      </c>
    </row>
    <row r="31" spans="2:11">
      <c r="B31" s="250" t="s">
        <v>455</v>
      </c>
      <c r="C31" s="251">
        <f>(C11*15.2)/1000</f>
        <v>0.69589539840000003</v>
      </c>
      <c r="D31" s="251">
        <v>0.59479599999999999</v>
      </c>
      <c r="E31" s="251">
        <f t="shared" ref="E31:K31" si="14">E32/1000*E11</f>
        <v>0.6127790919478231</v>
      </c>
      <c r="F31" s="251">
        <f t="shared" si="14"/>
        <v>0.62048894685949596</v>
      </c>
      <c r="G31" s="251">
        <f t="shared" si="14"/>
        <v>0.64029705395431069</v>
      </c>
      <c r="H31" s="251">
        <f t="shared" si="14"/>
        <v>0.65648725893797166</v>
      </c>
      <c r="I31" s="251">
        <f t="shared" si="14"/>
        <v>0.66668084814289186</v>
      </c>
      <c r="J31" s="251">
        <f t="shared" si="14"/>
        <v>0.67482283730872283</v>
      </c>
      <c r="K31" s="251">
        <f t="shared" si="14"/>
        <v>0.68714905268080095</v>
      </c>
    </row>
    <row r="32" spans="2:11">
      <c r="B32" s="247" t="s">
        <v>456</v>
      </c>
      <c r="C32" s="249">
        <v>19.335971628692409</v>
      </c>
      <c r="D32" s="249">
        <v>14.9</v>
      </c>
      <c r="E32" s="252">
        <f t="shared" ref="E32:K32" si="15">14.6</f>
        <v>14.6</v>
      </c>
      <c r="F32" s="252">
        <f t="shared" si="15"/>
        <v>14.6</v>
      </c>
      <c r="G32" s="252">
        <f t="shared" si="15"/>
        <v>14.6</v>
      </c>
      <c r="H32" s="252">
        <f t="shared" si="15"/>
        <v>14.6</v>
      </c>
      <c r="I32" s="252">
        <f t="shared" si="15"/>
        <v>14.6</v>
      </c>
      <c r="J32" s="252">
        <f t="shared" si="15"/>
        <v>14.6</v>
      </c>
      <c r="K32" s="252">
        <f t="shared" si="15"/>
        <v>14.6</v>
      </c>
    </row>
  </sheetData>
  <mergeCells count="1">
    <mergeCell ref="B3:I3"/>
  </mergeCell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C30" sqref="C30"/>
    </sheetView>
  </sheetViews>
  <sheetFormatPr defaultRowHeight="15"/>
  <cols>
    <col min="1" max="1" width="25.42578125" customWidth="1"/>
  </cols>
  <sheetData>
    <row r="1" spans="1:21">
      <c r="A1" t="s">
        <v>0</v>
      </c>
    </row>
    <row r="2" spans="1:21" ht="111.75">
      <c r="A2" s="5" t="s">
        <v>1</v>
      </c>
      <c r="B2" s="6" t="s">
        <v>426</v>
      </c>
      <c r="C2" s="6" t="s">
        <v>3</v>
      </c>
      <c r="D2" s="6" t="s">
        <v>4</v>
      </c>
      <c r="E2" s="6" t="s">
        <v>5</v>
      </c>
      <c r="F2" s="6" t="s">
        <v>6</v>
      </c>
      <c r="G2" s="6"/>
      <c r="H2" s="6"/>
      <c r="I2" s="6"/>
      <c r="J2" s="6"/>
      <c r="K2" s="6"/>
      <c r="L2" s="6"/>
      <c r="M2" s="6" t="s">
        <v>7</v>
      </c>
      <c r="N2" s="7"/>
      <c r="O2" s="7"/>
      <c r="P2" s="7" t="s">
        <v>8</v>
      </c>
      <c r="Q2" s="7"/>
      <c r="R2" s="7"/>
      <c r="S2" s="7"/>
      <c r="T2" s="7"/>
      <c r="U2" s="7" t="s">
        <v>9</v>
      </c>
    </row>
    <row r="3" spans="1:21">
      <c r="A3" s="1" t="s">
        <v>10</v>
      </c>
      <c r="B3" s="5">
        <v>-1</v>
      </c>
      <c r="C3" s="5">
        <v>5</v>
      </c>
      <c r="D3" s="5">
        <v>10</v>
      </c>
      <c r="E3" s="5">
        <v>15</v>
      </c>
      <c r="F3" s="5">
        <v>18</v>
      </c>
      <c r="G3" s="5">
        <v>20</v>
      </c>
      <c r="H3" s="5">
        <v>25</v>
      </c>
      <c r="I3" s="5">
        <v>30</v>
      </c>
      <c r="J3" s="5">
        <v>35</v>
      </c>
      <c r="K3" s="5">
        <v>40</v>
      </c>
      <c r="L3" s="5">
        <v>45</v>
      </c>
      <c r="M3" s="5">
        <v>50</v>
      </c>
      <c r="N3" s="5">
        <v>55</v>
      </c>
      <c r="O3" s="5">
        <v>60</v>
      </c>
      <c r="P3" s="5">
        <v>65</v>
      </c>
      <c r="Q3" s="5">
        <v>70</v>
      </c>
      <c r="R3" s="5">
        <v>75</v>
      </c>
      <c r="S3" s="5">
        <v>80</v>
      </c>
      <c r="T3" s="5">
        <v>85</v>
      </c>
      <c r="U3" s="5" t="s">
        <v>11</v>
      </c>
    </row>
    <row r="5" spans="1:21">
      <c r="A5" t="s">
        <v>12</v>
      </c>
      <c r="B5" s="3">
        <v>1</v>
      </c>
      <c r="C5" s="3">
        <v>5</v>
      </c>
      <c r="D5" s="3">
        <v>5</v>
      </c>
      <c r="E5" s="3">
        <v>5</v>
      </c>
      <c r="F5" s="3">
        <v>3</v>
      </c>
      <c r="G5" s="3">
        <v>2</v>
      </c>
      <c r="H5" s="3">
        <v>5</v>
      </c>
      <c r="I5" s="3">
        <v>5</v>
      </c>
      <c r="J5" s="3">
        <v>5</v>
      </c>
      <c r="K5" s="3">
        <v>5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3">
        <v>5</v>
      </c>
      <c r="R5" s="3">
        <v>5</v>
      </c>
      <c r="S5" s="3">
        <v>5</v>
      </c>
      <c r="T5" s="3">
        <v>5</v>
      </c>
      <c r="U5" s="3">
        <v>5</v>
      </c>
    </row>
    <row r="6" spans="1:21">
      <c r="A6" t="s">
        <v>13</v>
      </c>
      <c r="B6" s="3">
        <v>-200</v>
      </c>
      <c r="C6" s="3">
        <v>-200</v>
      </c>
      <c r="D6" s="3">
        <v>-200</v>
      </c>
      <c r="E6" s="3">
        <v>-300</v>
      </c>
      <c r="F6" s="3">
        <v>-300</v>
      </c>
      <c r="G6" s="3">
        <v>-400</v>
      </c>
      <c r="H6" s="3">
        <v>-500</v>
      </c>
      <c r="I6" s="3">
        <v>-500</v>
      </c>
      <c r="J6" s="3">
        <v>-500</v>
      </c>
      <c r="K6" s="3">
        <v>-500</v>
      </c>
      <c r="L6" s="3">
        <v>-500</v>
      </c>
      <c r="M6" s="3">
        <v>-500</v>
      </c>
      <c r="N6" s="3">
        <v>-500</v>
      </c>
      <c r="O6" s="3">
        <v>-500</v>
      </c>
      <c r="P6" s="3">
        <v>-500</v>
      </c>
      <c r="Q6" s="3">
        <v>-400</v>
      </c>
      <c r="R6" s="3">
        <v>-400</v>
      </c>
      <c r="S6" s="3">
        <v>-400</v>
      </c>
      <c r="T6" s="3">
        <v>-400</v>
      </c>
      <c r="U6" s="3">
        <v>-400</v>
      </c>
    </row>
    <row r="7" spans="1:21">
      <c r="A7" t="s">
        <v>14</v>
      </c>
      <c r="B7" s="3">
        <f>B6*12</f>
        <v>-2400</v>
      </c>
      <c r="C7" s="3">
        <f>C6*12</f>
        <v>-2400</v>
      </c>
      <c r="D7" s="3">
        <f>D6*12</f>
        <v>-2400</v>
      </c>
      <c r="E7" s="3">
        <f>E6*12</f>
        <v>-3600</v>
      </c>
      <c r="F7" s="3">
        <f>F6*12</f>
        <v>-3600</v>
      </c>
      <c r="G7" s="3">
        <f t="shared" ref="G7:U7" si="0">G6*12</f>
        <v>-4800</v>
      </c>
      <c r="H7" s="3">
        <f t="shared" si="0"/>
        <v>-6000</v>
      </c>
      <c r="I7" s="3">
        <f t="shared" si="0"/>
        <v>-6000</v>
      </c>
      <c r="J7" s="3">
        <f t="shared" si="0"/>
        <v>-6000</v>
      </c>
      <c r="K7" s="3">
        <f t="shared" si="0"/>
        <v>-6000</v>
      </c>
      <c r="L7" s="3">
        <f t="shared" si="0"/>
        <v>-6000</v>
      </c>
      <c r="M7" s="3">
        <f t="shared" si="0"/>
        <v>-6000</v>
      </c>
      <c r="N7" s="3">
        <f t="shared" si="0"/>
        <v>-6000</v>
      </c>
      <c r="O7" s="3">
        <f t="shared" si="0"/>
        <v>-6000</v>
      </c>
      <c r="P7" s="3">
        <f t="shared" si="0"/>
        <v>-6000</v>
      </c>
      <c r="Q7" s="3">
        <f t="shared" si="0"/>
        <v>-4800</v>
      </c>
      <c r="R7" s="3">
        <f t="shared" si="0"/>
        <v>-4800</v>
      </c>
      <c r="S7" s="3">
        <f t="shared" si="0"/>
        <v>-4800</v>
      </c>
      <c r="T7" s="3">
        <f t="shared" si="0"/>
        <v>-4800</v>
      </c>
      <c r="U7" s="3">
        <f t="shared" si="0"/>
        <v>-4800</v>
      </c>
    </row>
    <row r="8" spans="1:21">
      <c r="A8" t="s">
        <v>15</v>
      </c>
      <c r="B8" s="3">
        <f>B7*B5</f>
        <v>-2400</v>
      </c>
      <c r="C8" s="3">
        <f>C7*C5</f>
        <v>-12000</v>
      </c>
      <c r="D8" s="3">
        <f>D7*D5</f>
        <v>-12000</v>
      </c>
      <c r="E8" s="3">
        <f>E7*E5</f>
        <v>-18000</v>
      </c>
      <c r="F8" s="3">
        <f>F7*F5</f>
        <v>-10800</v>
      </c>
      <c r="G8" s="3">
        <f t="shared" ref="G8:U8" si="1">G7*G5</f>
        <v>-9600</v>
      </c>
      <c r="H8" s="3">
        <f t="shared" si="1"/>
        <v>-30000</v>
      </c>
      <c r="I8" s="3">
        <f t="shared" si="1"/>
        <v>-30000</v>
      </c>
      <c r="J8" s="3">
        <f t="shared" si="1"/>
        <v>-30000</v>
      </c>
      <c r="K8" s="3">
        <f t="shared" si="1"/>
        <v>-30000</v>
      </c>
      <c r="L8" s="3">
        <f t="shared" si="1"/>
        <v>-30000</v>
      </c>
      <c r="M8" s="3">
        <f t="shared" si="1"/>
        <v>-30000</v>
      </c>
      <c r="N8" s="3">
        <f t="shared" si="1"/>
        <v>-30000</v>
      </c>
      <c r="O8" s="3">
        <f t="shared" si="1"/>
        <v>-30000</v>
      </c>
      <c r="P8" s="3">
        <f t="shared" si="1"/>
        <v>-30000</v>
      </c>
      <c r="Q8" s="3">
        <f t="shared" si="1"/>
        <v>-24000</v>
      </c>
      <c r="R8" s="3">
        <f t="shared" si="1"/>
        <v>-24000</v>
      </c>
      <c r="S8" s="3">
        <f t="shared" si="1"/>
        <v>-24000</v>
      </c>
      <c r="T8" s="3">
        <f t="shared" si="1"/>
        <v>-24000</v>
      </c>
      <c r="U8" s="3">
        <f t="shared" si="1"/>
        <v>-24000</v>
      </c>
    </row>
    <row r="10" spans="1:21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300</v>
      </c>
      <c r="H10">
        <v>550</v>
      </c>
      <c r="I10">
        <v>700</v>
      </c>
      <c r="J10">
        <v>800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400</v>
      </c>
      <c r="Q10">
        <v>300</v>
      </c>
      <c r="R10">
        <v>300</v>
      </c>
      <c r="S10">
        <v>200</v>
      </c>
      <c r="T10">
        <v>200</v>
      </c>
      <c r="U10">
        <v>200</v>
      </c>
    </row>
    <row r="11" spans="1:21">
      <c r="A11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f>G10*12</f>
        <v>3600</v>
      </c>
      <c r="H11" s="3">
        <f t="shared" ref="H11:U11" si="2">H10*12</f>
        <v>6600</v>
      </c>
      <c r="I11" s="3">
        <f t="shared" si="2"/>
        <v>8400</v>
      </c>
      <c r="J11" s="3">
        <f t="shared" si="2"/>
        <v>9600</v>
      </c>
      <c r="K11" s="3">
        <f t="shared" si="2"/>
        <v>12000</v>
      </c>
      <c r="L11" s="3">
        <f t="shared" si="2"/>
        <v>12000</v>
      </c>
      <c r="M11" s="3">
        <f t="shared" si="2"/>
        <v>12000</v>
      </c>
      <c r="N11" s="3">
        <f t="shared" si="2"/>
        <v>12000</v>
      </c>
      <c r="O11" s="3">
        <f t="shared" si="2"/>
        <v>12000</v>
      </c>
      <c r="P11" s="3">
        <f t="shared" si="2"/>
        <v>4800</v>
      </c>
      <c r="Q11" s="3">
        <f t="shared" si="2"/>
        <v>3600</v>
      </c>
      <c r="R11" s="3">
        <f t="shared" si="2"/>
        <v>3600</v>
      </c>
      <c r="S11" s="3">
        <f t="shared" si="2"/>
        <v>2400</v>
      </c>
      <c r="T11" s="3">
        <f t="shared" si="2"/>
        <v>2400</v>
      </c>
      <c r="U11" s="3">
        <f t="shared" si="2"/>
        <v>2400</v>
      </c>
    </row>
    <row r="12" spans="1:21">
      <c r="A12" t="s">
        <v>18</v>
      </c>
      <c r="B12">
        <f t="shared" ref="B12:U12" si="3">B11*B5</f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3">
        <f t="shared" si="3"/>
        <v>7200</v>
      </c>
      <c r="H12" s="3">
        <f t="shared" si="3"/>
        <v>33000</v>
      </c>
      <c r="I12" s="3">
        <f t="shared" si="3"/>
        <v>42000</v>
      </c>
      <c r="J12" s="3">
        <f t="shared" si="3"/>
        <v>48000</v>
      </c>
      <c r="K12" s="3">
        <f t="shared" si="3"/>
        <v>60000</v>
      </c>
      <c r="L12" s="3">
        <f t="shared" si="3"/>
        <v>60000</v>
      </c>
      <c r="M12" s="3">
        <f t="shared" si="3"/>
        <v>60000</v>
      </c>
      <c r="N12" s="3">
        <f t="shared" si="3"/>
        <v>60000</v>
      </c>
      <c r="O12" s="3">
        <f t="shared" si="3"/>
        <v>60000</v>
      </c>
      <c r="P12" s="3">
        <f t="shared" si="3"/>
        <v>24000</v>
      </c>
      <c r="Q12" s="3">
        <f t="shared" si="3"/>
        <v>18000</v>
      </c>
      <c r="R12" s="3">
        <f t="shared" si="3"/>
        <v>18000</v>
      </c>
      <c r="S12" s="3">
        <f t="shared" si="3"/>
        <v>12000</v>
      </c>
      <c r="T12" s="3">
        <f t="shared" si="3"/>
        <v>12000</v>
      </c>
      <c r="U12" s="3">
        <f t="shared" si="3"/>
        <v>12000</v>
      </c>
    </row>
    <row r="14" spans="1:21">
      <c r="A14" t="s">
        <v>19</v>
      </c>
      <c r="B14" s="3">
        <f t="shared" ref="B14:U16" si="4">B6+B10</f>
        <v>-200</v>
      </c>
      <c r="C14" s="3">
        <f t="shared" si="4"/>
        <v>-200</v>
      </c>
      <c r="D14" s="3">
        <f t="shared" si="4"/>
        <v>-200</v>
      </c>
      <c r="E14" s="3">
        <f t="shared" si="4"/>
        <v>-300</v>
      </c>
      <c r="F14" s="3">
        <f t="shared" si="4"/>
        <v>-300</v>
      </c>
      <c r="G14" s="3">
        <f t="shared" si="4"/>
        <v>-100</v>
      </c>
      <c r="H14" s="3">
        <f t="shared" si="4"/>
        <v>50</v>
      </c>
      <c r="I14" s="3">
        <f t="shared" si="4"/>
        <v>200</v>
      </c>
      <c r="J14" s="3">
        <f t="shared" si="4"/>
        <v>300</v>
      </c>
      <c r="K14" s="3">
        <f t="shared" si="4"/>
        <v>500</v>
      </c>
      <c r="L14" s="3">
        <f t="shared" si="4"/>
        <v>500</v>
      </c>
      <c r="M14" s="3">
        <f t="shared" si="4"/>
        <v>500</v>
      </c>
      <c r="N14" s="3">
        <f t="shared" si="4"/>
        <v>500</v>
      </c>
      <c r="O14" s="3">
        <f t="shared" si="4"/>
        <v>500</v>
      </c>
      <c r="P14" s="3">
        <f t="shared" si="4"/>
        <v>-100</v>
      </c>
      <c r="Q14" s="3">
        <f t="shared" si="4"/>
        <v>-100</v>
      </c>
      <c r="R14" s="3">
        <f t="shared" si="4"/>
        <v>-100</v>
      </c>
      <c r="S14" s="3">
        <f t="shared" si="4"/>
        <v>-200</v>
      </c>
      <c r="T14" s="3">
        <f t="shared" si="4"/>
        <v>-200</v>
      </c>
      <c r="U14" s="3">
        <f t="shared" si="4"/>
        <v>-200</v>
      </c>
    </row>
    <row r="15" spans="1:21">
      <c r="A15" t="s">
        <v>20</v>
      </c>
      <c r="B15" s="3">
        <f t="shared" si="4"/>
        <v>-2400</v>
      </c>
      <c r="C15" s="3">
        <f t="shared" si="4"/>
        <v>-2400</v>
      </c>
      <c r="D15" s="3">
        <f t="shared" si="4"/>
        <v>-2400</v>
      </c>
      <c r="E15" s="3">
        <f t="shared" si="4"/>
        <v>-3600</v>
      </c>
      <c r="F15" s="3">
        <f t="shared" si="4"/>
        <v>-3600</v>
      </c>
      <c r="G15" s="3">
        <f t="shared" si="4"/>
        <v>-1200</v>
      </c>
      <c r="H15" s="3">
        <f t="shared" si="4"/>
        <v>600</v>
      </c>
      <c r="I15" s="3">
        <f t="shared" si="4"/>
        <v>2400</v>
      </c>
      <c r="J15" s="3">
        <f t="shared" si="4"/>
        <v>3600</v>
      </c>
      <c r="K15" s="3">
        <f t="shared" si="4"/>
        <v>6000</v>
      </c>
      <c r="L15" s="3">
        <f t="shared" si="4"/>
        <v>6000</v>
      </c>
      <c r="M15" s="3">
        <f t="shared" si="4"/>
        <v>6000</v>
      </c>
      <c r="N15" s="3">
        <f t="shared" si="4"/>
        <v>6000</v>
      </c>
      <c r="O15" s="3">
        <f t="shared" si="4"/>
        <v>6000</v>
      </c>
      <c r="P15" s="3">
        <f t="shared" si="4"/>
        <v>-1200</v>
      </c>
      <c r="Q15" s="3">
        <f t="shared" si="4"/>
        <v>-1200</v>
      </c>
      <c r="R15" s="3">
        <f t="shared" si="4"/>
        <v>-1200</v>
      </c>
      <c r="S15" s="3">
        <f t="shared" si="4"/>
        <v>-2400</v>
      </c>
      <c r="T15" s="3">
        <f t="shared" si="4"/>
        <v>-2400</v>
      </c>
      <c r="U15" s="3">
        <f t="shared" si="4"/>
        <v>-2400</v>
      </c>
    </row>
    <row r="16" spans="1:21">
      <c r="A16" t="s">
        <v>21</v>
      </c>
      <c r="B16" s="3">
        <f t="shared" si="4"/>
        <v>-2400</v>
      </c>
      <c r="C16" s="3">
        <f t="shared" si="4"/>
        <v>-12000</v>
      </c>
      <c r="D16" s="3">
        <f t="shared" si="4"/>
        <v>-12000</v>
      </c>
      <c r="E16" s="3">
        <f t="shared" si="4"/>
        <v>-18000</v>
      </c>
      <c r="F16" s="3">
        <f t="shared" si="4"/>
        <v>-10800</v>
      </c>
      <c r="G16" s="3">
        <f t="shared" si="4"/>
        <v>-2400</v>
      </c>
      <c r="H16" s="3">
        <f t="shared" si="4"/>
        <v>3000</v>
      </c>
      <c r="I16" s="3">
        <f t="shared" si="4"/>
        <v>12000</v>
      </c>
      <c r="J16" s="3">
        <f t="shared" si="4"/>
        <v>18000</v>
      </c>
      <c r="K16" s="3">
        <f t="shared" si="4"/>
        <v>30000</v>
      </c>
      <c r="L16" s="3">
        <f t="shared" si="4"/>
        <v>30000</v>
      </c>
      <c r="M16" s="3">
        <f t="shared" si="4"/>
        <v>30000</v>
      </c>
      <c r="N16" s="3">
        <f t="shared" si="4"/>
        <v>30000</v>
      </c>
      <c r="O16" s="3">
        <f t="shared" si="4"/>
        <v>30000</v>
      </c>
      <c r="P16" s="3">
        <f t="shared" si="4"/>
        <v>-6000</v>
      </c>
      <c r="Q16" s="3">
        <f t="shared" si="4"/>
        <v>-6000</v>
      </c>
      <c r="R16" s="3">
        <f t="shared" si="4"/>
        <v>-6000</v>
      </c>
      <c r="S16" s="3">
        <f t="shared" si="4"/>
        <v>-12000</v>
      </c>
      <c r="T16" s="3">
        <f t="shared" si="4"/>
        <v>-12000</v>
      </c>
      <c r="U16" s="3">
        <f t="shared" si="4"/>
        <v>-12000</v>
      </c>
    </row>
    <row r="17" spans="1:21">
      <c r="A17" t="s">
        <v>22</v>
      </c>
      <c r="B17" s="3">
        <f>B16</f>
        <v>-2400</v>
      </c>
      <c r="C17" s="3">
        <f t="shared" ref="C17:S17" si="5">B17+C16</f>
        <v>-14400</v>
      </c>
      <c r="D17" s="3">
        <f t="shared" si="5"/>
        <v>-26400</v>
      </c>
      <c r="E17" s="3">
        <f t="shared" si="5"/>
        <v>-44400</v>
      </c>
      <c r="F17" s="3">
        <f t="shared" si="5"/>
        <v>-55200</v>
      </c>
      <c r="G17" s="3">
        <f t="shared" si="5"/>
        <v>-57600</v>
      </c>
      <c r="H17" s="3">
        <f t="shared" si="5"/>
        <v>-54600</v>
      </c>
      <c r="I17" s="3">
        <f t="shared" si="5"/>
        <v>-42600</v>
      </c>
      <c r="J17" s="3">
        <f t="shared" si="5"/>
        <v>-24600</v>
      </c>
      <c r="K17" s="3">
        <f t="shared" si="5"/>
        <v>5400</v>
      </c>
      <c r="L17" s="3">
        <f t="shared" si="5"/>
        <v>35400</v>
      </c>
      <c r="M17" s="3">
        <f t="shared" si="5"/>
        <v>65400</v>
      </c>
      <c r="N17" s="3">
        <f t="shared" si="5"/>
        <v>95400</v>
      </c>
      <c r="O17" s="3">
        <f t="shared" si="5"/>
        <v>125400</v>
      </c>
      <c r="P17" s="3">
        <f t="shared" si="5"/>
        <v>119400</v>
      </c>
      <c r="Q17" s="3">
        <f t="shared" si="5"/>
        <v>113400</v>
      </c>
      <c r="R17" s="3">
        <f t="shared" si="5"/>
        <v>107400</v>
      </c>
      <c r="S17" s="3">
        <f t="shared" si="5"/>
        <v>95400</v>
      </c>
      <c r="T17" s="3">
        <f t="shared" ref="T17:U17" si="6">Q17+T16</f>
        <v>101400</v>
      </c>
      <c r="U17" s="3">
        <f t="shared" si="6"/>
        <v>95400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workbookViewId="0">
      <selection activeCell="M15" sqref="M15"/>
    </sheetView>
  </sheetViews>
  <sheetFormatPr defaultRowHeight="15"/>
  <cols>
    <col min="2" max="2" width="51.140625" customWidth="1"/>
    <col min="4" max="4" width="10.7109375" customWidth="1"/>
    <col min="5" max="5" width="13.85546875" customWidth="1"/>
    <col min="6" max="6" width="11.7109375" customWidth="1"/>
  </cols>
  <sheetData>
    <row r="1" spans="1:13" ht="18.75">
      <c r="A1" s="257" t="s">
        <v>424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</row>
    <row r="2" spans="1:13" ht="15.75" thickBot="1"/>
    <row r="3" spans="1:13">
      <c r="A3" s="258" t="s">
        <v>23</v>
      </c>
      <c r="B3" s="8" t="s">
        <v>24</v>
      </c>
      <c r="C3" s="261" t="s">
        <v>25</v>
      </c>
      <c r="D3" s="262"/>
      <c r="E3" s="262"/>
      <c r="F3" s="263"/>
      <c r="G3" s="264" t="s">
        <v>425</v>
      </c>
      <c r="H3" s="265"/>
      <c r="I3" s="265"/>
      <c r="J3" s="266"/>
      <c r="K3" s="267" t="s">
        <v>26</v>
      </c>
      <c r="L3" s="268"/>
      <c r="M3" s="269"/>
    </row>
    <row r="4" spans="1:13">
      <c r="A4" s="259"/>
      <c r="B4" s="9" t="s">
        <v>27</v>
      </c>
      <c r="C4" s="276">
        <v>42.5</v>
      </c>
      <c r="D4" s="277"/>
      <c r="E4" s="277"/>
      <c r="F4" s="278"/>
      <c r="G4" s="279">
        <v>511.8</v>
      </c>
      <c r="H4" s="280"/>
      <c r="I4" s="280"/>
      <c r="J4" s="281"/>
      <c r="K4" s="270"/>
      <c r="L4" s="271"/>
      <c r="M4" s="272"/>
    </row>
    <row r="5" spans="1:13">
      <c r="A5" s="259"/>
      <c r="B5" s="9" t="s">
        <v>409</v>
      </c>
      <c r="C5" s="282">
        <f>33.4954</f>
        <v>33.495399999999997</v>
      </c>
      <c r="D5" s="283"/>
      <c r="E5" s="283"/>
      <c r="F5" s="284"/>
      <c r="G5" s="285">
        <v>1</v>
      </c>
      <c r="H5" s="286"/>
      <c r="I5" s="286"/>
      <c r="J5" s="287"/>
      <c r="K5" s="273"/>
      <c r="L5" s="274"/>
      <c r="M5" s="275"/>
    </row>
    <row r="6" spans="1:13" ht="52.5" thickBot="1">
      <c r="A6" s="260"/>
      <c r="B6" s="10" t="s">
        <v>28</v>
      </c>
      <c r="C6" s="178" t="s">
        <v>29</v>
      </c>
      <c r="D6" s="179" t="s">
        <v>30</v>
      </c>
      <c r="E6" s="180" t="s">
        <v>31</v>
      </c>
      <c r="F6" s="181" t="s">
        <v>32</v>
      </c>
      <c r="G6" s="11" t="s">
        <v>29</v>
      </c>
      <c r="H6" s="12" t="s">
        <v>30</v>
      </c>
      <c r="I6" s="13" t="s">
        <v>31</v>
      </c>
      <c r="J6" s="14" t="s">
        <v>32</v>
      </c>
      <c r="K6" s="15" t="s">
        <v>31</v>
      </c>
      <c r="L6" s="16" t="s">
        <v>32</v>
      </c>
      <c r="M6" s="17" t="s">
        <v>30</v>
      </c>
    </row>
    <row r="7" spans="1:13">
      <c r="A7" s="18"/>
      <c r="B7" s="9" t="s">
        <v>33</v>
      </c>
      <c r="C7" s="168">
        <f>2983/C5</f>
        <v>89.057004842455981</v>
      </c>
      <c r="D7" s="168" t="s">
        <v>34</v>
      </c>
      <c r="E7" s="34">
        <f>C7/$C$4*1000</f>
        <v>2095.4589374695524</v>
      </c>
      <c r="F7" s="182">
        <f>E7/12</f>
        <v>174.62157812246269</v>
      </c>
      <c r="G7" s="174"/>
      <c r="H7" s="19"/>
      <c r="I7" s="20"/>
      <c r="J7" s="21"/>
      <c r="K7" s="22"/>
      <c r="L7" s="23"/>
      <c r="M7" s="24"/>
    </row>
    <row r="8" spans="1:13">
      <c r="A8" s="18">
        <v>1</v>
      </c>
      <c r="B8" s="9" t="s">
        <v>35</v>
      </c>
      <c r="C8" s="168">
        <f>2652.082/C5</f>
        <v>79.177498999862678</v>
      </c>
      <c r="D8" s="168" t="s">
        <v>34</v>
      </c>
      <c r="E8" s="34">
        <f t="shared" ref="E8:E25" si="0">C8/$C$4*1000</f>
        <v>1862.9999764673571</v>
      </c>
      <c r="F8" s="182">
        <f>E8/12</f>
        <v>155.24999803894642</v>
      </c>
      <c r="G8" s="174"/>
      <c r="H8" s="19"/>
      <c r="I8" s="20"/>
      <c r="J8" s="21"/>
      <c r="K8" s="22"/>
      <c r="L8" s="23"/>
      <c r="M8" s="24"/>
    </row>
    <row r="9" spans="1:13">
      <c r="A9" s="25" t="s">
        <v>36</v>
      </c>
      <c r="B9" s="26" t="s">
        <v>37</v>
      </c>
      <c r="C9" s="183">
        <f>1209.097/C5</f>
        <v>36.097404419711367</v>
      </c>
      <c r="D9" s="183" t="s">
        <v>34</v>
      </c>
      <c r="E9" s="34">
        <f t="shared" si="0"/>
        <v>849.35069222850279</v>
      </c>
      <c r="F9" s="184">
        <f t="shared" ref="F9:F11" si="1">E9/12</f>
        <v>70.779224352375238</v>
      </c>
      <c r="G9" s="175"/>
      <c r="H9" s="27"/>
      <c r="I9" s="28"/>
      <c r="J9" s="29"/>
      <c r="K9" s="30"/>
      <c r="L9" s="31"/>
      <c r="M9" s="32"/>
    </row>
    <row r="10" spans="1:13" ht="30">
      <c r="A10" s="25" t="s">
        <v>38</v>
      </c>
      <c r="B10" s="33" t="s">
        <v>39</v>
      </c>
      <c r="C10" s="183">
        <f>(477.854+78.673)/C5</f>
        <v>16.615027735151696</v>
      </c>
      <c r="D10" s="183" t="s">
        <v>34</v>
      </c>
      <c r="E10" s="34">
        <f t="shared" si="0"/>
        <v>390.94182906239286</v>
      </c>
      <c r="F10" s="184">
        <f t="shared" si="1"/>
        <v>32.578485755199402</v>
      </c>
      <c r="G10" s="175"/>
      <c r="H10" s="27"/>
      <c r="I10" s="28"/>
      <c r="J10" s="29"/>
      <c r="K10" s="30"/>
      <c r="L10" s="31"/>
      <c r="M10" s="32"/>
    </row>
    <row r="11" spans="1:13">
      <c r="A11" s="25" t="s">
        <v>40</v>
      </c>
      <c r="B11" s="26" t="s">
        <v>41</v>
      </c>
      <c r="C11" s="183">
        <f>886.458/C5</f>
        <v>26.465066844999615</v>
      </c>
      <c r="D11" s="183" t="s">
        <v>34</v>
      </c>
      <c r="E11" s="34">
        <f t="shared" si="0"/>
        <v>622.70745517646151</v>
      </c>
      <c r="F11" s="184">
        <f t="shared" si="1"/>
        <v>51.89228793137179</v>
      </c>
      <c r="G11" s="175"/>
      <c r="H11" s="27"/>
      <c r="I11" s="28"/>
      <c r="J11" s="29"/>
      <c r="K11" s="30"/>
      <c r="L11" s="31"/>
      <c r="M11" s="32"/>
    </row>
    <row r="12" spans="1:13">
      <c r="A12" s="18" t="s">
        <v>42</v>
      </c>
      <c r="B12" s="9" t="s">
        <v>43</v>
      </c>
      <c r="C12" s="34">
        <f>2652.082/C5</f>
        <v>79.177498999862678</v>
      </c>
      <c r="D12" s="34">
        <f ca="1">C12/$D$12*100</f>
        <v>100</v>
      </c>
      <c r="E12" s="34">
        <f t="shared" si="0"/>
        <v>1862.9999764673571</v>
      </c>
      <c r="F12" s="182">
        <f>E12/12</f>
        <v>155.24999803894642</v>
      </c>
      <c r="G12" s="176">
        <v>8362</v>
      </c>
      <c r="H12" s="34">
        <v>100</v>
      </c>
      <c r="I12" s="34">
        <f>G12/G4*1000</f>
        <v>16338.413442751076</v>
      </c>
      <c r="J12" s="35">
        <f>I12/12</f>
        <v>1361.5344535625898</v>
      </c>
      <c r="K12" s="36">
        <f>I12-E12</f>
        <v>14475.413466283719</v>
      </c>
      <c r="L12" s="37">
        <f>J12-F12</f>
        <v>1206.2844555236434</v>
      </c>
      <c r="M12" s="38">
        <f>J12/F12*100</f>
        <v>876.9948281873933</v>
      </c>
    </row>
    <row r="13" spans="1:13">
      <c r="A13" s="39" t="s">
        <v>44</v>
      </c>
      <c r="B13" s="33" t="s">
        <v>45</v>
      </c>
      <c r="C13" s="41">
        <f>$C$12*D13/100</f>
        <v>37.926022020934219</v>
      </c>
      <c r="D13" s="41">
        <v>47.9</v>
      </c>
      <c r="E13" s="34">
        <f t="shared" si="0"/>
        <v>892.37698872786393</v>
      </c>
      <c r="F13" s="182">
        <f t="shared" ref="F13:F25" si="2">E13/12</f>
        <v>74.364749060655328</v>
      </c>
      <c r="G13" s="177">
        <f>$G$12*H13/100</f>
        <v>1020.164</v>
      </c>
      <c r="H13" s="41">
        <v>12.2</v>
      </c>
      <c r="I13" s="41">
        <f>$I$12*H13/100</f>
        <v>1993.2864400156311</v>
      </c>
      <c r="J13" s="42">
        <f>$J$12*H13/100</f>
        <v>166.10720333463593</v>
      </c>
      <c r="K13" s="40">
        <f t="shared" ref="K13:L25" si="3">I13-E13</f>
        <v>1100.9094512877673</v>
      </c>
      <c r="L13" s="43">
        <f t="shared" si="3"/>
        <v>91.742454273980599</v>
      </c>
      <c r="M13" s="44">
        <f>J13/F13*100</f>
        <v>223.36820258635072</v>
      </c>
    </row>
    <row r="14" spans="1:13">
      <c r="A14" s="39" t="s">
        <v>46</v>
      </c>
      <c r="B14" s="33" t="s">
        <v>47</v>
      </c>
      <c r="C14" s="41">
        <f t="shared" ref="C14:C25" si="4">$C$12*D14/100</f>
        <v>2.9295674629949189</v>
      </c>
      <c r="D14" s="41">
        <v>3.7</v>
      </c>
      <c r="E14" s="34">
        <f t="shared" si="0"/>
        <v>68.930999129292204</v>
      </c>
      <c r="F14" s="182">
        <f t="shared" si="2"/>
        <v>5.7442499274410173</v>
      </c>
      <c r="G14" s="177">
        <f t="shared" ref="G14:G25" si="5">$G$12*H14/100</f>
        <v>1087.06</v>
      </c>
      <c r="H14" s="41">
        <v>13</v>
      </c>
      <c r="I14" s="41">
        <f t="shared" ref="I14:I24" si="6">$I$12*H14/100</f>
        <v>2123.9937475576398</v>
      </c>
      <c r="J14" s="42">
        <f t="shared" ref="J14:J24" si="7">$J$12*H14/100</f>
        <v>176.99947896313668</v>
      </c>
      <c r="K14" s="40">
        <f t="shared" si="3"/>
        <v>2055.0627484283477</v>
      </c>
      <c r="L14" s="43">
        <f t="shared" si="3"/>
        <v>171.25522903569566</v>
      </c>
      <c r="M14" s="44">
        <f t="shared" ref="M14:M25" si="8">J14/F14*100</f>
        <v>3081.3331801178692</v>
      </c>
    </row>
    <row r="15" spans="1:13" ht="30">
      <c r="A15" s="39" t="s">
        <v>48</v>
      </c>
      <c r="B15" s="33" t="s">
        <v>49</v>
      </c>
      <c r="C15" s="41">
        <f t="shared" si="4"/>
        <v>13.460174829976655</v>
      </c>
      <c r="D15" s="41">
        <v>17</v>
      </c>
      <c r="E15" s="34">
        <f t="shared" si="0"/>
        <v>316.70999599945071</v>
      </c>
      <c r="F15" s="182">
        <f t="shared" si="2"/>
        <v>26.392499666620893</v>
      </c>
      <c r="G15" s="177">
        <f t="shared" si="5"/>
        <v>2023.604</v>
      </c>
      <c r="H15" s="41">
        <v>24.2</v>
      </c>
      <c r="I15" s="41">
        <f t="shared" si="6"/>
        <v>3953.8960531457601</v>
      </c>
      <c r="J15" s="42">
        <f t="shared" si="7"/>
        <v>329.49133776214671</v>
      </c>
      <c r="K15" s="40">
        <f t="shared" si="3"/>
        <v>3637.1860571463094</v>
      </c>
      <c r="L15" s="43">
        <f t="shared" si="3"/>
        <v>303.09883809552582</v>
      </c>
      <c r="M15" s="44">
        <f t="shared" si="8"/>
        <v>1248.4279318902893</v>
      </c>
    </row>
    <row r="16" spans="1:13">
      <c r="A16" s="39" t="s">
        <v>50</v>
      </c>
      <c r="B16" s="33" t="s">
        <v>51</v>
      </c>
      <c r="C16" s="41">
        <f t="shared" si="4"/>
        <v>2.4545024689957429</v>
      </c>
      <c r="D16" s="41">
        <v>3.1</v>
      </c>
      <c r="E16" s="34">
        <f t="shared" si="0"/>
        <v>57.752999270488068</v>
      </c>
      <c r="F16" s="182">
        <f t="shared" si="2"/>
        <v>4.8127499392073387</v>
      </c>
      <c r="G16" s="177">
        <f t="shared" si="5"/>
        <v>317.75599999999997</v>
      </c>
      <c r="H16" s="41">
        <v>3.8</v>
      </c>
      <c r="I16" s="41">
        <f t="shared" si="6"/>
        <v>620.85971082454091</v>
      </c>
      <c r="J16" s="42">
        <f t="shared" si="7"/>
        <v>51.738309235378409</v>
      </c>
      <c r="K16" s="40">
        <f t="shared" si="3"/>
        <v>563.10671155405282</v>
      </c>
      <c r="L16" s="43">
        <f t="shared" si="3"/>
        <v>46.925559296171073</v>
      </c>
      <c r="M16" s="44">
        <f>J16/F16*100</f>
        <v>1075.0259184232566</v>
      </c>
    </row>
    <row r="17" spans="1:22">
      <c r="A17" s="39" t="s">
        <v>52</v>
      </c>
      <c r="B17" s="33" t="s">
        <v>53</v>
      </c>
      <c r="C17" s="41">
        <f t="shared" si="4"/>
        <v>4.3547624449924474</v>
      </c>
      <c r="D17" s="41">
        <v>5.5</v>
      </c>
      <c r="E17" s="34">
        <f t="shared" si="0"/>
        <v>102.46499870570464</v>
      </c>
      <c r="F17" s="182">
        <f t="shared" si="2"/>
        <v>8.5387498921420537</v>
      </c>
      <c r="G17" s="177">
        <f t="shared" si="5"/>
        <v>409.73800000000006</v>
      </c>
      <c r="H17" s="41">
        <v>4.9000000000000004</v>
      </c>
      <c r="I17" s="41">
        <f t="shared" si="6"/>
        <v>800.5822586948027</v>
      </c>
      <c r="J17" s="42">
        <f t="shared" si="7"/>
        <v>66.715188224566901</v>
      </c>
      <c r="K17" s="40">
        <f t="shared" si="3"/>
        <v>698.1172599890981</v>
      </c>
      <c r="L17" s="43">
        <f t="shared" si="3"/>
        <v>58.176438332424851</v>
      </c>
      <c r="M17" s="44">
        <f t="shared" si="8"/>
        <v>781.32266511240505</v>
      </c>
    </row>
    <row r="18" spans="1:22">
      <c r="A18" s="39" t="s">
        <v>54</v>
      </c>
      <c r="B18" s="33" t="s">
        <v>55</v>
      </c>
      <c r="C18" s="41">
        <f t="shared" si="4"/>
        <v>3.0087449619947817</v>
      </c>
      <c r="D18" s="41">
        <v>3.8</v>
      </c>
      <c r="E18" s="34">
        <f t="shared" si="0"/>
        <v>70.793999105759568</v>
      </c>
      <c r="F18" s="182">
        <f t="shared" si="2"/>
        <v>5.8994999254799643</v>
      </c>
      <c r="G18" s="177">
        <f t="shared" si="5"/>
        <v>334.48</v>
      </c>
      <c r="H18" s="41">
        <v>4</v>
      </c>
      <c r="I18" s="41">
        <f t="shared" si="6"/>
        <v>653.53653771004304</v>
      </c>
      <c r="J18" s="42">
        <f t="shared" si="7"/>
        <v>54.461378142503591</v>
      </c>
      <c r="K18" s="40">
        <f t="shared" si="3"/>
        <v>582.74253860428348</v>
      </c>
      <c r="L18" s="43">
        <f t="shared" si="3"/>
        <v>48.561878217023626</v>
      </c>
      <c r="M18" s="44">
        <f t="shared" si="8"/>
        <v>923.15245072357186</v>
      </c>
    </row>
    <row r="19" spans="1:22" ht="30">
      <c r="A19" s="39" t="s">
        <v>56</v>
      </c>
      <c r="B19" s="33" t="s">
        <v>57</v>
      </c>
      <c r="C19" s="41">
        <f t="shared" si="4"/>
        <v>1.5835499799972537</v>
      </c>
      <c r="D19" s="41">
        <v>2</v>
      </c>
      <c r="E19" s="34">
        <f t="shared" si="0"/>
        <v>37.259999529347148</v>
      </c>
      <c r="F19" s="182">
        <f t="shared" si="2"/>
        <v>3.1049999607789291</v>
      </c>
      <c r="G19" s="177">
        <f t="shared" si="5"/>
        <v>459.91</v>
      </c>
      <c r="H19" s="41">
        <v>5.5</v>
      </c>
      <c r="I19" s="41">
        <f t="shared" si="6"/>
        <v>898.61273935130919</v>
      </c>
      <c r="J19" s="42">
        <f t="shared" si="7"/>
        <v>74.884394945942446</v>
      </c>
      <c r="K19" s="40">
        <f t="shared" si="3"/>
        <v>861.35273982196202</v>
      </c>
      <c r="L19" s="43">
        <f t="shared" si="3"/>
        <v>71.77939498516352</v>
      </c>
      <c r="M19" s="44">
        <f t="shared" si="8"/>
        <v>2411.7357775153314</v>
      </c>
    </row>
    <row r="20" spans="1:22">
      <c r="A20" s="39" t="s">
        <v>58</v>
      </c>
      <c r="B20" s="33" t="s">
        <v>59</v>
      </c>
      <c r="C20" s="41">
        <f t="shared" si="4"/>
        <v>3.0879224609946441</v>
      </c>
      <c r="D20" s="41">
        <v>3.9</v>
      </c>
      <c r="E20" s="34">
        <f t="shared" si="0"/>
        <v>72.656999082226918</v>
      </c>
      <c r="F20" s="182">
        <f t="shared" si="2"/>
        <v>6.0547499235189095</v>
      </c>
      <c r="G20" s="177">
        <f t="shared" si="5"/>
        <v>710.77</v>
      </c>
      <c r="H20" s="41">
        <v>8.5</v>
      </c>
      <c r="I20" s="41">
        <f t="shared" si="6"/>
        <v>1388.7651426338416</v>
      </c>
      <c r="J20" s="42">
        <f t="shared" si="7"/>
        <v>115.73042855282011</v>
      </c>
      <c r="K20" s="40">
        <f t="shared" si="3"/>
        <v>1316.1081435516146</v>
      </c>
      <c r="L20" s="43">
        <f t="shared" si="3"/>
        <v>109.6756786293012</v>
      </c>
      <c r="M20" s="44">
        <f t="shared" si="8"/>
        <v>1911.3989845109857</v>
      </c>
    </row>
    <row r="21" spans="1:22">
      <c r="A21" s="39" t="s">
        <v>60</v>
      </c>
      <c r="B21" s="33" t="s">
        <v>61</v>
      </c>
      <c r="C21" s="41">
        <f t="shared" si="4"/>
        <v>1.9794374749965669</v>
      </c>
      <c r="D21" s="41">
        <v>2.5</v>
      </c>
      <c r="E21" s="34">
        <f t="shared" si="0"/>
        <v>46.574999411683926</v>
      </c>
      <c r="F21" s="182">
        <f t="shared" si="2"/>
        <v>3.8812499509736607</v>
      </c>
      <c r="G21" s="177">
        <f t="shared" si="5"/>
        <v>953.26800000000003</v>
      </c>
      <c r="H21" s="41">
        <v>11.4</v>
      </c>
      <c r="I21" s="41">
        <f t="shared" si="6"/>
        <v>1862.5791324736228</v>
      </c>
      <c r="J21" s="42">
        <f t="shared" si="7"/>
        <v>155.21492770613523</v>
      </c>
      <c r="K21" s="40">
        <f t="shared" si="3"/>
        <v>1816.004133061939</v>
      </c>
      <c r="L21" s="43">
        <f t="shared" si="3"/>
        <v>151.33367775516157</v>
      </c>
      <c r="M21" s="44">
        <f>J21/F21*100</f>
        <v>3999.0964165345131</v>
      </c>
    </row>
    <row r="22" spans="1:22">
      <c r="A22" s="39" t="s">
        <v>62</v>
      </c>
      <c r="B22" s="33" t="s">
        <v>63</v>
      </c>
      <c r="C22" s="41">
        <f t="shared" si="4"/>
        <v>1.8210824769968414</v>
      </c>
      <c r="D22" s="41">
        <v>2.2999999999999998</v>
      </c>
      <c r="E22" s="34">
        <f t="shared" si="0"/>
        <v>42.848999458749212</v>
      </c>
      <c r="F22" s="182">
        <f t="shared" si="2"/>
        <v>3.5707499548957675</v>
      </c>
      <c r="G22" s="177">
        <f t="shared" si="5"/>
        <v>735.85600000000011</v>
      </c>
      <c r="H22" s="41">
        <v>8.8000000000000007</v>
      </c>
      <c r="I22" s="41">
        <f t="shared" si="6"/>
        <v>1437.7803829620948</v>
      </c>
      <c r="J22" s="42">
        <f t="shared" si="7"/>
        <v>119.81503191350789</v>
      </c>
      <c r="K22" s="40">
        <f t="shared" si="3"/>
        <v>1394.9313835033456</v>
      </c>
      <c r="L22" s="43">
        <f t="shared" si="3"/>
        <v>116.24428195861212</v>
      </c>
      <c r="M22" s="44">
        <f t="shared" si="8"/>
        <v>3355.4584730648094</v>
      </c>
    </row>
    <row r="23" spans="1:22">
      <c r="A23" s="39" t="s">
        <v>64</v>
      </c>
      <c r="B23" s="33" t="s">
        <v>65</v>
      </c>
      <c r="C23" s="41">
        <f t="shared" si="4"/>
        <v>1.9002599759967043</v>
      </c>
      <c r="D23" s="41">
        <v>2.4</v>
      </c>
      <c r="E23" s="34">
        <f t="shared" si="0"/>
        <v>44.711999435216576</v>
      </c>
      <c r="F23" s="182">
        <f t="shared" si="2"/>
        <v>3.7259999529347145</v>
      </c>
      <c r="G23" s="177">
        <f t="shared" si="5"/>
        <v>209.05</v>
      </c>
      <c r="H23" s="41">
        <v>2.5</v>
      </c>
      <c r="I23" s="41">
        <f t="shared" si="6"/>
        <v>408.46033606877688</v>
      </c>
      <c r="J23" s="42">
        <f t="shared" si="7"/>
        <v>34.038361339064743</v>
      </c>
      <c r="K23" s="40">
        <f t="shared" si="3"/>
        <v>363.74833663356031</v>
      </c>
      <c r="L23" s="43">
        <f t="shared" si="3"/>
        <v>30.312361386130029</v>
      </c>
      <c r="M23" s="44">
        <f t="shared" si="8"/>
        <v>913.53627936186786</v>
      </c>
    </row>
    <row r="24" spans="1:22" ht="15.75" thickBot="1">
      <c r="A24" s="45" t="s">
        <v>66</v>
      </c>
      <c r="B24" s="46" t="s">
        <v>67</v>
      </c>
      <c r="C24" s="41">
        <f t="shared" si="4"/>
        <v>0.87095248899848954</v>
      </c>
      <c r="D24" s="41">
        <v>1.1000000000000001</v>
      </c>
      <c r="E24" s="34">
        <f t="shared" si="0"/>
        <v>20.492999741140931</v>
      </c>
      <c r="F24" s="182">
        <f t="shared" si="2"/>
        <v>1.7077499784284109</v>
      </c>
      <c r="G24" s="177">
        <f t="shared" si="5"/>
        <v>91.982000000000014</v>
      </c>
      <c r="H24" s="48">
        <v>1.1000000000000001</v>
      </c>
      <c r="I24" s="48">
        <f t="shared" si="6"/>
        <v>179.72254787026185</v>
      </c>
      <c r="J24" s="49">
        <f t="shared" si="7"/>
        <v>14.976878989188487</v>
      </c>
      <c r="K24" s="47">
        <f t="shared" si="3"/>
        <v>159.22954812912093</v>
      </c>
      <c r="L24" s="50">
        <f t="shared" si="3"/>
        <v>13.269129010760075</v>
      </c>
      <c r="M24" s="51">
        <f t="shared" si="8"/>
        <v>876.99482818739318</v>
      </c>
    </row>
    <row r="25" spans="1:22" ht="60">
      <c r="B25" s="170" t="s">
        <v>288</v>
      </c>
      <c r="C25" s="41">
        <f t="shared" si="4"/>
        <v>3.8005199519934085</v>
      </c>
      <c r="D25" s="185">
        <v>4.8</v>
      </c>
      <c r="E25" s="34">
        <f t="shared" si="0"/>
        <v>89.423998870433152</v>
      </c>
      <c r="F25" s="182">
        <f t="shared" si="2"/>
        <v>7.4519999058694291</v>
      </c>
      <c r="G25" s="186">
        <f t="shared" si="5"/>
        <v>0</v>
      </c>
      <c r="H25" s="171"/>
      <c r="I25" s="171">
        <f t="shared" ref="I25" si="9">$J$12*H25/100</f>
        <v>0</v>
      </c>
      <c r="J25" s="173">
        <f t="shared" ref="J25" si="10">$K$12*H25/100</f>
        <v>0</v>
      </c>
      <c r="K25" s="172">
        <f t="shared" si="3"/>
        <v>-89.423998870433152</v>
      </c>
      <c r="L25" s="187">
        <f t="shared" si="3"/>
        <v>-7.4519999058694291</v>
      </c>
      <c r="M25" s="188">
        <f t="shared" si="8"/>
        <v>0</v>
      </c>
    </row>
    <row r="26" spans="1:22">
      <c r="A26" t="s">
        <v>68</v>
      </c>
    </row>
    <row r="27" spans="1:22">
      <c r="A27" t="s">
        <v>69</v>
      </c>
    </row>
    <row r="30" spans="1:22">
      <c r="B30" s="4" t="s">
        <v>70</v>
      </c>
      <c r="C30" s="4" t="s">
        <v>71</v>
      </c>
      <c r="D30" s="4" t="s">
        <v>72</v>
      </c>
      <c r="E30" s="4" t="s">
        <v>73</v>
      </c>
      <c r="F30" s="4" t="s">
        <v>74</v>
      </c>
      <c r="I30" s="288" t="s">
        <v>189</v>
      </c>
      <c r="J30" s="288"/>
      <c r="K30" s="288"/>
      <c r="L30" s="288"/>
      <c r="M30" s="288"/>
      <c r="N30" s="288"/>
      <c r="O30" s="288"/>
      <c r="P30" s="288"/>
      <c r="Q30" s="288"/>
      <c r="R30" s="288"/>
      <c r="S30" s="288"/>
      <c r="T30" s="288"/>
      <c r="U30" s="52"/>
      <c r="V30" s="52"/>
    </row>
    <row r="31" spans="1:22">
      <c r="A31" s="4">
        <v>42090</v>
      </c>
      <c r="B31">
        <v>2017</v>
      </c>
      <c r="C31" t="s">
        <v>75</v>
      </c>
      <c r="D31" t="s">
        <v>76</v>
      </c>
      <c r="E31" t="s">
        <v>77</v>
      </c>
      <c r="F31" t="s">
        <v>78</v>
      </c>
      <c r="I31" s="53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255" t="s">
        <v>190</v>
      </c>
      <c r="V31" s="256"/>
    </row>
    <row r="32" spans="1:22">
      <c r="A32" s="4">
        <v>42091</v>
      </c>
      <c r="B32">
        <v>2017</v>
      </c>
      <c r="C32" t="s">
        <v>75</v>
      </c>
      <c r="D32" t="s">
        <v>76</v>
      </c>
      <c r="E32" t="s">
        <v>79</v>
      </c>
      <c r="F32" t="s">
        <v>80</v>
      </c>
      <c r="I32" s="54"/>
      <c r="J32" s="55">
        <v>2005</v>
      </c>
      <c r="K32" s="55">
        <v>2006</v>
      </c>
      <c r="L32" s="55">
        <v>2007</v>
      </c>
      <c r="M32" s="55">
        <v>2008</v>
      </c>
      <c r="N32" s="55">
        <v>2009</v>
      </c>
      <c r="O32" s="55">
        <v>2010</v>
      </c>
      <c r="P32" s="55">
        <v>2011</v>
      </c>
      <c r="Q32" s="55" t="s">
        <v>191</v>
      </c>
      <c r="R32" s="55" t="s">
        <v>192</v>
      </c>
      <c r="S32" s="55" t="s">
        <v>193</v>
      </c>
      <c r="T32" s="55" t="s">
        <v>194</v>
      </c>
      <c r="U32" s="66" t="s">
        <v>195</v>
      </c>
      <c r="V32" s="76" t="s">
        <v>196</v>
      </c>
    </row>
    <row r="33" spans="1:22" ht="19.5">
      <c r="A33" s="4">
        <v>42092</v>
      </c>
      <c r="B33">
        <v>2017</v>
      </c>
      <c r="C33" t="s">
        <v>75</v>
      </c>
      <c r="D33" t="s">
        <v>76</v>
      </c>
      <c r="E33" t="s">
        <v>81</v>
      </c>
      <c r="F33" t="s">
        <v>82</v>
      </c>
      <c r="I33" s="56" t="s">
        <v>197</v>
      </c>
      <c r="J33" s="57">
        <v>381404</v>
      </c>
      <c r="K33" s="57">
        <v>472061</v>
      </c>
      <c r="L33" s="57">
        <v>623289</v>
      </c>
      <c r="M33" s="57">
        <v>845641</v>
      </c>
      <c r="N33" s="57">
        <v>894286</v>
      </c>
      <c r="O33" s="57">
        <v>1101175</v>
      </c>
      <c r="P33" s="57">
        <v>1266753</v>
      </c>
      <c r="Q33" s="57">
        <v>1457864</v>
      </c>
      <c r="R33" s="58">
        <v>1548733</v>
      </c>
      <c r="S33" s="57">
        <v>1516768</v>
      </c>
      <c r="T33" s="70">
        <v>1772016</v>
      </c>
      <c r="U33" s="71">
        <v>2051331</v>
      </c>
      <c r="V33" s="67">
        <v>2652082</v>
      </c>
    </row>
    <row r="34" spans="1:22" ht="48.75">
      <c r="A34" s="4">
        <v>42093</v>
      </c>
      <c r="B34">
        <v>2017</v>
      </c>
      <c r="C34" t="s">
        <v>75</v>
      </c>
      <c r="D34" t="s">
        <v>76</v>
      </c>
      <c r="E34" t="s">
        <v>83</v>
      </c>
      <c r="F34" t="s">
        <v>84</v>
      </c>
      <c r="I34" s="59" t="s">
        <v>198</v>
      </c>
      <c r="J34" s="60"/>
      <c r="K34" s="60"/>
      <c r="L34" s="60"/>
      <c r="M34" s="60"/>
      <c r="N34" s="60"/>
      <c r="O34" s="60"/>
      <c r="P34" s="60"/>
      <c r="Q34" s="60"/>
      <c r="R34" s="61"/>
      <c r="S34" s="60"/>
      <c r="T34" s="72"/>
      <c r="U34" s="73"/>
      <c r="V34" s="68"/>
    </row>
    <row r="35" spans="1:22" ht="29.25">
      <c r="A35" s="4">
        <v>42094</v>
      </c>
      <c r="B35">
        <v>2017</v>
      </c>
      <c r="C35" t="s">
        <v>75</v>
      </c>
      <c r="D35" t="s">
        <v>76</v>
      </c>
      <c r="E35" t="s">
        <v>85</v>
      </c>
      <c r="F35" t="s">
        <v>86</v>
      </c>
      <c r="I35" s="62" t="s">
        <v>199</v>
      </c>
      <c r="J35" s="60">
        <v>160621</v>
      </c>
      <c r="K35" s="60">
        <v>205120</v>
      </c>
      <c r="L35" s="60">
        <v>278968</v>
      </c>
      <c r="M35" s="60">
        <v>366387</v>
      </c>
      <c r="N35" s="60">
        <v>365300</v>
      </c>
      <c r="O35" s="60">
        <v>449553</v>
      </c>
      <c r="P35" s="60">
        <v>529133</v>
      </c>
      <c r="Q35" s="60">
        <v>609394</v>
      </c>
      <c r="R35" s="61">
        <v>630734</v>
      </c>
      <c r="S35" s="60">
        <v>615022</v>
      </c>
      <c r="T35" s="74">
        <v>709590</v>
      </c>
      <c r="U35" s="75">
        <v>898326</v>
      </c>
      <c r="V35" s="69">
        <v>1209097</v>
      </c>
    </row>
    <row r="36" spans="1:22" ht="29.25">
      <c r="A36" s="4">
        <v>42095</v>
      </c>
      <c r="B36">
        <v>2017</v>
      </c>
      <c r="C36" t="s">
        <v>75</v>
      </c>
      <c r="D36" t="s">
        <v>76</v>
      </c>
      <c r="E36" t="s">
        <v>87</v>
      </c>
      <c r="F36" t="s">
        <v>88</v>
      </c>
      <c r="I36" s="62" t="s">
        <v>200</v>
      </c>
      <c r="J36" s="60">
        <v>58404</v>
      </c>
      <c r="K36" s="60">
        <v>69186</v>
      </c>
      <c r="L36" s="60">
        <v>95203</v>
      </c>
      <c r="M36" s="60">
        <v>131139</v>
      </c>
      <c r="N36" s="60">
        <v>129760</v>
      </c>
      <c r="O36" s="60">
        <v>160025</v>
      </c>
      <c r="P36" s="60">
        <v>200230</v>
      </c>
      <c r="Q36" s="60">
        <v>224920</v>
      </c>
      <c r="R36" s="61">
        <v>243668</v>
      </c>
      <c r="S36" s="60">
        <v>254307</v>
      </c>
      <c r="T36" s="74">
        <v>323506</v>
      </c>
      <c r="U36" s="75">
        <v>378213</v>
      </c>
      <c r="V36" s="69">
        <v>477854</v>
      </c>
    </row>
    <row r="37" spans="1:22" ht="39">
      <c r="A37" s="4">
        <v>42096</v>
      </c>
      <c r="B37">
        <v>2017</v>
      </c>
      <c r="C37" t="s">
        <v>75</v>
      </c>
      <c r="D37" t="s">
        <v>76</v>
      </c>
      <c r="E37" t="s">
        <v>89</v>
      </c>
      <c r="F37" t="s">
        <v>90</v>
      </c>
      <c r="I37" s="62" t="s">
        <v>201</v>
      </c>
      <c r="J37" s="60">
        <v>11072</v>
      </c>
      <c r="K37" s="60">
        <v>13855</v>
      </c>
      <c r="L37" s="60">
        <v>20078</v>
      </c>
      <c r="M37" s="60">
        <v>28432</v>
      </c>
      <c r="N37" s="60">
        <v>34654</v>
      </c>
      <c r="O37" s="60">
        <v>67856</v>
      </c>
      <c r="P37" s="60">
        <v>68004</v>
      </c>
      <c r="Q37" s="60">
        <v>80769</v>
      </c>
      <c r="R37" s="61">
        <v>87952</v>
      </c>
      <c r="S37" s="60">
        <v>85114</v>
      </c>
      <c r="T37" s="74">
        <v>80035</v>
      </c>
      <c r="U37" s="75">
        <v>75452</v>
      </c>
      <c r="V37" s="69">
        <v>78673</v>
      </c>
    </row>
    <row r="38" spans="1:22" ht="58.5">
      <c r="A38" s="4">
        <v>42097</v>
      </c>
      <c r="B38">
        <v>2017</v>
      </c>
      <c r="C38" t="s">
        <v>75</v>
      </c>
      <c r="D38" t="s">
        <v>76</v>
      </c>
      <c r="E38" t="s">
        <v>91</v>
      </c>
      <c r="F38" t="s">
        <v>92</v>
      </c>
      <c r="I38" s="62" t="s">
        <v>202</v>
      </c>
      <c r="J38" s="60">
        <v>151307</v>
      </c>
      <c r="K38" s="60">
        <v>183900</v>
      </c>
      <c r="L38" s="60">
        <v>229040</v>
      </c>
      <c r="M38" s="60">
        <v>319683</v>
      </c>
      <c r="N38" s="60">
        <v>364572</v>
      </c>
      <c r="O38" s="60">
        <v>423741</v>
      </c>
      <c r="P38" s="60">
        <v>469386</v>
      </c>
      <c r="Q38" s="60">
        <v>542781</v>
      </c>
      <c r="R38" s="61">
        <v>586379</v>
      </c>
      <c r="S38" s="60">
        <v>562325</v>
      </c>
      <c r="T38" s="74">
        <v>658885</v>
      </c>
      <c r="U38" s="75">
        <v>699340</v>
      </c>
      <c r="V38" s="69">
        <v>886458</v>
      </c>
    </row>
    <row r="39" spans="1:22" ht="48.75">
      <c r="A39" s="4">
        <v>42098</v>
      </c>
      <c r="B39">
        <v>2017</v>
      </c>
      <c r="C39" t="s">
        <v>75</v>
      </c>
      <c r="D39" t="s">
        <v>76</v>
      </c>
      <c r="E39" t="s">
        <v>93</v>
      </c>
      <c r="F39" t="s">
        <v>94</v>
      </c>
      <c r="I39" s="59" t="s">
        <v>198</v>
      </c>
      <c r="J39" s="60"/>
      <c r="K39" s="60"/>
      <c r="L39" s="60"/>
      <c r="M39" s="60"/>
      <c r="N39" s="60"/>
      <c r="O39" s="60"/>
      <c r="P39" s="60"/>
      <c r="Q39" s="60"/>
      <c r="R39" s="61"/>
      <c r="S39" s="60"/>
      <c r="T39" s="74"/>
      <c r="U39" s="75"/>
      <c r="V39" s="68"/>
    </row>
    <row r="40" spans="1:22" ht="39">
      <c r="A40" s="4">
        <v>42099</v>
      </c>
      <c r="B40">
        <v>2017</v>
      </c>
      <c r="C40" t="s">
        <v>75</v>
      </c>
      <c r="D40" t="s">
        <v>76</v>
      </c>
      <c r="E40" t="s">
        <v>95</v>
      </c>
      <c r="F40" t="s">
        <v>96</v>
      </c>
      <c r="I40" s="63" t="s">
        <v>203</v>
      </c>
      <c r="J40" s="60">
        <v>84617</v>
      </c>
      <c r="K40" s="60">
        <v>103092</v>
      </c>
      <c r="L40" s="60">
        <v>124472</v>
      </c>
      <c r="M40" s="60">
        <v>180455</v>
      </c>
      <c r="N40" s="60">
        <v>204101</v>
      </c>
      <c r="O40" s="60">
        <v>237213</v>
      </c>
      <c r="P40" s="60">
        <v>263633</v>
      </c>
      <c r="Q40" s="60">
        <v>301621</v>
      </c>
      <c r="R40" s="61">
        <v>323123</v>
      </c>
      <c r="S40" s="60">
        <v>311360</v>
      </c>
      <c r="T40" s="74">
        <v>342562</v>
      </c>
      <c r="U40" s="75">
        <v>337773</v>
      </c>
      <c r="V40" s="69">
        <v>391776</v>
      </c>
    </row>
    <row r="41" spans="1:22" ht="39">
      <c r="A41" s="4">
        <v>42100</v>
      </c>
      <c r="B41">
        <v>2017</v>
      </c>
      <c r="C41" t="s">
        <v>75</v>
      </c>
      <c r="D41" t="s">
        <v>76</v>
      </c>
      <c r="E41" t="s">
        <v>97</v>
      </c>
      <c r="F41" t="s">
        <v>98</v>
      </c>
      <c r="I41" s="63" t="s">
        <v>204</v>
      </c>
      <c r="J41" s="60">
        <v>12545</v>
      </c>
      <c r="K41" s="60">
        <v>14510</v>
      </c>
      <c r="L41" s="60">
        <v>18209</v>
      </c>
      <c r="M41" s="60">
        <v>26092</v>
      </c>
      <c r="N41" s="60">
        <v>32984</v>
      </c>
      <c r="O41" s="60">
        <v>34397</v>
      </c>
      <c r="P41" s="60">
        <v>40978</v>
      </c>
      <c r="Q41" s="60">
        <v>48333</v>
      </c>
      <c r="R41" s="61">
        <v>58416</v>
      </c>
      <c r="S41" s="60">
        <v>55084</v>
      </c>
      <c r="T41" s="74">
        <v>79676</v>
      </c>
      <c r="U41" s="75">
        <v>91007</v>
      </c>
      <c r="V41" s="69">
        <v>112337</v>
      </c>
    </row>
    <row r="42" spans="1:22" ht="48.75">
      <c r="A42" s="4">
        <v>42101</v>
      </c>
      <c r="B42">
        <v>2017</v>
      </c>
      <c r="C42" t="s">
        <v>75</v>
      </c>
      <c r="D42" t="s">
        <v>76</v>
      </c>
      <c r="E42" t="s">
        <v>99</v>
      </c>
      <c r="F42" t="s">
        <v>100</v>
      </c>
      <c r="I42" s="63" t="s">
        <v>205</v>
      </c>
      <c r="J42" s="60">
        <v>54145</v>
      </c>
      <c r="K42" s="60">
        <v>66298</v>
      </c>
      <c r="L42" s="60">
        <v>86359</v>
      </c>
      <c r="M42" s="60">
        <v>113136</v>
      </c>
      <c r="N42" s="60">
        <v>127487</v>
      </c>
      <c r="O42" s="60">
        <v>152131</v>
      </c>
      <c r="P42" s="60">
        <v>164775</v>
      </c>
      <c r="Q42" s="60">
        <v>192827</v>
      </c>
      <c r="R42" s="61">
        <v>204840</v>
      </c>
      <c r="S42" s="60">
        <v>195881</v>
      </c>
      <c r="T42" s="74">
        <v>236647</v>
      </c>
      <c r="U42" s="75">
        <v>270560</v>
      </c>
      <c r="V42" s="69">
        <v>382345</v>
      </c>
    </row>
    <row r="43" spans="1:22" ht="39">
      <c r="A43" s="4">
        <v>42102</v>
      </c>
      <c r="B43">
        <v>2017</v>
      </c>
      <c r="C43" t="s">
        <v>75</v>
      </c>
      <c r="D43" t="s">
        <v>76</v>
      </c>
      <c r="E43" t="s">
        <v>101</v>
      </c>
      <c r="F43" t="s">
        <v>102</v>
      </c>
      <c r="I43" s="56" t="s">
        <v>206</v>
      </c>
      <c r="J43" s="57">
        <v>381404</v>
      </c>
      <c r="K43" s="57">
        <v>472061</v>
      </c>
      <c r="L43" s="57">
        <v>623289</v>
      </c>
      <c r="M43" s="57">
        <v>845641</v>
      </c>
      <c r="N43" s="57">
        <v>894286</v>
      </c>
      <c r="O43" s="57">
        <v>1101175</v>
      </c>
      <c r="P43" s="57">
        <v>1266753</v>
      </c>
      <c r="Q43" s="57">
        <v>1457864</v>
      </c>
      <c r="R43" s="58">
        <v>1548733</v>
      </c>
      <c r="S43" s="57">
        <v>1516768</v>
      </c>
      <c r="T43" s="70">
        <v>1772016</v>
      </c>
      <c r="U43" s="71">
        <v>2051331</v>
      </c>
      <c r="V43" s="67">
        <v>2652082</v>
      </c>
    </row>
    <row r="44" spans="1:22" ht="48.75">
      <c r="A44" s="4">
        <v>42103</v>
      </c>
      <c r="B44">
        <v>2017</v>
      </c>
      <c r="C44" t="s">
        <v>75</v>
      </c>
      <c r="D44" t="s">
        <v>76</v>
      </c>
      <c r="E44" t="s">
        <v>103</v>
      </c>
      <c r="F44" t="s">
        <v>104</v>
      </c>
      <c r="I44" s="59" t="s">
        <v>198</v>
      </c>
      <c r="J44" s="60"/>
      <c r="K44" s="60"/>
      <c r="L44" s="60"/>
      <c r="M44" s="60"/>
      <c r="N44" s="60"/>
      <c r="O44" s="60"/>
      <c r="P44" s="60"/>
      <c r="Q44" s="60"/>
      <c r="R44" s="61"/>
      <c r="S44" s="60"/>
      <c r="T44" s="74"/>
      <c r="U44" s="75"/>
      <c r="V44" s="68"/>
    </row>
    <row r="45" spans="1:22" ht="48.75">
      <c r="A45" s="4">
        <v>42104</v>
      </c>
      <c r="B45">
        <v>2017</v>
      </c>
      <c r="C45" t="s">
        <v>75</v>
      </c>
      <c r="D45" t="s">
        <v>76</v>
      </c>
      <c r="E45" t="s">
        <v>105</v>
      </c>
      <c r="F45" t="s">
        <v>106</v>
      </c>
      <c r="I45" s="62" t="s">
        <v>207</v>
      </c>
      <c r="J45" s="60">
        <v>306769</v>
      </c>
      <c r="K45" s="60">
        <v>385681</v>
      </c>
      <c r="L45" s="60">
        <v>509533</v>
      </c>
      <c r="M45" s="60">
        <v>695618</v>
      </c>
      <c r="N45" s="60">
        <v>709025</v>
      </c>
      <c r="O45" s="60">
        <v>838213</v>
      </c>
      <c r="P45" s="60">
        <v>1030635</v>
      </c>
      <c r="Q45" s="60">
        <v>1194791</v>
      </c>
      <c r="R45" s="61">
        <v>1304031</v>
      </c>
      <c r="S45" s="60">
        <v>1316757</v>
      </c>
      <c r="T45" s="74">
        <v>1568173</v>
      </c>
      <c r="U45" s="75">
        <v>1840262</v>
      </c>
      <c r="V45" s="69">
        <v>2359985</v>
      </c>
    </row>
    <row r="46" spans="1:22" ht="29.25">
      <c r="A46" s="4">
        <v>42105</v>
      </c>
      <c r="B46">
        <v>2017</v>
      </c>
      <c r="C46" t="s">
        <v>75</v>
      </c>
      <c r="D46" t="s">
        <v>76</v>
      </c>
      <c r="E46" t="s">
        <v>107</v>
      </c>
      <c r="F46" t="s">
        <v>108</v>
      </c>
      <c r="I46" s="62" t="s">
        <v>208</v>
      </c>
      <c r="J46" s="60">
        <v>3523</v>
      </c>
      <c r="K46" s="60">
        <v>8374</v>
      </c>
      <c r="L46" s="60">
        <v>16924</v>
      </c>
      <c r="M46" s="60">
        <v>30406</v>
      </c>
      <c r="N46" s="60">
        <v>37831</v>
      </c>
      <c r="O46" s="60">
        <v>28844</v>
      </c>
      <c r="P46" s="60">
        <v>29064</v>
      </c>
      <c r="Q46" s="60">
        <v>18567</v>
      </c>
      <c r="R46" s="61">
        <v>21091</v>
      </c>
      <c r="S46" s="60">
        <v>23495</v>
      </c>
      <c r="T46" s="74">
        <v>18583</v>
      </c>
      <c r="U46" s="75">
        <v>15564</v>
      </c>
      <c r="V46" s="69">
        <v>21561</v>
      </c>
    </row>
    <row r="47" spans="1:22" ht="78">
      <c r="A47" s="4">
        <v>42106</v>
      </c>
      <c r="B47">
        <v>2017</v>
      </c>
      <c r="C47" t="s">
        <v>75</v>
      </c>
      <c r="D47" t="s">
        <v>76</v>
      </c>
      <c r="E47" t="s">
        <v>109</v>
      </c>
      <c r="F47" t="s">
        <v>110</v>
      </c>
      <c r="I47" s="62" t="s">
        <v>209</v>
      </c>
      <c r="J47" s="60">
        <v>25461</v>
      </c>
      <c r="K47" s="60">
        <v>33803</v>
      </c>
      <c r="L47" s="60">
        <v>49053</v>
      </c>
      <c r="M47" s="60">
        <v>67606</v>
      </c>
      <c r="N47" s="60">
        <v>67053</v>
      </c>
      <c r="O47" s="60">
        <v>72251</v>
      </c>
      <c r="P47" s="60">
        <v>83931</v>
      </c>
      <c r="Q47" s="60">
        <v>97226</v>
      </c>
      <c r="R47" s="61">
        <v>107345</v>
      </c>
      <c r="S47" s="60">
        <v>145736</v>
      </c>
      <c r="T47" s="74">
        <v>154187</v>
      </c>
      <c r="U47" s="75">
        <v>182914</v>
      </c>
      <c r="V47" s="69">
        <v>239898</v>
      </c>
    </row>
    <row r="48" spans="1:22" ht="48.75">
      <c r="A48" s="4">
        <v>42107</v>
      </c>
      <c r="B48">
        <v>2017</v>
      </c>
      <c r="C48" t="s">
        <v>75</v>
      </c>
      <c r="D48" t="s">
        <v>76</v>
      </c>
      <c r="E48" t="s">
        <v>111</v>
      </c>
      <c r="F48" t="s">
        <v>112</v>
      </c>
      <c r="I48" s="59" t="s">
        <v>198</v>
      </c>
      <c r="J48" s="60"/>
      <c r="K48" s="60"/>
      <c r="L48" s="60"/>
      <c r="M48" s="60"/>
      <c r="N48" s="60"/>
      <c r="O48" s="60"/>
      <c r="P48" s="60"/>
      <c r="Q48" s="60"/>
      <c r="R48" s="61"/>
      <c r="S48" s="60"/>
      <c r="T48" s="74"/>
      <c r="U48" s="75"/>
      <c r="V48" s="68"/>
    </row>
    <row r="49" spans="1:22" ht="68.25">
      <c r="A49" s="4">
        <v>42108</v>
      </c>
      <c r="B49">
        <v>2017</v>
      </c>
      <c r="C49" t="s">
        <v>75</v>
      </c>
      <c r="D49" t="s">
        <v>76</v>
      </c>
      <c r="E49" t="s">
        <v>113</v>
      </c>
      <c r="F49" t="s">
        <v>114</v>
      </c>
      <c r="I49" s="63" t="s">
        <v>210</v>
      </c>
      <c r="J49" s="60" t="s">
        <v>211</v>
      </c>
      <c r="K49" s="60">
        <v>23396</v>
      </c>
      <c r="L49" s="60">
        <v>35598</v>
      </c>
      <c r="M49" s="60">
        <v>46926</v>
      </c>
      <c r="N49" s="60">
        <v>45368</v>
      </c>
      <c r="O49" s="60">
        <v>51112</v>
      </c>
      <c r="P49" s="60">
        <v>60683</v>
      </c>
      <c r="Q49" s="60">
        <v>68716</v>
      </c>
      <c r="R49" s="61">
        <v>72943</v>
      </c>
      <c r="S49" s="60">
        <v>75446</v>
      </c>
      <c r="T49" s="74">
        <v>104478</v>
      </c>
      <c r="U49" s="75">
        <v>146930</v>
      </c>
      <c r="V49" s="69">
        <v>199979</v>
      </c>
    </row>
    <row r="50" spans="1:22" ht="39">
      <c r="A50" s="4">
        <v>42109</v>
      </c>
      <c r="B50">
        <v>2017</v>
      </c>
      <c r="C50" t="s">
        <v>75</v>
      </c>
      <c r="D50" t="s">
        <v>76</v>
      </c>
      <c r="E50" t="s">
        <v>115</v>
      </c>
      <c r="F50" t="s">
        <v>116</v>
      </c>
      <c r="I50" s="63" t="s">
        <v>212</v>
      </c>
      <c r="J50" s="60">
        <v>5064</v>
      </c>
      <c r="K50" s="60">
        <v>7134</v>
      </c>
      <c r="L50" s="60">
        <v>8326</v>
      </c>
      <c r="M50" s="60">
        <v>11987</v>
      </c>
      <c r="N50" s="60">
        <v>11796</v>
      </c>
      <c r="O50" s="60">
        <v>13073</v>
      </c>
      <c r="P50" s="60">
        <v>13827</v>
      </c>
      <c r="Q50" s="60">
        <v>16004</v>
      </c>
      <c r="R50" s="61">
        <v>16273</v>
      </c>
      <c r="S50" s="60">
        <v>16608</v>
      </c>
      <c r="T50" s="74">
        <v>16383</v>
      </c>
      <c r="U50" s="75">
        <v>1965</v>
      </c>
      <c r="V50" s="69">
        <v>2417</v>
      </c>
    </row>
    <row r="51" spans="1:22" ht="39">
      <c r="A51" s="4">
        <v>42110</v>
      </c>
      <c r="B51">
        <v>2017</v>
      </c>
      <c r="C51" t="s">
        <v>75</v>
      </c>
      <c r="D51" t="s">
        <v>76</v>
      </c>
      <c r="E51" t="s">
        <v>117</v>
      </c>
      <c r="F51" t="s">
        <v>118</v>
      </c>
      <c r="I51" s="63" t="s">
        <v>204</v>
      </c>
      <c r="J51" s="60">
        <v>2623</v>
      </c>
      <c r="K51" s="60">
        <v>3273</v>
      </c>
      <c r="L51" s="60">
        <v>5129</v>
      </c>
      <c r="M51" s="60">
        <v>8693</v>
      </c>
      <c r="N51" s="60">
        <v>9889</v>
      </c>
      <c r="O51" s="60">
        <v>8066</v>
      </c>
      <c r="P51" s="60">
        <v>9421</v>
      </c>
      <c r="Q51" s="60">
        <v>12506</v>
      </c>
      <c r="R51" s="61">
        <v>18129</v>
      </c>
      <c r="S51" s="60">
        <v>53682</v>
      </c>
      <c r="T51" s="74">
        <v>33326</v>
      </c>
      <c r="U51" s="75">
        <v>34019</v>
      </c>
      <c r="V51" s="69">
        <v>37502</v>
      </c>
    </row>
    <row r="52" spans="1:22" ht="39">
      <c r="A52" s="4">
        <v>42111</v>
      </c>
      <c r="B52">
        <v>2017</v>
      </c>
      <c r="C52" t="s">
        <v>75</v>
      </c>
      <c r="D52" t="s">
        <v>76</v>
      </c>
      <c r="E52" t="s">
        <v>119</v>
      </c>
      <c r="F52" t="s">
        <v>120</v>
      </c>
      <c r="I52" s="62" t="s">
        <v>213</v>
      </c>
      <c r="J52" s="60">
        <v>4444</v>
      </c>
      <c r="K52" s="60">
        <v>7159</v>
      </c>
      <c r="L52" s="60">
        <v>9939</v>
      </c>
      <c r="M52" s="60">
        <v>29515</v>
      </c>
      <c r="N52" s="60">
        <v>10493</v>
      </c>
      <c r="O52" s="60">
        <v>19578</v>
      </c>
      <c r="P52" s="60">
        <v>-1159</v>
      </c>
      <c r="Q52" s="60">
        <v>-2954</v>
      </c>
      <c r="R52" s="61">
        <v>5378</v>
      </c>
      <c r="S52" s="60">
        <v>2912</v>
      </c>
      <c r="T52" s="74">
        <v>-2117</v>
      </c>
      <c r="U52" s="75">
        <v>-5481</v>
      </c>
      <c r="V52" s="69">
        <v>-32060</v>
      </c>
    </row>
    <row r="53" spans="1:22" ht="39">
      <c r="A53" s="4">
        <v>42112</v>
      </c>
      <c r="B53">
        <v>2017</v>
      </c>
      <c r="C53" t="s">
        <v>75</v>
      </c>
      <c r="D53" t="s">
        <v>76</v>
      </c>
      <c r="E53" t="s">
        <v>121</v>
      </c>
      <c r="F53" t="s">
        <v>122</v>
      </c>
      <c r="I53" s="62" t="s">
        <v>214</v>
      </c>
      <c r="J53" s="60">
        <v>41207</v>
      </c>
      <c r="K53" s="60">
        <v>37044</v>
      </c>
      <c r="L53" s="60">
        <v>37840</v>
      </c>
      <c r="M53" s="60">
        <v>22496</v>
      </c>
      <c r="N53" s="60">
        <v>69884</v>
      </c>
      <c r="O53" s="60">
        <v>142289</v>
      </c>
      <c r="P53" s="60">
        <v>124282</v>
      </c>
      <c r="Q53" s="60">
        <v>150234</v>
      </c>
      <c r="R53" s="61">
        <v>110888</v>
      </c>
      <c r="S53" s="60">
        <v>27868</v>
      </c>
      <c r="T53" s="74">
        <v>33190</v>
      </c>
      <c r="U53" s="75">
        <v>18072</v>
      </c>
      <c r="V53" s="69">
        <v>62698</v>
      </c>
    </row>
    <row r="54" spans="1:22" ht="48.75">
      <c r="A54" s="4">
        <v>42113</v>
      </c>
      <c r="B54">
        <v>2017</v>
      </c>
      <c r="C54" t="s">
        <v>75</v>
      </c>
      <c r="D54" t="s">
        <v>76</v>
      </c>
      <c r="E54" t="s">
        <v>123</v>
      </c>
      <c r="F54" t="s">
        <v>124</v>
      </c>
      <c r="I54" s="59" t="s">
        <v>198</v>
      </c>
      <c r="J54" s="60"/>
      <c r="K54" s="60"/>
      <c r="L54" s="60"/>
      <c r="M54" s="60"/>
      <c r="N54" s="60"/>
      <c r="O54" s="60"/>
      <c r="P54" s="60"/>
      <c r="Q54" s="64"/>
      <c r="R54" s="61"/>
      <c r="S54" s="60"/>
      <c r="T54" s="74"/>
      <c r="U54" s="75"/>
      <c r="V54" s="68"/>
    </row>
    <row r="55" spans="1:22" ht="68.25">
      <c r="A55" s="4">
        <v>42114</v>
      </c>
      <c r="B55">
        <v>2017</v>
      </c>
      <c r="C55" t="s">
        <v>75</v>
      </c>
      <c r="D55" t="s">
        <v>76</v>
      </c>
      <c r="E55" t="s">
        <v>125</v>
      </c>
      <c r="F55" t="s">
        <v>126</v>
      </c>
      <c r="I55" s="63" t="s">
        <v>215</v>
      </c>
      <c r="J55" s="60" t="s">
        <v>216</v>
      </c>
      <c r="K55" s="60">
        <v>54880</v>
      </c>
      <c r="L55" s="60">
        <v>94526</v>
      </c>
      <c r="M55" s="60">
        <v>91212</v>
      </c>
      <c r="N55" s="60">
        <v>2528</v>
      </c>
      <c r="O55" s="64">
        <v>81024</v>
      </c>
      <c r="P55" s="60">
        <v>43607</v>
      </c>
      <c r="Q55" s="64">
        <v>71689</v>
      </c>
      <c r="R55" s="61">
        <v>104727</v>
      </c>
      <c r="S55" s="64">
        <v>-118734</v>
      </c>
      <c r="T55" s="74">
        <v>-106306</v>
      </c>
      <c r="U55" s="75">
        <v>32528</v>
      </c>
      <c r="V55" s="69">
        <v>62180</v>
      </c>
    </row>
    <row r="56" spans="1:22" ht="58.5">
      <c r="A56" s="4">
        <v>42115</v>
      </c>
      <c r="B56">
        <v>2017</v>
      </c>
      <c r="C56" t="s">
        <v>75</v>
      </c>
      <c r="D56" t="s">
        <v>76</v>
      </c>
      <c r="E56" t="s">
        <v>127</v>
      </c>
      <c r="F56" t="s">
        <v>128</v>
      </c>
      <c r="I56" s="63" t="s">
        <v>217</v>
      </c>
      <c r="J56" s="60">
        <v>7200</v>
      </c>
      <c r="K56" s="60">
        <v>17961</v>
      </c>
      <c r="L56" s="60">
        <v>19908</v>
      </c>
      <c r="M56" s="60">
        <v>32561</v>
      </c>
      <c r="N56" s="60">
        <v>75834</v>
      </c>
      <c r="O56" s="64">
        <v>44406</v>
      </c>
      <c r="P56" s="60">
        <v>75922</v>
      </c>
      <c r="Q56" s="64">
        <v>63625</v>
      </c>
      <c r="R56" s="61">
        <v>21509</v>
      </c>
      <c r="S56" s="64">
        <v>32472</v>
      </c>
      <c r="T56" s="74">
        <v>-2870</v>
      </c>
      <c r="U56" s="75">
        <v>-63243</v>
      </c>
      <c r="V56" s="69">
        <v>10452</v>
      </c>
    </row>
    <row r="57" spans="1:22" ht="48.75">
      <c r="A57" s="4">
        <v>42116</v>
      </c>
      <c r="B57">
        <v>2017</v>
      </c>
      <c r="C57" t="s">
        <v>75</v>
      </c>
      <c r="D57" t="s">
        <v>76</v>
      </c>
      <c r="E57" t="s">
        <v>129</v>
      </c>
      <c r="F57" t="s">
        <v>130</v>
      </c>
      <c r="I57" s="63" t="s">
        <v>218</v>
      </c>
      <c r="J57" s="60" t="s">
        <v>219</v>
      </c>
      <c r="K57" s="60">
        <v>45766</v>
      </c>
      <c r="L57" s="60">
        <v>77043</v>
      </c>
      <c r="M57" s="60">
        <v>116629</v>
      </c>
      <c r="N57" s="60">
        <v>-39172</v>
      </c>
      <c r="O57" s="64">
        <v>-31639</v>
      </c>
      <c r="P57" s="60">
        <v>-8288</v>
      </c>
      <c r="Q57" s="64">
        <v>-13533</v>
      </c>
      <c r="R57" s="61">
        <v>5284</v>
      </c>
      <c r="S57" s="64">
        <v>-40115</v>
      </c>
      <c r="T57" s="74">
        <v>-82752</v>
      </c>
      <c r="U57" s="75">
        <v>-20518</v>
      </c>
      <c r="V57" s="69">
        <v>12097</v>
      </c>
    </row>
    <row r="58" spans="1:22" ht="19.5">
      <c r="A58" s="4">
        <v>42117</v>
      </c>
      <c r="B58">
        <v>2017</v>
      </c>
      <c r="C58" t="s">
        <v>75</v>
      </c>
      <c r="D58" t="s">
        <v>76</v>
      </c>
      <c r="E58" t="s">
        <v>131</v>
      </c>
      <c r="F58" t="s">
        <v>132</v>
      </c>
      <c r="I58" s="65" t="s">
        <v>220</v>
      </c>
      <c r="J58" s="57">
        <v>298275</v>
      </c>
      <c r="K58" s="57">
        <v>363586</v>
      </c>
      <c r="L58" s="57">
        <v>470953</v>
      </c>
      <c r="M58" s="57">
        <v>634493</v>
      </c>
      <c r="N58" s="57">
        <v>661915</v>
      </c>
      <c r="O58" s="57">
        <v>847949</v>
      </c>
      <c r="P58" s="57">
        <v>988983</v>
      </c>
      <c r="Q58" s="57">
        <v>1149244</v>
      </c>
      <c r="R58" s="58">
        <v>1215457</v>
      </c>
      <c r="S58" s="57">
        <v>1151656</v>
      </c>
      <c r="T58" s="70">
        <v>1362599</v>
      </c>
      <c r="U58" s="71">
        <v>1582293</v>
      </c>
      <c r="V58" s="67">
        <v>2008278</v>
      </c>
    </row>
    <row r="59" spans="1:22">
      <c r="A59" s="4">
        <v>42118</v>
      </c>
      <c r="B59">
        <v>2017</v>
      </c>
      <c r="C59" t="s">
        <v>75</v>
      </c>
      <c r="D59" t="s">
        <v>76</v>
      </c>
      <c r="E59" t="s">
        <v>133</v>
      </c>
      <c r="F59" t="s">
        <v>134</v>
      </c>
      <c r="I59" s="297" t="s">
        <v>221</v>
      </c>
      <c r="J59" s="303">
        <v>6332.1</v>
      </c>
      <c r="K59" s="303">
        <v>7771</v>
      </c>
      <c r="L59" s="303">
        <v>10126</v>
      </c>
      <c r="M59" s="303">
        <v>13716.3</v>
      </c>
      <c r="N59" s="303">
        <v>14372.8</v>
      </c>
      <c r="O59" s="303">
        <v>18485.599999999999</v>
      </c>
      <c r="P59" s="303">
        <v>21637.9</v>
      </c>
      <c r="Q59" s="303">
        <v>25206.400000000001</v>
      </c>
      <c r="R59" s="309">
        <v>26719.4</v>
      </c>
      <c r="S59" s="303">
        <v>26782.1</v>
      </c>
      <c r="T59" s="311">
        <v>31803.1</v>
      </c>
      <c r="U59" s="295">
        <v>37079.9</v>
      </c>
      <c r="V59" s="305">
        <v>47269.7</v>
      </c>
    </row>
    <row r="60" spans="1:22">
      <c r="A60" s="4">
        <v>42119</v>
      </c>
      <c r="B60">
        <v>2017</v>
      </c>
      <c r="C60" t="s">
        <v>75</v>
      </c>
      <c r="D60" t="s">
        <v>76</v>
      </c>
      <c r="E60" t="s">
        <v>135</v>
      </c>
      <c r="F60" t="s">
        <v>136</v>
      </c>
      <c r="I60" s="299"/>
      <c r="J60" s="304"/>
      <c r="K60" s="304"/>
      <c r="L60" s="304"/>
      <c r="M60" s="304"/>
      <c r="N60" s="304"/>
      <c r="O60" s="304"/>
      <c r="P60" s="304"/>
      <c r="Q60" s="304"/>
      <c r="R60" s="310"/>
      <c r="S60" s="304"/>
      <c r="T60" s="312"/>
      <c r="U60" s="296"/>
      <c r="V60" s="306"/>
    </row>
    <row r="61" spans="1:22">
      <c r="A61" s="4">
        <v>42120</v>
      </c>
      <c r="B61">
        <v>2017</v>
      </c>
      <c r="C61" t="s">
        <v>75</v>
      </c>
      <c r="D61" t="s">
        <v>76</v>
      </c>
      <c r="E61" t="s">
        <v>137</v>
      </c>
      <c r="F61" t="s">
        <v>138</v>
      </c>
      <c r="I61" s="297" t="s">
        <v>222</v>
      </c>
      <c r="J61" s="300">
        <v>123.9</v>
      </c>
      <c r="K61" s="300">
        <v>111.8</v>
      </c>
      <c r="L61" s="300">
        <v>114.8</v>
      </c>
      <c r="M61" s="300">
        <v>107.6</v>
      </c>
      <c r="N61" s="300">
        <v>90</v>
      </c>
      <c r="O61" s="300">
        <v>117.1</v>
      </c>
      <c r="P61" s="300">
        <v>108</v>
      </c>
      <c r="Q61" s="300">
        <v>113.9</v>
      </c>
      <c r="R61" s="314">
        <v>106.1</v>
      </c>
      <c r="S61" s="300">
        <v>88.5</v>
      </c>
      <c r="T61" s="311">
        <v>79.599999999999994</v>
      </c>
      <c r="U61" s="292">
        <v>102</v>
      </c>
      <c r="V61" s="307">
        <v>110.9</v>
      </c>
    </row>
    <row r="62" spans="1:22">
      <c r="A62" s="4">
        <v>42121</v>
      </c>
      <c r="B62">
        <v>2017</v>
      </c>
      <c r="C62" t="s">
        <v>75</v>
      </c>
      <c r="D62" t="s">
        <v>76</v>
      </c>
      <c r="E62" t="s">
        <v>139</v>
      </c>
      <c r="F62" t="s">
        <v>140</v>
      </c>
      <c r="I62" s="298"/>
      <c r="J62" s="301"/>
      <c r="K62" s="301"/>
      <c r="L62" s="301"/>
      <c r="M62" s="301"/>
      <c r="N62" s="301"/>
      <c r="O62" s="301"/>
      <c r="P62" s="301"/>
      <c r="Q62" s="301"/>
      <c r="R62" s="315"/>
      <c r="S62" s="301"/>
      <c r="T62" s="313"/>
      <c r="U62" s="293"/>
      <c r="V62" s="308"/>
    </row>
    <row r="63" spans="1:22">
      <c r="A63" s="4">
        <v>42122</v>
      </c>
      <c r="B63">
        <v>2017</v>
      </c>
      <c r="C63" t="s">
        <v>75</v>
      </c>
      <c r="D63" t="s">
        <v>76</v>
      </c>
      <c r="E63" t="s">
        <v>141</v>
      </c>
      <c r="F63" t="s">
        <v>142</v>
      </c>
      <c r="I63" s="299"/>
      <c r="J63" s="302"/>
      <c r="K63" s="302"/>
      <c r="L63" s="302"/>
      <c r="M63" s="302"/>
      <c r="N63" s="302"/>
      <c r="O63" s="302"/>
      <c r="P63" s="302"/>
      <c r="Q63" s="302"/>
      <c r="R63" s="316"/>
      <c r="S63" s="302"/>
      <c r="T63" s="312"/>
      <c r="U63" s="294"/>
      <c r="V63" s="308"/>
    </row>
    <row r="64" spans="1:22" ht="16.5">
      <c r="A64" s="4">
        <v>42123</v>
      </c>
      <c r="B64">
        <v>2017</v>
      </c>
      <c r="C64" t="s">
        <v>75</v>
      </c>
      <c r="D64" t="s">
        <v>76</v>
      </c>
      <c r="E64" t="s">
        <v>143</v>
      </c>
      <c r="F64" t="s">
        <v>92</v>
      </c>
      <c r="I64" s="289" t="s">
        <v>223</v>
      </c>
      <c r="J64" s="289"/>
      <c r="K64" s="289"/>
      <c r="L64" s="289"/>
      <c r="M64" s="289"/>
      <c r="N64" s="289"/>
      <c r="O64" s="289"/>
      <c r="P64" s="289"/>
      <c r="Q64" s="289"/>
      <c r="R64" s="289"/>
      <c r="S64" s="289"/>
      <c r="T64" s="289"/>
      <c r="U64" s="289"/>
      <c r="V64" s="290"/>
    </row>
    <row r="65" spans="1:22">
      <c r="A65" s="4">
        <v>42124</v>
      </c>
      <c r="B65">
        <v>2017</v>
      </c>
      <c r="C65" t="s">
        <v>75</v>
      </c>
      <c r="D65" t="s">
        <v>76</v>
      </c>
      <c r="E65" t="s">
        <v>144</v>
      </c>
      <c r="F65" t="s">
        <v>92</v>
      </c>
      <c r="I65" s="291" t="s">
        <v>224</v>
      </c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0"/>
    </row>
    <row r="66" spans="1:22">
      <c r="A66" s="4">
        <v>42125</v>
      </c>
      <c r="B66">
        <v>2017</v>
      </c>
      <c r="C66" t="s">
        <v>75</v>
      </c>
      <c r="D66" t="s">
        <v>76</v>
      </c>
      <c r="E66" t="s">
        <v>145</v>
      </c>
      <c r="F66" t="s">
        <v>92</v>
      </c>
    </row>
    <row r="67" spans="1:22">
      <c r="A67" s="4">
        <v>42126</v>
      </c>
      <c r="B67">
        <v>2017</v>
      </c>
      <c r="C67" t="s">
        <v>75</v>
      </c>
      <c r="D67" t="s">
        <v>76</v>
      </c>
      <c r="E67" t="s">
        <v>146</v>
      </c>
      <c r="F67" t="s">
        <v>147</v>
      </c>
    </row>
    <row r="68" spans="1:22">
      <c r="A68" s="4">
        <v>42127</v>
      </c>
      <c r="B68">
        <v>2017</v>
      </c>
      <c r="C68" t="s">
        <v>75</v>
      </c>
      <c r="D68" t="s">
        <v>76</v>
      </c>
      <c r="E68" t="s">
        <v>148</v>
      </c>
      <c r="F68" t="s">
        <v>149</v>
      </c>
    </row>
    <row r="69" spans="1:22">
      <c r="A69" s="4">
        <v>42128</v>
      </c>
      <c r="B69">
        <v>2017</v>
      </c>
      <c r="C69" t="s">
        <v>75</v>
      </c>
      <c r="D69" t="s">
        <v>76</v>
      </c>
      <c r="E69" t="s">
        <v>150</v>
      </c>
      <c r="F69" t="s">
        <v>151</v>
      </c>
      <c r="I69" s="77"/>
      <c r="J69" s="317" t="s">
        <v>225</v>
      </c>
      <c r="K69" s="317"/>
      <c r="L69" s="317"/>
      <c r="M69" s="317"/>
      <c r="N69" s="317"/>
      <c r="O69" s="317"/>
      <c r="P69" s="317"/>
      <c r="Q69" s="317"/>
      <c r="R69" s="77"/>
    </row>
    <row r="70" spans="1:22">
      <c r="A70" s="4">
        <v>42129</v>
      </c>
      <c r="B70">
        <v>2017</v>
      </c>
      <c r="C70" t="s">
        <v>75</v>
      </c>
      <c r="D70" t="s">
        <v>76</v>
      </c>
      <c r="E70" t="s">
        <v>152</v>
      </c>
      <c r="F70" t="s">
        <v>153</v>
      </c>
      <c r="I70" s="321" t="s">
        <v>226</v>
      </c>
      <c r="J70" s="321"/>
      <c r="K70" s="321"/>
      <c r="L70" s="321"/>
      <c r="M70" s="321"/>
      <c r="N70" s="321"/>
      <c r="O70" s="321"/>
      <c r="P70" s="321"/>
      <c r="Q70" s="321"/>
      <c r="R70" s="321"/>
    </row>
    <row r="71" spans="1:22">
      <c r="A71" s="4">
        <v>42130</v>
      </c>
      <c r="B71">
        <v>2017</v>
      </c>
      <c r="C71" t="s">
        <v>75</v>
      </c>
      <c r="D71" t="s">
        <v>76</v>
      </c>
      <c r="E71" t="s">
        <v>154</v>
      </c>
      <c r="F71" t="s">
        <v>155</v>
      </c>
      <c r="I71" s="77"/>
      <c r="J71" s="78"/>
      <c r="K71" s="87">
        <v>2010</v>
      </c>
      <c r="L71" s="87">
        <v>2011</v>
      </c>
      <c r="M71" s="87">
        <v>2012</v>
      </c>
      <c r="N71" s="87">
        <v>2013</v>
      </c>
      <c r="O71" s="88" t="s">
        <v>227</v>
      </c>
      <c r="P71" s="89" t="s">
        <v>228</v>
      </c>
      <c r="Q71" s="89" t="s">
        <v>229</v>
      </c>
      <c r="R71" s="85" t="s">
        <v>230</v>
      </c>
    </row>
    <row r="72" spans="1:22" ht="216.75">
      <c r="A72" s="4">
        <v>42131</v>
      </c>
      <c r="B72">
        <v>2017</v>
      </c>
      <c r="C72" t="s">
        <v>75</v>
      </c>
      <c r="D72" t="s">
        <v>76</v>
      </c>
      <c r="E72" t="s">
        <v>156</v>
      </c>
      <c r="F72" t="s">
        <v>157</v>
      </c>
      <c r="I72" s="77"/>
      <c r="J72" s="86" t="s">
        <v>231</v>
      </c>
      <c r="K72" s="90">
        <v>3481</v>
      </c>
      <c r="L72" s="90">
        <v>3853.9</v>
      </c>
      <c r="M72" s="90">
        <v>4144.5</v>
      </c>
      <c r="N72" s="90">
        <v>4470.5</v>
      </c>
      <c r="O72" s="90">
        <v>4563.3</v>
      </c>
      <c r="P72" s="90">
        <v>5231.7</v>
      </c>
      <c r="Q72" s="90">
        <v>6238.8</v>
      </c>
      <c r="R72" s="91">
        <v>8165.2</v>
      </c>
    </row>
    <row r="73" spans="1:22" ht="114.75">
      <c r="A73" s="4">
        <v>42132</v>
      </c>
      <c r="B73">
        <v>2017</v>
      </c>
      <c r="C73" t="s">
        <v>75</v>
      </c>
      <c r="D73" t="s">
        <v>76</v>
      </c>
      <c r="E73" t="s">
        <v>158</v>
      </c>
      <c r="F73" t="s">
        <v>159</v>
      </c>
      <c r="I73" s="77"/>
      <c r="J73" s="79" t="s">
        <v>232</v>
      </c>
      <c r="K73" s="318" t="s">
        <v>233</v>
      </c>
      <c r="L73" s="319"/>
      <c r="M73" s="319"/>
      <c r="N73" s="319"/>
      <c r="O73" s="319"/>
      <c r="P73" s="319"/>
      <c r="Q73" s="319"/>
      <c r="R73" s="320"/>
    </row>
    <row r="74" spans="1:22" ht="25.5">
      <c r="A74" s="4">
        <v>42133</v>
      </c>
      <c r="B74">
        <v>2017</v>
      </c>
      <c r="C74" t="s">
        <v>75</v>
      </c>
      <c r="D74" t="s">
        <v>76</v>
      </c>
      <c r="E74" t="s">
        <v>160</v>
      </c>
      <c r="F74" t="s">
        <v>161</v>
      </c>
      <c r="I74" s="77"/>
      <c r="J74" s="80" t="s">
        <v>234</v>
      </c>
      <c r="K74" s="82">
        <v>89.1</v>
      </c>
      <c r="L74" s="82">
        <v>88.9</v>
      </c>
      <c r="M74" s="82">
        <v>91</v>
      </c>
      <c r="N74" s="82">
        <v>90.8</v>
      </c>
      <c r="O74" s="82">
        <v>91.2</v>
      </c>
      <c r="P74" s="83">
        <v>89.4</v>
      </c>
      <c r="Q74" s="83">
        <v>86</v>
      </c>
      <c r="R74" s="84">
        <v>87.5</v>
      </c>
    </row>
    <row r="75" spans="1:22" ht="38.25">
      <c r="A75" s="4">
        <v>42134</v>
      </c>
      <c r="B75">
        <v>2017</v>
      </c>
      <c r="C75" t="s">
        <v>75</v>
      </c>
      <c r="D75" t="s">
        <v>76</v>
      </c>
      <c r="E75" t="s">
        <v>162</v>
      </c>
      <c r="F75" t="s">
        <v>92</v>
      </c>
      <c r="I75" s="77"/>
      <c r="J75" s="80" t="s">
        <v>235</v>
      </c>
      <c r="K75" s="82">
        <v>47.6</v>
      </c>
      <c r="L75" s="82">
        <v>48.9</v>
      </c>
      <c r="M75" s="82">
        <v>50.8</v>
      </c>
      <c r="N75" s="82">
        <v>50.6</v>
      </c>
      <c r="O75" s="82">
        <v>48.8</v>
      </c>
      <c r="P75" s="83">
        <v>47.2</v>
      </c>
      <c r="Q75" s="83">
        <v>46.7</v>
      </c>
      <c r="R75" s="84">
        <v>52.4</v>
      </c>
    </row>
    <row r="76" spans="1:22" ht="127.5">
      <c r="A76" s="4">
        <v>42135</v>
      </c>
      <c r="B76">
        <v>2017</v>
      </c>
      <c r="C76" t="s">
        <v>75</v>
      </c>
      <c r="D76" t="s">
        <v>76</v>
      </c>
      <c r="E76" t="s">
        <v>163</v>
      </c>
      <c r="F76" t="s">
        <v>92</v>
      </c>
      <c r="I76" s="77"/>
      <c r="J76" s="80" t="s">
        <v>236</v>
      </c>
      <c r="K76" s="82">
        <v>6.1</v>
      </c>
      <c r="L76" s="82">
        <v>4.5999999999999996</v>
      </c>
      <c r="M76" s="82">
        <v>4.0999999999999996</v>
      </c>
      <c r="N76" s="82">
        <v>4.0999999999999996</v>
      </c>
      <c r="O76" s="82">
        <v>5.2</v>
      </c>
      <c r="P76" s="83">
        <v>5.5</v>
      </c>
      <c r="Q76" s="83">
        <v>5.2</v>
      </c>
      <c r="R76" s="84">
        <v>4.4000000000000004</v>
      </c>
    </row>
    <row r="77" spans="1:22" ht="127.5">
      <c r="A77" s="4">
        <v>42136</v>
      </c>
      <c r="B77">
        <v>2017</v>
      </c>
      <c r="C77" t="s">
        <v>75</v>
      </c>
      <c r="D77" t="s">
        <v>76</v>
      </c>
      <c r="E77" t="s">
        <v>164</v>
      </c>
      <c r="F77" t="s">
        <v>92</v>
      </c>
      <c r="I77" s="77"/>
      <c r="J77" s="80" t="s">
        <v>237</v>
      </c>
      <c r="K77" s="82">
        <v>3.4</v>
      </c>
      <c r="L77" s="82">
        <v>3.1</v>
      </c>
      <c r="M77" s="82">
        <v>2.8</v>
      </c>
      <c r="N77" s="82">
        <v>2.8</v>
      </c>
      <c r="O77" s="82">
        <v>3.2</v>
      </c>
      <c r="P77" s="83">
        <v>3.4</v>
      </c>
      <c r="Q77" s="83">
        <v>2.9</v>
      </c>
      <c r="R77" s="84">
        <v>3</v>
      </c>
    </row>
    <row r="78" spans="1:22" ht="127.5">
      <c r="A78" s="4">
        <v>42137</v>
      </c>
      <c r="B78">
        <v>2017</v>
      </c>
      <c r="C78" t="s">
        <v>75</v>
      </c>
      <c r="D78" t="s">
        <v>76</v>
      </c>
      <c r="E78" t="s">
        <v>165</v>
      </c>
      <c r="F78" t="s">
        <v>92</v>
      </c>
      <c r="I78" s="77"/>
      <c r="J78" s="80" t="s">
        <v>238</v>
      </c>
      <c r="K78" s="82" t="s">
        <v>239</v>
      </c>
      <c r="L78" s="82">
        <v>25.5</v>
      </c>
      <c r="M78" s="82">
        <v>27.1</v>
      </c>
      <c r="N78" s="82">
        <v>27.1</v>
      </c>
      <c r="O78" s="82">
        <v>27</v>
      </c>
      <c r="P78" s="83">
        <v>25.2</v>
      </c>
      <c r="Q78" s="83">
        <v>23.1</v>
      </c>
      <c r="R78" s="84">
        <v>20.2</v>
      </c>
    </row>
    <row r="79" spans="1:22" ht="127.5">
      <c r="A79" s="4">
        <v>42138</v>
      </c>
      <c r="B79">
        <v>2017</v>
      </c>
      <c r="C79" t="s">
        <v>75</v>
      </c>
      <c r="D79" t="s">
        <v>76</v>
      </c>
      <c r="E79" t="s">
        <v>166</v>
      </c>
      <c r="F79" t="s">
        <v>92</v>
      </c>
      <c r="I79" s="77"/>
      <c r="J79" s="80" t="s">
        <v>240</v>
      </c>
      <c r="K79" s="82" t="s">
        <v>241</v>
      </c>
      <c r="L79" s="82">
        <v>6.8</v>
      </c>
      <c r="M79" s="82">
        <v>6.2</v>
      </c>
      <c r="N79" s="82">
        <v>6.2</v>
      </c>
      <c r="O79" s="82">
        <v>7</v>
      </c>
      <c r="P79" s="83">
        <v>8.1</v>
      </c>
      <c r="Q79" s="83">
        <v>8.1</v>
      </c>
      <c r="R79" s="84">
        <v>7.5</v>
      </c>
    </row>
    <row r="80" spans="1:22" ht="204">
      <c r="A80" s="4">
        <v>42139</v>
      </c>
      <c r="B80">
        <v>2017</v>
      </c>
      <c r="C80" t="s">
        <v>75</v>
      </c>
      <c r="D80" t="s">
        <v>76</v>
      </c>
      <c r="E80" t="s">
        <v>167</v>
      </c>
      <c r="F80" t="s">
        <v>168</v>
      </c>
      <c r="I80" s="77"/>
      <c r="J80" s="80" t="s">
        <v>242</v>
      </c>
      <c r="K80" s="82">
        <v>5</v>
      </c>
      <c r="L80" s="82">
        <v>4.8</v>
      </c>
      <c r="M80" s="82">
        <v>3.8</v>
      </c>
      <c r="N80" s="82">
        <v>3.9</v>
      </c>
      <c r="O80" s="82">
        <v>4.5999999999999996</v>
      </c>
      <c r="P80" s="83">
        <v>5.0999999999999996</v>
      </c>
      <c r="Q80" s="83">
        <v>4.8</v>
      </c>
      <c r="R80" s="84">
        <v>4</v>
      </c>
    </row>
    <row r="81" spans="1:18" ht="178.5">
      <c r="A81" s="4">
        <v>42140</v>
      </c>
      <c r="B81">
        <v>2017</v>
      </c>
      <c r="C81" t="s">
        <v>75</v>
      </c>
      <c r="D81" t="s">
        <v>76</v>
      </c>
      <c r="E81" t="s">
        <v>169</v>
      </c>
      <c r="F81" t="s">
        <v>170</v>
      </c>
      <c r="I81" s="77"/>
      <c r="J81" s="80" t="s">
        <v>243</v>
      </c>
      <c r="K81" s="82">
        <v>0.6</v>
      </c>
      <c r="L81" s="82">
        <v>0.6</v>
      </c>
      <c r="M81" s="82">
        <v>0.6</v>
      </c>
      <c r="N81" s="82">
        <v>0.4</v>
      </c>
      <c r="O81" s="82">
        <v>0.4</v>
      </c>
      <c r="P81" s="83">
        <v>1.3</v>
      </c>
      <c r="Q81" s="83">
        <v>4.7</v>
      </c>
      <c r="R81" s="84">
        <v>4.7</v>
      </c>
    </row>
    <row r="82" spans="1:18" ht="318.75">
      <c r="A82" s="4">
        <v>42141</v>
      </c>
      <c r="B82">
        <v>2017</v>
      </c>
      <c r="C82" t="s">
        <v>75</v>
      </c>
      <c r="D82" t="s">
        <v>76</v>
      </c>
      <c r="E82" t="s">
        <v>171</v>
      </c>
      <c r="F82" t="s">
        <v>172</v>
      </c>
      <c r="I82" s="77"/>
      <c r="J82" s="80" t="s">
        <v>244</v>
      </c>
      <c r="K82" s="82">
        <v>0.5</v>
      </c>
      <c r="L82" s="82">
        <v>0.5</v>
      </c>
      <c r="M82" s="82">
        <v>0.5</v>
      </c>
      <c r="N82" s="82">
        <v>0.5</v>
      </c>
      <c r="O82" s="82">
        <v>0.4</v>
      </c>
      <c r="P82" s="83">
        <v>0.4</v>
      </c>
      <c r="Q82" s="83">
        <v>0.4</v>
      </c>
      <c r="R82" s="84">
        <v>0.4</v>
      </c>
    </row>
    <row r="83" spans="1:18" ht="38.25">
      <c r="A83" s="4">
        <v>42142</v>
      </c>
      <c r="B83">
        <v>2017</v>
      </c>
      <c r="C83" t="s">
        <v>75</v>
      </c>
      <c r="D83" t="s">
        <v>76</v>
      </c>
      <c r="E83" t="s">
        <v>173</v>
      </c>
      <c r="F83" t="s">
        <v>174</v>
      </c>
      <c r="I83" s="77"/>
      <c r="J83" s="80" t="s">
        <v>245</v>
      </c>
      <c r="K83" s="82">
        <v>4.8</v>
      </c>
      <c r="L83" s="82">
        <v>5.2</v>
      </c>
      <c r="M83" s="82">
        <v>4.0999999999999996</v>
      </c>
      <c r="N83" s="82">
        <v>4.4000000000000004</v>
      </c>
      <c r="O83" s="82">
        <v>3.4</v>
      </c>
      <c r="P83" s="83">
        <v>3.8</v>
      </c>
      <c r="Q83" s="83">
        <v>4.0999999999999996</v>
      </c>
      <c r="R83" s="84">
        <v>3.4</v>
      </c>
    </row>
    <row r="84" spans="1:18" ht="76.5">
      <c r="A84" s="4">
        <v>42143</v>
      </c>
      <c r="B84">
        <v>2017</v>
      </c>
      <c r="C84" t="s">
        <v>75</v>
      </c>
      <c r="D84" t="s">
        <v>76</v>
      </c>
      <c r="E84" t="s">
        <v>175</v>
      </c>
      <c r="F84" t="s">
        <v>176</v>
      </c>
      <c r="J84" s="81" t="s">
        <v>246</v>
      </c>
      <c r="K84" s="82">
        <v>3369.8</v>
      </c>
      <c r="L84" s="82">
        <v>3708.2</v>
      </c>
      <c r="M84" s="82">
        <v>4031.9</v>
      </c>
      <c r="N84" s="82">
        <v>4331</v>
      </c>
      <c r="O84" s="82">
        <v>4470.8999999999996</v>
      </c>
      <c r="P84" s="83">
        <v>5122</v>
      </c>
      <c r="Q84" s="83">
        <v>6095</v>
      </c>
      <c r="R84" s="84">
        <v>8013.1</v>
      </c>
    </row>
    <row r="85" spans="1:18" ht="15.75">
      <c r="A85" s="4">
        <v>42144</v>
      </c>
      <c r="B85">
        <v>2017</v>
      </c>
      <c r="C85" t="s">
        <v>75</v>
      </c>
      <c r="D85" t="s">
        <v>76</v>
      </c>
      <c r="E85" t="s">
        <v>177</v>
      </c>
      <c r="F85" t="s">
        <v>178</v>
      </c>
      <c r="J85" s="92" t="s">
        <v>247</v>
      </c>
      <c r="K85" s="93"/>
      <c r="L85" s="93"/>
      <c r="M85" s="93"/>
      <c r="N85" s="93"/>
      <c r="O85" s="93"/>
      <c r="P85" s="93"/>
      <c r="Q85" s="93"/>
      <c r="R85" s="77"/>
    </row>
    <row r="86" spans="1:18">
      <c r="A86" s="4">
        <v>42145</v>
      </c>
      <c r="B86">
        <v>2017</v>
      </c>
      <c r="C86" t="s">
        <v>75</v>
      </c>
      <c r="D86" t="s">
        <v>76</v>
      </c>
      <c r="E86" t="s">
        <v>179</v>
      </c>
      <c r="F86" t="s">
        <v>92</v>
      </c>
    </row>
    <row r="87" spans="1:18">
      <c r="A87" s="4">
        <v>42146</v>
      </c>
      <c r="B87">
        <v>2017</v>
      </c>
      <c r="C87" t="s">
        <v>75</v>
      </c>
      <c r="D87" t="s">
        <v>76</v>
      </c>
      <c r="E87" t="s">
        <v>180</v>
      </c>
      <c r="F87" t="s">
        <v>181</v>
      </c>
    </row>
    <row r="88" spans="1:18">
      <c r="A88" s="4">
        <v>42147</v>
      </c>
      <c r="B88">
        <v>2017</v>
      </c>
      <c r="C88" t="s">
        <v>75</v>
      </c>
      <c r="D88" t="s">
        <v>76</v>
      </c>
      <c r="E88" t="s">
        <v>182</v>
      </c>
      <c r="F88" t="s">
        <v>183</v>
      </c>
    </row>
    <row r="89" spans="1:18">
      <c r="A89" s="4">
        <v>42148</v>
      </c>
      <c r="B89">
        <v>2017</v>
      </c>
      <c r="C89" t="s">
        <v>75</v>
      </c>
      <c r="D89" t="s">
        <v>76</v>
      </c>
      <c r="E89" t="s">
        <v>184</v>
      </c>
      <c r="F89" t="s">
        <v>185</v>
      </c>
    </row>
    <row r="90" spans="1:18">
      <c r="A90" s="4">
        <v>42149</v>
      </c>
      <c r="B90">
        <v>2017</v>
      </c>
      <c r="C90" t="s">
        <v>75</v>
      </c>
      <c r="D90" t="s">
        <v>76</v>
      </c>
      <c r="E90" t="s">
        <v>186</v>
      </c>
      <c r="F90" t="s">
        <v>187</v>
      </c>
    </row>
    <row r="91" spans="1:18">
      <c r="A91" s="4">
        <v>42150</v>
      </c>
      <c r="B91">
        <v>2017</v>
      </c>
      <c r="C91" t="s">
        <v>75</v>
      </c>
      <c r="D91" t="s">
        <v>76</v>
      </c>
      <c r="E91" t="s">
        <v>188</v>
      </c>
      <c r="F91" t="s">
        <v>92</v>
      </c>
    </row>
    <row r="96" spans="1:18" ht="15.75">
      <c r="C96" s="332" t="s">
        <v>248</v>
      </c>
      <c r="D96" s="332"/>
      <c r="E96" s="332"/>
      <c r="F96" s="332"/>
      <c r="G96" s="332"/>
      <c r="H96" s="332"/>
      <c r="I96" s="332"/>
      <c r="J96" s="333"/>
    </row>
    <row r="97" spans="3:10">
      <c r="C97" s="324"/>
      <c r="D97" s="327">
        <v>2017</v>
      </c>
      <c r="E97" s="328"/>
      <c r="F97" s="328"/>
      <c r="G97" s="328"/>
      <c r="H97" s="328"/>
      <c r="I97" s="328"/>
      <c r="J97" s="329"/>
    </row>
    <row r="98" spans="3:10">
      <c r="C98" s="325"/>
      <c r="D98" s="334" t="s">
        <v>249</v>
      </c>
      <c r="E98" s="327" t="s">
        <v>250</v>
      </c>
      <c r="F98" s="336"/>
      <c r="G98" s="334" t="s">
        <v>251</v>
      </c>
      <c r="H98" s="338" t="s">
        <v>252</v>
      </c>
      <c r="I98" s="338" t="s">
        <v>253</v>
      </c>
      <c r="J98" s="327" t="s">
        <v>254</v>
      </c>
    </row>
    <row r="99" spans="3:10" ht="27">
      <c r="C99" s="326"/>
      <c r="D99" s="335"/>
      <c r="E99" s="104" t="s">
        <v>255</v>
      </c>
      <c r="F99" s="103" t="s">
        <v>256</v>
      </c>
      <c r="G99" s="337"/>
      <c r="H99" s="339"/>
      <c r="I99" s="339"/>
      <c r="J99" s="340"/>
    </row>
    <row r="100" spans="3:10" ht="51">
      <c r="C100" s="106" t="s">
        <v>257</v>
      </c>
      <c r="D100" s="101">
        <v>7139.4</v>
      </c>
      <c r="E100" s="98">
        <v>7344.7</v>
      </c>
      <c r="F100" s="98">
        <v>6717</v>
      </c>
      <c r="G100" s="98">
        <v>8833.2999999999993</v>
      </c>
      <c r="H100" s="98">
        <v>7352.1</v>
      </c>
      <c r="I100" s="98">
        <v>6091.9</v>
      </c>
      <c r="J100" s="118">
        <v>8692.1</v>
      </c>
    </row>
    <row r="101" spans="3:10">
      <c r="C101" s="322" t="s">
        <v>233</v>
      </c>
      <c r="D101" s="323"/>
      <c r="E101" s="323"/>
      <c r="F101" s="323"/>
      <c r="G101" s="323"/>
      <c r="H101" s="323"/>
      <c r="I101" s="323"/>
      <c r="J101" s="323"/>
    </row>
    <row r="102" spans="3:10" ht="38.25">
      <c r="C102" s="107" t="s">
        <v>258</v>
      </c>
      <c r="D102" s="96">
        <v>92.9</v>
      </c>
      <c r="E102" s="96">
        <v>94</v>
      </c>
      <c r="F102" s="96">
        <v>90.4</v>
      </c>
      <c r="G102" s="96">
        <v>94.1</v>
      </c>
      <c r="H102" s="96">
        <v>93.7</v>
      </c>
      <c r="I102" s="96">
        <v>91.8</v>
      </c>
      <c r="J102" s="96">
        <v>93.4</v>
      </c>
    </row>
    <row r="103" spans="3:10" ht="25.5">
      <c r="C103" s="108" t="s">
        <v>259</v>
      </c>
      <c r="D103" s="322"/>
      <c r="E103" s="322"/>
      <c r="F103" s="322"/>
      <c r="G103" s="322"/>
      <c r="H103" s="322"/>
      <c r="I103" s="322"/>
      <c r="J103" s="119"/>
    </row>
    <row r="104" spans="3:10" ht="89.25">
      <c r="C104" s="109" t="s">
        <v>260</v>
      </c>
      <c r="D104" s="97">
        <v>47.9</v>
      </c>
      <c r="E104" s="97">
        <v>46.7</v>
      </c>
      <c r="F104" s="97">
        <v>50.6</v>
      </c>
      <c r="G104" s="97">
        <v>47.3</v>
      </c>
      <c r="H104" s="97">
        <v>50.3</v>
      </c>
      <c r="I104" s="97">
        <v>48.5</v>
      </c>
      <c r="J104" s="97">
        <v>46</v>
      </c>
    </row>
    <row r="105" spans="3:10" ht="38.25">
      <c r="C105" s="109" t="s">
        <v>261</v>
      </c>
      <c r="D105" s="97">
        <v>1.1000000000000001</v>
      </c>
      <c r="E105" s="97">
        <v>1.3</v>
      </c>
      <c r="F105" s="97">
        <v>0.9</v>
      </c>
      <c r="G105" s="97">
        <v>1.1000000000000001</v>
      </c>
      <c r="H105" s="97">
        <v>0.8</v>
      </c>
      <c r="I105" s="97">
        <v>1.1000000000000001</v>
      </c>
      <c r="J105" s="97">
        <v>1.2</v>
      </c>
    </row>
    <row r="106" spans="3:10" ht="38.25">
      <c r="C106" s="109" t="s">
        <v>262</v>
      </c>
      <c r="D106" s="97">
        <v>2</v>
      </c>
      <c r="E106" s="97">
        <v>2</v>
      </c>
      <c r="F106" s="97">
        <v>2</v>
      </c>
      <c r="G106" s="97">
        <v>2</v>
      </c>
      <c r="H106" s="97">
        <v>1.5</v>
      </c>
      <c r="I106" s="97">
        <v>1.9</v>
      </c>
      <c r="J106" s="97">
        <v>2.1</v>
      </c>
    </row>
    <row r="107" spans="3:10" ht="25.5">
      <c r="C107" s="109" t="s">
        <v>263</v>
      </c>
      <c r="D107" s="97">
        <v>5.5</v>
      </c>
      <c r="E107" s="97">
        <v>5.5</v>
      </c>
      <c r="F107" s="97">
        <v>5.8</v>
      </c>
      <c r="G107" s="97">
        <v>6.7</v>
      </c>
      <c r="H107" s="97">
        <v>6.3</v>
      </c>
      <c r="I107" s="97">
        <v>4.7</v>
      </c>
      <c r="J107" s="97">
        <v>6.6</v>
      </c>
    </row>
    <row r="108" spans="3:10" ht="102">
      <c r="C108" s="109" t="s">
        <v>264</v>
      </c>
      <c r="D108" s="97">
        <v>17</v>
      </c>
      <c r="E108" s="97">
        <v>17.7</v>
      </c>
      <c r="F108" s="97">
        <v>15.3</v>
      </c>
      <c r="G108" s="97">
        <v>16.100000000000001</v>
      </c>
      <c r="H108" s="97">
        <v>16.8</v>
      </c>
      <c r="I108" s="97">
        <v>17.8</v>
      </c>
      <c r="J108" s="97">
        <v>16.2</v>
      </c>
    </row>
    <row r="109" spans="3:10" ht="178.5">
      <c r="C109" s="110" t="s">
        <v>265</v>
      </c>
      <c r="D109" s="97">
        <v>15.4</v>
      </c>
      <c r="E109" s="97">
        <v>16.600000000000001</v>
      </c>
      <c r="F109" s="97">
        <v>12.8</v>
      </c>
      <c r="G109" s="97">
        <v>14.6</v>
      </c>
      <c r="H109" s="97">
        <v>15.7</v>
      </c>
      <c r="I109" s="97">
        <v>16.2</v>
      </c>
      <c r="J109" s="97">
        <v>14.9</v>
      </c>
    </row>
    <row r="110" spans="3:10" ht="127.5">
      <c r="C110" s="111" t="s">
        <v>266</v>
      </c>
      <c r="D110" s="97">
        <v>5.3</v>
      </c>
      <c r="E110" s="97">
        <v>4.9000000000000004</v>
      </c>
      <c r="F110" s="97">
        <v>6.3</v>
      </c>
      <c r="G110" s="97">
        <v>4.5</v>
      </c>
      <c r="H110" s="97">
        <v>6.2</v>
      </c>
      <c r="I110" s="97">
        <v>6.1</v>
      </c>
      <c r="J110" s="97">
        <v>4</v>
      </c>
    </row>
    <row r="111" spans="3:10" ht="153">
      <c r="C111" s="109" t="s">
        <v>267</v>
      </c>
      <c r="D111" s="97">
        <v>2</v>
      </c>
      <c r="E111" s="97">
        <v>2</v>
      </c>
      <c r="F111" s="97">
        <v>2.1</v>
      </c>
      <c r="G111" s="97">
        <v>2.1</v>
      </c>
      <c r="H111" s="97">
        <v>1.4</v>
      </c>
      <c r="I111" s="97">
        <v>1.9</v>
      </c>
      <c r="J111" s="97">
        <v>2.1</v>
      </c>
    </row>
    <row r="112" spans="3:10" ht="25.5">
      <c r="C112" s="109" t="s">
        <v>268</v>
      </c>
      <c r="D112" s="97">
        <v>3.8</v>
      </c>
      <c r="E112" s="97">
        <v>3.8</v>
      </c>
      <c r="F112" s="97">
        <v>3.8</v>
      </c>
      <c r="G112" s="97">
        <v>3</v>
      </c>
      <c r="H112" s="97">
        <v>3.7</v>
      </c>
      <c r="I112" s="97">
        <v>4.5</v>
      </c>
      <c r="J112" s="97">
        <v>3.1</v>
      </c>
    </row>
    <row r="113" spans="3:10" ht="191.25">
      <c r="C113" s="117" t="s">
        <v>269</v>
      </c>
      <c r="D113" s="97">
        <v>0.1</v>
      </c>
      <c r="E113" s="97">
        <v>0.2</v>
      </c>
      <c r="F113" s="97">
        <v>0.1</v>
      </c>
      <c r="G113" s="97">
        <v>0.1</v>
      </c>
      <c r="H113" s="97">
        <v>0.3</v>
      </c>
      <c r="I113" s="97">
        <v>0.2</v>
      </c>
      <c r="J113" s="97">
        <v>0.1</v>
      </c>
    </row>
    <row r="114" spans="3:10" ht="25.5">
      <c r="C114" s="109" t="s">
        <v>270</v>
      </c>
      <c r="D114" s="97">
        <v>3.7</v>
      </c>
      <c r="E114" s="97">
        <v>3.8</v>
      </c>
      <c r="F114" s="97">
        <v>3.4</v>
      </c>
      <c r="G114" s="97">
        <v>3.9</v>
      </c>
      <c r="H114" s="97">
        <v>2.4</v>
      </c>
      <c r="I114" s="97">
        <v>3.5</v>
      </c>
      <c r="J114" s="97">
        <v>4</v>
      </c>
    </row>
    <row r="115" spans="3:10" ht="76.5">
      <c r="C115" s="109" t="s">
        <v>271</v>
      </c>
      <c r="D115" s="97">
        <v>0.2</v>
      </c>
      <c r="E115" s="97">
        <v>0.3</v>
      </c>
      <c r="F115" s="97">
        <v>0.1</v>
      </c>
      <c r="G115" s="97">
        <v>0.1</v>
      </c>
      <c r="H115" s="97">
        <v>0.2</v>
      </c>
      <c r="I115" s="97">
        <v>0.3</v>
      </c>
      <c r="J115" s="97">
        <v>0.1</v>
      </c>
    </row>
    <row r="116" spans="3:10">
      <c r="C116" s="109" t="s">
        <v>272</v>
      </c>
      <c r="D116" s="97">
        <v>2.4</v>
      </c>
      <c r="E116" s="97">
        <v>2.5</v>
      </c>
      <c r="F116" s="97">
        <v>2</v>
      </c>
      <c r="G116" s="97">
        <v>2.5</v>
      </c>
      <c r="H116" s="97">
        <v>2.6</v>
      </c>
      <c r="I116" s="97">
        <v>2.2000000000000002</v>
      </c>
      <c r="J116" s="97">
        <v>2.6</v>
      </c>
    </row>
    <row r="117" spans="3:10" ht="51">
      <c r="C117" s="109" t="s">
        <v>273</v>
      </c>
      <c r="D117" s="97">
        <v>1.6</v>
      </c>
      <c r="E117" s="97">
        <v>2</v>
      </c>
      <c r="F117" s="97">
        <v>0.8</v>
      </c>
      <c r="G117" s="97">
        <v>2.1</v>
      </c>
      <c r="H117" s="97">
        <v>2.1</v>
      </c>
      <c r="I117" s="97">
        <v>1.2</v>
      </c>
      <c r="J117" s="97">
        <v>2.1</v>
      </c>
    </row>
    <row r="118" spans="3:10" ht="140.25">
      <c r="C118" s="117" t="s">
        <v>274</v>
      </c>
      <c r="D118" s="97">
        <v>0.1</v>
      </c>
      <c r="E118" s="97">
        <v>0.1</v>
      </c>
      <c r="F118" s="97">
        <v>0</v>
      </c>
      <c r="G118" s="97">
        <v>0.1</v>
      </c>
      <c r="H118" s="97">
        <v>0.2</v>
      </c>
      <c r="I118" s="97">
        <v>0</v>
      </c>
      <c r="J118" s="97">
        <v>0.1</v>
      </c>
    </row>
    <row r="119" spans="3:10">
      <c r="C119" s="109" t="s">
        <v>275</v>
      </c>
      <c r="D119" s="97">
        <v>1.1000000000000001</v>
      </c>
      <c r="E119" s="97">
        <v>1.3</v>
      </c>
      <c r="F119" s="97">
        <v>0.5</v>
      </c>
      <c r="G119" s="97">
        <v>1.7</v>
      </c>
      <c r="H119" s="97">
        <v>1.3</v>
      </c>
      <c r="I119" s="97">
        <v>0.5</v>
      </c>
      <c r="J119" s="97">
        <v>1.4</v>
      </c>
    </row>
    <row r="120" spans="3:10" ht="38.25">
      <c r="C120" s="109" t="s">
        <v>276</v>
      </c>
      <c r="D120" s="97">
        <v>2.2999999999999998</v>
      </c>
      <c r="E120" s="97">
        <v>2.7</v>
      </c>
      <c r="F120" s="97">
        <v>1.3</v>
      </c>
      <c r="G120" s="97">
        <v>2.9</v>
      </c>
      <c r="H120" s="97">
        <v>2</v>
      </c>
      <c r="I120" s="97">
        <v>1.7</v>
      </c>
      <c r="J120" s="97">
        <v>3</v>
      </c>
    </row>
    <row r="121" spans="3:10">
      <c r="C121" s="117" t="s">
        <v>277</v>
      </c>
      <c r="D121" s="97"/>
      <c r="E121" s="97"/>
      <c r="F121" s="97"/>
      <c r="G121" s="97"/>
      <c r="H121" s="97"/>
      <c r="I121" s="97"/>
      <c r="J121" s="119"/>
    </row>
    <row r="122" spans="3:10" ht="76.5">
      <c r="C122" s="117" t="s">
        <v>278</v>
      </c>
      <c r="D122" s="97">
        <v>1.7</v>
      </c>
      <c r="E122" s="97">
        <v>2</v>
      </c>
      <c r="F122" s="97">
        <v>1.1000000000000001</v>
      </c>
      <c r="G122" s="97">
        <v>2.2000000000000002</v>
      </c>
      <c r="H122" s="97">
        <v>1.7</v>
      </c>
      <c r="I122" s="97">
        <v>1.3</v>
      </c>
      <c r="J122" s="97">
        <v>2.2000000000000002</v>
      </c>
    </row>
    <row r="123" spans="3:10" ht="153">
      <c r="C123" s="105" t="s">
        <v>279</v>
      </c>
      <c r="D123" s="97">
        <v>0.2</v>
      </c>
      <c r="E123" s="97">
        <v>0.2</v>
      </c>
      <c r="F123" s="97">
        <v>0</v>
      </c>
      <c r="G123" s="97">
        <v>0.2</v>
      </c>
      <c r="H123" s="97">
        <v>0.2</v>
      </c>
      <c r="I123" s="97">
        <v>0.1</v>
      </c>
      <c r="J123" s="97">
        <v>0.3</v>
      </c>
    </row>
    <row r="124" spans="3:10" ht="191.25">
      <c r="C124" s="105" t="s">
        <v>280</v>
      </c>
      <c r="D124" s="97">
        <v>0</v>
      </c>
      <c r="E124" s="97">
        <v>0.1</v>
      </c>
      <c r="F124" s="97">
        <v>0</v>
      </c>
      <c r="G124" s="97">
        <v>0.1</v>
      </c>
      <c r="H124" s="97">
        <v>0.1</v>
      </c>
      <c r="I124" s="97">
        <v>0</v>
      </c>
      <c r="J124" s="97">
        <v>0</v>
      </c>
    </row>
    <row r="125" spans="3:10" ht="51">
      <c r="C125" s="113" t="s">
        <v>281</v>
      </c>
      <c r="D125" s="99">
        <v>2.5</v>
      </c>
      <c r="E125" s="99">
        <v>2.7</v>
      </c>
      <c r="F125" s="99">
        <v>1.9</v>
      </c>
      <c r="G125" s="99">
        <v>2.7</v>
      </c>
      <c r="H125" s="99">
        <v>2.5</v>
      </c>
      <c r="I125" s="99">
        <v>2.2999999999999998</v>
      </c>
      <c r="J125" s="97">
        <v>3</v>
      </c>
    </row>
    <row r="126" spans="3:10" ht="63.75">
      <c r="C126" s="114" t="s">
        <v>282</v>
      </c>
      <c r="D126" s="102"/>
      <c r="E126" s="102"/>
      <c r="F126" s="102"/>
      <c r="G126" s="102"/>
      <c r="H126" s="102"/>
      <c r="I126" s="102"/>
      <c r="J126" s="120"/>
    </row>
    <row r="127" spans="3:10" ht="38.25">
      <c r="C127" s="113" t="s">
        <v>283</v>
      </c>
      <c r="D127" s="99">
        <v>51</v>
      </c>
      <c r="E127" s="99">
        <v>50</v>
      </c>
      <c r="F127" s="99">
        <v>53.5</v>
      </c>
      <c r="G127" s="99">
        <v>50.4</v>
      </c>
      <c r="H127" s="99">
        <v>52.6</v>
      </c>
      <c r="I127" s="99">
        <v>51.5</v>
      </c>
      <c r="J127" s="97">
        <v>49.3</v>
      </c>
    </row>
    <row r="128" spans="3:10" ht="38.25">
      <c r="C128" s="113" t="s">
        <v>284</v>
      </c>
      <c r="D128" s="99">
        <v>26.4</v>
      </c>
      <c r="E128" s="99">
        <v>26</v>
      </c>
      <c r="F128" s="99">
        <v>27.6</v>
      </c>
      <c r="G128" s="99">
        <v>26.8</v>
      </c>
      <c r="H128" s="99">
        <v>26</v>
      </c>
      <c r="I128" s="99">
        <v>26.2</v>
      </c>
      <c r="J128" s="97">
        <v>27</v>
      </c>
    </row>
    <row r="129" spans="3:10">
      <c r="C129" s="113" t="s">
        <v>285</v>
      </c>
      <c r="D129" s="99">
        <v>15.5</v>
      </c>
      <c r="E129" s="99">
        <v>18</v>
      </c>
      <c r="F129" s="99">
        <v>9.3000000000000007</v>
      </c>
      <c r="G129" s="99">
        <v>16.899999999999999</v>
      </c>
      <c r="H129" s="99">
        <v>15.1</v>
      </c>
      <c r="I129" s="99">
        <v>14.1</v>
      </c>
      <c r="J129" s="97">
        <v>17.100000000000001</v>
      </c>
    </row>
    <row r="130" spans="3:10" ht="127.5">
      <c r="C130" s="112" t="s">
        <v>286</v>
      </c>
      <c r="D130" s="99">
        <v>13.8</v>
      </c>
      <c r="E130" s="99">
        <v>16</v>
      </c>
      <c r="F130" s="99">
        <v>8.1999999999999993</v>
      </c>
      <c r="G130" s="99">
        <v>14.7</v>
      </c>
      <c r="H130" s="99">
        <v>13.4</v>
      </c>
      <c r="I130" s="99">
        <v>12.8</v>
      </c>
      <c r="J130" s="97">
        <v>14.9</v>
      </c>
    </row>
    <row r="131" spans="3:10" ht="127.5">
      <c r="C131" s="115" t="s">
        <v>287</v>
      </c>
      <c r="D131" s="100">
        <v>52.7</v>
      </c>
      <c r="E131" s="100">
        <v>52</v>
      </c>
      <c r="F131" s="100">
        <v>54.6</v>
      </c>
      <c r="G131" s="100">
        <v>52.6</v>
      </c>
      <c r="H131" s="100">
        <v>54.3</v>
      </c>
      <c r="I131" s="100">
        <v>52.8</v>
      </c>
      <c r="J131" s="121">
        <v>51.5</v>
      </c>
    </row>
    <row r="132" spans="3:10" ht="267.75">
      <c r="C132" s="116" t="s">
        <v>288</v>
      </c>
      <c r="D132" s="100">
        <v>7.1</v>
      </c>
      <c r="E132" s="100">
        <v>6</v>
      </c>
      <c r="F132" s="100">
        <v>9.6</v>
      </c>
      <c r="G132" s="100">
        <v>5.9</v>
      </c>
      <c r="H132" s="100">
        <v>6.3</v>
      </c>
      <c r="I132" s="100">
        <v>8.1999999999999993</v>
      </c>
      <c r="J132" s="122">
        <v>6.6</v>
      </c>
    </row>
    <row r="133" spans="3:10" ht="45">
      <c r="C133" s="95" t="s">
        <v>289</v>
      </c>
      <c r="D133" s="94"/>
      <c r="E133" s="94"/>
      <c r="F133" s="94"/>
      <c r="G133" s="94"/>
      <c r="H133" s="94"/>
      <c r="I133" s="94"/>
      <c r="J133" s="94"/>
    </row>
    <row r="134" spans="3:10">
      <c r="C134" s="330" t="s">
        <v>290</v>
      </c>
      <c r="D134" s="331"/>
      <c r="E134" s="331"/>
      <c r="F134" s="331"/>
      <c r="G134" s="331"/>
      <c r="H134" s="331"/>
      <c r="I134" s="331"/>
      <c r="J134" s="323"/>
    </row>
  </sheetData>
  <mergeCells count="56">
    <mergeCell ref="C134:J134"/>
    <mergeCell ref="C96:J96"/>
    <mergeCell ref="D98:D99"/>
    <mergeCell ref="E98:F98"/>
    <mergeCell ref="G98:G99"/>
    <mergeCell ref="I98:I99"/>
    <mergeCell ref="H98:H99"/>
    <mergeCell ref="J98:J99"/>
    <mergeCell ref="J69:Q69"/>
    <mergeCell ref="K73:R73"/>
    <mergeCell ref="I70:R70"/>
    <mergeCell ref="C101:J101"/>
    <mergeCell ref="D103:I103"/>
    <mergeCell ref="C97:C99"/>
    <mergeCell ref="D97:J97"/>
    <mergeCell ref="T61:T63"/>
    <mergeCell ref="N61:N63"/>
    <mergeCell ref="O61:O63"/>
    <mergeCell ref="I59:I60"/>
    <mergeCell ref="J59:J60"/>
    <mergeCell ref="L59:L60"/>
    <mergeCell ref="Q61:Q63"/>
    <mergeCell ref="R61:R63"/>
    <mergeCell ref="P61:P63"/>
    <mergeCell ref="N59:N60"/>
    <mergeCell ref="M59:M60"/>
    <mergeCell ref="S61:S63"/>
    <mergeCell ref="O59:O60"/>
    <mergeCell ref="P59:P60"/>
    <mergeCell ref="I64:V64"/>
    <mergeCell ref="I65:V65"/>
    <mergeCell ref="U61:U63"/>
    <mergeCell ref="U59:U60"/>
    <mergeCell ref="I61:I63"/>
    <mergeCell ref="J61:J63"/>
    <mergeCell ref="K61:K63"/>
    <mergeCell ref="K59:K60"/>
    <mergeCell ref="V59:V60"/>
    <mergeCell ref="V61:V63"/>
    <mergeCell ref="Q59:Q60"/>
    <mergeCell ref="L61:L63"/>
    <mergeCell ref="M61:M63"/>
    <mergeCell ref="R59:R60"/>
    <mergeCell ref="S59:S60"/>
    <mergeCell ref="T59:T60"/>
    <mergeCell ref="U31:V31"/>
    <mergeCell ref="A1:M1"/>
    <mergeCell ref="A3:A6"/>
    <mergeCell ref="C3:F3"/>
    <mergeCell ref="G3:J3"/>
    <mergeCell ref="K3:M5"/>
    <mergeCell ref="C4:F4"/>
    <mergeCell ref="G4:J4"/>
    <mergeCell ref="C5:F5"/>
    <mergeCell ref="G5:J5"/>
    <mergeCell ref="I30:T30"/>
  </mergeCells>
  <printOptions gridLines="1"/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90"/>
  <sheetViews>
    <sheetView workbookViewId="0">
      <selection activeCell="AA10" sqref="AA10"/>
    </sheetView>
  </sheetViews>
  <sheetFormatPr defaultRowHeight="15"/>
  <cols>
    <col min="1" max="1" width="32.85546875" customWidth="1"/>
    <col min="27" max="28" width="10" bestFit="1" customWidth="1"/>
    <col min="30" max="34" width="10" bestFit="1" customWidth="1"/>
  </cols>
  <sheetData>
    <row r="1" spans="1:34" ht="19.5">
      <c r="A1" s="133" t="s">
        <v>316</v>
      </c>
    </row>
    <row r="2" spans="1:34" ht="31.5">
      <c r="A2" s="134"/>
      <c r="B2" s="135" t="s">
        <v>317</v>
      </c>
      <c r="C2" s="136">
        <v>2000</v>
      </c>
      <c r="D2" s="136">
        <v>2005</v>
      </c>
      <c r="E2" s="136">
        <v>2010</v>
      </c>
      <c r="F2" s="136">
        <v>2011</v>
      </c>
      <c r="G2" s="137">
        <v>2012</v>
      </c>
    </row>
    <row r="3" spans="1:34">
      <c r="A3" s="138" t="s">
        <v>318</v>
      </c>
      <c r="B3" s="139"/>
      <c r="C3" s="140">
        <v>5.4401999999999999</v>
      </c>
      <c r="D3" s="140">
        <v>5.1246999999999998</v>
      </c>
      <c r="E3" s="140">
        <v>7.9356</v>
      </c>
      <c r="F3" s="140">
        <v>7.9909999999999997</v>
      </c>
      <c r="G3" s="140">
        <v>7.9930000000000003</v>
      </c>
    </row>
    <row r="4" spans="1:34">
      <c r="A4" s="135"/>
      <c r="B4" s="139"/>
      <c r="C4" s="345" t="s">
        <v>319</v>
      </c>
      <c r="D4" s="346"/>
      <c r="E4" s="346"/>
      <c r="F4" s="346"/>
      <c r="G4" s="347"/>
      <c r="Z4" t="s">
        <v>410</v>
      </c>
    </row>
    <row r="5" spans="1:34">
      <c r="A5" s="141" t="s">
        <v>301</v>
      </c>
      <c r="B5" s="142" t="s">
        <v>320</v>
      </c>
      <c r="C5" s="143">
        <v>26106.760780853645</v>
      </c>
      <c r="D5" s="143">
        <v>78571.233438054915</v>
      </c>
      <c r="E5" s="143">
        <v>102177.90715257825</v>
      </c>
      <c r="F5" s="143">
        <v>121401.07621073708</v>
      </c>
      <c r="G5" s="143">
        <v>121972.22569748529</v>
      </c>
      <c r="M5" s="348" t="s">
        <v>363</v>
      </c>
      <c r="N5" s="348"/>
      <c r="O5" s="348"/>
      <c r="P5" s="348"/>
      <c r="Q5" s="348"/>
      <c r="R5" s="348"/>
      <c r="S5" s="348"/>
      <c r="T5" s="348"/>
      <c r="U5" s="348"/>
      <c r="V5" s="348"/>
      <c r="Z5" t="s">
        <v>411</v>
      </c>
    </row>
    <row r="6" spans="1:34" ht="31.5">
      <c r="A6" s="141" t="s">
        <v>321</v>
      </c>
      <c r="B6" s="142" t="s">
        <v>322</v>
      </c>
      <c r="C6" s="143">
        <v>5472.2252858350794</v>
      </c>
      <c r="D6" s="143">
        <v>19702.616738540793</v>
      </c>
      <c r="E6" s="143">
        <v>37289.177881949698</v>
      </c>
      <c r="F6" s="143">
        <v>45341.884620197721</v>
      </c>
      <c r="G6" s="143">
        <v>49949.831102214433</v>
      </c>
      <c r="M6" s="148"/>
      <c r="R6" s="147"/>
      <c r="S6" s="147"/>
      <c r="T6" s="147"/>
      <c r="U6" s="147"/>
      <c r="V6" s="147"/>
      <c r="Z6" s="140" t="s">
        <v>318</v>
      </c>
      <c r="AA6" s="140">
        <v>7.9356</v>
      </c>
      <c r="AB6" s="140">
        <v>7.9676</v>
      </c>
      <c r="AC6" s="140">
        <v>7.9909999999999997</v>
      </c>
      <c r="AD6" s="189">
        <v>7.9930000000000003</v>
      </c>
      <c r="AE6" s="189">
        <v>11.886699999999999</v>
      </c>
      <c r="AF6" s="189">
        <v>21.8447</v>
      </c>
      <c r="AG6" s="189">
        <v>25.551300000000001</v>
      </c>
      <c r="AH6" s="189">
        <v>26.596599999999999</v>
      </c>
    </row>
    <row r="7" spans="1:34" ht="21">
      <c r="A7" s="141" t="s">
        <v>323</v>
      </c>
      <c r="B7" s="142" t="s">
        <v>324</v>
      </c>
      <c r="C7" s="143">
        <v>10320.392632623802</v>
      </c>
      <c r="D7" s="143">
        <v>18639.139852088905</v>
      </c>
      <c r="E7" s="143">
        <v>24621.956751852413</v>
      </c>
      <c r="F7" s="143">
        <v>32703.166061819549</v>
      </c>
      <c r="G7" s="143">
        <v>33777.430251470032</v>
      </c>
      <c r="M7" s="149"/>
      <c r="N7" s="150" t="s">
        <v>317</v>
      </c>
      <c r="O7" s="150">
        <v>2010</v>
      </c>
      <c r="P7" s="150">
        <v>2011</v>
      </c>
      <c r="Q7" s="150">
        <v>2012</v>
      </c>
      <c r="R7" s="150">
        <v>2013</v>
      </c>
      <c r="S7" s="150">
        <v>2014</v>
      </c>
      <c r="T7" s="150">
        <v>2015</v>
      </c>
      <c r="U7" s="151">
        <v>2016</v>
      </c>
      <c r="V7" s="151">
        <v>2017</v>
      </c>
      <c r="Y7" s="149"/>
      <c r="Z7" s="150" t="s">
        <v>317</v>
      </c>
      <c r="AA7" s="150">
        <v>2010</v>
      </c>
      <c r="AB7" s="150">
        <v>2011</v>
      </c>
      <c r="AC7" s="150">
        <v>2012</v>
      </c>
      <c r="AD7" s="150">
        <v>2013</v>
      </c>
      <c r="AE7" s="150">
        <v>2014</v>
      </c>
      <c r="AF7" s="150">
        <v>2015</v>
      </c>
      <c r="AG7" s="151">
        <v>2016</v>
      </c>
      <c r="AH7" s="151">
        <v>2017</v>
      </c>
    </row>
    <row r="8" spans="1:34" ht="21">
      <c r="A8" s="141" t="s">
        <v>325</v>
      </c>
      <c r="B8" s="142" t="s">
        <v>326</v>
      </c>
      <c r="C8" s="143">
        <v>4974.081835226646</v>
      </c>
      <c r="D8" s="143">
        <v>14403.184576658146</v>
      </c>
      <c r="E8" s="143">
        <v>21362.719895156006</v>
      </c>
      <c r="F8" s="143">
        <v>26988.612188712301</v>
      </c>
      <c r="G8" s="143">
        <v>27827.474039784811</v>
      </c>
      <c r="M8" s="149"/>
      <c r="N8" s="149"/>
      <c r="O8" s="341" t="s">
        <v>364</v>
      </c>
      <c r="P8" s="342"/>
      <c r="Q8" s="342"/>
      <c r="R8" s="342"/>
      <c r="S8" s="342"/>
      <c r="T8" s="342"/>
      <c r="U8" s="342"/>
      <c r="V8" s="343"/>
      <c r="Y8" s="149"/>
      <c r="Z8" s="149"/>
      <c r="AA8" s="341" t="s">
        <v>412</v>
      </c>
      <c r="AB8" s="342"/>
      <c r="AC8" s="342"/>
      <c r="AD8" s="342"/>
      <c r="AE8" s="342"/>
      <c r="AF8" s="342"/>
      <c r="AG8" s="342"/>
      <c r="AH8" s="343"/>
    </row>
    <row r="9" spans="1:34" ht="52.5">
      <c r="A9" s="141" t="s">
        <v>304</v>
      </c>
      <c r="B9" s="142" t="s">
        <v>327</v>
      </c>
      <c r="C9" s="143">
        <v>3303.1873828168082</v>
      </c>
      <c r="D9" s="143">
        <v>11703.319218685972</v>
      </c>
      <c r="E9" s="143">
        <v>17278.844699833662</v>
      </c>
      <c r="F9" s="143">
        <v>20647.228131648106</v>
      </c>
      <c r="G9" s="143">
        <v>23114.099837357688</v>
      </c>
      <c r="M9" s="149" t="s">
        <v>365</v>
      </c>
      <c r="N9" s="152"/>
      <c r="O9" s="156">
        <v>2507439</v>
      </c>
      <c r="P9" s="156">
        <v>3045241</v>
      </c>
      <c r="Q9" s="156">
        <v>3234174</v>
      </c>
      <c r="R9" s="156">
        <v>3260553</v>
      </c>
      <c r="S9" s="156">
        <v>3558223</v>
      </c>
      <c r="T9" s="156">
        <v>4488398</v>
      </c>
      <c r="U9" s="156">
        <v>5420433</v>
      </c>
      <c r="V9" s="156">
        <v>6719718</v>
      </c>
      <c r="Y9" s="149" t="s">
        <v>365</v>
      </c>
      <c r="Z9" s="152"/>
      <c r="AA9" s="190">
        <f>O9/$AA$6</f>
        <v>315973.46136398002</v>
      </c>
      <c r="AB9" s="190">
        <f>P9/$AB$6</f>
        <v>382203.047341734</v>
      </c>
      <c r="AC9" s="190">
        <f>Q9/$AC$6</f>
        <v>404727.06795144541</v>
      </c>
      <c r="AD9" s="190">
        <f>R9/$AD$6</f>
        <v>407926.06030276488</v>
      </c>
      <c r="AE9" s="190">
        <f>S9/$AE$6</f>
        <v>299344.89807936602</v>
      </c>
      <c r="AF9" s="190">
        <f>T9/$AF$6</f>
        <v>205468.51181293404</v>
      </c>
      <c r="AG9" s="190">
        <f>U9/$AG$6</f>
        <v>212139.22579281678</v>
      </c>
      <c r="AH9" s="190">
        <f>V9/$AH$6</f>
        <v>252653.27147078951</v>
      </c>
    </row>
    <row r="10" spans="1:34" ht="78.75">
      <c r="A10" s="141" t="s">
        <v>328</v>
      </c>
      <c r="B10" s="142" t="s">
        <v>329</v>
      </c>
      <c r="C10" s="143">
        <v>4084.7762949891548</v>
      </c>
      <c r="D10" s="143">
        <v>8169.8440884344454</v>
      </c>
      <c r="E10" s="143">
        <v>15110.514642875145</v>
      </c>
      <c r="F10" s="143">
        <v>19699.411838318108</v>
      </c>
      <c r="G10" s="143">
        <v>19146.252971349932</v>
      </c>
      <c r="M10" s="153" t="s">
        <v>323</v>
      </c>
      <c r="N10" s="152" t="s">
        <v>324</v>
      </c>
      <c r="O10" s="157">
        <v>189373</v>
      </c>
      <c r="P10" s="157">
        <v>253485</v>
      </c>
      <c r="Q10" s="157">
        <v>261707</v>
      </c>
      <c r="R10" s="157">
        <v>306998</v>
      </c>
      <c r="S10" s="157">
        <v>381227</v>
      </c>
      <c r="T10" s="157">
        <v>558788</v>
      </c>
      <c r="U10" s="157">
        <v>655569</v>
      </c>
      <c r="V10" s="157">
        <v>727352</v>
      </c>
      <c r="Y10" s="153" t="s">
        <v>323</v>
      </c>
      <c r="Z10" s="152" t="s">
        <v>324</v>
      </c>
      <c r="AA10" s="191">
        <f>O10/$AA$6</f>
        <v>23863.728010484399</v>
      </c>
      <c r="AB10" s="191">
        <f t="shared" ref="AB10:AB31" si="0">P10/$AB$6</f>
        <v>31814.473618153523</v>
      </c>
      <c r="AC10" s="191">
        <f t="shared" ref="AC10:AC31" si="1">Q10/$AC$6</f>
        <v>32750.218996370917</v>
      </c>
      <c r="AD10" s="191">
        <f t="shared" ref="AD10:AD31" si="2">R10/$AD$6</f>
        <v>38408.357312648564</v>
      </c>
      <c r="AE10" s="191">
        <f t="shared" ref="AE10:AE31" si="3">S10/$AE$6</f>
        <v>32071.72722454508</v>
      </c>
      <c r="AF10" s="191">
        <f t="shared" ref="AF10:AF31" si="4">T10/$AF$6</f>
        <v>25580.026276396562</v>
      </c>
      <c r="AG10" s="191">
        <f t="shared" ref="AG10:AG31" si="5">U10/$AG$6</f>
        <v>25656.972443672141</v>
      </c>
      <c r="AH10" s="191">
        <f t="shared" ref="AH10:AH31" si="6">V10/$AH$6</f>
        <v>27347.555702608606</v>
      </c>
    </row>
    <row r="11" spans="1:34" ht="56.25">
      <c r="A11" s="141" t="s">
        <v>330</v>
      </c>
      <c r="B11" s="142" t="s">
        <v>331</v>
      </c>
      <c r="C11" s="143">
        <v>4743.5756038380941</v>
      </c>
      <c r="D11" s="143">
        <v>6806.2520732920957</v>
      </c>
      <c r="E11" s="143">
        <v>12355.965522455768</v>
      </c>
      <c r="F11" s="143">
        <v>16168.439494431235</v>
      </c>
      <c r="G11" s="143">
        <v>18088.077067434006</v>
      </c>
      <c r="M11" s="153" t="s">
        <v>328</v>
      </c>
      <c r="N11" s="152" t="s">
        <v>329</v>
      </c>
      <c r="O11" s="157">
        <v>118720</v>
      </c>
      <c r="P11" s="157">
        <v>156001</v>
      </c>
      <c r="Q11" s="157">
        <v>151486</v>
      </c>
      <c r="R11" s="157">
        <v>153957</v>
      </c>
      <c r="S11" s="157">
        <v>156192</v>
      </c>
      <c r="T11" s="157">
        <v>186194</v>
      </c>
      <c r="U11" s="157">
        <v>253770</v>
      </c>
      <c r="V11" s="157">
        <v>344157</v>
      </c>
      <c r="Y11" s="153" t="s">
        <v>328</v>
      </c>
      <c r="Z11" s="152" t="s">
        <v>329</v>
      </c>
      <c r="AA11" s="191">
        <f t="shared" ref="AA11:AA31" si="7">O11/$AA$6</f>
        <v>14960.431473360553</v>
      </c>
      <c r="AB11" s="191">
        <f t="shared" si="0"/>
        <v>19579.421657713741</v>
      </c>
      <c r="AC11" s="191">
        <f t="shared" si="1"/>
        <v>18957.076711300215</v>
      </c>
      <c r="AD11" s="191">
        <f t="shared" si="2"/>
        <v>19261.478793944701</v>
      </c>
      <c r="AE11" s="191">
        <f t="shared" si="3"/>
        <v>13140.064105260502</v>
      </c>
      <c r="AF11" s="191">
        <f t="shared" si="4"/>
        <v>8523.5320237860906</v>
      </c>
      <c r="AG11" s="191">
        <f t="shared" si="5"/>
        <v>9931.7842927757101</v>
      </c>
      <c r="AH11" s="191">
        <f t="shared" si="6"/>
        <v>12939.887053232369</v>
      </c>
    </row>
    <row r="12" spans="1:34" ht="33.75">
      <c r="A12" s="141" t="s">
        <v>332</v>
      </c>
      <c r="B12" s="142" t="s">
        <v>333</v>
      </c>
      <c r="C12" s="143">
        <v>1598.8382780044851</v>
      </c>
      <c r="D12" s="143">
        <v>5866.0994789938923</v>
      </c>
      <c r="E12" s="143">
        <v>11809.188971218307</v>
      </c>
      <c r="F12" s="143">
        <v>14163.684144662746</v>
      </c>
      <c r="G12" s="143">
        <v>15789.94119854873</v>
      </c>
      <c r="M12" s="153" t="s">
        <v>366</v>
      </c>
      <c r="N12" s="152" t="s">
        <v>367</v>
      </c>
      <c r="O12" s="157">
        <v>792317</v>
      </c>
      <c r="P12" s="157">
        <v>948757</v>
      </c>
      <c r="Q12" s="157">
        <v>952726</v>
      </c>
      <c r="R12" s="157">
        <v>883426</v>
      </c>
      <c r="S12" s="157">
        <v>975675</v>
      </c>
      <c r="T12" s="157">
        <v>1206047</v>
      </c>
      <c r="U12" s="157">
        <v>1458786</v>
      </c>
      <c r="V12" s="157">
        <v>1805097</v>
      </c>
      <c r="Y12" s="153" t="s">
        <v>366</v>
      </c>
      <c r="Z12" s="152" t="s">
        <v>367</v>
      </c>
      <c r="AA12" s="191">
        <f t="shared" si="7"/>
        <v>99843.36408085085</v>
      </c>
      <c r="AB12" s="191">
        <f t="shared" si="0"/>
        <v>119076.88638987902</v>
      </c>
      <c r="AC12" s="191">
        <f t="shared" si="1"/>
        <v>119224.87798773621</v>
      </c>
      <c r="AD12" s="191">
        <f t="shared" si="2"/>
        <v>110524.95933942198</v>
      </c>
      <c r="AE12" s="191">
        <f t="shared" si="3"/>
        <v>82081.233647690286</v>
      </c>
      <c r="AF12" s="191">
        <f t="shared" si="4"/>
        <v>55210.050950573823</v>
      </c>
      <c r="AG12" s="191">
        <f t="shared" si="5"/>
        <v>57092.437566777422</v>
      </c>
      <c r="AH12" s="191">
        <f t="shared" si="6"/>
        <v>67869.464518021108</v>
      </c>
    </row>
    <row r="13" spans="1:34" ht="78.75">
      <c r="A13" s="141" t="s">
        <v>306</v>
      </c>
      <c r="B13" s="142" t="s">
        <v>334</v>
      </c>
      <c r="C13" s="143">
        <v>1942.5756406014484</v>
      </c>
      <c r="D13" s="143">
        <v>5744.3362538294923</v>
      </c>
      <c r="E13" s="143">
        <v>10610.035788094157</v>
      </c>
      <c r="F13" s="143">
        <v>11432.486547365786</v>
      </c>
      <c r="G13" s="143">
        <v>13349.430751907919</v>
      </c>
      <c r="M13" s="153" t="s">
        <v>330</v>
      </c>
      <c r="N13" s="152" t="s">
        <v>331</v>
      </c>
      <c r="O13" s="157">
        <v>93571</v>
      </c>
      <c r="P13" s="157">
        <v>123383</v>
      </c>
      <c r="Q13" s="157">
        <v>137976</v>
      </c>
      <c r="R13" s="157">
        <v>134516</v>
      </c>
      <c r="S13" s="157">
        <v>148408</v>
      </c>
      <c r="T13" s="157">
        <v>176768</v>
      </c>
      <c r="U13" s="157">
        <v>242236</v>
      </c>
      <c r="V13" s="157">
        <v>283985</v>
      </c>
      <c r="Y13" s="153" t="s">
        <v>330</v>
      </c>
      <c r="Z13" s="152" t="s">
        <v>331</v>
      </c>
      <c r="AA13" s="191">
        <f t="shared" si="7"/>
        <v>11791.294924139322</v>
      </c>
      <c r="AB13" s="191">
        <f t="shared" si="0"/>
        <v>15485.591646166977</v>
      </c>
      <c r="AC13" s="191">
        <f t="shared" si="1"/>
        <v>17266.424727818798</v>
      </c>
      <c r="AD13" s="191">
        <f t="shared" si="2"/>
        <v>16829.225572375828</v>
      </c>
      <c r="AE13" s="191">
        <f t="shared" si="3"/>
        <v>12485.214567541876</v>
      </c>
      <c r="AF13" s="191">
        <f t="shared" si="4"/>
        <v>8092.0314767426426</v>
      </c>
      <c r="AG13" s="191">
        <f t="shared" si="5"/>
        <v>9480.3786891469317</v>
      </c>
      <c r="AH13" s="191">
        <f t="shared" si="6"/>
        <v>10677.492611837604</v>
      </c>
    </row>
    <row r="14" spans="1:34" ht="56.25">
      <c r="A14" s="141" t="s">
        <v>335</v>
      </c>
      <c r="B14" s="142" t="s">
        <v>336</v>
      </c>
      <c r="C14" s="143">
        <v>1213.9259586044632</v>
      </c>
      <c r="D14" s="143">
        <v>6644.2913731535509</v>
      </c>
      <c r="E14" s="143">
        <v>12726.825948888552</v>
      </c>
      <c r="F14" s="143">
        <v>12152.296333375047</v>
      </c>
      <c r="G14" s="143">
        <v>12522.957587889403</v>
      </c>
      <c r="M14" s="153" t="s">
        <v>349</v>
      </c>
      <c r="N14" s="152" t="s">
        <v>368</v>
      </c>
      <c r="O14" s="157">
        <v>24060</v>
      </c>
      <c r="P14" s="157">
        <v>24831</v>
      </c>
      <c r="Q14" s="157">
        <v>22859</v>
      </c>
      <c r="R14" s="157">
        <v>21334</v>
      </c>
      <c r="S14" s="157">
        <v>23465</v>
      </c>
      <c r="T14" s="157">
        <v>26982</v>
      </c>
      <c r="U14" s="157">
        <v>30680</v>
      </c>
      <c r="V14" s="157">
        <v>37104</v>
      </c>
      <c r="Y14" s="153" t="s">
        <v>349</v>
      </c>
      <c r="Z14" s="152" t="s">
        <v>368</v>
      </c>
      <c r="AA14" s="191">
        <f t="shared" si="7"/>
        <v>3031.9068501436564</v>
      </c>
      <c r="AB14" s="191">
        <f t="shared" si="0"/>
        <v>3116.4968120889603</v>
      </c>
      <c r="AC14" s="191">
        <f t="shared" si="1"/>
        <v>2860.5931673132277</v>
      </c>
      <c r="AD14" s="191">
        <f t="shared" si="2"/>
        <v>2669.0854497685473</v>
      </c>
      <c r="AE14" s="191">
        <f t="shared" si="3"/>
        <v>1974.0550363010761</v>
      </c>
      <c r="AF14" s="191">
        <f t="shared" si="4"/>
        <v>1235.1737492389459</v>
      </c>
      <c r="AG14" s="191">
        <f t="shared" si="5"/>
        <v>1200.7216853936982</v>
      </c>
      <c r="AH14" s="191">
        <f t="shared" si="6"/>
        <v>1395.0655346924043</v>
      </c>
    </row>
    <row r="15" spans="1:34" ht="22.5">
      <c r="A15" s="141" t="s">
        <v>337</v>
      </c>
      <c r="B15" s="142" t="s">
        <v>338</v>
      </c>
      <c r="C15" s="143">
        <v>1709.4959744127054</v>
      </c>
      <c r="D15" s="143">
        <v>5429.5861221144651</v>
      </c>
      <c r="E15" s="143">
        <v>8772.3675588487331</v>
      </c>
      <c r="F15" s="143">
        <v>10084.47002878238</v>
      </c>
      <c r="G15" s="143">
        <v>11293.506818466158</v>
      </c>
      <c r="M15" s="153" t="s">
        <v>304</v>
      </c>
      <c r="N15" s="152" t="s">
        <v>369</v>
      </c>
      <c r="O15" s="157">
        <v>132351</v>
      </c>
      <c r="P15" s="157">
        <v>159378</v>
      </c>
      <c r="Q15" s="157">
        <v>178225</v>
      </c>
      <c r="R15" s="157">
        <v>167196</v>
      </c>
      <c r="S15" s="157">
        <v>162551</v>
      </c>
      <c r="T15" s="157">
        <v>188595</v>
      </c>
      <c r="U15" s="157">
        <v>240327</v>
      </c>
      <c r="V15" s="157">
        <v>326496</v>
      </c>
      <c r="Y15" s="153" t="s">
        <v>304</v>
      </c>
      <c r="Z15" s="152" t="s">
        <v>369</v>
      </c>
      <c r="AA15" s="191">
        <f t="shared" si="7"/>
        <v>16678.133978527145</v>
      </c>
      <c r="AB15" s="191">
        <f t="shared" si="0"/>
        <v>20003.263216024901</v>
      </c>
      <c r="AC15" s="191">
        <f t="shared" si="1"/>
        <v>22303.216118132899</v>
      </c>
      <c r="AD15" s="191">
        <f t="shared" si="2"/>
        <v>20917.803077692981</v>
      </c>
      <c r="AE15" s="191">
        <f t="shared" si="3"/>
        <v>13675.031758183517</v>
      </c>
      <c r="AF15" s="191">
        <f t="shared" si="4"/>
        <v>8633.4442679460008</v>
      </c>
      <c r="AG15" s="191">
        <f t="shared" si="5"/>
        <v>9405.6662479012812</v>
      </c>
      <c r="AH15" s="191">
        <f t="shared" si="6"/>
        <v>12275.854808509359</v>
      </c>
    </row>
    <row r="16" spans="1:34" ht="90">
      <c r="A16" s="141" t="s">
        <v>339</v>
      </c>
      <c r="B16" s="142" t="s">
        <v>340</v>
      </c>
      <c r="C16" s="143">
        <v>1914.6354913422301</v>
      </c>
      <c r="D16" s="143">
        <v>5860.8308779050485</v>
      </c>
      <c r="E16" s="143">
        <v>9423.7360754070269</v>
      </c>
      <c r="F16" s="143">
        <v>9576.8990113878117</v>
      </c>
      <c r="G16" s="143">
        <v>11147.378956587014</v>
      </c>
      <c r="M16" s="153" t="s">
        <v>321</v>
      </c>
      <c r="N16" s="152" t="s">
        <v>370</v>
      </c>
      <c r="O16" s="157">
        <v>283566</v>
      </c>
      <c r="P16" s="157">
        <v>347459</v>
      </c>
      <c r="Q16" s="157">
        <v>382352</v>
      </c>
      <c r="R16" s="157">
        <v>391144</v>
      </c>
      <c r="S16" s="157">
        <v>442955</v>
      </c>
      <c r="T16" s="157">
        <v>549163</v>
      </c>
      <c r="U16" s="157">
        <v>645171</v>
      </c>
      <c r="V16" s="157">
        <v>832350</v>
      </c>
      <c r="Y16" s="153" t="s">
        <v>321</v>
      </c>
      <c r="Z16" s="152" t="s">
        <v>370</v>
      </c>
      <c r="AA16" s="191">
        <f t="shared" si="7"/>
        <v>35733.403901406324</v>
      </c>
      <c r="AB16" s="191">
        <f t="shared" si="0"/>
        <v>43608.991415231685</v>
      </c>
      <c r="AC16" s="191">
        <f t="shared" si="1"/>
        <v>47847.828807408339</v>
      </c>
      <c r="AD16" s="191">
        <f t="shared" si="2"/>
        <v>48935.818841486296</v>
      </c>
      <c r="AE16" s="191">
        <f t="shared" si="3"/>
        <v>37264.758090975629</v>
      </c>
      <c r="AF16" s="191">
        <f t="shared" si="4"/>
        <v>25139.415968175348</v>
      </c>
      <c r="AG16" s="191">
        <f t="shared" si="5"/>
        <v>25250.026417442554</v>
      </c>
      <c r="AH16" s="191">
        <f t="shared" si="6"/>
        <v>31295.353541430108</v>
      </c>
    </row>
    <row r="17" spans="1:34" ht="78.75">
      <c r="A17" s="141" t="s">
        <v>341</v>
      </c>
      <c r="B17" s="142" t="s">
        <v>342</v>
      </c>
      <c r="C17" s="143">
        <v>773.31715745744646</v>
      </c>
      <c r="D17" s="143">
        <v>3136.5738482252623</v>
      </c>
      <c r="E17" s="143">
        <v>6956.8778668279647</v>
      </c>
      <c r="F17" s="143">
        <v>7895.1320235264675</v>
      </c>
      <c r="G17" s="143">
        <v>11012.63605654948</v>
      </c>
      <c r="M17" s="153" t="s">
        <v>325</v>
      </c>
      <c r="N17" s="152" t="s">
        <v>371</v>
      </c>
      <c r="O17" s="157">
        <v>161779</v>
      </c>
      <c r="P17" s="157">
        <v>205952</v>
      </c>
      <c r="Q17" s="157">
        <v>212286</v>
      </c>
      <c r="R17" s="157">
        <v>219891</v>
      </c>
      <c r="S17" s="157">
        <v>217287</v>
      </c>
      <c r="T17" s="157">
        <v>295634</v>
      </c>
      <c r="U17" s="157">
        <v>341938</v>
      </c>
      <c r="V17" s="157">
        <v>420484</v>
      </c>
      <c r="Y17" s="153" t="s">
        <v>325</v>
      </c>
      <c r="Z17" s="152" t="s">
        <v>371</v>
      </c>
      <c r="AA17" s="191">
        <f t="shared" si="7"/>
        <v>20386.486214022883</v>
      </c>
      <c r="AB17" s="191">
        <f t="shared" si="0"/>
        <v>25848.687183091519</v>
      </c>
      <c r="AC17" s="191">
        <f t="shared" si="1"/>
        <v>26565.636340883495</v>
      </c>
      <c r="AD17" s="191">
        <f t="shared" si="2"/>
        <v>27510.446640810707</v>
      </c>
      <c r="AE17" s="191">
        <f t="shared" si="3"/>
        <v>18279.842176550264</v>
      </c>
      <c r="AF17" s="191">
        <f t="shared" si="4"/>
        <v>13533.442894615169</v>
      </c>
      <c r="AG17" s="191">
        <f t="shared" si="5"/>
        <v>13382.411071060964</v>
      </c>
      <c r="AH17" s="191">
        <f t="shared" si="6"/>
        <v>15809.689960370875</v>
      </c>
    </row>
    <row r="18" spans="1:34" ht="56.25">
      <c r="A18" s="141" t="s">
        <v>343</v>
      </c>
      <c r="B18" s="142" t="s">
        <v>344</v>
      </c>
      <c r="C18" s="143">
        <v>1531.5613396566303</v>
      </c>
      <c r="D18" s="143">
        <v>4426.4054481237927</v>
      </c>
      <c r="E18" s="143">
        <v>8005.3178083572757</v>
      </c>
      <c r="F18" s="143">
        <v>8737.8300588161692</v>
      </c>
      <c r="G18" s="143">
        <v>10076.566996121606</v>
      </c>
      <c r="M18" s="153" t="s">
        <v>347</v>
      </c>
      <c r="N18" s="152" t="s">
        <v>372</v>
      </c>
      <c r="O18" s="157">
        <v>19910</v>
      </c>
      <c r="P18" s="157">
        <v>22234</v>
      </c>
      <c r="Q18" s="157">
        <v>22024</v>
      </c>
      <c r="R18" s="157">
        <v>21917</v>
      </c>
      <c r="S18" s="157">
        <v>21438</v>
      </c>
      <c r="T18" s="157">
        <v>25458</v>
      </c>
      <c r="U18" s="157">
        <v>32637</v>
      </c>
      <c r="V18" s="157">
        <v>37737</v>
      </c>
      <c r="Y18" s="153" t="s">
        <v>347</v>
      </c>
      <c r="Z18" s="152" t="s">
        <v>372</v>
      </c>
      <c r="AA18" s="191">
        <f t="shared" si="7"/>
        <v>2508.9470235394929</v>
      </c>
      <c r="AB18" s="191">
        <f t="shared" si="0"/>
        <v>2790.5517345248254</v>
      </c>
      <c r="AC18" s="191">
        <f t="shared" si="1"/>
        <v>2756.1006131898389</v>
      </c>
      <c r="AD18" s="191">
        <f t="shared" si="2"/>
        <v>2742.0242712373324</v>
      </c>
      <c r="AE18" s="191">
        <f t="shared" si="3"/>
        <v>1803.5283131567214</v>
      </c>
      <c r="AF18" s="191">
        <f t="shared" si="4"/>
        <v>1165.4085430333216</v>
      </c>
      <c r="AG18" s="191">
        <f t="shared" si="5"/>
        <v>1277.3127003322727</v>
      </c>
      <c r="AH18" s="191">
        <f t="shared" si="6"/>
        <v>1418.865569283292</v>
      </c>
    </row>
    <row r="19" spans="1:34" ht="45">
      <c r="A19" s="141" t="s">
        <v>345</v>
      </c>
      <c r="B19" s="142" t="s">
        <v>346</v>
      </c>
      <c r="C19" s="143">
        <v>399.80147788684241</v>
      </c>
      <c r="D19" s="143">
        <v>1542.1390520420707</v>
      </c>
      <c r="E19" s="143">
        <v>3212.3594939261052</v>
      </c>
      <c r="F19" s="143">
        <v>3947.3157301964711</v>
      </c>
      <c r="G19" s="143">
        <v>4324.1586388089572</v>
      </c>
      <c r="M19" s="153" t="s">
        <v>337</v>
      </c>
      <c r="N19" s="152" t="s">
        <v>338</v>
      </c>
      <c r="O19" s="157">
        <v>68300</v>
      </c>
      <c r="P19" s="157">
        <v>79133</v>
      </c>
      <c r="Q19" s="157">
        <v>88595</v>
      </c>
      <c r="R19" s="157">
        <v>97499</v>
      </c>
      <c r="S19" s="157">
        <v>105116</v>
      </c>
      <c r="T19" s="157">
        <v>142223</v>
      </c>
      <c r="U19" s="157">
        <v>182886</v>
      </c>
      <c r="V19" s="157">
        <v>225659</v>
      </c>
      <c r="Y19" s="153" t="s">
        <v>337</v>
      </c>
      <c r="Z19" s="152" t="s">
        <v>338</v>
      </c>
      <c r="AA19" s="191">
        <f t="shared" si="7"/>
        <v>8606.7846161600883</v>
      </c>
      <c r="AB19" s="191">
        <f t="shared" si="0"/>
        <v>9931.8489884030314</v>
      </c>
      <c r="AC19" s="191">
        <f t="shared" si="1"/>
        <v>11086.847703666626</v>
      </c>
      <c r="AD19" s="191">
        <f t="shared" si="2"/>
        <v>12198.048292255724</v>
      </c>
      <c r="AE19" s="191">
        <f t="shared" si="3"/>
        <v>8843.1608436319584</v>
      </c>
      <c r="AF19" s="191">
        <f t="shared" si="4"/>
        <v>6510.6410250541321</v>
      </c>
      <c r="AG19" s="191">
        <f t="shared" si="5"/>
        <v>7157.6005917507127</v>
      </c>
      <c r="AH19" s="191">
        <f t="shared" si="6"/>
        <v>8484.505538301888</v>
      </c>
    </row>
    <row r="20" spans="1:34" ht="33.75">
      <c r="A20" s="141" t="s">
        <v>347</v>
      </c>
      <c r="B20" s="142" t="s">
        <v>348</v>
      </c>
      <c r="C20" s="143">
        <v>365.24392485570382</v>
      </c>
      <c r="D20" s="143">
        <v>1246.5119909458115</v>
      </c>
      <c r="E20" s="143">
        <v>2845.2794999747971</v>
      </c>
      <c r="F20" s="143">
        <v>3155.0494306094356</v>
      </c>
      <c r="G20" s="143">
        <v>3126.8610033779555</v>
      </c>
      <c r="M20" s="153" t="s">
        <v>335</v>
      </c>
      <c r="N20" s="152" t="s">
        <v>336</v>
      </c>
      <c r="O20" s="157">
        <v>98888</v>
      </c>
      <c r="P20" s="157">
        <v>95165</v>
      </c>
      <c r="Q20" s="157">
        <v>98044</v>
      </c>
      <c r="R20" s="157">
        <v>104206</v>
      </c>
      <c r="S20" s="157">
        <v>116826</v>
      </c>
      <c r="T20" s="157">
        <v>107764</v>
      </c>
      <c r="U20" s="157">
        <v>107615</v>
      </c>
      <c r="V20" s="157">
        <v>121142</v>
      </c>
      <c r="Y20" s="153" t="s">
        <v>335</v>
      </c>
      <c r="Z20" s="152" t="s">
        <v>336</v>
      </c>
      <c r="AA20" s="191">
        <f t="shared" si="7"/>
        <v>12461.313574272897</v>
      </c>
      <c r="AB20" s="191">
        <f t="shared" si="0"/>
        <v>11943.998192680356</v>
      </c>
      <c r="AC20" s="191">
        <f t="shared" si="1"/>
        <v>12269.302965836567</v>
      </c>
      <c r="AD20" s="191">
        <f t="shared" si="2"/>
        <v>13037.15751282372</v>
      </c>
      <c r="AE20" s="191">
        <f t="shared" si="3"/>
        <v>9828.2954899173037</v>
      </c>
      <c r="AF20" s="191">
        <f t="shared" si="4"/>
        <v>4933.1874550806378</v>
      </c>
      <c r="AG20" s="191">
        <f t="shared" si="5"/>
        <v>4211.7230825828819</v>
      </c>
      <c r="AH20" s="191">
        <f t="shared" si="6"/>
        <v>4554.7927178661939</v>
      </c>
    </row>
    <row r="21" spans="1:34" ht="33.75">
      <c r="A21" s="141" t="s">
        <v>349</v>
      </c>
      <c r="B21" s="142" t="s">
        <v>350</v>
      </c>
      <c r="C21" s="143">
        <v>797.58097128782026</v>
      </c>
      <c r="D21" s="143">
        <v>2094.9518996233928</v>
      </c>
      <c r="E21" s="143">
        <v>3190.432985533545</v>
      </c>
      <c r="F21" s="143">
        <v>3267.6761356526094</v>
      </c>
      <c r="G21" s="143">
        <v>3011.3849618416111</v>
      </c>
      <c r="M21" s="153" t="s">
        <v>332</v>
      </c>
      <c r="N21" s="152" t="s">
        <v>373</v>
      </c>
      <c r="O21" s="157">
        <v>90082</v>
      </c>
      <c r="P21" s="157">
        <v>108877</v>
      </c>
      <c r="Q21" s="157">
        <v>121293</v>
      </c>
      <c r="R21" s="157">
        <v>135283</v>
      </c>
      <c r="S21" s="157">
        <v>139848</v>
      </c>
      <c r="T21" s="157">
        <v>176078</v>
      </c>
      <c r="U21" s="157">
        <v>208144</v>
      </c>
      <c r="V21" s="157">
        <v>238141</v>
      </c>
      <c r="Y21" s="153" t="s">
        <v>332</v>
      </c>
      <c r="Z21" s="152" t="s">
        <v>373</v>
      </c>
      <c r="AA21" s="191">
        <f t="shared" si="7"/>
        <v>11351.630626543676</v>
      </c>
      <c r="AB21" s="191">
        <f t="shared" si="0"/>
        <v>13664.968120889604</v>
      </c>
      <c r="AC21" s="191">
        <f t="shared" si="1"/>
        <v>15178.701038668503</v>
      </c>
      <c r="AD21" s="191">
        <f t="shared" si="2"/>
        <v>16925.184536469409</v>
      </c>
      <c r="AE21" s="191">
        <f t="shared" si="3"/>
        <v>11765.081982383674</v>
      </c>
      <c r="AF21" s="191">
        <f t="shared" si="4"/>
        <v>8060.444867633797</v>
      </c>
      <c r="AG21" s="191">
        <f t="shared" si="5"/>
        <v>8146.1217237479104</v>
      </c>
      <c r="AH21" s="191">
        <f t="shared" si="6"/>
        <v>8953.8136453531661</v>
      </c>
    </row>
    <row r="22" spans="1:34" ht="45">
      <c r="A22" s="141" t="s">
        <v>351</v>
      </c>
      <c r="B22" s="142" t="s">
        <v>352</v>
      </c>
      <c r="C22" s="143">
        <v>393.91934120069118</v>
      </c>
      <c r="D22" s="143">
        <v>1266.4155950592231</v>
      </c>
      <c r="E22" s="143">
        <v>1737.3607540702656</v>
      </c>
      <c r="F22" s="143">
        <v>2134.6514829182834</v>
      </c>
      <c r="G22" s="143">
        <v>2358.9390716877265</v>
      </c>
      <c r="M22" s="153" t="s">
        <v>341</v>
      </c>
      <c r="N22" s="152" t="s">
        <v>374</v>
      </c>
      <c r="O22" s="157">
        <v>53946</v>
      </c>
      <c r="P22" s="157">
        <v>61701</v>
      </c>
      <c r="Q22" s="157">
        <v>86000</v>
      </c>
      <c r="R22" s="157">
        <v>95510</v>
      </c>
      <c r="S22" s="157">
        <v>92230</v>
      </c>
      <c r="T22" s="157">
        <v>107124</v>
      </c>
      <c r="U22" s="157">
        <v>135141</v>
      </c>
      <c r="V22" s="157">
        <v>171630</v>
      </c>
      <c r="Y22" s="153" t="s">
        <v>341</v>
      </c>
      <c r="Z22" s="152" t="s">
        <v>374</v>
      </c>
      <c r="AA22" s="191">
        <f t="shared" si="7"/>
        <v>6797.9736881899289</v>
      </c>
      <c r="AB22" s="191">
        <f t="shared" si="0"/>
        <v>7743.9881520156632</v>
      </c>
      <c r="AC22" s="191">
        <f t="shared" si="1"/>
        <v>10762.107370792142</v>
      </c>
      <c r="AD22" s="191">
        <f t="shared" si="2"/>
        <v>11949.205554860502</v>
      </c>
      <c r="AE22" s="191">
        <f t="shared" si="3"/>
        <v>7759.0920945258149</v>
      </c>
      <c r="AF22" s="191">
        <f t="shared" si="4"/>
        <v>4903.8897306898243</v>
      </c>
      <c r="AG22" s="191">
        <f t="shared" si="5"/>
        <v>5289.0068215707224</v>
      </c>
      <c r="AH22" s="191">
        <f t="shared" si="6"/>
        <v>6453.0804689321194</v>
      </c>
    </row>
    <row r="23" spans="1:34" ht="90">
      <c r="A23" s="141" t="s">
        <v>353</v>
      </c>
      <c r="B23" s="142" t="s">
        <v>354</v>
      </c>
      <c r="C23" s="143">
        <v>206.242417558178</v>
      </c>
      <c r="D23" s="143">
        <v>812.92563467129787</v>
      </c>
      <c r="E23" s="143">
        <v>1317.9847774585412</v>
      </c>
      <c r="F23" s="143">
        <v>1629.5832811913403</v>
      </c>
      <c r="G23" s="143">
        <v>2287.3764543975976</v>
      </c>
      <c r="M23" s="153" t="s">
        <v>345</v>
      </c>
      <c r="N23" s="152" t="s">
        <v>375</v>
      </c>
      <c r="O23" s="157">
        <v>24403</v>
      </c>
      <c r="P23" s="157">
        <v>30217</v>
      </c>
      <c r="Q23" s="157">
        <v>33072</v>
      </c>
      <c r="R23" s="157">
        <v>35846</v>
      </c>
      <c r="S23" s="157">
        <v>35938</v>
      </c>
      <c r="T23" s="157">
        <v>43370</v>
      </c>
      <c r="U23" s="157">
        <v>59338</v>
      </c>
      <c r="V23" s="157">
        <v>70820</v>
      </c>
      <c r="Y23" s="153" t="s">
        <v>345</v>
      </c>
      <c r="Z23" s="152" t="s">
        <v>375</v>
      </c>
      <c r="AA23" s="191">
        <f t="shared" si="7"/>
        <v>3075.1297948485308</v>
      </c>
      <c r="AB23" s="191">
        <f t="shared" si="0"/>
        <v>3792.484562478036</v>
      </c>
      <c r="AC23" s="191">
        <f t="shared" si="1"/>
        <v>4138.6559879864853</v>
      </c>
      <c r="AD23" s="191">
        <f t="shared" si="2"/>
        <v>4484.6740898285998</v>
      </c>
      <c r="AE23" s="191">
        <f t="shared" si="3"/>
        <v>3023.379070726106</v>
      </c>
      <c r="AF23" s="191">
        <f t="shared" si="4"/>
        <v>1985.3786044212097</v>
      </c>
      <c r="AG23" s="191">
        <f t="shared" si="5"/>
        <v>2322.3084539729875</v>
      </c>
      <c r="AH23" s="191">
        <f t="shared" si="6"/>
        <v>2662.7463660768672</v>
      </c>
    </row>
    <row r="24" spans="1:34" ht="78.75">
      <c r="A24" s="144" t="s">
        <v>355</v>
      </c>
      <c r="B24" s="135"/>
      <c r="C24" s="145">
        <v>71852.137789051878</v>
      </c>
      <c r="D24" s="145">
        <v>202066.65756044257</v>
      </c>
      <c r="E24" s="145">
        <v>310804.85407530621</v>
      </c>
      <c r="F24" s="145">
        <v>371126.89275434864</v>
      </c>
      <c r="G24" s="145">
        <v>394176.52946328034</v>
      </c>
      <c r="M24" s="153" t="s">
        <v>339</v>
      </c>
      <c r="N24" s="152" t="s">
        <v>376</v>
      </c>
      <c r="O24" s="157">
        <v>69434</v>
      </c>
      <c r="P24" s="157">
        <v>71090</v>
      </c>
      <c r="Q24" s="157">
        <v>82703</v>
      </c>
      <c r="R24" s="157">
        <v>90930</v>
      </c>
      <c r="S24" s="157">
        <v>117168</v>
      </c>
      <c r="T24" s="157">
        <v>147578</v>
      </c>
      <c r="U24" s="157">
        <v>182158</v>
      </c>
      <c r="V24" s="157">
        <v>236970</v>
      </c>
      <c r="Y24" s="153" t="s">
        <v>339</v>
      </c>
      <c r="Z24" s="152" t="s">
        <v>376</v>
      </c>
      <c r="AA24" s="191">
        <f t="shared" si="7"/>
        <v>8749.6849639598768</v>
      </c>
      <c r="AB24" s="191">
        <f t="shared" si="0"/>
        <v>8922.385661930819</v>
      </c>
      <c r="AC24" s="191">
        <f t="shared" si="1"/>
        <v>10349.518207983983</v>
      </c>
      <c r="AD24" s="191">
        <f t="shared" si="2"/>
        <v>11376.204178656324</v>
      </c>
      <c r="AE24" s="191">
        <f t="shared" si="3"/>
        <v>9857.0671422682499</v>
      </c>
      <c r="AF24" s="191">
        <f t="shared" si="4"/>
        <v>6755.7805783553904</v>
      </c>
      <c r="AG24" s="191">
        <f t="shared" si="5"/>
        <v>7129.1088907413705</v>
      </c>
      <c r="AH24" s="191">
        <f t="shared" si="6"/>
        <v>8909.7854612995652</v>
      </c>
    </row>
    <row r="25" spans="1:34">
      <c r="A25" s="141" t="s">
        <v>313</v>
      </c>
      <c r="B25" s="142"/>
      <c r="C25" s="143">
        <v>5025.182897687585</v>
      </c>
      <c r="D25" s="143">
        <v>10572.911585068394</v>
      </c>
      <c r="E25" s="143">
        <v>16502.469882554564</v>
      </c>
      <c r="F25" s="143">
        <v>23050.306594919286</v>
      </c>
      <c r="G25" s="143">
        <v>25135.9939947454</v>
      </c>
      <c r="M25" s="153" t="s">
        <v>306</v>
      </c>
      <c r="N25" s="152" t="s">
        <v>377</v>
      </c>
      <c r="O25" s="157">
        <v>80349</v>
      </c>
      <c r="P25" s="157">
        <v>87242</v>
      </c>
      <c r="Q25" s="157">
        <v>101823</v>
      </c>
      <c r="R25" s="157">
        <v>107528</v>
      </c>
      <c r="S25" s="157">
        <v>106305</v>
      </c>
      <c r="T25" s="157">
        <v>119928</v>
      </c>
      <c r="U25" s="157">
        <v>132745</v>
      </c>
      <c r="V25" s="157">
        <v>180011</v>
      </c>
      <c r="Y25" s="153" t="s">
        <v>306</v>
      </c>
      <c r="Z25" s="152" t="s">
        <v>377</v>
      </c>
      <c r="AA25" s="191">
        <f t="shared" si="7"/>
        <v>10125.132315136852</v>
      </c>
      <c r="AB25" s="191">
        <f t="shared" si="0"/>
        <v>10949.595863246146</v>
      </c>
      <c r="AC25" s="191">
        <f t="shared" si="1"/>
        <v>12742.209986234515</v>
      </c>
      <c r="AD25" s="191">
        <f t="shared" si="2"/>
        <v>13452.77117477793</v>
      </c>
      <c r="AE25" s="191">
        <f t="shared" si="3"/>
        <v>8943.1886057526481</v>
      </c>
      <c r="AF25" s="191">
        <f t="shared" si="4"/>
        <v>5490.0273292835336</v>
      </c>
      <c r="AG25" s="191">
        <f t="shared" si="5"/>
        <v>5195.2346847322833</v>
      </c>
      <c r="AH25" s="191">
        <f t="shared" si="6"/>
        <v>6768.1959348187365</v>
      </c>
    </row>
    <row r="26" spans="1:34" ht="56.25">
      <c r="A26" s="141" t="s">
        <v>314</v>
      </c>
      <c r="B26" s="142"/>
      <c r="C26" s="143">
        <v>-281.23966030660637</v>
      </c>
      <c r="D26" s="143">
        <v>-259.9176537163151</v>
      </c>
      <c r="E26" s="143">
        <v>-320.95871767730227</v>
      </c>
      <c r="F26" s="143">
        <v>-239.89488174195972</v>
      </c>
      <c r="G26" s="143">
        <v>-497.05992743650694</v>
      </c>
      <c r="M26" s="153" t="s">
        <v>343</v>
      </c>
      <c r="N26" s="152" t="s">
        <v>378</v>
      </c>
      <c r="O26" s="157">
        <v>58478</v>
      </c>
      <c r="P26" s="157">
        <v>64303</v>
      </c>
      <c r="Q26" s="157">
        <v>74131</v>
      </c>
      <c r="R26" s="157">
        <v>72603</v>
      </c>
      <c r="S26" s="157">
        <v>71755</v>
      </c>
      <c r="T26" s="157">
        <v>88636</v>
      </c>
      <c r="U26" s="157">
        <v>99304</v>
      </c>
      <c r="V26" s="157">
        <v>131970</v>
      </c>
      <c r="Y26" s="153" t="s">
        <v>343</v>
      </c>
      <c r="Z26" s="152" t="s">
        <v>378</v>
      </c>
      <c r="AA26" s="191">
        <f t="shared" si="7"/>
        <v>7369.0710217248852</v>
      </c>
      <c r="AB26" s="191">
        <f t="shared" si="0"/>
        <v>8070.5607711230487</v>
      </c>
      <c r="AC26" s="191">
        <f t="shared" si="1"/>
        <v>9276.8114128394445</v>
      </c>
      <c r="AD26" s="191">
        <f t="shared" si="2"/>
        <v>9083.3229075441013</v>
      </c>
      <c r="AE26" s="191">
        <f t="shared" si="3"/>
        <v>6036.5786971993912</v>
      </c>
      <c r="AF26" s="191">
        <f t="shared" si="4"/>
        <v>4057.5517173502039</v>
      </c>
      <c r="AG26" s="191">
        <f t="shared" si="5"/>
        <v>3886.4558750435399</v>
      </c>
      <c r="AH26" s="191">
        <f t="shared" si="6"/>
        <v>4961.9124248964154</v>
      </c>
    </row>
    <row r="27" spans="1:34" ht="45">
      <c r="A27" s="144" t="s">
        <v>356</v>
      </c>
      <c r="B27" s="135"/>
      <c r="C27" s="145">
        <v>76596.081026432847</v>
      </c>
      <c r="D27" s="145">
        <v>212379.65149179465</v>
      </c>
      <c r="E27" s="145">
        <v>326986.36524018348</v>
      </c>
      <c r="F27" s="145">
        <v>393937.30446752597</v>
      </c>
      <c r="G27" s="145">
        <v>418815.46353058924</v>
      </c>
      <c r="M27" s="153" t="s">
        <v>353</v>
      </c>
      <c r="N27" s="152" t="s">
        <v>379</v>
      </c>
      <c r="O27" s="157">
        <v>9908</v>
      </c>
      <c r="P27" s="157">
        <v>12344</v>
      </c>
      <c r="Q27" s="157">
        <v>17319</v>
      </c>
      <c r="R27" s="157">
        <v>19563</v>
      </c>
      <c r="S27" s="157">
        <v>19135</v>
      </c>
      <c r="T27" s="157">
        <v>20436</v>
      </c>
      <c r="U27" s="157">
        <v>23155</v>
      </c>
      <c r="V27" s="157">
        <v>28264</v>
      </c>
      <c r="Y27" s="153" t="s">
        <v>353</v>
      </c>
      <c r="Z27" s="152" t="s">
        <v>379</v>
      </c>
      <c r="AA27" s="191">
        <f t="shared" si="7"/>
        <v>1248.5508342154342</v>
      </c>
      <c r="AB27" s="191">
        <f t="shared" si="0"/>
        <v>1549.2745619760028</v>
      </c>
      <c r="AC27" s="191">
        <f t="shared" si="1"/>
        <v>2167.3132273808037</v>
      </c>
      <c r="AD27" s="191">
        <f t="shared" si="2"/>
        <v>2447.5165770048793</v>
      </c>
      <c r="AE27" s="191">
        <f t="shared" si="3"/>
        <v>1609.782361799322</v>
      </c>
      <c r="AF27" s="191">
        <f t="shared" si="4"/>
        <v>935.51296195415819</v>
      </c>
      <c r="AG27" s="191">
        <f t="shared" si="5"/>
        <v>906.21612207598048</v>
      </c>
      <c r="AH27" s="191">
        <f t="shared" si="6"/>
        <v>1062.6922238180821</v>
      </c>
    </row>
    <row r="28" spans="1:34" ht="33.75">
      <c r="M28" s="153" t="s">
        <v>351</v>
      </c>
      <c r="N28" s="152" t="s">
        <v>380</v>
      </c>
      <c r="O28" s="157">
        <v>13130</v>
      </c>
      <c r="P28" s="157">
        <v>16256</v>
      </c>
      <c r="Q28" s="157">
        <v>17953</v>
      </c>
      <c r="R28" s="157">
        <v>19820</v>
      </c>
      <c r="S28" s="157">
        <v>20508</v>
      </c>
      <c r="T28" s="157">
        <v>22475</v>
      </c>
      <c r="U28" s="157">
        <v>26694</v>
      </c>
      <c r="V28" s="157">
        <v>36028</v>
      </c>
      <c r="Y28" s="153" t="s">
        <v>351</v>
      </c>
      <c r="Z28" s="152" t="s">
        <v>380</v>
      </c>
      <c r="AA28" s="191">
        <f t="shared" si="7"/>
        <v>1654.5692827259438</v>
      </c>
      <c r="AB28" s="191">
        <f t="shared" si="0"/>
        <v>2040.2630654149305</v>
      </c>
      <c r="AC28" s="191">
        <f t="shared" si="1"/>
        <v>2246.6524840445504</v>
      </c>
      <c r="AD28" s="191">
        <f t="shared" si="2"/>
        <v>2479.6697109971224</v>
      </c>
      <c r="AE28" s="191">
        <f t="shared" si="3"/>
        <v>1725.2896093953748</v>
      </c>
      <c r="AF28" s="191">
        <f t="shared" si="4"/>
        <v>1028.8536807555151</v>
      </c>
      <c r="AG28" s="191">
        <f t="shared" si="5"/>
        <v>1044.7217949771634</v>
      </c>
      <c r="AH28" s="191">
        <f t="shared" si="6"/>
        <v>1354.6092357669777</v>
      </c>
    </row>
    <row r="29" spans="1:34" ht="52.5">
      <c r="A29" t="s">
        <v>357</v>
      </c>
      <c r="G29" s="145">
        <v>176263.81834104841</v>
      </c>
      <c r="M29" s="149" t="s">
        <v>381</v>
      </c>
      <c r="N29" s="154"/>
      <c r="O29" s="158">
        <v>2382565</v>
      </c>
      <c r="P29" s="158">
        <v>2867808</v>
      </c>
      <c r="Q29" s="158">
        <v>3042574</v>
      </c>
      <c r="R29" s="158">
        <v>3079167</v>
      </c>
      <c r="S29" s="158">
        <v>3354027</v>
      </c>
      <c r="T29" s="158">
        <v>4189241</v>
      </c>
      <c r="U29" s="158">
        <v>5058294</v>
      </c>
      <c r="V29" s="158">
        <v>6255397</v>
      </c>
      <c r="Y29" s="149" t="s">
        <v>381</v>
      </c>
      <c r="Z29" s="154"/>
      <c r="AA29" s="191">
        <f t="shared" si="7"/>
        <v>300237.53717425273</v>
      </c>
      <c r="AB29" s="191">
        <f t="shared" si="0"/>
        <v>359933.73161303281</v>
      </c>
      <c r="AC29" s="191">
        <f t="shared" si="1"/>
        <v>380750.09385558753</v>
      </c>
      <c r="AD29" s="191">
        <f t="shared" si="2"/>
        <v>385232.95383460529</v>
      </c>
      <c r="AE29" s="191">
        <f t="shared" si="3"/>
        <v>282166.37081780477</v>
      </c>
      <c r="AF29" s="191">
        <f t="shared" si="4"/>
        <v>191773.7941010863</v>
      </c>
      <c r="AG29" s="191">
        <f t="shared" si="5"/>
        <v>197966.20915569854</v>
      </c>
      <c r="AH29" s="191">
        <f t="shared" si="6"/>
        <v>235195.36331711573</v>
      </c>
    </row>
    <row r="30" spans="1:34" ht="22.5">
      <c r="A30" t="s">
        <v>358</v>
      </c>
      <c r="G30" s="146">
        <f>G29/G27</f>
        <v>0.42086272759643351</v>
      </c>
      <c r="M30" s="153" t="s">
        <v>313</v>
      </c>
      <c r="N30" s="155"/>
      <c r="O30" s="159">
        <v>127358</v>
      </c>
      <c r="P30" s="159">
        <v>179296</v>
      </c>
      <c r="Q30" s="159">
        <v>195450</v>
      </c>
      <c r="R30" s="159">
        <v>183586</v>
      </c>
      <c r="S30" s="159">
        <v>206336</v>
      </c>
      <c r="T30" s="159">
        <v>302344</v>
      </c>
      <c r="U30" s="159">
        <v>367786</v>
      </c>
      <c r="V30" s="159">
        <v>473084</v>
      </c>
      <c r="Y30" s="153" t="s">
        <v>313</v>
      </c>
      <c r="Z30" s="155"/>
      <c r="AA30" s="191">
        <f t="shared" si="7"/>
        <v>16048.943999193507</v>
      </c>
      <c r="AB30" s="191">
        <f t="shared" si="0"/>
        <v>22503.137707716251</v>
      </c>
      <c r="AC30" s="191">
        <f t="shared" si="1"/>
        <v>24458.766111875862</v>
      </c>
      <c r="AD30" s="191">
        <f t="shared" si="2"/>
        <v>22968.347303890903</v>
      </c>
      <c r="AE30" s="191">
        <f t="shared" si="3"/>
        <v>17358.560407850793</v>
      </c>
      <c r="AF30" s="191">
        <f t="shared" si="4"/>
        <v>13840.611223775104</v>
      </c>
      <c r="AG30" s="191">
        <f t="shared" si="5"/>
        <v>14394.023004700348</v>
      </c>
      <c r="AH30" s="191">
        <f t="shared" si="6"/>
        <v>17787.386357654737</v>
      </c>
    </row>
    <row r="31" spans="1:34" ht="22.5">
      <c r="A31" s="169" t="s">
        <v>359</v>
      </c>
      <c r="B31" s="169"/>
      <c r="C31" s="169"/>
      <c r="D31" s="169"/>
      <c r="E31" s="169"/>
      <c r="F31" s="169"/>
      <c r="G31" s="192">
        <v>81242.017190041282</v>
      </c>
      <c r="H31" t="s">
        <v>413</v>
      </c>
      <c r="M31" s="153" t="s">
        <v>382</v>
      </c>
      <c r="N31" s="155"/>
      <c r="O31" s="159">
        <v>-2484</v>
      </c>
      <c r="P31" s="159">
        <v>-1863</v>
      </c>
      <c r="Q31" s="159">
        <v>-3850</v>
      </c>
      <c r="R31" s="159">
        <v>-2200</v>
      </c>
      <c r="S31" s="159">
        <v>-2140</v>
      </c>
      <c r="T31" s="159">
        <v>-3187</v>
      </c>
      <c r="U31" s="159">
        <v>-5647</v>
      </c>
      <c r="V31" s="159">
        <v>-8763</v>
      </c>
      <c r="Y31" s="153" t="s">
        <v>382</v>
      </c>
      <c r="Z31" s="155"/>
      <c r="AA31" s="191">
        <f t="shared" si="7"/>
        <v>-313.01980946620296</v>
      </c>
      <c r="AB31" s="191">
        <f t="shared" si="0"/>
        <v>-233.82197901501078</v>
      </c>
      <c r="AC31" s="191">
        <f t="shared" si="1"/>
        <v>-481.79201601802032</v>
      </c>
      <c r="AD31" s="191">
        <f t="shared" si="2"/>
        <v>-275.24083573126484</v>
      </c>
      <c r="AE31" s="191">
        <f t="shared" si="3"/>
        <v>-180.0331462895505</v>
      </c>
      <c r="AF31" s="191">
        <f t="shared" si="4"/>
        <v>-145.89351192737826</v>
      </c>
      <c r="AG31" s="191">
        <f t="shared" si="5"/>
        <v>-221.00636758207997</v>
      </c>
      <c r="AH31" s="191">
        <f t="shared" si="6"/>
        <v>-329.47820398095996</v>
      </c>
    </row>
    <row r="32" spans="1:34">
      <c r="A32" t="s">
        <v>360</v>
      </c>
      <c r="G32" s="146">
        <f>G31/G27</f>
        <v>0.19398046219491502</v>
      </c>
      <c r="M32" s="344" t="s">
        <v>383</v>
      </c>
      <c r="N32" s="344"/>
      <c r="O32" s="344"/>
      <c r="P32" s="344"/>
      <c r="Q32" s="344"/>
      <c r="R32" s="344"/>
      <c r="S32" s="344"/>
      <c r="T32" s="344"/>
      <c r="U32" s="344"/>
      <c r="V32" s="344"/>
      <c r="Y32" s="344" t="s">
        <v>383</v>
      </c>
      <c r="Z32" s="344"/>
      <c r="AA32" s="344"/>
      <c r="AB32" s="344"/>
      <c r="AC32" s="344"/>
      <c r="AD32" s="344"/>
      <c r="AE32" s="344"/>
      <c r="AF32" s="344"/>
      <c r="AG32" s="344"/>
      <c r="AH32" s="344"/>
    </row>
    <row r="33" spans="1:34">
      <c r="A33" s="169" t="s">
        <v>361</v>
      </c>
      <c r="B33" s="169"/>
      <c r="C33" s="169"/>
      <c r="D33" s="169"/>
      <c r="E33" s="169"/>
      <c r="F33" s="169"/>
      <c r="G33" s="192">
        <v>4855.1510196421859</v>
      </c>
      <c r="H33" t="s">
        <v>413</v>
      </c>
    </row>
    <row r="34" spans="1:34" ht="52.5">
      <c r="A34" t="s">
        <v>360</v>
      </c>
      <c r="G34" s="146">
        <f>G33/G27</f>
        <v>1.1592578217417174E-2</v>
      </c>
      <c r="Y34" s="149" t="s">
        <v>414</v>
      </c>
      <c r="Z34" s="1"/>
      <c r="AA34" s="1">
        <v>136.01300000000001</v>
      </c>
      <c r="AB34" s="1">
        <v>163.16</v>
      </c>
      <c r="AC34" s="1">
        <v>175.78100000000001</v>
      </c>
      <c r="AD34" s="1">
        <v>183.31</v>
      </c>
      <c r="AE34" s="1">
        <v>133.50299999999999</v>
      </c>
      <c r="AF34" s="1">
        <v>91.031000000000006</v>
      </c>
      <c r="AG34" s="1">
        <v>93.27</v>
      </c>
      <c r="AH34" s="1">
        <v>112.154</v>
      </c>
    </row>
    <row r="35" spans="1:34">
      <c r="A35" s="169" t="s">
        <v>362</v>
      </c>
      <c r="B35" s="169"/>
      <c r="C35" s="169"/>
      <c r="D35" s="169"/>
      <c r="E35" s="169"/>
      <c r="F35" s="169"/>
      <c r="G35" s="192">
        <f>'[1]Сжатая версия'!$I$9/G3/1000</f>
        <v>86097.168209683485</v>
      </c>
      <c r="H35" t="s">
        <v>413</v>
      </c>
    </row>
    <row r="36" spans="1:34">
      <c r="A36" t="s">
        <v>360</v>
      </c>
      <c r="G36" s="146">
        <f>G35/G27</f>
        <v>0.20557304041233224</v>
      </c>
    </row>
    <row r="41" spans="1:34">
      <c r="B41" t="s">
        <v>318</v>
      </c>
      <c r="C41">
        <v>7.9356</v>
      </c>
      <c r="D41">
        <v>7.9676</v>
      </c>
      <c r="E41">
        <v>7.9909999999999997</v>
      </c>
      <c r="F41">
        <v>7.9930000000000003</v>
      </c>
      <c r="G41">
        <v>11.886699999999999</v>
      </c>
      <c r="H41">
        <v>21.8447</v>
      </c>
      <c r="I41">
        <v>25.551300000000001</v>
      </c>
      <c r="J41">
        <v>26.596599999999999</v>
      </c>
    </row>
    <row r="42" spans="1:34" ht="15" customHeight="1">
      <c r="B42" t="s">
        <v>317</v>
      </c>
      <c r="C42">
        <v>2010</v>
      </c>
      <c r="D42">
        <v>2011</v>
      </c>
      <c r="E42">
        <v>2012</v>
      </c>
      <c r="F42">
        <v>2013</v>
      </c>
      <c r="G42">
        <v>2014</v>
      </c>
      <c r="H42">
        <v>2015</v>
      </c>
      <c r="I42">
        <v>2016</v>
      </c>
      <c r="J42">
        <v>2017</v>
      </c>
    </row>
    <row r="43" spans="1:34">
      <c r="C43" t="s">
        <v>412</v>
      </c>
    </row>
    <row r="44" spans="1:34">
      <c r="A44" t="s">
        <v>365</v>
      </c>
      <c r="C44">
        <v>315973.46136398002</v>
      </c>
      <c r="D44">
        <v>382203.047341734</v>
      </c>
      <c r="E44">
        <v>404727.06795144541</v>
      </c>
      <c r="F44">
        <v>407926.06030276488</v>
      </c>
      <c r="G44">
        <v>299344.89807936602</v>
      </c>
      <c r="H44">
        <v>205468.51181293404</v>
      </c>
      <c r="I44">
        <v>212139.22579281678</v>
      </c>
      <c r="J44">
        <v>252653.27147078951</v>
      </c>
    </row>
    <row r="45" spans="1:34">
      <c r="A45" t="s">
        <v>323</v>
      </c>
      <c r="B45" t="s">
        <v>324</v>
      </c>
      <c r="C45">
        <v>23863.728010484399</v>
      </c>
      <c r="D45">
        <v>31814.473618153523</v>
      </c>
      <c r="E45">
        <v>32750.218996370917</v>
      </c>
      <c r="F45">
        <v>38408.357312648564</v>
      </c>
      <c r="G45">
        <v>32071.72722454508</v>
      </c>
      <c r="H45">
        <v>25580.026276396562</v>
      </c>
      <c r="I45">
        <v>25656.972443672141</v>
      </c>
      <c r="J45">
        <v>27347.555702608606</v>
      </c>
    </row>
    <row r="46" spans="1:34">
      <c r="A46" t="s">
        <v>328</v>
      </c>
      <c r="B46" t="s">
        <v>329</v>
      </c>
      <c r="C46">
        <v>14960.431473360553</v>
      </c>
      <c r="D46">
        <v>19579.421657713741</v>
      </c>
      <c r="E46">
        <v>18957.076711300215</v>
      </c>
      <c r="F46">
        <v>19261.478793944701</v>
      </c>
      <c r="G46">
        <v>13140.064105260502</v>
      </c>
      <c r="H46">
        <v>8523.5320237860906</v>
      </c>
      <c r="I46">
        <v>9931.7842927757101</v>
      </c>
      <c r="J46">
        <v>12939.887053232369</v>
      </c>
    </row>
    <row r="47" spans="1:34">
      <c r="A47" t="s">
        <v>366</v>
      </c>
      <c r="B47" t="s">
        <v>367</v>
      </c>
      <c r="C47">
        <v>99843.36408085085</v>
      </c>
      <c r="D47">
        <v>119076.88638987902</v>
      </c>
      <c r="E47">
        <v>119224.87798773621</v>
      </c>
      <c r="F47">
        <v>110524.95933942198</v>
      </c>
      <c r="G47">
        <v>82081.233647690286</v>
      </c>
      <c r="H47">
        <v>55210.050950573823</v>
      </c>
      <c r="I47">
        <v>57092.437566777422</v>
      </c>
      <c r="J47">
        <v>67869.464518021108</v>
      </c>
    </row>
    <row r="48" spans="1:34">
      <c r="A48" t="s">
        <v>330</v>
      </c>
      <c r="B48" t="s">
        <v>331</v>
      </c>
      <c r="C48">
        <v>11791.294924139322</v>
      </c>
      <c r="D48">
        <v>15485.591646166977</v>
      </c>
      <c r="E48">
        <v>17266.424727818798</v>
      </c>
      <c r="F48">
        <v>16829.225572375828</v>
      </c>
      <c r="G48">
        <v>12485.214567541876</v>
      </c>
      <c r="H48">
        <v>8092.0314767426426</v>
      </c>
      <c r="I48">
        <v>9480.3786891469317</v>
      </c>
      <c r="J48">
        <v>10677.492611837604</v>
      </c>
    </row>
    <row r="49" spans="1:10">
      <c r="A49" t="s">
        <v>349</v>
      </c>
      <c r="B49" t="s">
        <v>368</v>
      </c>
      <c r="C49">
        <v>3031.9068501436564</v>
      </c>
      <c r="D49">
        <v>3116.4968120889603</v>
      </c>
      <c r="E49">
        <v>2860.5931673132277</v>
      </c>
      <c r="F49">
        <v>2669.0854497685473</v>
      </c>
      <c r="G49">
        <v>1974.0550363010761</v>
      </c>
      <c r="H49">
        <v>1235.1737492389459</v>
      </c>
      <c r="I49">
        <v>1200.7216853936982</v>
      </c>
      <c r="J49">
        <v>1395.0655346924043</v>
      </c>
    </row>
    <row r="50" spans="1:10">
      <c r="A50" t="s">
        <v>304</v>
      </c>
      <c r="B50" t="s">
        <v>369</v>
      </c>
      <c r="C50">
        <v>16678.133978527145</v>
      </c>
      <c r="D50">
        <v>20003.263216024901</v>
      </c>
      <c r="E50">
        <v>22303.216118132899</v>
      </c>
      <c r="F50">
        <v>20917.803077692981</v>
      </c>
      <c r="G50">
        <v>13675.031758183517</v>
      </c>
      <c r="H50">
        <v>8633.4442679460008</v>
      </c>
      <c r="I50">
        <v>9405.6662479012812</v>
      </c>
      <c r="J50">
        <v>12275.854808509359</v>
      </c>
    </row>
    <row r="51" spans="1:10">
      <c r="A51" t="s">
        <v>321</v>
      </c>
      <c r="B51" t="s">
        <v>370</v>
      </c>
      <c r="C51">
        <v>35733.403901406324</v>
      </c>
      <c r="D51">
        <v>43608.991415231685</v>
      </c>
      <c r="E51">
        <v>47847.828807408339</v>
      </c>
      <c r="F51">
        <v>48935.818841486296</v>
      </c>
      <c r="G51">
        <v>37264.758090975629</v>
      </c>
      <c r="H51">
        <v>25139.415968175348</v>
      </c>
      <c r="I51">
        <v>25250.026417442554</v>
      </c>
      <c r="J51">
        <v>31295.353541430108</v>
      </c>
    </row>
    <row r="52" spans="1:10">
      <c r="A52" t="s">
        <v>325</v>
      </c>
      <c r="B52" t="s">
        <v>371</v>
      </c>
      <c r="C52">
        <v>20386.486214022883</v>
      </c>
      <c r="D52">
        <v>25848.687183091519</v>
      </c>
      <c r="E52">
        <v>26565.636340883495</v>
      </c>
      <c r="F52">
        <v>27510.446640810707</v>
      </c>
      <c r="G52">
        <v>18279.842176550264</v>
      </c>
      <c r="H52">
        <v>13533.442894615169</v>
      </c>
      <c r="I52">
        <v>13382.411071060964</v>
      </c>
      <c r="J52">
        <v>15809.689960370875</v>
      </c>
    </row>
    <row r="53" spans="1:10">
      <c r="A53" t="s">
        <v>347</v>
      </c>
      <c r="B53" t="s">
        <v>372</v>
      </c>
      <c r="C53">
        <v>2508.9470235394929</v>
      </c>
      <c r="D53">
        <v>2790.5517345248254</v>
      </c>
      <c r="E53">
        <v>2756.1006131898389</v>
      </c>
      <c r="F53">
        <v>2742.0242712373324</v>
      </c>
      <c r="G53">
        <v>1803.5283131567214</v>
      </c>
      <c r="H53">
        <v>1165.4085430333216</v>
      </c>
      <c r="I53">
        <v>1277.3127003322727</v>
      </c>
      <c r="J53">
        <v>1418.865569283292</v>
      </c>
    </row>
    <row r="54" spans="1:10">
      <c r="A54" t="s">
        <v>337</v>
      </c>
      <c r="B54" t="s">
        <v>338</v>
      </c>
      <c r="C54">
        <v>8606.7846161600883</v>
      </c>
      <c r="D54">
        <v>9931.8489884030314</v>
      </c>
      <c r="E54">
        <v>11086.847703666626</v>
      </c>
      <c r="F54">
        <v>12198.048292255724</v>
      </c>
      <c r="G54">
        <v>8843.1608436319584</v>
      </c>
      <c r="H54">
        <v>6510.6410250541321</v>
      </c>
      <c r="I54">
        <v>7157.6005917507127</v>
      </c>
      <c r="J54">
        <v>8484.505538301888</v>
      </c>
    </row>
    <row r="55" spans="1:10">
      <c r="A55" t="s">
        <v>335</v>
      </c>
      <c r="B55" t="s">
        <v>336</v>
      </c>
      <c r="C55">
        <v>12461.313574272897</v>
      </c>
      <c r="D55">
        <v>11943.998192680356</v>
      </c>
      <c r="E55">
        <v>12269.302965836567</v>
      </c>
      <c r="F55">
        <v>13037.15751282372</v>
      </c>
      <c r="G55">
        <v>9828.2954899173037</v>
      </c>
      <c r="H55">
        <v>4933.1874550806378</v>
      </c>
      <c r="I55">
        <v>4211.7230825828819</v>
      </c>
      <c r="J55">
        <v>4554.7927178661939</v>
      </c>
    </row>
    <row r="56" spans="1:10">
      <c r="A56" t="s">
        <v>332</v>
      </c>
      <c r="B56" t="s">
        <v>373</v>
      </c>
      <c r="C56">
        <v>11351.630626543676</v>
      </c>
      <c r="D56">
        <v>13664.968120889604</v>
      </c>
      <c r="E56">
        <v>15178.701038668503</v>
      </c>
      <c r="F56">
        <v>16925.184536469409</v>
      </c>
      <c r="G56">
        <v>11765.081982383674</v>
      </c>
      <c r="H56">
        <v>8060.444867633797</v>
      </c>
      <c r="I56">
        <v>8146.1217237479104</v>
      </c>
      <c r="J56">
        <v>8953.8136453531661</v>
      </c>
    </row>
    <row r="57" spans="1:10">
      <c r="A57" t="s">
        <v>341</v>
      </c>
      <c r="B57" t="s">
        <v>374</v>
      </c>
      <c r="C57">
        <v>6797.9736881899289</v>
      </c>
      <c r="D57">
        <v>7743.9881520156632</v>
      </c>
      <c r="E57">
        <v>10762.107370792142</v>
      </c>
      <c r="F57">
        <v>11949.205554860502</v>
      </c>
      <c r="G57">
        <v>7759.0920945258149</v>
      </c>
      <c r="H57">
        <v>4903.8897306898243</v>
      </c>
      <c r="I57">
        <v>5289.0068215707224</v>
      </c>
      <c r="J57">
        <v>6453.0804689321194</v>
      </c>
    </row>
    <row r="58" spans="1:10">
      <c r="A58" t="s">
        <v>345</v>
      </c>
      <c r="B58" t="s">
        <v>375</v>
      </c>
      <c r="C58">
        <v>3075.1297948485308</v>
      </c>
      <c r="D58">
        <v>3792.484562478036</v>
      </c>
      <c r="E58">
        <v>4138.6559879864853</v>
      </c>
      <c r="F58">
        <v>4484.6740898285998</v>
      </c>
      <c r="G58">
        <v>3023.379070726106</v>
      </c>
      <c r="H58">
        <v>1985.3786044212097</v>
      </c>
      <c r="I58">
        <v>2322.3084539729875</v>
      </c>
      <c r="J58">
        <v>2662.7463660768672</v>
      </c>
    </row>
    <row r="59" spans="1:10">
      <c r="A59" t="s">
        <v>339</v>
      </c>
      <c r="B59" t="s">
        <v>376</v>
      </c>
      <c r="C59">
        <v>8749.6849639598768</v>
      </c>
      <c r="D59">
        <v>8922.385661930819</v>
      </c>
      <c r="E59">
        <v>10349.518207983983</v>
      </c>
      <c r="F59">
        <v>11376.204178656324</v>
      </c>
      <c r="G59">
        <v>9857.0671422682499</v>
      </c>
      <c r="H59">
        <v>6755.7805783553904</v>
      </c>
      <c r="I59">
        <v>7129.1088907413705</v>
      </c>
      <c r="J59">
        <v>8909.7854612995652</v>
      </c>
    </row>
    <row r="60" spans="1:10">
      <c r="A60" t="s">
        <v>306</v>
      </c>
      <c r="B60" t="s">
        <v>377</v>
      </c>
      <c r="C60">
        <v>10125.132315136852</v>
      </c>
      <c r="D60">
        <v>10949.595863246146</v>
      </c>
      <c r="E60">
        <v>12742.209986234515</v>
      </c>
      <c r="F60">
        <v>13452.77117477793</v>
      </c>
      <c r="G60">
        <v>8943.1886057526481</v>
      </c>
      <c r="H60">
        <v>5490.0273292835336</v>
      </c>
      <c r="I60">
        <v>5195.2346847322833</v>
      </c>
      <c r="J60">
        <v>6768.1959348187365</v>
      </c>
    </row>
    <row r="61" spans="1:10">
      <c r="A61" t="s">
        <v>343</v>
      </c>
      <c r="B61" t="s">
        <v>378</v>
      </c>
      <c r="C61">
        <v>7369.0710217248852</v>
      </c>
      <c r="D61">
        <v>8070.5607711230487</v>
      </c>
      <c r="E61">
        <v>9276.8114128394445</v>
      </c>
      <c r="F61">
        <v>9083.3229075441013</v>
      </c>
      <c r="G61">
        <v>6036.5786971993912</v>
      </c>
      <c r="H61">
        <v>4057.5517173502039</v>
      </c>
      <c r="I61">
        <v>3886.4558750435399</v>
      </c>
      <c r="J61">
        <v>4961.9124248964154</v>
      </c>
    </row>
    <row r="62" spans="1:10">
      <c r="A62" t="s">
        <v>353</v>
      </c>
      <c r="B62" t="s">
        <v>379</v>
      </c>
      <c r="C62">
        <v>1248.5508342154342</v>
      </c>
      <c r="D62">
        <v>1549.2745619760028</v>
      </c>
      <c r="E62">
        <v>2167.3132273808037</v>
      </c>
      <c r="F62">
        <v>2447.5165770048793</v>
      </c>
      <c r="G62">
        <v>1609.782361799322</v>
      </c>
      <c r="H62">
        <v>935.51296195415819</v>
      </c>
      <c r="I62">
        <v>906.21612207598048</v>
      </c>
      <c r="J62">
        <v>1062.6922238180821</v>
      </c>
    </row>
    <row r="63" spans="1:10">
      <c r="A63" t="s">
        <v>351</v>
      </c>
      <c r="B63" t="s">
        <v>380</v>
      </c>
      <c r="C63">
        <v>1654.5692827259438</v>
      </c>
      <c r="D63">
        <v>2040.2630654149305</v>
      </c>
      <c r="E63">
        <v>2246.6524840445504</v>
      </c>
      <c r="F63">
        <v>2479.6697109971224</v>
      </c>
      <c r="G63">
        <v>1725.2896093953748</v>
      </c>
      <c r="H63">
        <v>1028.8536807555151</v>
      </c>
      <c r="I63">
        <v>1044.7217949771634</v>
      </c>
      <c r="J63">
        <v>1354.6092357669777</v>
      </c>
    </row>
    <row r="64" spans="1:10">
      <c r="A64" t="s">
        <v>381</v>
      </c>
      <c r="C64">
        <v>300237.53717425273</v>
      </c>
      <c r="D64">
        <v>359933.73161303281</v>
      </c>
      <c r="E64">
        <v>380750.09385558753</v>
      </c>
      <c r="F64">
        <v>385232.95383460529</v>
      </c>
      <c r="G64">
        <v>282166.37081780477</v>
      </c>
      <c r="H64">
        <v>191773.7941010863</v>
      </c>
      <c r="I64">
        <v>197966.20915569854</v>
      </c>
      <c r="J64">
        <v>235195.36331711573</v>
      </c>
    </row>
    <row r="65" spans="1:10">
      <c r="A65" t="s">
        <v>313</v>
      </c>
      <c r="C65">
        <v>16048.943999193507</v>
      </c>
      <c r="D65">
        <v>22503.137707716251</v>
      </c>
      <c r="E65">
        <v>24458.766111875862</v>
      </c>
      <c r="F65">
        <v>22968.347303890903</v>
      </c>
      <c r="G65">
        <v>17358.560407850793</v>
      </c>
      <c r="H65">
        <v>13840.611223775104</v>
      </c>
      <c r="I65">
        <v>14394.023004700348</v>
      </c>
      <c r="J65">
        <v>17787.386357654737</v>
      </c>
    </row>
    <row r="66" spans="1:10">
      <c r="A66" t="s">
        <v>382</v>
      </c>
      <c r="C66">
        <v>-313.01980946620296</v>
      </c>
      <c r="D66">
        <v>-233.82197901501078</v>
      </c>
      <c r="E66">
        <v>-481.79201601802032</v>
      </c>
      <c r="F66">
        <v>-275.24083573126484</v>
      </c>
      <c r="G66">
        <v>-180.0331462895505</v>
      </c>
      <c r="H66">
        <v>-145.89351192737826</v>
      </c>
      <c r="I66">
        <v>-221.00636758207997</v>
      </c>
      <c r="J66">
        <v>-329.47820398095996</v>
      </c>
    </row>
    <row r="67" spans="1:10">
      <c r="A67" t="s">
        <v>383</v>
      </c>
    </row>
    <row r="69" spans="1:10">
      <c r="A69" t="s">
        <v>414</v>
      </c>
      <c r="C69">
        <v>136.01300000000001</v>
      </c>
      <c r="D69">
        <v>163.16</v>
      </c>
      <c r="E69">
        <v>175.78100000000001</v>
      </c>
      <c r="F69">
        <v>183.31</v>
      </c>
      <c r="G69">
        <v>133.50299999999999</v>
      </c>
      <c r="H69">
        <v>91.031000000000006</v>
      </c>
      <c r="I69">
        <v>93.27</v>
      </c>
      <c r="J69">
        <v>112.154</v>
      </c>
    </row>
    <row r="90" ht="15" customHeight="1"/>
  </sheetData>
  <mergeCells count="6">
    <mergeCell ref="AA8:AH8"/>
    <mergeCell ref="Y32:AH32"/>
    <mergeCell ref="C4:G4"/>
    <mergeCell ref="M32:V32"/>
    <mergeCell ref="M5:V5"/>
    <mergeCell ref="O8:V8"/>
  </mergeCells>
  <pageMargins left="0.7" right="0.7" top="0.75" bottom="0.75" header="0.3" footer="0.3"/>
  <pageSetup paperSize="9" scale="90" fitToHeight="0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tabSelected="1" workbookViewId="0">
      <selection activeCell="M11" sqref="M11"/>
    </sheetView>
  </sheetViews>
  <sheetFormatPr defaultRowHeight="15"/>
  <cols>
    <col min="1" max="1" width="45.7109375" style="94" customWidth="1"/>
    <col min="2" max="2" width="10.42578125" style="202" customWidth="1"/>
    <col min="3" max="3" width="13.28515625" style="94" customWidth="1"/>
    <col min="4" max="4" width="13.5703125" style="94" customWidth="1"/>
    <col min="5" max="5" width="13.28515625" style="94" customWidth="1"/>
    <col min="6" max="6" width="15.7109375" style="94" customWidth="1"/>
    <col min="7" max="16384" width="9.140625" style="94"/>
  </cols>
  <sheetData>
    <row r="1" spans="1:6" ht="26.45" customHeight="1">
      <c r="B1" s="198" t="s">
        <v>419</v>
      </c>
      <c r="C1" s="199" t="s">
        <v>420</v>
      </c>
      <c r="D1" s="199" t="s">
        <v>421</v>
      </c>
      <c r="E1" s="199" t="s">
        <v>422</v>
      </c>
      <c r="F1" s="199" t="s">
        <v>423</v>
      </c>
    </row>
    <row r="2" spans="1:6" ht="19.5">
      <c r="A2" s="200" t="s">
        <v>323</v>
      </c>
      <c r="B2" s="199" t="s">
        <v>324</v>
      </c>
      <c r="C2" s="201">
        <v>27347.555702608606</v>
      </c>
      <c r="D2" s="201">
        <v>-10324.464884899999</v>
      </c>
      <c r="E2" s="201">
        <v>2099.5766678800001</v>
      </c>
      <c r="F2" s="201">
        <v>19122.667485588609</v>
      </c>
    </row>
    <row r="3" spans="1:6">
      <c r="A3" s="200" t="s">
        <v>328</v>
      </c>
      <c r="B3" s="199" t="s">
        <v>329</v>
      </c>
      <c r="C3" s="201">
        <v>12939.887053232369</v>
      </c>
      <c r="D3" s="201">
        <v>-3947.7218735599999</v>
      </c>
      <c r="E3" s="201">
        <v>12504.73243502</v>
      </c>
      <c r="F3" s="201">
        <v>29392.34136181237</v>
      </c>
    </row>
    <row r="4" spans="1:6">
      <c r="A4" s="200" t="s">
        <v>301</v>
      </c>
      <c r="B4" s="199" t="s">
        <v>320</v>
      </c>
      <c r="C4" s="201">
        <v>67869.464518021108</v>
      </c>
      <c r="D4" s="201">
        <v>-30501.237616150007</v>
      </c>
      <c r="E4" s="201">
        <v>34836.373559850006</v>
      </c>
      <c r="F4" s="201">
        <v>72204.6004617211</v>
      </c>
    </row>
    <row r="5" spans="1:6" ht="19.5">
      <c r="A5" s="200" t="s">
        <v>330</v>
      </c>
      <c r="B5" s="199" t="s">
        <v>331</v>
      </c>
      <c r="C5" s="201">
        <v>10677.492611837604</v>
      </c>
      <c r="D5" s="201"/>
      <c r="E5" s="201"/>
      <c r="F5" s="201"/>
    </row>
    <row r="6" spans="1:6" ht="19.5">
      <c r="A6" s="200" t="s">
        <v>349</v>
      </c>
      <c r="B6" s="199" t="s">
        <v>350</v>
      </c>
      <c r="C6" s="201">
        <v>1395.0655346924043</v>
      </c>
      <c r="D6" s="201"/>
      <c r="E6" s="201"/>
      <c r="F6" s="201"/>
    </row>
    <row r="7" spans="1:6">
      <c r="A7" s="200" t="s">
        <v>304</v>
      </c>
      <c r="B7" s="199" t="s">
        <v>327</v>
      </c>
      <c r="C7" s="201">
        <v>12275.854808509359</v>
      </c>
      <c r="D7" s="201">
        <v>-102.25636999999999</v>
      </c>
      <c r="E7" s="201">
        <v>106.65017999999999</v>
      </c>
      <c r="F7" s="201">
        <v>12280.24861850936</v>
      </c>
    </row>
    <row r="8" spans="1:6" ht="19.5">
      <c r="A8" s="200" t="s">
        <v>321</v>
      </c>
      <c r="B8" s="199" t="s">
        <v>322</v>
      </c>
      <c r="C8" s="201">
        <v>31295.353541430108</v>
      </c>
      <c r="D8" s="201"/>
      <c r="E8" s="201"/>
      <c r="F8" s="201"/>
    </row>
    <row r="9" spans="1:6" ht="19.5">
      <c r="A9" s="200" t="s">
        <v>325</v>
      </c>
      <c r="B9" s="199" t="s">
        <v>326</v>
      </c>
      <c r="C9" s="201">
        <v>15809.689960370875</v>
      </c>
      <c r="D9" s="201">
        <v>-5861.4056300000002</v>
      </c>
      <c r="E9" s="201">
        <v>1213.0736299999999</v>
      </c>
      <c r="F9" s="201">
        <v>11161.357960370875</v>
      </c>
    </row>
    <row r="10" spans="1:6">
      <c r="A10" s="200" t="s">
        <v>347</v>
      </c>
      <c r="B10" s="199" t="s">
        <v>348</v>
      </c>
      <c r="C10" s="201">
        <v>1418.865569283292</v>
      </c>
      <c r="D10" s="201"/>
      <c r="E10" s="201"/>
      <c r="F10" s="201"/>
    </row>
    <row r="11" spans="1:6">
      <c r="A11" s="200" t="s">
        <v>337</v>
      </c>
      <c r="B11" s="199" t="s">
        <v>338</v>
      </c>
      <c r="C11" s="201">
        <v>8484.505538301888</v>
      </c>
      <c r="D11" s="201">
        <v>-1760.79458</v>
      </c>
      <c r="E11" s="201">
        <v>423.96979999999996</v>
      </c>
      <c r="F11" s="201">
        <v>7147.6807583018881</v>
      </c>
    </row>
    <row r="12" spans="1:6">
      <c r="A12" s="200" t="s">
        <v>335</v>
      </c>
      <c r="B12" s="199" t="s">
        <v>336</v>
      </c>
      <c r="C12" s="201">
        <v>4554.7927178661939</v>
      </c>
      <c r="D12" s="201">
        <v>-114.01109</v>
      </c>
      <c r="E12" s="201">
        <v>552.91029000000003</v>
      </c>
      <c r="F12" s="201">
        <v>4993.6919178661938</v>
      </c>
    </row>
    <row r="13" spans="1:6">
      <c r="A13" s="200" t="s">
        <v>332</v>
      </c>
      <c r="B13" s="199" t="s">
        <v>333</v>
      </c>
      <c r="C13" s="201">
        <v>8953.8136453531661</v>
      </c>
      <c r="D13" s="201"/>
      <c r="E13" s="201"/>
      <c r="F13" s="201"/>
    </row>
    <row r="14" spans="1:6">
      <c r="A14" s="200" t="s">
        <v>341</v>
      </c>
      <c r="B14" s="199" t="s">
        <v>342</v>
      </c>
      <c r="C14" s="201">
        <v>6453.0804689321194</v>
      </c>
      <c r="D14" s="201"/>
      <c r="E14" s="201"/>
      <c r="F14" s="201"/>
    </row>
    <row r="15" spans="1:6" ht="19.5">
      <c r="A15" s="200" t="s">
        <v>345</v>
      </c>
      <c r="B15" s="199" t="s">
        <v>346</v>
      </c>
      <c r="C15" s="201">
        <v>2662.7463660768672</v>
      </c>
      <c r="D15" s="201">
        <v>-950.91711000000009</v>
      </c>
      <c r="E15" s="201">
        <v>1234.4308000000001</v>
      </c>
      <c r="F15" s="201">
        <v>2946.2600560768669</v>
      </c>
    </row>
    <row r="16" spans="1:6" ht="19.5">
      <c r="A16" s="200" t="s">
        <v>339</v>
      </c>
      <c r="B16" s="199" t="s">
        <v>340</v>
      </c>
      <c r="C16" s="201">
        <v>8909.7854612995652</v>
      </c>
      <c r="D16" s="201">
        <v>-3.8128699999999998</v>
      </c>
      <c r="E16" s="201">
        <v>1055.27134</v>
      </c>
      <c r="F16" s="201">
        <v>9961.2439312995648</v>
      </c>
    </row>
    <row r="17" spans="1:6">
      <c r="A17" s="200" t="s">
        <v>306</v>
      </c>
      <c r="B17" s="199" t="s">
        <v>334</v>
      </c>
      <c r="C17" s="201">
        <v>6768.1959348187365</v>
      </c>
      <c r="D17" s="201"/>
      <c r="E17" s="201"/>
      <c r="F17" s="201"/>
    </row>
    <row r="18" spans="1:6">
      <c r="A18" s="200" t="s">
        <v>343</v>
      </c>
      <c r="B18" s="199" t="s">
        <v>344</v>
      </c>
      <c r="C18" s="201">
        <v>4961.9124248964154</v>
      </c>
      <c r="D18" s="201"/>
      <c r="E18" s="201"/>
      <c r="F18" s="201"/>
    </row>
    <row r="19" spans="1:6">
      <c r="A19" s="200" t="s">
        <v>353</v>
      </c>
      <c r="B19" s="199" t="s">
        <v>354</v>
      </c>
      <c r="C19" s="201">
        <v>1062.6922238180821</v>
      </c>
      <c r="D19" s="201">
        <v>-242.74900000000002</v>
      </c>
      <c r="E19" s="201">
        <v>795.17393000000004</v>
      </c>
      <c r="F19" s="201">
        <v>1615.117153818082</v>
      </c>
    </row>
    <row r="20" spans="1:6">
      <c r="A20" s="200" t="s">
        <v>351</v>
      </c>
      <c r="B20" s="199" t="s">
        <v>352</v>
      </c>
      <c r="C20" s="201">
        <v>1354.6092357669777</v>
      </c>
      <c r="D20" s="201">
        <v>-14.73752</v>
      </c>
      <c r="E20" s="201">
        <v>20.57396</v>
      </c>
      <c r="F20" s="201">
        <f>SUM(C20:E20)</f>
        <v>1360.4456757669777</v>
      </c>
    </row>
    <row r="21" spans="1:6">
      <c r="A21" s="200"/>
      <c r="B21" s="199"/>
      <c r="C21" s="201">
        <f>SUM(C2:C20)</f>
        <v>235195.3633171157</v>
      </c>
      <c r="D21" s="201">
        <f t="shared" ref="D21:F21" si="0">SUM(D2:D20)</f>
        <v>-53824.108544610019</v>
      </c>
      <c r="E21" s="201">
        <f t="shared" si="0"/>
        <v>54842.73659275</v>
      </c>
      <c r="F21" s="201">
        <f t="shared" si="0"/>
        <v>172185.65538113189</v>
      </c>
    </row>
    <row r="24" spans="1:6">
      <c r="A24" t="s">
        <v>418</v>
      </c>
    </row>
  </sheetData>
  <pageMargins left="0.7" right="0.7" top="0.75" bottom="0.75" header="0.3" footer="0.3"/>
  <pageSetup paperSize="9" orientation="landscape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2" workbookViewId="0">
      <selection activeCell="B3" sqref="B3:B21"/>
    </sheetView>
  </sheetViews>
  <sheetFormatPr defaultRowHeight="15"/>
  <sheetData>
    <row r="1" spans="1:9" ht="15.75" thickBot="1">
      <c r="A1" s="370" t="s">
        <v>458</v>
      </c>
      <c r="B1" s="370" t="s">
        <v>459</v>
      </c>
      <c r="C1" s="370" t="s">
        <v>460</v>
      </c>
      <c r="D1" s="372" t="s">
        <v>461</v>
      </c>
      <c r="E1" s="373"/>
      <c r="F1" s="374"/>
      <c r="G1" s="370" t="s">
        <v>462</v>
      </c>
      <c r="H1" s="375" t="s">
        <v>463</v>
      </c>
      <c r="I1" s="375" t="s">
        <v>464</v>
      </c>
    </row>
    <row r="2" spans="1:9" ht="57" thickBot="1">
      <c r="A2" s="371"/>
      <c r="B2" s="371"/>
      <c r="C2" s="371"/>
      <c r="D2" s="365" t="s">
        <v>465</v>
      </c>
      <c r="E2" s="365" t="s">
        <v>422</v>
      </c>
      <c r="F2" s="365" t="s">
        <v>466</v>
      </c>
      <c r="G2" s="371"/>
      <c r="H2" s="376"/>
      <c r="I2" s="376"/>
    </row>
    <row r="3" spans="1:9" ht="90.75" thickBot="1">
      <c r="A3" s="366" t="s">
        <v>321</v>
      </c>
      <c r="B3" s="365" t="s">
        <v>322</v>
      </c>
      <c r="C3" s="367">
        <v>49949831</v>
      </c>
      <c r="D3" s="365"/>
      <c r="E3" s="365"/>
      <c r="F3" s="365"/>
      <c r="G3" s="367">
        <v>49949831</v>
      </c>
      <c r="H3" s="368" t="s">
        <v>324</v>
      </c>
      <c r="I3" s="368" t="s">
        <v>467</v>
      </c>
    </row>
    <row r="4" spans="1:9" ht="79.5" thickBot="1">
      <c r="A4" s="366" t="s">
        <v>323</v>
      </c>
      <c r="B4" s="365" t="s">
        <v>324</v>
      </c>
      <c r="C4" s="367">
        <v>33777430</v>
      </c>
      <c r="D4" s="367">
        <v>-10175223</v>
      </c>
      <c r="E4" s="367">
        <v>4148036</v>
      </c>
      <c r="F4" s="367">
        <v>-6027188</v>
      </c>
      <c r="G4" s="367">
        <v>27750243</v>
      </c>
      <c r="H4" s="368" t="s">
        <v>324</v>
      </c>
      <c r="I4" s="368" t="s">
        <v>468</v>
      </c>
    </row>
    <row r="5" spans="1:9" ht="79.5" thickBot="1">
      <c r="A5" s="366" t="s">
        <v>325</v>
      </c>
      <c r="B5" s="365" t="s">
        <v>326</v>
      </c>
      <c r="C5" s="367">
        <v>27827474</v>
      </c>
      <c r="D5" s="367">
        <v>-8531843</v>
      </c>
      <c r="E5" s="367">
        <v>1727385</v>
      </c>
      <c r="F5" s="367">
        <v>-6804458</v>
      </c>
      <c r="G5" s="367">
        <v>21023016</v>
      </c>
      <c r="H5" s="368" t="s">
        <v>324</v>
      </c>
      <c r="I5" s="368" t="s">
        <v>468</v>
      </c>
    </row>
    <row r="6" spans="1:9" ht="79.5" thickBot="1">
      <c r="A6" s="366" t="s">
        <v>330</v>
      </c>
      <c r="B6" s="365" t="s">
        <v>331</v>
      </c>
      <c r="C6" s="367">
        <v>18088077</v>
      </c>
      <c r="D6" s="365"/>
      <c r="E6" s="365"/>
      <c r="F6" s="365"/>
      <c r="G6" s="367">
        <v>18088077</v>
      </c>
      <c r="H6" s="368" t="s">
        <v>324</v>
      </c>
      <c r="I6" s="368" t="s">
        <v>467</v>
      </c>
    </row>
    <row r="7" spans="1:9" ht="34.5" thickBot="1">
      <c r="A7" s="366" t="s">
        <v>332</v>
      </c>
      <c r="B7" s="365" t="s">
        <v>333</v>
      </c>
      <c r="C7" s="367">
        <v>15789941</v>
      </c>
      <c r="D7" s="365"/>
      <c r="E7" s="365"/>
      <c r="F7" s="365"/>
      <c r="G7" s="367">
        <v>15789941</v>
      </c>
      <c r="H7" s="368" t="s">
        <v>324</v>
      </c>
      <c r="I7" s="368" t="s">
        <v>467</v>
      </c>
    </row>
    <row r="8" spans="1:9" ht="15.75" thickBot="1">
      <c r="A8" s="366" t="s">
        <v>306</v>
      </c>
      <c r="B8" s="365" t="s">
        <v>334</v>
      </c>
      <c r="C8" s="367">
        <v>13349431</v>
      </c>
      <c r="D8" s="365"/>
      <c r="E8" s="365"/>
      <c r="F8" s="365"/>
      <c r="G8" s="367">
        <v>13349431</v>
      </c>
      <c r="H8" s="368" t="s">
        <v>329</v>
      </c>
      <c r="I8" s="368" t="s">
        <v>467</v>
      </c>
    </row>
    <row r="9" spans="1:9" ht="45.75" thickBot="1">
      <c r="A9" s="366" t="s">
        <v>341</v>
      </c>
      <c r="B9" s="365" t="s">
        <v>342</v>
      </c>
      <c r="C9" s="367">
        <v>11012636</v>
      </c>
      <c r="D9" s="365"/>
      <c r="E9" s="365"/>
      <c r="F9" s="365"/>
      <c r="G9" s="367">
        <v>11012636</v>
      </c>
      <c r="H9" s="368" t="s">
        <v>329</v>
      </c>
      <c r="I9" s="368" t="s">
        <v>467</v>
      </c>
    </row>
    <row r="10" spans="1:9" ht="45.75" thickBot="1">
      <c r="A10" s="366" t="s">
        <v>337</v>
      </c>
      <c r="B10" s="365" t="s">
        <v>338</v>
      </c>
      <c r="C10" s="367">
        <v>11293507</v>
      </c>
      <c r="D10" s="367">
        <v>-1130118</v>
      </c>
      <c r="E10" s="367">
        <v>456522</v>
      </c>
      <c r="F10" s="367">
        <v>-673596</v>
      </c>
      <c r="G10" s="367">
        <v>10619911</v>
      </c>
      <c r="H10" s="368" t="s">
        <v>329</v>
      </c>
      <c r="I10" s="368" t="s">
        <v>469</v>
      </c>
    </row>
    <row r="11" spans="1:9" ht="57" thickBot="1">
      <c r="A11" s="366" t="s">
        <v>343</v>
      </c>
      <c r="B11" s="365" t="s">
        <v>344</v>
      </c>
      <c r="C11" s="367">
        <v>10076567</v>
      </c>
      <c r="D11" s="365"/>
      <c r="E11" s="365"/>
      <c r="F11" s="365"/>
      <c r="G11" s="367">
        <v>10076567</v>
      </c>
      <c r="H11" s="368" t="s">
        <v>329</v>
      </c>
      <c r="I11" s="368" t="s">
        <v>467</v>
      </c>
    </row>
    <row r="12" spans="1:9" ht="79.5" thickBot="1">
      <c r="A12" s="366" t="s">
        <v>349</v>
      </c>
      <c r="B12" s="365" t="s">
        <v>350</v>
      </c>
      <c r="C12" s="367">
        <v>3011385</v>
      </c>
      <c r="D12" s="365"/>
      <c r="E12" s="365"/>
      <c r="F12" s="365"/>
      <c r="G12" s="367">
        <v>3011385</v>
      </c>
      <c r="H12" s="368" t="s">
        <v>320</v>
      </c>
      <c r="I12" s="368" t="s">
        <v>467</v>
      </c>
    </row>
    <row r="13" spans="1:9" ht="57" thickBot="1">
      <c r="A13" s="366" t="s">
        <v>347</v>
      </c>
      <c r="B13" s="365" t="s">
        <v>348</v>
      </c>
      <c r="C13" s="367">
        <v>3126861</v>
      </c>
      <c r="D13" s="365"/>
      <c r="E13" s="365"/>
      <c r="F13" s="365"/>
      <c r="G13" s="367">
        <v>3126861</v>
      </c>
      <c r="H13" s="368" t="s">
        <v>320</v>
      </c>
      <c r="I13" s="368" t="s">
        <v>467</v>
      </c>
    </row>
    <row r="14" spans="1:9" ht="45.75" thickBot="1">
      <c r="A14" s="366" t="s">
        <v>353</v>
      </c>
      <c r="B14" s="365" t="s">
        <v>354</v>
      </c>
      <c r="C14" s="367">
        <v>2287376</v>
      </c>
      <c r="D14" s="367">
        <v>-555450</v>
      </c>
      <c r="E14" s="367">
        <v>580305</v>
      </c>
      <c r="F14" s="367">
        <v>24854</v>
      </c>
      <c r="G14" s="367">
        <v>2312231</v>
      </c>
      <c r="H14" s="368" t="s">
        <v>320</v>
      </c>
      <c r="I14" s="368" t="s">
        <v>470</v>
      </c>
    </row>
    <row r="15" spans="1:9" ht="34.5" thickBot="1">
      <c r="A15" s="366" t="s">
        <v>351</v>
      </c>
      <c r="B15" s="365" t="s">
        <v>352</v>
      </c>
      <c r="C15" s="367">
        <v>2358939</v>
      </c>
      <c r="D15" s="367">
        <v>-487368</v>
      </c>
      <c r="E15" s="367">
        <v>652150</v>
      </c>
      <c r="F15" s="367">
        <v>164782</v>
      </c>
      <c r="G15" s="367">
        <v>2523721</v>
      </c>
      <c r="H15" s="368" t="s">
        <v>320</v>
      </c>
      <c r="I15" s="368" t="s">
        <v>470</v>
      </c>
    </row>
    <row r="16" spans="1:9" ht="90.75" thickBot="1">
      <c r="A16" s="366" t="s">
        <v>345</v>
      </c>
      <c r="B16" s="365" t="s">
        <v>346</v>
      </c>
      <c r="C16" s="367">
        <v>4324159</v>
      </c>
      <c r="D16" s="367">
        <v>-1513609</v>
      </c>
      <c r="E16" s="367">
        <v>1573903</v>
      </c>
      <c r="F16" s="367">
        <v>60294</v>
      </c>
      <c r="G16" s="367">
        <v>4384452</v>
      </c>
      <c r="H16" s="368" t="s">
        <v>320</v>
      </c>
      <c r="I16" s="368" t="s">
        <v>470</v>
      </c>
    </row>
    <row r="17" spans="1:9" ht="79.5" thickBot="1">
      <c r="A17" s="366" t="s">
        <v>339</v>
      </c>
      <c r="B17" s="365" t="s">
        <v>340</v>
      </c>
      <c r="C17" s="367">
        <v>11147379</v>
      </c>
      <c r="D17" s="367">
        <v>-5336</v>
      </c>
      <c r="E17" s="367">
        <v>602665</v>
      </c>
      <c r="F17" s="367">
        <v>597329</v>
      </c>
      <c r="G17" s="367">
        <v>11744708</v>
      </c>
      <c r="H17" s="368" t="s">
        <v>329</v>
      </c>
      <c r="I17" s="368" t="s">
        <v>470</v>
      </c>
    </row>
    <row r="18" spans="1:9" ht="34.5" thickBot="1">
      <c r="A18" s="366" t="s">
        <v>335</v>
      </c>
      <c r="B18" s="365" t="s">
        <v>336</v>
      </c>
      <c r="C18" s="367">
        <v>12522958</v>
      </c>
      <c r="D18" s="367">
        <v>-362485</v>
      </c>
      <c r="E18" s="367">
        <v>1110584</v>
      </c>
      <c r="F18" s="367">
        <v>748099</v>
      </c>
      <c r="G18" s="367">
        <v>13271056</v>
      </c>
      <c r="H18" s="368" t="s">
        <v>329</v>
      </c>
      <c r="I18" s="368" t="s">
        <v>471</v>
      </c>
    </row>
    <row r="19" spans="1:9" ht="23.25" thickBot="1">
      <c r="A19" s="366" t="s">
        <v>304</v>
      </c>
      <c r="B19" s="365" t="s">
        <v>327</v>
      </c>
      <c r="C19" s="367">
        <v>23114100</v>
      </c>
      <c r="D19" s="367">
        <v>-220957</v>
      </c>
      <c r="E19" s="367">
        <v>260027</v>
      </c>
      <c r="F19" s="367">
        <v>39071</v>
      </c>
      <c r="G19" s="367">
        <v>23153170</v>
      </c>
      <c r="H19" s="368" t="s">
        <v>324</v>
      </c>
      <c r="I19" s="368" t="s">
        <v>470</v>
      </c>
    </row>
    <row r="20" spans="1:9" ht="57" thickBot="1">
      <c r="A20" s="366" t="s">
        <v>328</v>
      </c>
      <c r="B20" s="365" t="s">
        <v>329</v>
      </c>
      <c r="C20" s="367">
        <v>19146253</v>
      </c>
      <c r="D20" s="367">
        <v>-7650417</v>
      </c>
      <c r="E20" s="367">
        <v>27542302</v>
      </c>
      <c r="F20" s="367">
        <v>19891885</v>
      </c>
      <c r="G20" s="367">
        <v>39038138</v>
      </c>
      <c r="H20" s="368" t="s">
        <v>324</v>
      </c>
      <c r="I20" s="368" t="s">
        <v>472</v>
      </c>
    </row>
    <row r="21" spans="1:9" ht="34.5" thickBot="1">
      <c r="A21" s="366" t="s">
        <v>301</v>
      </c>
      <c r="B21" s="365" t="s">
        <v>320</v>
      </c>
      <c r="C21" s="367">
        <v>121972226</v>
      </c>
      <c r="D21" s="367">
        <v>-51776132</v>
      </c>
      <c r="E21" s="367">
        <v>52740253</v>
      </c>
      <c r="F21" s="367">
        <v>964121</v>
      </c>
      <c r="G21" s="367">
        <v>122936346</v>
      </c>
      <c r="H21" s="368" t="s">
        <v>324</v>
      </c>
      <c r="I21" s="368" t="s">
        <v>471</v>
      </c>
    </row>
    <row r="22" spans="1:9" ht="15.75" thickBot="1">
      <c r="A22" s="366"/>
      <c r="B22" s="365"/>
      <c r="C22" s="367">
        <v>394176529</v>
      </c>
      <c r="D22" s="367">
        <v>-82408938</v>
      </c>
      <c r="E22" s="367">
        <v>91394131</v>
      </c>
      <c r="F22" s="367">
        <v>8985193</v>
      </c>
      <c r="G22" s="367">
        <v>403161722</v>
      </c>
      <c r="H22" s="368"/>
      <c r="I22" s="369"/>
    </row>
  </sheetData>
  <mergeCells count="7">
    <mergeCell ref="I1:I2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16" workbookViewId="0">
      <selection activeCell="F18" sqref="F18"/>
    </sheetView>
  </sheetViews>
  <sheetFormatPr defaultRowHeight="15"/>
  <cols>
    <col min="2" max="7" width="17" customWidth="1"/>
    <col min="10" max="10" width="9.28515625" bestFit="1" customWidth="1"/>
    <col min="12" max="12" width="11.7109375" customWidth="1"/>
    <col min="13" max="13" width="12.5703125" customWidth="1"/>
    <col min="14" max="14" width="11.85546875" customWidth="1"/>
    <col min="15" max="15" width="9.28515625" bestFit="1" customWidth="1"/>
    <col min="16" max="16" width="9.5703125" bestFit="1" customWidth="1"/>
    <col min="17" max="17" width="11.28515625" customWidth="1"/>
  </cols>
  <sheetData>
    <row r="1" spans="1:17">
      <c r="Q1" t="s">
        <v>416</v>
      </c>
    </row>
    <row r="2" spans="1:17" ht="55.5" customHeight="1">
      <c r="B2" s="357" t="s">
        <v>291</v>
      </c>
      <c r="C2" s="357"/>
      <c r="D2" s="357"/>
      <c r="E2" s="357"/>
      <c r="F2" s="357"/>
      <c r="G2" s="357"/>
      <c r="K2" s="357" t="s">
        <v>415</v>
      </c>
      <c r="L2" s="357"/>
      <c r="M2" s="357"/>
      <c r="N2" s="357"/>
      <c r="O2" s="357"/>
      <c r="P2" s="357"/>
      <c r="Q2" s="2" t="s">
        <v>417</v>
      </c>
    </row>
    <row r="3" spans="1:17">
      <c r="B3" s="358" t="s">
        <v>292</v>
      </c>
      <c r="C3" s="358"/>
      <c r="D3" s="358"/>
      <c r="E3" s="358"/>
      <c r="K3" s="358" t="s">
        <v>292</v>
      </c>
      <c r="L3" s="358"/>
      <c r="M3" s="358"/>
      <c r="N3" s="358"/>
    </row>
    <row r="4" spans="1:17">
      <c r="A4" s="359" t="s">
        <v>23</v>
      </c>
      <c r="B4" s="359" t="s">
        <v>293</v>
      </c>
      <c r="C4" s="361" t="s">
        <v>294</v>
      </c>
      <c r="D4" s="361" t="s">
        <v>295</v>
      </c>
      <c r="E4" s="361" t="s">
        <v>296</v>
      </c>
      <c r="F4" s="361" t="s">
        <v>297</v>
      </c>
      <c r="G4" s="361" t="s">
        <v>298</v>
      </c>
      <c r="J4" s="359" t="s">
        <v>23</v>
      </c>
      <c r="K4" s="359" t="s">
        <v>293</v>
      </c>
      <c r="L4" s="349" t="s">
        <v>294</v>
      </c>
      <c r="M4" s="349" t="s">
        <v>295</v>
      </c>
      <c r="N4" s="349" t="s">
        <v>296</v>
      </c>
      <c r="O4" s="349" t="s">
        <v>297</v>
      </c>
      <c r="P4" s="349" t="s">
        <v>298</v>
      </c>
      <c r="Q4" s="349" t="s">
        <v>457</v>
      </c>
    </row>
    <row r="5" spans="1:17" ht="24.75" customHeight="1">
      <c r="A5" s="360"/>
      <c r="B5" s="360"/>
      <c r="C5" s="362"/>
      <c r="D5" s="362"/>
      <c r="E5" s="362"/>
      <c r="F5" s="363"/>
      <c r="G5" s="363"/>
      <c r="J5" s="360"/>
      <c r="K5" s="360"/>
      <c r="L5" s="364"/>
      <c r="M5" s="364"/>
      <c r="N5" s="364"/>
      <c r="O5" s="350"/>
      <c r="P5" s="350"/>
      <c r="Q5" s="350"/>
    </row>
    <row r="6" spans="1:17" ht="114.75">
      <c r="A6" s="123">
        <v>1</v>
      </c>
      <c r="B6" s="123" t="s">
        <v>299</v>
      </c>
      <c r="C6" s="124">
        <v>268373</v>
      </c>
      <c r="D6" s="124">
        <v>155574</v>
      </c>
      <c r="E6" s="124">
        <v>112799</v>
      </c>
      <c r="F6" s="124">
        <v>3492.4</v>
      </c>
      <c r="G6" s="124">
        <f>E6/F6*1000</f>
        <v>32298.419425037224</v>
      </c>
      <c r="J6" s="123">
        <v>1</v>
      </c>
      <c r="K6" s="123" t="s">
        <v>299</v>
      </c>
      <c r="L6" s="193">
        <v>727352</v>
      </c>
      <c r="M6" s="193">
        <v>423403</v>
      </c>
      <c r="N6" s="193">
        <v>303949</v>
      </c>
      <c r="O6" s="195">
        <v>2860.7</v>
      </c>
      <c r="P6" s="193">
        <f>N6/O6*1000</f>
        <v>106249.86891320307</v>
      </c>
      <c r="Q6" s="193">
        <f>L6/O6*1000</f>
        <v>254256.65047016466</v>
      </c>
    </row>
    <row r="7" spans="1:17" ht="51">
      <c r="A7" s="125">
        <v>2</v>
      </c>
      <c r="B7" s="125" t="s">
        <v>300</v>
      </c>
      <c r="C7" s="124">
        <v>147856</v>
      </c>
      <c r="D7" s="124">
        <v>64653</v>
      </c>
      <c r="E7" s="124">
        <v>83203</v>
      </c>
      <c r="F7" s="353">
        <v>3303</v>
      </c>
      <c r="G7" s="355">
        <f>(E7+E8)/F7*1000</f>
        <v>81180.744777475033</v>
      </c>
      <c r="J7" s="125">
        <v>2</v>
      </c>
      <c r="K7" s="125" t="s">
        <v>300</v>
      </c>
      <c r="L7" s="193">
        <v>344157</v>
      </c>
      <c r="M7" s="193">
        <v>166987</v>
      </c>
      <c r="N7" s="193">
        <v>177170</v>
      </c>
      <c r="O7" s="351">
        <v>2440.6</v>
      </c>
      <c r="P7" s="351">
        <f>(N7+N8)/O7*1000</f>
        <v>220043.02220765388</v>
      </c>
      <c r="Q7" s="351">
        <f>(L7+L8)/O7*1000</f>
        <v>880625.25608456938</v>
      </c>
    </row>
    <row r="8" spans="1:17" ht="51">
      <c r="A8" s="125">
        <v>3</v>
      </c>
      <c r="B8" s="125" t="s">
        <v>301</v>
      </c>
      <c r="C8" s="124">
        <v>982102</v>
      </c>
      <c r="D8" s="124">
        <v>797165</v>
      </c>
      <c r="E8" s="124">
        <v>184937</v>
      </c>
      <c r="F8" s="354"/>
      <c r="G8" s="356"/>
      <c r="J8" s="125">
        <v>3</v>
      </c>
      <c r="K8" s="125" t="s">
        <v>301</v>
      </c>
      <c r="L8" s="193">
        <v>1805097</v>
      </c>
      <c r="M8" s="193">
        <v>1445230</v>
      </c>
      <c r="N8" s="193">
        <v>359867</v>
      </c>
      <c r="O8" s="352"/>
      <c r="P8" s="352"/>
      <c r="Q8" s="352"/>
    </row>
    <row r="9" spans="1:17" ht="102">
      <c r="A9" s="125">
        <v>4</v>
      </c>
      <c r="B9" s="125" t="s">
        <v>302</v>
      </c>
      <c r="C9" s="124">
        <v>144639</v>
      </c>
      <c r="D9" s="124">
        <v>96782</v>
      </c>
      <c r="E9" s="124">
        <v>47857</v>
      </c>
      <c r="F9" s="126">
        <v>0</v>
      </c>
      <c r="G9" s="126">
        <v>0</v>
      </c>
      <c r="J9" s="125">
        <v>4</v>
      </c>
      <c r="K9" s="125" t="s">
        <v>302</v>
      </c>
      <c r="L9" s="193">
        <v>283985</v>
      </c>
      <c r="M9" s="193">
        <v>198015</v>
      </c>
      <c r="N9" s="193">
        <v>85970</v>
      </c>
      <c r="O9" s="194">
        <v>0</v>
      </c>
      <c r="P9" s="194">
        <v>0</v>
      </c>
      <c r="Q9" s="253">
        <v>0</v>
      </c>
    </row>
    <row r="10" spans="1:17" ht="178.5">
      <c r="A10" s="125">
        <v>5</v>
      </c>
      <c r="B10" s="125" t="s">
        <v>303</v>
      </c>
      <c r="C10" s="124">
        <v>376417</v>
      </c>
      <c r="D10" s="124">
        <v>159758</v>
      </c>
      <c r="E10" s="124">
        <v>216659</v>
      </c>
      <c r="F10" s="126">
        <v>4894.1000000000004</v>
      </c>
      <c r="G10" s="126">
        <f>(E10)/F10*1000</f>
        <v>44269.426452258842</v>
      </c>
      <c r="J10" s="125">
        <v>5</v>
      </c>
      <c r="K10" s="125" t="s">
        <v>303</v>
      </c>
      <c r="L10" s="193">
        <v>832350</v>
      </c>
      <c r="M10" s="193">
        <v>422356</v>
      </c>
      <c r="N10" s="193">
        <v>409994</v>
      </c>
      <c r="O10" s="194">
        <v>3525.8</v>
      </c>
      <c r="P10" s="194">
        <f>(N10)/O10*1000</f>
        <v>116283.96392308128</v>
      </c>
      <c r="Q10" s="194">
        <f>(L10)/O10*1000</f>
        <v>236074.08247773553</v>
      </c>
    </row>
    <row r="11" spans="1:17" ht="25.5">
      <c r="A11" s="125">
        <v>6</v>
      </c>
      <c r="B11" s="125" t="s">
        <v>304</v>
      </c>
      <c r="C11" s="124">
        <v>132187</v>
      </c>
      <c r="D11" s="124">
        <v>93060</v>
      </c>
      <c r="E11" s="124">
        <v>39127</v>
      </c>
      <c r="F11" s="124">
        <v>902.2</v>
      </c>
      <c r="G11" s="124">
        <f t="shared" ref="G11:G18" si="0">E11/F11*1000</f>
        <v>43368.432720017729</v>
      </c>
      <c r="J11" s="125">
        <v>6</v>
      </c>
      <c r="K11" s="125" t="s">
        <v>304</v>
      </c>
      <c r="L11" s="193">
        <v>326496</v>
      </c>
      <c r="M11" s="193">
        <v>262065</v>
      </c>
      <c r="N11" s="193">
        <v>64431</v>
      </c>
      <c r="O11" s="195">
        <v>644.29999999999995</v>
      </c>
      <c r="P11" s="193">
        <f>N11/O11*1000</f>
        <v>100001.55207201616</v>
      </c>
      <c r="Q11" s="193">
        <f>L11/O11*1000</f>
        <v>506745.3049821512</v>
      </c>
    </row>
    <row r="12" spans="1:17" ht="63.75">
      <c r="A12" s="125">
        <v>7</v>
      </c>
      <c r="B12" s="125" t="s">
        <v>305</v>
      </c>
      <c r="C12" s="124">
        <v>263036</v>
      </c>
      <c r="D12" s="124">
        <v>133242</v>
      </c>
      <c r="E12" s="124">
        <v>129794</v>
      </c>
      <c r="F12" s="124">
        <v>1361.3</v>
      </c>
      <c r="G12" s="127">
        <f t="shared" si="0"/>
        <v>95345.62550503196</v>
      </c>
      <c r="J12" s="125">
        <v>7</v>
      </c>
      <c r="K12" s="125" t="s">
        <v>305</v>
      </c>
      <c r="L12" s="193">
        <v>420484</v>
      </c>
      <c r="M12" s="193">
        <v>229275</v>
      </c>
      <c r="N12" s="193">
        <v>191209</v>
      </c>
      <c r="O12" s="193">
        <f>991.6+274.1</f>
        <v>1265.7</v>
      </c>
      <c r="P12" s="193">
        <f t="shared" ref="P12:P17" si="1">N12/O12*1000</f>
        <v>151069.76376708539</v>
      </c>
      <c r="Q12" s="193">
        <f t="shared" ref="Q12:Q18" si="2">L12/O12*1000</f>
        <v>332214.58481472702</v>
      </c>
    </row>
    <row r="13" spans="1:17">
      <c r="A13" s="125">
        <v>8</v>
      </c>
      <c r="B13" s="125" t="s">
        <v>306</v>
      </c>
      <c r="C13" s="124">
        <v>106481</v>
      </c>
      <c r="D13" s="124">
        <v>31365</v>
      </c>
      <c r="E13" s="124">
        <v>75116</v>
      </c>
      <c r="F13" s="124">
        <v>1672.9</v>
      </c>
      <c r="G13" s="124">
        <f t="shared" si="0"/>
        <v>44901.667762567995</v>
      </c>
      <c r="J13" s="125">
        <v>8</v>
      </c>
      <c r="K13" s="125" t="s">
        <v>306</v>
      </c>
      <c r="L13" s="193">
        <v>180011</v>
      </c>
      <c r="M13" s="193">
        <v>46798</v>
      </c>
      <c r="N13" s="193">
        <v>133213</v>
      </c>
      <c r="O13" s="196">
        <v>1423.4</v>
      </c>
      <c r="P13" s="193">
        <f t="shared" si="1"/>
        <v>93587.888155121531</v>
      </c>
      <c r="Q13" s="193">
        <f t="shared" si="2"/>
        <v>126465.50512856539</v>
      </c>
    </row>
    <row r="14" spans="1:17" ht="114.75">
      <c r="A14" s="125">
        <v>9</v>
      </c>
      <c r="B14" s="125" t="s">
        <v>307</v>
      </c>
      <c r="C14" s="124">
        <v>81207</v>
      </c>
      <c r="D14" s="124">
        <v>27492</v>
      </c>
      <c r="E14" s="124">
        <v>53715</v>
      </c>
      <c r="F14" s="124">
        <v>1309.9000000000001</v>
      </c>
      <c r="G14" s="124">
        <f t="shared" si="0"/>
        <v>41006.947095198098</v>
      </c>
      <c r="J14" s="125">
        <v>9</v>
      </c>
      <c r="K14" s="125" t="s">
        <v>307</v>
      </c>
      <c r="L14" s="193">
        <v>131970</v>
      </c>
      <c r="M14" s="193">
        <v>55830</v>
      </c>
      <c r="N14" s="193">
        <v>76140</v>
      </c>
      <c r="O14" s="193">
        <v>1013.6</v>
      </c>
      <c r="P14" s="193">
        <f t="shared" si="1"/>
        <v>75118.38989739542</v>
      </c>
      <c r="Q14" s="193">
        <f>L14/O14*1000</f>
        <v>130199.28966061561</v>
      </c>
    </row>
    <row r="15" spans="1:17" ht="76.5">
      <c r="A15" s="125">
        <v>10</v>
      </c>
      <c r="B15" s="125" t="s">
        <v>308</v>
      </c>
      <c r="C15" s="124">
        <v>509215</v>
      </c>
      <c r="D15" s="124">
        <v>198014</v>
      </c>
      <c r="E15" s="124">
        <v>311201</v>
      </c>
      <c r="F15" s="124">
        <f>1202.5+811.7</f>
        <v>2014.2</v>
      </c>
      <c r="G15" s="127">
        <f t="shared" si="0"/>
        <v>154503.52497269388</v>
      </c>
      <c r="J15" s="125">
        <v>10</v>
      </c>
      <c r="K15" s="125" t="s">
        <v>308</v>
      </c>
      <c r="L15" s="193">
        <v>36028</v>
      </c>
      <c r="M15" s="193">
        <v>13538</v>
      </c>
      <c r="N15" s="193">
        <v>22490</v>
      </c>
      <c r="O15" s="193">
        <f>344.6+199.8+415.8+252.3+276.3+297.9</f>
        <v>1786.6999999999998</v>
      </c>
      <c r="P15" s="193">
        <f t="shared" si="1"/>
        <v>12587.451726646892</v>
      </c>
      <c r="Q15" s="193">
        <f t="shared" si="2"/>
        <v>20164.54916885879</v>
      </c>
    </row>
    <row r="16" spans="1:17" ht="76.5">
      <c r="A16" s="125">
        <v>11</v>
      </c>
      <c r="B16" s="125" t="s">
        <v>309</v>
      </c>
      <c r="C16" s="128" t="s">
        <v>310</v>
      </c>
      <c r="D16" s="124">
        <v>40109</v>
      </c>
      <c r="E16" s="124">
        <v>-40109</v>
      </c>
      <c r="F16" s="124">
        <v>324.3</v>
      </c>
      <c r="G16" s="124">
        <f t="shared" si="0"/>
        <v>-123678.6925686093</v>
      </c>
      <c r="J16" s="197">
        <v>11</v>
      </c>
      <c r="K16" s="197" t="s">
        <v>309</v>
      </c>
      <c r="L16" s="193" t="s">
        <v>310</v>
      </c>
      <c r="M16" s="193">
        <v>40109</v>
      </c>
      <c r="N16" s="193">
        <v>-40109</v>
      </c>
      <c r="O16" s="193">
        <v>215.9</v>
      </c>
      <c r="P16" s="193">
        <f>N16/O16*1000</f>
        <v>-185775.82213987957</v>
      </c>
      <c r="Q16" s="193"/>
    </row>
    <row r="17" spans="1:17" ht="51">
      <c r="A17" s="125"/>
      <c r="B17" s="125" t="s">
        <v>311</v>
      </c>
      <c r="C17" s="128" t="s">
        <v>310</v>
      </c>
      <c r="D17" s="128" t="s">
        <v>310</v>
      </c>
      <c r="E17" s="128" t="s">
        <v>310</v>
      </c>
      <c r="F17" s="124">
        <v>1079.4000000000001</v>
      </c>
      <c r="G17" s="124">
        <v>0</v>
      </c>
      <c r="J17" s="125"/>
      <c r="K17" s="125" t="s">
        <v>311</v>
      </c>
      <c r="L17" s="193">
        <v>236970</v>
      </c>
      <c r="M17" s="193">
        <v>73172</v>
      </c>
      <c r="N17" s="193">
        <v>163798</v>
      </c>
      <c r="O17" s="193">
        <v>979.7</v>
      </c>
      <c r="P17" s="193">
        <f t="shared" si="1"/>
        <v>167191.99755027049</v>
      </c>
      <c r="Q17" s="193">
        <f>L17/O17*1000</f>
        <v>241880.16739818311</v>
      </c>
    </row>
    <row r="18" spans="1:17" ht="63.75">
      <c r="A18" s="129">
        <v>12</v>
      </c>
      <c r="B18" s="130" t="s">
        <v>312</v>
      </c>
      <c r="C18" s="127">
        <v>3011513</v>
      </c>
      <c r="D18" s="127">
        <v>1797214</v>
      </c>
      <c r="E18" s="127">
        <v>1214299</v>
      </c>
      <c r="F18" s="127">
        <f>SUM(F6:F17)</f>
        <v>20353.7</v>
      </c>
      <c r="G18" s="127">
        <f t="shared" si="0"/>
        <v>59659.865282479353</v>
      </c>
      <c r="J18" s="129">
        <v>12</v>
      </c>
      <c r="K18" s="130" t="s">
        <v>312</v>
      </c>
      <c r="L18" s="127">
        <v>6255397</v>
      </c>
      <c r="M18" s="127">
        <v>3735836</v>
      </c>
      <c r="N18" s="127">
        <v>2519561</v>
      </c>
      <c r="O18" s="127">
        <f>SUM(O6:O17)</f>
        <v>16156.4</v>
      </c>
      <c r="P18" s="127">
        <f t="shared" ref="P18" si="3">N18/O18*1000</f>
        <v>155948.16914659209</v>
      </c>
      <c r="Q18" s="127">
        <f t="shared" si="2"/>
        <v>387177.65096184792</v>
      </c>
    </row>
    <row r="19" spans="1:17" ht="51">
      <c r="A19" s="125">
        <v>13</v>
      </c>
      <c r="B19" s="125" t="s">
        <v>313</v>
      </c>
      <c r="C19" s="124">
        <v>200912</v>
      </c>
      <c r="D19" s="128" t="s">
        <v>310</v>
      </c>
      <c r="E19" s="124">
        <v>200912</v>
      </c>
      <c r="F19" s="124"/>
      <c r="G19" s="124"/>
      <c r="J19" s="125">
        <v>13</v>
      </c>
      <c r="K19" s="125" t="s">
        <v>313</v>
      </c>
      <c r="L19" s="193">
        <v>473084</v>
      </c>
      <c r="M19" s="128" t="s">
        <v>310</v>
      </c>
      <c r="N19" s="124">
        <v>473084</v>
      </c>
      <c r="O19" s="124"/>
      <c r="P19" s="124"/>
      <c r="Q19" s="193"/>
    </row>
    <row r="20" spans="1:17" ht="51">
      <c r="A20" s="125">
        <v>14</v>
      </c>
      <c r="B20" s="125" t="s">
        <v>314</v>
      </c>
      <c r="C20" s="124">
        <v>-3973</v>
      </c>
      <c r="D20" s="128" t="s">
        <v>310</v>
      </c>
      <c r="E20" s="124">
        <v>-3973</v>
      </c>
      <c r="F20" s="124"/>
      <c r="G20" s="124"/>
      <c r="J20" s="125">
        <v>14</v>
      </c>
      <c r="K20" s="125" t="s">
        <v>314</v>
      </c>
      <c r="L20" s="193">
        <v>-8763</v>
      </c>
      <c r="M20" s="128" t="s">
        <v>310</v>
      </c>
      <c r="N20" s="124">
        <v>-8763</v>
      </c>
      <c r="O20" s="124"/>
      <c r="P20" s="124"/>
      <c r="Q20" s="193"/>
    </row>
    <row r="21" spans="1:17" ht="114.75">
      <c r="A21" s="131">
        <v>15</v>
      </c>
      <c r="B21" s="132" t="s">
        <v>315</v>
      </c>
      <c r="C21" s="127">
        <v>3208452</v>
      </c>
      <c r="D21" s="127">
        <v>1797214</v>
      </c>
      <c r="E21" s="127">
        <v>1411238</v>
      </c>
      <c r="F21" s="127"/>
      <c r="G21" s="127"/>
      <c r="J21" s="131">
        <v>15</v>
      </c>
      <c r="K21" s="132" t="s">
        <v>315</v>
      </c>
      <c r="L21" s="127">
        <v>6719718</v>
      </c>
      <c r="M21" s="127">
        <v>3735836</v>
      </c>
      <c r="N21" s="127">
        <v>2983882</v>
      </c>
      <c r="O21" s="127"/>
      <c r="P21" s="127"/>
      <c r="Q21" s="193"/>
    </row>
  </sheetData>
  <mergeCells count="24">
    <mergeCell ref="N4:N5"/>
    <mergeCell ref="O4:O5"/>
    <mergeCell ref="P4:P5"/>
    <mergeCell ref="A4:A5"/>
    <mergeCell ref="B4:B5"/>
    <mergeCell ref="C4:C5"/>
    <mergeCell ref="D4:D5"/>
    <mergeCell ref="E4:E5"/>
    <mergeCell ref="Q4:Q5"/>
    <mergeCell ref="Q7:Q8"/>
    <mergeCell ref="F7:F8"/>
    <mergeCell ref="G7:G8"/>
    <mergeCell ref="B2:G2"/>
    <mergeCell ref="B3:E3"/>
    <mergeCell ref="F4:F5"/>
    <mergeCell ref="G4:G5"/>
    <mergeCell ref="O7:O8"/>
    <mergeCell ref="P7:P8"/>
    <mergeCell ref="K2:P2"/>
    <mergeCell ref="K3:N3"/>
    <mergeCell ref="J4:J5"/>
    <mergeCell ref="K4:K5"/>
    <mergeCell ref="L4:L5"/>
    <mergeCell ref="M4:M5"/>
  </mergeCells>
  <hyperlinks>
    <hyperlink ref="Q2" r:id="rId1"/>
  </hyperlinks>
  <pageMargins left="0.7" right="0.7" top="0.75" bottom="0.75" header="0.3" footer="0.3"/>
  <pageSetup paperSize="9" orientation="portrait" horizontalDpi="4294967294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таблиця_слайд5_оновлена</vt:lpstr>
      <vt:lpstr>таблиця_слайд7_оновлена</vt:lpstr>
      <vt:lpstr>Slide9</vt:lpstr>
      <vt:lpstr>Slide14</vt:lpstr>
      <vt:lpstr>Slide21</vt:lpstr>
      <vt:lpstr>Slide22</vt:lpstr>
      <vt:lpstr>Sheet1</vt:lpstr>
      <vt:lpstr>Sheet2</vt:lpstr>
      <vt:lpstr>Slide23</vt:lpstr>
      <vt:lpstr>Модель бездетной</vt:lpstr>
      <vt:lpstr>Модель многодетной</vt:lpstr>
      <vt:lpstr>Slide14!Print_Area</vt:lpstr>
      <vt:lpstr>Slide21!Print_Area</vt:lpstr>
      <vt:lpstr>Slide23!Print_Area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2019-05-28T09:42:57Z</cp:lastPrinted>
  <dcterms:created xsi:type="dcterms:W3CDTF">2019-05-16T07:36:03Z</dcterms:created>
  <dcterms:modified xsi:type="dcterms:W3CDTF">2019-07-09T15:25:57Z</dcterms:modified>
</cp:coreProperties>
</file>