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" yWindow="48" windowWidth="13260" windowHeight="10896" activeTab="6"/>
  </bookViews>
  <sheets>
    <sheet name="табл.1" sheetId="1" r:id="rId1"/>
    <sheet name="табл. 2" sheetId="2" r:id="rId2"/>
    <sheet name="табл. 3" sheetId="3" r:id="rId3"/>
    <sheet name="табл. 4" sheetId="4" r:id="rId4"/>
    <sheet name="табл. 5" sheetId="5" r:id="rId5"/>
    <sheet name="табл. 6" sheetId="6" r:id="rId6"/>
    <sheet name="табл. 7" sheetId="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E58" i="7" l="1"/>
  <c r="E55" i="7"/>
  <c r="E43" i="7"/>
  <c r="E39" i="7"/>
  <c r="E34" i="7"/>
  <c r="E28" i="7"/>
  <c r="E23" i="7"/>
  <c r="E11" i="7"/>
  <c r="E10" i="7" s="1"/>
  <c r="E7" i="7" s="1"/>
  <c r="E6" i="7"/>
  <c r="E56" i="7" l="1"/>
  <c r="E8" i="7"/>
  <c r="E57" i="7" l="1"/>
  <c r="E9" i="7"/>
  <c r="R28" i="6" l="1"/>
  <c r="J28" i="6"/>
  <c r="R25" i="6"/>
  <c r="P25" i="6"/>
  <c r="P28" i="6" s="1"/>
  <c r="O25" i="6"/>
  <c r="N25" i="6"/>
  <c r="N28" i="6" s="1"/>
  <c r="L25" i="6"/>
  <c r="J25" i="6"/>
  <c r="H25" i="6"/>
  <c r="H28" i="6" s="1"/>
  <c r="F25" i="6"/>
  <c r="F28" i="6" s="1"/>
  <c r="D25" i="6"/>
  <c r="E25" i="6" s="1"/>
  <c r="R24" i="6"/>
  <c r="J24" i="6"/>
  <c r="R21" i="6"/>
  <c r="P21" i="6"/>
  <c r="P24" i="6" s="1"/>
  <c r="N21" i="6"/>
  <c r="N24" i="6" s="1"/>
  <c r="L21" i="6"/>
  <c r="M21" i="6" s="1"/>
  <c r="J21" i="6"/>
  <c r="H21" i="6"/>
  <c r="H24" i="6" s="1"/>
  <c r="F21" i="6"/>
  <c r="F24" i="6" s="1"/>
  <c r="D21" i="6"/>
  <c r="R20" i="6"/>
  <c r="P20" i="6"/>
  <c r="N20" i="6"/>
  <c r="L20" i="6"/>
  <c r="M20" i="6" s="1"/>
  <c r="J20" i="6"/>
  <c r="H20" i="6"/>
  <c r="I20" i="6" s="1"/>
  <c r="F20" i="6"/>
  <c r="D20" i="6"/>
  <c r="R19" i="6"/>
  <c r="P19" i="6"/>
  <c r="N19" i="6"/>
  <c r="L19" i="6"/>
  <c r="M19" i="6" s="1"/>
  <c r="J19" i="6"/>
  <c r="H19" i="6"/>
  <c r="I19" i="6" s="1"/>
  <c r="F19" i="6"/>
  <c r="D19" i="6"/>
  <c r="R18" i="6"/>
  <c r="P18" i="6"/>
  <c r="N18" i="6"/>
  <c r="L18" i="6"/>
  <c r="M18" i="6" s="1"/>
  <c r="J18" i="6"/>
  <c r="H18" i="6"/>
  <c r="I18" i="6" s="1"/>
  <c r="F18" i="6"/>
  <c r="D18" i="6"/>
  <c r="R17" i="6"/>
  <c r="J17" i="6"/>
  <c r="K17" i="6" s="1"/>
  <c r="R16" i="6"/>
  <c r="S16" i="6" s="1"/>
  <c r="R15" i="6"/>
  <c r="S15" i="6" s="1"/>
  <c r="R14" i="6"/>
  <c r="S14" i="6" s="1"/>
  <c r="R13" i="6"/>
  <c r="S13" i="6" s="1"/>
  <c r="R12" i="6"/>
  <c r="S12" i="6" s="1"/>
  <c r="R11" i="6"/>
  <c r="S11" i="6" s="1"/>
  <c r="R10" i="6"/>
  <c r="S10" i="6" s="1"/>
  <c r="R9" i="6"/>
  <c r="S9" i="6" s="1"/>
  <c r="P9" i="6"/>
  <c r="N9" i="6"/>
  <c r="L9" i="6"/>
  <c r="K9" i="6"/>
  <c r="J9" i="6"/>
  <c r="H9" i="6"/>
  <c r="F9" i="6"/>
  <c r="G9" i="6" s="1"/>
  <c r="D9" i="6"/>
  <c r="R7" i="6"/>
  <c r="R29" i="6" s="1"/>
  <c r="P7" i="6"/>
  <c r="O7" i="6"/>
  <c r="N7" i="6"/>
  <c r="N29" i="6" s="1"/>
  <c r="L7" i="6"/>
  <c r="K7" i="6"/>
  <c r="J7" i="6"/>
  <c r="J16" i="6" s="1"/>
  <c r="K16" i="6" s="1"/>
  <c r="H7" i="6"/>
  <c r="F7" i="6"/>
  <c r="F29" i="6" s="1"/>
  <c r="D7" i="6"/>
  <c r="R6" i="6"/>
  <c r="S25" i="6" s="1"/>
  <c r="P6" i="6"/>
  <c r="Q6" i="6" s="1"/>
  <c r="O6" i="6"/>
  <c r="N6" i="6"/>
  <c r="O9" i="6" s="1"/>
  <c r="L6" i="6"/>
  <c r="M6" i="6" s="1"/>
  <c r="K6" i="6"/>
  <c r="J6" i="6"/>
  <c r="K21" i="6" s="1"/>
  <c r="H6" i="6"/>
  <c r="I6" i="6" s="1"/>
  <c r="F6" i="6"/>
  <c r="G19" i="6" s="1"/>
  <c r="D6" i="6"/>
  <c r="E6" i="6" s="1"/>
  <c r="P29" i="6" l="1"/>
  <c r="Q7" i="6"/>
  <c r="P17" i="6"/>
  <c r="Q17" i="6" s="1"/>
  <c r="P16" i="6"/>
  <c r="Q16" i="6" s="1"/>
  <c r="Q9" i="6"/>
  <c r="F11" i="6"/>
  <c r="G11" i="6" s="1"/>
  <c r="P11" i="6"/>
  <c r="Q11" i="6" s="1"/>
  <c r="F13" i="6"/>
  <c r="G13" i="6" s="1"/>
  <c r="F14" i="6"/>
  <c r="G14" i="6" s="1"/>
  <c r="P14" i="6"/>
  <c r="Q14" i="6" s="1"/>
  <c r="F16" i="6"/>
  <c r="G16" i="6" s="1"/>
  <c r="G20" i="6"/>
  <c r="G21" i="6"/>
  <c r="G6" i="6"/>
  <c r="M7" i="6"/>
  <c r="L29" i="6"/>
  <c r="L17" i="6"/>
  <c r="M17" i="6" s="1"/>
  <c r="M9" i="6"/>
  <c r="L14" i="6"/>
  <c r="M14" i="6" s="1"/>
  <c r="S19" i="6"/>
  <c r="S20" i="6"/>
  <c r="S21" i="6"/>
  <c r="K25" i="6"/>
  <c r="S6" i="6"/>
  <c r="H29" i="6"/>
  <c r="I7" i="6"/>
  <c r="H17" i="6"/>
  <c r="I17" i="6" s="1"/>
  <c r="S7" i="6"/>
  <c r="H8" i="6"/>
  <c r="I8" i="6" s="1"/>
  <c r="N8" i="6"/>
  <c r="O8" i="6" s="1"/>
  <c r="I9" i="6"/>
  <c r="H10" i="6"/>
  <c r="I10" i="6" s="1"/>
  <c r="N10" i="6"/>
  <c r="O10" i="6" s="1"/>
  <c r="H11" i="6"/>
  <c r="I11" i="6" s="1"/>
  <c r="N11" i="6"/>
  <c r="O11" i="6" s="1"/>
  <c r="H12" i="6"/>
  <c r="I12" i="6" s="1"/>
  <c r="N12" i="6"/>
  <c r="O12" i="6" s="1"/>
  <c r="H13" i="6"/>
  <c r="I13" i="6" s="1"/>
  <c r="N13" i="6"/>
  <c r="O13" i="6" s="1"/>
  <c r="H14" i="6"/>
  <c r="I14" i="6" s="1"/>
  <c r="N14" i="6"/>
  <c r="O14" i="6" s="1"/>
  <c r="H15" i="6"/>
  <c r="I15" i="6" s="1"/>
  <c r="N15" i="6"/>
  <c r="O15" i="6" s="1"/>
  <c r="H16" i="6"/>
  <c r="I16" i="6" s="1"/>
  <c r="N16" i="6"/>
  <c r="O16" i="6" s="1"/>
  <c r="F17" i="6"/>
  <c r="G17" i="6" s="1"/>
  <c r="N17" i="6"/>
  <c r="O17" i="6" s="1"/>
  <c r="E18" i="6"/>
  <c r="O18" i="6"/>
  <c r="E19" i="6"/>
  <c r="O19" i="6"/>
  <c r="E20" i="6"/>
  <c r="O20" i="6"/>
  <c r="E21" i="6"/>
  <c r="O21" i="6"/>
  <c r="G25" i="6"/>
  <c r="M25" i="6"/>
  <c r="J29" i="6"/>
  <c r="F8" i="6"/>
  <c r="G8" i="6" s="1"/>
  <c r="P8" i="6"/>
  <c r="Q8" i="6" s="1"/>
  <c r="F10" i="6"/>
  <c r="G10" i="6" s="1"/>
  <c r="P10" i="6"/>
  <c r="Q10" i="6" s="1"/>
  <c r="F12" i="6"/>
  <c r="G12" i="6" s="1"/>
  <c r="P12" i="6"/>
  <c r="Q12" i="6" s="1"/>
  <c r="P13" i="6"/>
  <c r="Q13" i="6" s="1"/>
  <c r="F15" i="6"/>
  <c r="G15" i="6" s="1"/>
  <c r="P15" i="6"/>
  <c r="Q15" i="6" s="1"/>
  <c r="G18" i="6"/>
  <c r="G7" i="6"/>
  <c r="L8" i="6"/>
  <c r="M8" i="6" s="1"/>
  <c r="R8" i="6"/>
  <c r="S8" i="6" s="1"/>
  <c r="L10" i="6"/>
  <c r="M10" i="6" s="1"/>
  <c r="L11" i="6"/>
  <c r="M11" i="6" s="1"/>
  <c r="L12" i="6"/>
  <c r="M12" i="6" s="1"/>
  <c r="L13" i="6"/>
  <c r="M13" i="6" s="1"/>
  <c r="L15" i="6"/>
  <c r="M15" i="6" s="1"/>
  <c r="L16" i="6"/>
  <c r="M16" i="6" s="1"/>
  <c r="S17" i="6"/>
  <c r="S18" i="6"/>
  <c r="E7" i="6"/>
  <c r="D29" i="6"/>
  <c r="D17" i="6"/>
  <c r="E17" i="6" s="1"/>
  <c r="D8" i="6"/>
  <c r="E8" i="6" s="1"/>
  <c r="J8" i="6"/>
  <c r="K8" i="6" s="1"/>
  <c r="E9" i="6"/>
  <c r="D10" i="6"/>
  <c r="E10" i="6" s="1"/>
  <c r="J10" i="6"/>
  <c r="K10" i="6" s="1"/>
  <c r="D11" i="6"/>
  <c r="E11" i="6" s="1"/>
  <c r="J11" i="6"/>
  <c r="K11" i="6" s="1"/>
  <c r="D12" i="6"/>
  <c r="E12" i="6" s="1"/>
  <c r="J12" i="6"/>
  <c r="K12" i="6" s="1"/>
  <c r="D13" i="6"/>
  <c r="E13" i="6" s="1"/>
  <c r="J13" i="6"/>
  <c r="K13" i="6" s="1"/>
  <c r="D14" i="6"/>
  <c r="E14" i="6" s="1"/>
  <c r="J14" i="6"/>
  <c r="K14" i="6" s="1"/>
  <c r="D15" i="6"/>
  <c r="E15" i="6" s="1"/>
  <c r="J15" i="6"/>
  <c r="K15" i="6" s="1"/>
  <c r="D16" i="6"/>
  <c r="E16" i="6" s="1"/>
  <c r="K18" i="6"/>
  <c r="Q18" i="6"/>
  <c r="K19" i="6"/>
  <c r="Q19" i="6"/>
  <c r="K20" i="6"/>
  <c r="Q20" i="6"/>
  <c r="D24" i="6"/>
  <c r="L24" i="6"/>
  <c r="D28" i="6"/>
  <c r="L28" i="6"/>
  <c r="I21" i="6"/>
  <c r="Q21" i="6"/>
  <c r="I25" i="6"/>
  <c r="Q25" i="6"/>
  <c r="K36" i="3"/>
  <c r="K35" i="3" s="1"/>
  <c r="J36" i="3"/>
  <c r="I36" i="3"/>
  <c r="H36" i="3"/>
  <c r="G36" i="3"/>
  <c r="F36" i="3"/>
  <c r="F35" i="3" s="1"/>
  <c r="E36" i="3"/>
  <c r="D36" i="3"/>
  <c r="J35" i="3"/>
  <c r="I35" i="3"/>
  <c r="H35" i="3"/>
  <c r="G35" i="3"/>
  <c r="E35" i="3"/>
  <c r="D35" i="3"/>
  <c r="C35" i="3"/>
  <c r="K34" i="3"/>
  <c r="J34" i="3"/>
  <c r="I34" i="3"/>
  <c r="H34" i="3"/>
  <c r="G34" i="3"/>
  <c r="F34" i="3"/>
  <c r="D34" i="3"/>
  <c r="E34" i="3"/>
  <c r="C33" i="3"/>
  <c r="K31" i="3"/>
  <c r="J31" i="3"/>
  <c r="I31" i="3"/>
  <c r="H31" i="3"/>
  <c r="G31" i="3"/>
  <c r="F31" i="3"/>
  <c r="E31" i="3"/>
  <c r="D31" i="3"/>
  <c r="C30" i="3"/>
  <c r="K27" i="3"/>
  <c r="J27" i="3"/>
  <c r="I27" i="3"/>
  <c r="H27" i="3"/>
  <c r="G27" i="3"/>
  <c r="F27" i="3"/>
  <c r="E27" i="3"/>
  <c r="D27" i="3"/>
  <c r="C27" i="3"/>
  <c r="C28" i="3" s="1"/>
  <c r="K26" i="3"/>
  <c r="J26" i="3"/>
  <c r="I26" i="3"/>
  <c r="H26" i="3"/>
  <c r="G26" i="3"/>
  <c r="F26" i="3"/>
  <c r="E26" i="3"/>
  <c r="D26" i="3"/>
  <c r="K25" i="3"/>
  <c r="J25" i="3"/>
  <c r="I25" i="3"/>
  <c r="H25" i="3"/>
  <c r="G25" i="3"/>
  <c r="F25" i="3"/>
  <c r="E25" i="3"/>
  <c r="D25" i="3"/>
  <c r="C24" i="3"/>
  <c r="C26" i="3" s="1"/>
  <c r="K22" i="3"/>
  <c r="J22" i="3"/>
  <c r="I22" i="3"/>
  <c r="H22" i="3"/>
  <c r="G22" i="3"/>
  <c r="F22" i="3"/>
  <c r="E22" i="3"/>
  <c r="D22" i="3"/>
  <c r="C21" i="3"/>
  <c r="K19" i="3"/>
  <c r="J19" i="3"/>
  <c r="I19" i="3"/>
  <c r="H19" i="3"/>
  <c r="G19" i="3"/>
  <c r="F19" i="3"/>
  <c r="E19" i="3"/>
  <c r="D19" i="3"/>
  <c r="C19" i="3"/>
  <c r="K16" i="3"/>
  <c r="J16" i="3"/>
  <c r="I16" i="3"/>
  <c r="H16" i="3"/>
  <c r="G16" i="3"/>
  <c r="F16" i="3"/>
  <c r="E16" i="3"/>
  <c r="D16" i="3"/>
  <c r="C14" i="3"/>
  <c r="C15" i="3" s="1"/>
  <c r="K12" i="3"/>
  <c r="J12" i="3"/>
  <c r="I12" i="3"/>
  <c r="H12" i="3"/>
  <c r="G12" i="3"/>
  <c r="F12" i="3"/>
  <c r="E12" i="3"/>
  <c r="D12" i="3"/>
  <c r="C9" i="3"/>
  <c r="D9" i="3" s="1"/>
  <c r="K7" i="3"/>
  <c r="J7" i="3"/>
  <c r="I7" i="3"/>
  <c r="H7" i="3"/>
  <c r="G7" i="3"/>
  <c r="F7" i="3"/>
  <c r="E7" i="3"/>
  <c r="D7" i="3"/>
  <c r="D14" i="3" l="1"/>
  <c r="D13" i="3" s="1"/>
  <c r="E9" i="3"/>
  <c r="D8" i="3"/>
  <c r="G13" i="2"/>
  <c r="J13" i="2"/>
  <c r="K13" i="2"/>
  <c r="E14" i="2"/>
  <c r="E13" i="2" s="1"/>
  <c r="F14" i="2"/>
  <c r="F13" i="2" s="1"/>
  <c r="G14" i="2"/>
  <c r="H14" i="2"/>
  <c r="H13" i="2" s="1"/>
  <c r="I14" i="2"/>
  <c r="I13" i="2" s="1"/>
  <c r="J14" i="2"/>
  <c r="K14" i="2"/>
  <c r="D14" i="2"/>
  <c r="D13" i="2" s="1"/>
  <c r="I11" i="1"/>
  <c r="H11" i="1"/>
  <c r="G11" i="1"/>
  <c r="I8" i="1"/>
  <c r="E8" i="1"/>
  <c r="F8" i="1"/>
  <c r="G8" i="1"/>
  <c r="H8" i="1"/>
  <c r="D8" i="1"/>
  <c r="F9" i="3" l="1"/>
  <c r="E8" i="3"/>
  <c r="E14" i="3"/>
  <c r="E13" i="3" s="1"/>
  <c r="D9" i="2"/>
  <c r="E9" i="2" s="1"/>
  <c r="F9" i="2" s="1"/>
  <c r="F8" i="2" s="1"/>
  <c r="E7" i="2"/>
  <c r="F7" i="2"/>
  <c r="G7" i="2"/>
  <c r="H7" i="2"/>
  <c r="I7" i="2"/>
  <c r="J7" i="2"/>
  <c r="K7" i="2"/>
  <c r="D7" i="2"/>
  <c r="C14" i="2"/>
  <c r="C15" i="2" s="1"/>
  <c r="C9" i="2"/>
  <c r="H16" i="1"/>
  <c r="I16" i="1"/>
  <c r="G16" i="1"/>
  <c r="I15" i="1"/>
  <c r="I10" i="1"/>
  <c r="H15" i="1"/>
  <c r="H10" i="1"/>
  <c r="G10" i="1"/>
  <c r="F10" i="1"/>
  <c r="G15" i="1"/>
  <c r="F8" i="3" l="1"/>
  <c r="F14" i="3"/>
  <c r="F13" i="3" s="1"/>
  <c r="G9" i="3"/>
  <c r="D8" i="2"/>
  <c r="E8" i="2"/>
  <c r="G9" i="2"/>
  <c r="H24" i="5"/>
  <c r="H23" i="5"/>
  <c r="H22" i="5"/>
  <c r="H21" i="5"/>
  <c r="H20" i="5"/>
  <c r="H19" i="5"/>
  <c r="H18" i="5"/>
  <c r="H17" i="5"/>
  <c r="H16" i="5"/>
  <c r="H15" i="5"/>
  <c r="H14" i="5"/>
  <c r="H13" i="5"/>
  <c r="J12" i="5"/>
  <c r="J23" i="5" s="1"/>
  <c r="D5" i="5"/>
  <c r="D9" i="5" s="1"/>
  <c r="F9" i="5" s="1"/>
  <c r="G9" i="5" s="1"/>
  <c r="G8" i="3" l="1"/>
  <c r="G14" i="3"/>
  <c r="G13" i="3" s="1"/>
  <c r="H9" i="3"/>
  <c r="H9" i="2"/>
  <c r="G8" i="2"/>
  <c r="D12" i="5"/>
  <c r="J16" i="5"/>
  <c r="J20" i="5"/>
  <c r="J24" i="5"/>
  <c r="D7" i="5"/>
  <c r="F7" i="5" s="1"/>
  <c r="G7" i="5" s="1"/>
  <c r="D11" i="5"/>
  <c r="F11" i="5" s="1"/>
  <c r="G11" i="5" s="1"/>
  <c r="K12" i="5"/>
  <c r="J13" i="5"/>
  <c r="J17" i="5"/>
  <c r="J21" i="5"/>
  <c r="D8" i="5"/>
  <c r="F8" i="5" s="1"/>
  <c r="G8" i="5" s="1"/>
  <c r="D10" i="5"/>
  <c r="F10" i="5" s="1"/>
  <c r="G10" i="5" s="1"/>
  <c r="J14" i="5"/>
  <c r="J18" i="5"/>
  <c r="J22" i="5"/>
  <c r="J15" i="5"/>
  <c r="J19" i="5"/>
  <c r="H14" i="3" l="1"/>
  <c r="H13" i="3" s="1"/>
  <c r="I9" i="3"/>
  <c r="H8" i="3"/>
  <c r="I9" i="2"/>
  <c r="H8" i="2"/>
  <c r="K22" i="5"/>
  <c r="K18" i="5"/>
  <c r="K14" i="5"/>
  <c r="K21" i="5"/>
  <c r="K17" i="5"/>
  <c r="K13" i="5"/>
  <c r="K24" i="5"/>
  <c r="K20" i="5"/>
  <c r="K16" i="5"/>
  <c r="K23" i="5"/>
  <c r="K19" i="5"/>
  <c r="K15" i="5"/>
  <c r="D23" i="5"/>
  <c r="D19" i="5"/>
  <c r="D15" i="5"/>
  <c r="D22" i="5"/>
  <c r="D18" i="5"/>
  <c r="D14" i="5"/>
  <c r="F12" i="5"/>
  <c r="D21" i="5"/>
  <c r="D17" i="5"/>
  <c r="D13" i="5"/>
  <c r="E12" i="5"/>
  <c r="D24" i="5"/>
  <c r="D20" i="5"/>
  <c r="D16" i="5"/>
  <c r="I14" i="3" l="1"/>
  <c r="I13" i="3" s="1"/>
  <c r="J9" i="3"/>
  <c r="I8" i="3"/>
  <c r="J9" i="2"/>
  <c r="I8" i="2"/>
  <c r="F22" i="5"/>
  <c r="L22" i="5" s="1"/>
  <c r="F18" i="5"/>
  <c r="L18" i="5" s="1"/>
  <c r="F14" i="5"/>
  <c r="L14" i="5" s="1"/>
  <c r="G12" i="5"/>
  <c r="F21" i="5"/>
  <c r="L21" i="5" s="1"/>
  <c r="F17" i="5"/>
  <c r="L17" i="5" s="1"/>
  <c r="F13" i="5"/>
  <c r="L13" i="5" s="1"/>
  <c r="F24" i="5"/>
  <c r="L24" i="5" s="1"/>
  <c r="F20" i="5"/>
  <c r="L20" i="5" s="1"/>
  <c r="F16" i="5"/>
  <c r="L16" i="5" s="1"/>
  <c r="F23" i="5"/>
  <c r="L23" i="5" s="1"/>
  <c r="F19" i="5"/>
  <c r="L19" i="5" s="1"/>
  <c r="F15" i="5"/>
  <c r="L15" i="5" s="1"/>
  <c r="L12" i="5"/>
  <c r="F27" i="2"/>
  <c r="G27" i="2"/>
  <c r="H27" i="2"/>
  <c r="I27" i="2"/>
  <c r="J27" i="2"/>
  <c r="K27" i="2"/>
  <c r="E22" i="2"/>
  <c r="F22" i="2"/>
  <c r="G22" i="2"/>
  <c r="H22" i="2"/>
  <c r="I22" i="2"/>
  <c r="J22" i="2"/>
  <c r="K22" i="2"/>
  <c r="E31" i="2"/>
  <c r="F31" i="2"/>
  <c r="G31" i="2"/>
  <c r="H31" i="2"/>
  <c r="I31" i="2"/>
  <c r="J31" i="2"/>
  <c r="K31" i="2"/>
  <c r="E34" i="2"/>
  <c r="F34" i="2"/>
  <c r="G34" i="2"/>
  <c r="H34" i="2"/>
  <c r="I34" i="2"/>
  <c r="J34" i="2"/>
  <c r="K34" i="2"/>
  <c r="E33" i="2"/>
  <c r="E27" i="2"/>
  <c r="E25" i="2"/>
  <c r="F25" i="2"/>
  <c r="G25" i="2"/>
  <c r="H25" i="2"/>
  <c r="I25" i="2"/>
  <c r="J25" i="2"/>
  <c r="K25" i="2"/>
  <c r="E26" i="2"/>
  <c r="F26" i="2"/>
  <c r="G26" i="2"/>
  <c r="H26" i="2"/>
  <c r="I26" i="2"/>
  <c r="J26" i="2"/>
  <c r="K26" i="2"/>
  <c r="E36" i="2"/>
  <c r="F36" i="2"/>
  <c r="G36" i="2"/>
  <c r="H36" i="2"/>
  <c r="I36" i="2"/>
  <c r="J36" i="2"/>
  <c r="K36" i="2"/>
  <c r="D36" i="2"/>
  <c r="D12" i="2"/>
  <c r="E12" i="2"/>
  <c r="F12" i="2"/>
  <c r="G12" i="2"/>
  <c r="H12" i="2"/>
  <c r="I12" i="2"/>
  <c r="J12" i="2"/>
  <c r="K12" i="2"/>
  <c r="D34" i="2"/>
  <c r="D31" i="2"/>
  <c r="E19" i="2"/>
  <c r="F19" i="2"/>
  <c r="G19" i="2"/>
  <c r="H19" i="2"/>
  <c r="I19" i="2"/>
  <c r="J19" i="2"/>
  <c r="K19" i="2"/>
  <c r="C19" i="2"/>
  <c r="J8" i="3" l="1"/>
  <c r="J14" i="3"/>
  <c r="J13" i="3" s="1"/>
  <c r="K9" i="3"/>
  <c r="J8" i="2"/>
  <c r="K9" i="2"/>
  <c r="K8" i="2" s="1"/>
  <c r="G21" i="5"/>
  <c r="G17" i="5"/>
  <c r="G13" i="5"/>
  <c r="G24" i="5"/>
  <c r="G20" i="5"/>
  <c r="G16" i="5"/>
  <c r="G23" i="5"/>
  <c r="G19" i="5"/>
  <c r="G15" i="5"/>
  <c r="G22" i="5"/>
  <c r="G18" i="5"/>
  <c r="G14" i="5"/>
  <c r="M12" i="5"/>
  <c r="N12" i="5"/>
  <c r="D19" i="2"/>
  <c r="D26" i="2"/>
  <c r="D25" i="2"/>
  <c r="D22" i="2"/>
  <c r="E16" i="2"/>
  <c r="F16" i="2"/>
  <c r="G16" i="2"/>
  <c r="H16" i="2"/>
  <c r="I16" i="2"/>
  <c r="J16" i="2"/>
  <c r="K16" i="2"/>
  <c r="D16" i="2"/>
  <c r="K14" i="3" l="1"/>
  <c r="K13" i="3" s="1"/>
  <c r="K8" i="3"/>
  <c r="N15" i="5"/>
  <c r="M15" i="5"/>
  <c r="M20" i="5"/>
  <c r="N20" i="5"/>
  <c r="N14" i="5"/>
  <c r="M14" i="5"/>
  <c r="N19" i="5"/>
  <c r="M19" i="5"/>
  <c r="M24" i="5"/>
  <c r="N24" i="5"/>
  <c r="N18" i="5"/>
  <c r="M18" i="5"/>
  <c r="N23" i="5"/>
  <c r="M23" i="5"/>
  <c r="N13" i="5"/>
  <c r="M13" i="5"/>
  <c r="N22" i="5"/>
  <c r="M22" i="5"/>
  <c r="M16" i="5"/>
  <c r="N16" i="5"/>
  <c r="N17" i="5"/>
  <c r="M17" i="5"/>
  <c r="N21" i="5"/>
  <c r="M21" i="5"/>
  <c r="C35" i="2"/>
  <c r="C33" i="2"/>
  <c r="C30" i="2"/>
  <c r="C27" i="2"/>
  <c r="C24" i="2"/>
  <c r="C21" i="2"/>
  <c r="I32" i="1"/>
  <c r="I29" i="1"/>
  <c r="I23" i="1"/>
  <c r="I20" i="1"/>
  <c r="H32" i="1"/>
  <c r="H29" i="1"/>
  <c r="H23" i="1"/>
  <c r="H20" i="1"/>
  <c r="H27" i="1" s="1"/>
  <c r="H34" i="1"/>
  <c r="G32" i="1"/>
  <c r="G29" i="1"/>
  <c r="G23" i="1"/>
  <c r="G20" i="1"/>
  <c r="F32" i="1"/>
  <c r="F29" i="1"/>
  <c r="F23" i="1"/>
  <c r="F20" i="1"/>
  <c r="F27" i="1" s="1"/>
  <c r="E32" i="1"/>
  <c r="E29" i="1"/>
  <c r="E23" i="1"/>
  <c r="E20" i="1"/>
  <c r="E27" i="1" s="1"/>
  <c r="C28" i="2" l="1"/>
  <c r="C26" i="2"/>
  <c r="F25" i="1"/>
  <c r="E25" i="1"/>
  <c r="H25" i="1"/>
  <c r="I25" i="1"/>
  <c r="G25" i="1"/>
  <c r="H35" i="2"/>
  <c r="D35" i="2"/>
  <c r="K35" i="2"/>
  <c r="J35" i="2"/>
  <c r="I35" i="2"/>
  <c r="G35" i="2"/>
  <c r="F35" i="2"/>
  <c r="E35" i="2"/>
  <c r="D27" i="2"/>
  <c r="G35" i="1"/>
  <c r="I34" i="1"/>
  <c r="G34" i="1"/>
  <c r="F34" i="1"/>
  <c r="F35" i="1" s="1"/>
  <c r="E34" i="1"/>
  <c r="E35" i="1" s="1"/>
  <c r="D34" i="1"/>
  <c r="D35" i="1" s="1"/>
  <c r="C34" i="1"/>
  <c r="C35" i="1" s="1"/>
  <c r="I26" i="1"/>
  <c r="I27" i="1" s="1"/>
  <c r="G26" i="1"/>
  <c r="G27" i="1" s="1"/>
  <c r="D26" i="1"/>
  <c r="C26" i="1"/>
</calcChain>
</file>

<file path=xl/sharedStrings.xml><?xml version="1.0" encoding="utf-8"?>
<sst xmlns="http://schemas.openxmlformats.org/spreadsheetml/2006/main" count="344" uniqueCount="233">
  <si>
    <t>Демографические параметры населения Украины. По данным ООН</t>
  </si>
  <si>
    <t xml:space="preserve">Наименование </t>
  </si>
  <si>
    <t>2010*</t>
  </si>
  <si>
    <t>Население мира,  млн. чел</t>
  </si>
  <si>
    <t>Население Украины, млн. чел.</t>
  </si>
  <si>
    <t>%  Украины  к миру</t>
  </si>
  <si>
    <t>У т.ч. проживающих в городе , млн. чел</t>
  </si>
  <si>
    <t>%  от населения Украины</t>
  </si>
  <si>
    <t>% от населения  Украины</t>
  </si>
  <si>
    <t>% от населения Украины</t>
  </si>
  <si>
    <t>на одну женщину детородного возраста</t>
  </si>
  <si>
    <t>Народілось за рік, млн. чел.</t>
  </si>
  <si>
    <t>На 1000 женщин детородного возраста, осіб</t>
  </si>
  <si>
    <t>Померлих за рік, млн. чел.</t>
  </si>
  <si>
    <t>На 1000 жителей Украины</t>
  </si>
  <si>
    <t>http://data.un.org/Data.aspx?d=PopDiv&amp;f=variableID%3a22</t>
  </si>
  <si>
    <t>http://uk.wikipedia.org/wiki/%D0%86%D1%81%D1%82%D0%BE%D1%80%D0%B8%D1%87%D0%BD%D0%B0_%D0%B4%D0%B8%D0%BD%D0%B0%D0%BC%D1%96%D0%BA%D0%B0_%D0%BD%D0%B0%D1%81%D0%B5%D0%BB%D0%B5%D0%BD%D0%BD%D1%8F_%D0%A3%D0%BA%D1%80%D0%B0%D1%97%D0%BD%D0%B8</t>
  </si>
  <si>
    <t>Женщин детородного возраста, 18-49 лет, млн.чел.</t>
  </si>
  <si>
    <t>Детей 0-17 лет, млн. чел.</t>
  </si>
  <si>
    <t xml:space="preserve">Возраста М от 18-60 лет и Ж от 50-60 лет, млн. чел. </t>
  </si>
  <si>
    <t>Люди старше 61 лет, млн. чел.</t>
  </si>
  <si>
    <t>Сальдо міжнародніх мігрантів, %</t>
  </si>
  <si>
    <t>Сальдо міжнародніх мігрантів, млн. осіб</t>
  </si>
  <si>
    <t xml:space="preserve">Демографические параметры населения Украины. Без изменений политики </t>
  </si>
  <si>
    <t xml:space="preserve">Демографические параметры населения Украины. Проектная </t>
  </si>
  <si>
    <t>Population Projection Tables by World bank for Ukraine</t>
  </si>
  <si>
    <t>UKRAINE</t>
  </si>
  <si>
    <t>Projection (000s)</t>
  </si>
  <si>
    <t>AGE GROUP</t>
  </si>
  <si>
    <t>TOTAL M+F</t>
  </si>
  <si>
    <t>MALES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</si>
  <si>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</si>
  <si>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</si>
  <si>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</si>
  <si>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</si>
  <si>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</si>
  <si>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</si>
  <si>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</si>
  <si>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</si>
  <si>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</si>
  <si>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</si>
  <si>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</si>
  <si>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</si>
  <si>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</si>
  <si>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</si>
  <si>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</si>
  <si>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</si>
  <si>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TOTAL</t>
  </si>
  <si>
    <t>FEMALES</t>
  </si>
  <si>
    <t>Dependency ratio (%)</t>
  </si>
  <si>
    <t>2010-15</t>
  </si>
  <si>
    <t>2015-20</t>
  </si>
  <si>
    <t>2020-25</t>
  </si>
  <si>
    <t>2025-30</t>
  </si>
  <si>
    <t>2030-35</t>
  </si>
  <si>
    <t>2035-40</t>
  </si>
  <si>
    <t>2040-45</t>
  </si>
  <si>
    <t>2045-50</t>
  </si>
  <si>
    <t>Birth rate (per 1,000 people)</t>
  </si>
  <si>
    <t>Death rate (per 1,000 people)</t>
  </si>
  <si>
    <t>Rate of natural increase (per 100 people)</t>
  </si>
  <si>
    <t>Net migration rate (per 1,000 people)</t>
  </si>
  <si>
    <t>Population growth rate (average annual %)</t>
  </si>
  <si>
    <t>Total fertility rate (births per woman)</t>
  </si>
  <si>
    <t>Net reproduction rate (female births per woman)</t>
  </si>
  <si>
    <t>Life expectancy at birth (years)</t>
  </si>
  <si>
    <t>Life expectancy at age 15 (years)</t>
  </si>
  <si>
    <t>Infant mortality rate (per 1,000 live births)</t>
  </si>
  <si>
    <t>Under-5 mortality rate (per 1,000)</t>
  </si>
  <si>
    <t>http://web.worldbank.org/WBSITE/EXTERNAL/TOPICS/EXTHEALTHNUTRITIONANDPOPULATION/EXTDATASTATISTICSHNP/EXTHNPSTATS/0,,contentMDK:21737699~menuPK:3385623~pagePK:64168445~piPK:64168309~theSitePK:3237118,00.html</t>
  </si>
  <si>
    <t>Структура расходов украинских домохозяйств и домохозяйств 27 стран ЕС за 2012 г.</t>
  </si>
  <si>
    <t>№</t>
  </si>
  <si>
    <t>Статьи расходов</t>
  </si>
  <si>
    <t>Украина*</t>
  </si>
  <si>
    <t>ЕС(27)**</t>
  </si>
  <si>
    <t>Разница</t>
  </si>
  <si>
    <t>Итого населения, млн. чел.</t>
  </si>
  <si>
    <t>Курс Евро/грн</t>
  </si>
  <si>
    <t>Наименование статей</t>
  </si>
  <si>
    <t>млрд. евро</t>
  </si>
  <si>
    <t>%</t>
  </si>
  <si>
    <t>1 чел/год евро</t>
  </si>
  <si>
    <t>1 чел/мес евро</t>
  </si>
  <si>
    <t>ВВП</t>
  </si>
  <si>
    <t>X</t>
  </si>
  <si>
    <t>Итого доходов населения</t>
  </si>
  <si>
    <t>1.1</t>
  </si>
  <si>
    <t>Зароботная плата</t>
  </si>
  <si>
    <t>1.2</t>
  </si>
  <si>
    <t>Доходы от предпринимательской, арендной и инвестиционной деятельности</t>
  </si>
  <si>
    <t>1.3</t>
  </si>
  <si>
    <t>Соц помощь и др. выплаты из бюджета</t>
  </si>
  <si>
    <t>2</t>
  </si>
  <si>
    <t>Итого расходов</t>
  </si>
  <si>
    <t>2.1</t>
  </si>
  <si>
    <t>Продукты питания и безалкогольные напитки</t>
  </si>
  <si>
    <t>2.2</t>
  </si>
  <si>
    <t>Транспорт</t>
  </si>
  <si>
    <t>2.3</t>
  </si>
  <si>
    <t>Жилье, вода, электроэнергия, газ и другие виды топлива</t>
  </si>
  <si>
    <t>2.4</t>
  </si>
  <si>
    <t>Алкогольные напитки, табачные изделия, наркотики</t>
  </si>
  <si>
    <t>2.5</t>
  </si>
  <si>
    <t>Одежда и обувь</t>
  </si>
  <si>
    <t>2.6</t>
  </si>
  <si>
    <t>Здравоохранение</t>
  </si>
  <si>
    <t>2.7</t>
  </si>
  <si>
    <t>Предметы домашнего обихода, бытовая техника, содержание жилища</t>
  </si>
  <si>
    <t>2.8</t>
  </si>
  <si>
    <t>Отдых и культура</t>
  </si>
  <si>
    <t>2.9</t>
  </si>
  <si>
    <t>Разные товары и услуги</t>
  </si>
  <si>
    <t>2.10</t>
  </si>
  <si>
    <t>Рестора и отели</t>
  </si>
  <si>
    <t>2.11</t>
  </si>
  <si>
    <t>Связь</t>
  </si>
  <si>
    <t>2.12</t>
  </si>
  <si>
    <t>Образование</t>
  </si>
  <si>
    <t>*) Данные Укрстата</t>
  </si>
  <si>
    <t>**) Данные Eurostat</t>
  </si>
  <si>
    <t>ВВП Украины, bln USD</t>
  </si>
  <si>
    <t>ВВП на 1 человека Украины,  тыс. USD</t>
  </si>
  <si>
    <t>ВВП Мира на 1 человека, тыс. дол. США</t>
  </si>
  <si>
    <t>ВВП Мира, млрд. дол. США</t>
  </si>
  <si>
    <t>%   населения Украины  к миру</t>
  </si>
  <si>
    <t>% ВВП на 1 человека Украины к миру</t>
  </si>
  <si>
    <t>Темп роста в процентах в год, %</t>
  </si>
  <si>
    <t>Структура ВВП України за категоріями кінцевого використання (у фактичних цінах) млрд. дол. США</t>
  </si>
  <si>
    <t>Курс НБУ грн/USD</t>
  </si>
  <si>
    <t>Население, млн. чел</t>
  </si>
  <si>
    <t>1</t>
  </si>
  <si>
    <t>Валовий внутрішній продукт</t>
  </si>
  <si>
    <t>Особисті видатки на споживання (C)</t>
  </si>
  <si>
    <t>Продукти харчування</t>
  </si>
  <si>
    <t>Непродовольственные товары</t>
  </si>
  <si>
    <t>Житло + Энергия</t>
  </si>
  <si>
    <t>Зв'язок</t>
  </si>
  <si>
    <t>Охорона здоров'я</t>
  </si>
  <si>
    <t>Освіта</t>
  </si>
  <si>
    <t>Відпочинок і культура</t>
  </si>
  <si>
    <t>Ресторани та готелі</t>
  </si>
  <si>
    <t>Різни товари та послуги</t>
  </si>
  <si>
    <t>Інвестиційні видатки  (І)</t>
  </si>
  <si>
    <t>Урядові закупівлі товарів і послуг (G)</t>
  </si>
  <si>
    <t>5</t>
  </si>
  <si>
    <t>Чистий експорт товарів і послуг (X-M)</t>
  </si>
  <si>
    <t>5.1</t>
  </si>
  <si>
    <t>Експорт (Х)</t>
  </si>
  <si>
    <t>5.1.1</t>
  </si>
  <si>
    <t>Товары</t>
  </si>
  <si>
    <t>5.1.2</t>
  </si>
  <si>
    <t>Услуги</t>
  </si>
  <si>
    <t>5.1.3</t>
  </si>
  <si>
    <t>Інше</t>
  </si>
  <si>
    <t>5.2</t>
  </si>
  <si>
    <t>Імпорт (М)</t>
  </si>
  <si>
    <t>5.2.1</t>
  </si>
  <si>
    <t>5.2.2</t>
  </si>
  <si>
    <t>5.2.3</t>
  </si>
  <si>
    <t>Расходы на одного человека, тыс. дол. CША</t>
  </si>
  <si>
    <t>Динамика перераспределения коштів через Державній бюджет, Місцевій бюджет, та Фонді в Україні</t>
  </si>
  <si>
    <t>тис.грн.</t>
  </si>
  <si>
    <t>Код</t>
  </si>
  <si>
    <t>Найменування згідно
 з класифікацією доходів бюджету</t>
  </si>
  <si>
    <t>2012 рік</t>
  </si>
  <si>
    <t>Курс грн/ дол. США</t>
  </si>
  <si>
    <t>Валовій внутрішній продукт</t>
  </si>
  <si>
    <t xml:space="preserve">Итого надходжень </t>
  </si>
  <si>
    <t>Надходжень без запозичень</t>
  </si>
  <si>
    <t>% к ВВП</t>
  </si>
  <si>
    <t xml:space="preserve">Надходження Державного бюджету України </t>
  </si>
  <si>
    <t>Додаток № 1</t>
  </si>
  <si>
    <t xml:space="preserve">Доходи Державного бюджету України </t>
  </si>
  <si>
    <t>10000000</t>
  </si>
  <si>
    <t>Податкові надходження Державного бюджету України</t>
  </si>
  <si>
    <t>20000000</t>
  </si>
  <si>
    <t>Неподаткові надходження Державного бюджету України</t>
  </si>
  <si>
    <t>30000000</t>
  </si>
  <si>
    <t>Доходи від операцій з капіталом</t>
  </si>
  <si>
    <t>41010100</t>
  </si>
  <si>
    <t>Офіційні трансферти, що передаються до державного бюджету з місцевих бюджетів</t>
  </si>
  <si>
    <t>42000000</t>
  </si>
  <si>
    <t>Офіційні трансферти, від урядів зарубіжних країн та міжнародних організацій</t>
  </si>
  <si>
    <t>50000000</t>
  </si>
  <si>
    <t>Цільові фонди ( Фонд соціального захисту інвалідів)</t>
  </si>
  <si>
    <t>Додаток № 2</t>
  </si>
  <si>
    <t>Запозичення для фінансування дефіциту Державноно бюджету України</t>
  </si>
  <si>
    <t>Додаток № 4</t>
  </si>
  <si>
    <t>Сальдо кредитів Державного бюджету України</t>
  </si>
  <si>
    <t>Додаток  № 6</t>
  </si>
  <si>
    <t>Надходження до Місцевіх бюджетів України</t>
  </si>
  <si>
    <t>Розрахунковий обсяг доходів місцевіх бюджетів,</t>
  </si>
  <si>
    <t>Кошті місцевіх бюджетів що передаються до державного бюджету</t>
  </si>
  <si>
    <t>Кошті державного бюджету що передаються до місцевих бюджетів</t>
  </si>
  <si>
    <t>Надхоження  Пенсійного фонду України</t>
  </si>
  <si>
    <t>за рахунок власних надходжень Пенсійного фонду України</t>
  </si>
  <si>
    <t>за рахунок коштів Державного бюджету України виплату пенсій, надбавок та підвищень до пенсій, призначених за різними пенсійними програмами</t>
  </si>
  <si>
    <t>за рахунок коштів Державного бюджету України  Покриття дефіциту коштів Пенсійного фонду України для виплати пенсій</t>
  </si>
  <si>
    <t>за рахунок коштів Фонду загальнообов’язкового державного соціального страхування на випадок безробіття</t>
  </si>
  <si>
    <t>за рахунок коштів Фонду соціального страхування від нещасних випадків на виробництві та професійних захворювань</t>
  </si>
  <si>
    <t>Надходження Фонду загальнообов’язкового державного соціального страхування України на випадок безробіття</t>
  </si>
  <si>
    <t>Страхові внески</t>
  </si>
  <si>
    <t xml:space="preserve">Кошти Державного бюджету </t>
  </si>
  <si>
    <t>Інші</t>
  </si>
  <si>
    <t>У т.ч. відшкодування Пенсійному фонду витрат, пов’язаних із достроковим виходом працівників на пенсію</t>
  </si>
  <si>
    <t>Надходження Фонду соціального страхування з тимчасової втрати працездатності</t>
  </si>
  <si>
    <t>2.1.</t>
  </si>
  <si>
    <t>Частка єдиного внеску на загальнообов'язкове державне соціальне страхування, страхові внески</t>
  </si>
  <si>
    <t>2.2.</t>
  </si>
  <si>
    <t>Надходження від часткової сплати за путівки</t>
  </si>
  <si>
    <t>2.3.</t>
  </si>
  <si>
    <t>Інші надходження, у тому числі:</t>
  </si>
  <si>
    <t>Надходження   Фонду соціального страхування від нещасних випадків на виробництві та професійних захворювань</t>
  </si>
  <si>
    <t>3.1</t>
  </si>
  <si>
    <t>Внески роботодавців</t>
  </si>
  <si>
    <t>3.2</t>
  </si>
  <si>
    <t>Кошти, що надійшли від стягнення пені та штрафів за адміністративні правопорушення з посадових осіб страхувальників</t>
  </si>
  <si>
    <t>3.3</t>
  </si>
  <si>
    <t>Добровільні внески та інші надходження, отримання яких не суперечить законодавству</t>
  </si>
  <si>
    <t xml:space="preserve">Прибуток, одержаний від розміщення тимчасово вільних коштів Фонду, у тому числі резерву коштів на вкладних (депозитних) рахунках </t>
  </si>
  <si>
    <t>Н1</t>
  </si>
  <si>
    <t>Кількість населення, млн. чел.</t>
  </si>
  <si>
    <t>Н0</t>
  </si>
  <si>
    <t>у т.ч.   от 0-417</t>
  </si>
  <si>
    <t>у т.ч.  Ж от 18-49</t>
  </si>
  <si>
    <t>Н2</t>
  </si>
  <si>
    <t>у т.ч. М от 18-60 + Ж от 50-60</t>
  </si>
  <si>
    <t>Н3</t>
  </si>
  <si>
    <t>у т.ч. 61 -  і старше</t>
  </si>
  <si>
    <t>ВВП на Н2, грн/чел.</t>
  </si>
  <si>
    <t>Итого надходжень на  Н2, грн/ чел</t>
  </si>
  <si>
    <t>Надходження без запозичень на Н2, грн/чел.</t>
  </si>
  <si>
    <t>Надходження  Пенсийного фонду  на Н3, грн/чел.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</si>
</sst>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#,##0.000"/>
    <numFmt numFmtId="166" formatCode="0.0"/>
  </numFmts>
  <fonts count="2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9"/>
      <name val="Arial"/>
      <family val="2"/>
    </font>
    <font>
      <b/>
      <sz val="14"/>
      <color rgb="FF000000"/>
      <name val="Arial"/>
      <family val="2"/>
      <charset val="204"/>
    </font>
    <font>
      <b/>
      <sz val="9"/>
      <name val="Arial"/>
      <family val="2"/>
    </font>
    <font>
      <sz val="8"/>
      <name val="Arial"/>
      <family val="2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0"/>
      <name val="Arial"/>
      <family val="2"/>
      <charset val="204"/>
    </font>
    <font>
      <i/>
      <sz val="12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7E9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DA6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1" fillId="0" borderId="0"/>
  </cellStyleXfs>
  <cellXfs count="272">
    <xf numFmtId="0" fontId="0" fillId="0" borderId="0" xfId="0"/>
    <xf numFmtId="0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3" fontId="3" fillId="0" borderId="1" xfId="0" applyNumberFormat="1" applyFont="1" applyBorder="1"/>
    <xf numFmtId="164" fontId="3" fillId="0" borderId="1" xfId="0" applyNumberFormat="1" applyFont="1" applyBorder="1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4" fillId="0" borderId="1" xfId="0" applyNumberFormat="1" applyFont="1" applyBorder="1"/>
    <xf numFmtId="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2" borderId="1" xfId="0" applyNumberFormat="1" applyFont="1" applyFill="1" applyBorder="1" applyAlignment="1">
      <alignment wrapText="1"/>
    </xf>
    <xf numFmtId="164" fontId="3" fillId="2" borderId="1" xfId="0" applyNumberFormat="1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4" fillId="2" borderId="1" xfId="0" applyNumberFormat="1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4" fillId="3" borderId="1" xfId="0" applyNumberFormat="1" applyFont="1" applyFill="1" applyBorder="1"/>
    <xf numFmtId="0" fontId="2" fillId="3" borderId="1" xfId="0" applyNumberFormat="1" applyFont="1" applyFill="1" applyBorder="1" applyAlignment="1">
      <alignment wrapText="1"/>
    </xf>
    <xf numFmtId="0" fontId="3" fillId="3" borderId="1" xfId="0" applyNumberFormat="1" applyFont="1" applyFill="1" applyBorder="1" applyAlignment="1">
      <alignment wrapText="1"/>
    </xf>
    <xf numFmtId="165" fontId="3" fillId="3" borderId="1" xfId="0" applyNumberFormat="1" applyFont="1" applyFill="1" applyBorder="1"/>
    <xf numFmtId="165" fontId="2" fillId="3" borderId="1" xfId="0" applyNumberFormat="1" applyFont="1" applyFill="1" applyBorder="1"/>
    <xf numFmtId="0" fontId="3" fillId="4" borderId="1" xfId="0" applyFont="1" applyFill="1" applyBorder="1" applyAlignment="1">
      <alignment wrapText="1"/>
    </xf>
    <xf numFmtId="164" fontId="3" fillId="4" borderId="1" xfId="0" applyNumberFormat="1" applyFont="1" applyFill="1" applyBorder="1"/>
    <xf numFmtId="0" fontId="2" fillId="4" borderId="1" xfId="0" applyNumberFormat="1" applyFont="1" applyFill="1" applyBorder="1" applyAlignment="1">
      <alignment wrapText="1"/>
    </xf>
    <xf numFmtId="164" fontId="2" fillId="4" borderId="1" xfId="0" applyNumberFormat="1" applyFont="1" applyFill="1" applyBorder="1"/>
    <xf numFmtId="164" fontId="4" fillId="4" borderId="1" xfId="0" applyNumberFormat="1" applyFont="1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0" fontId="2" fillId="5" borderId="1" xfId="0" applyNumberFormat="1" applyFont="1" applyFill="1" applyBorder="1" applyAlignment="1">
      <alignment wrapText="1"/>
    </xf>
    <xf numFmtId="164" fontId="2" fillId="5" borderId="1" xfId="0" applyNumberFormat="1" applyFont="1" applyFill="1" applyBorder="1"/>
    <xf numFmtId="164" fontId="4" fillId="5" borderId="1" xfId="0" applyNumberFormat="1" applyFont="1" applyFill="1" applyBorder="1"/>
    <xf numFmtId="0" fontId="3" fillId="5" borderId="1" xfId="0" applyNumberFormat="1" applyFont="1" applyFill="1" applyBorder="1" applyAlignment="1">
      <alignment wrapText="1"/>
    </xf>
    <xf numFmtId="165" fontId="3" fillId="5" borderId="1" xfId="0" applyNumberFormat="1" applyFont="1" applyFill="1" applyBorder="1"/>
    <xf numFmtId="0" fontId="5" fillId="0" borderId="0" xfId="1"/>
    <xf numFmtId="165" fontId="4" fillId="0" borderId="1" xfId="0" applyNumberFormat="1" applyFont="1" applyBorder="1"/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centerContinuous"/>
    </xf>
    <xf numFmtId="0" fontId="9" fillId="0" borderId="2" xfId="0" applyFont="1" applyBorder="1"/>
    <xf numFmtId="0" fontId="6" fillId="0" borderId="0" xfId="0" applyFont="1" applyBorder="1"/>
    <xf numFmtId="0" fontId="9" fillId="0" borderId="0" xfId="0" applyFont="1" applyBorder="1"/>
    <xf numFmtId="0" fontId="9" fillId="0" borderId="0" xfId="0" applyFont="1"/>
    <xf numFmtId="3" fontId="9" fillId="0" borderId="0" xfId="0" applyNumberFormat="1" applyFont="1"/>
    <xf numFmtId="49" fontId="9" fillId="0" borderId="0" xfId="0" applyNumberFormat="1" applyFont="1" applyAlignment="1">
      <alignment horizontal="left"/>
    </xf>
    <xf numFmtId="49" fontId="9" fillId="0" borderId="0" xfId="0" applyNumberFormat="1" applyFont="1"/>
    <xf numFmtId="164" fontId="9" fillId="0" borderId="0" xfId="0" applyNumberFormat="1" applyFont="1"/>
    <xf numFmtId="0" fontId="9" fillId="0" borderId="2" xfId="0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center" wrapText="1"/>
    </xf>
    <xf numFmtId="2" fontId="1" fillId="0" borderId="26" xfId="0" applyNumberFormat="1" applyFont="1" applyBorder="1" applyAlignment="1">
      <alignment horizontal="center" wrapText="1"/>
    </xf>
    <xf numFmtId="2" fontId="1" fillId="0" borderId="26" xfId="0" applyNumberFormat="1" applyFont="1" applyBorder="1" applyAlignment="1">
      <alignment horizontal="center" textRotation="90" wrapText="1"/>
    </xf>
    <xf numFmtId="2" fontId="1" fillId="3" borderId="27" xfId="0" applyNumberFormat="1" applyFont="1" applyFill="1" applyBorder="1" applyAlignment="1">
      <alignment horizontal="center" textRotation="90" wrapText="1"/>
    </xf>
    <xf numFmtId="2" fontId="1" fillId="0" borderId="28" xfId="0" applyNumberFormat="1" applyFont="1" applyBorder="1" applyAlignment="1">
      <alignment horizontal="center" wrapText="1"/>
    </xf>
    <xf numFmtId="2" fontId="1" fillId="0" borderId="29" xfId="0" applyNumberFormat="1" applyFont="1" applyBorder="1" applyAlignment="1">
      <alignment horizontal="center" wrapText="1"/>
    </xf>
    <xf numFmtId="2" fontId="1" fillId="0" borderId="29" xfId="0" applyNumberFormat="1" applyFont="1" applyBorder="1" applyAlignment="1">
      <alignment horizontal="center" textRotation="90" wrapText="1"/>
    </xf>
    <xf numFmtId="2" fontId="1" fillId="3" borderId="30" xfId="0" applyNumberFormat="1" applyFont="1" applyFill="1" applyBorder="1" applyAlignment="1">
      <alignment horizontal="center" textRotation="90" wrapText="1"/>
    </xf>
    <xf numFmtId="2" fontId="1" fillId="0" borderId="28" xfId="0" applyNumberFormat="1" applyFont="1" applyBorder="1" applyAlignment="1">
      <alignment horizontal="center" textRotation="90" wrapText="1"/>
    </xf>
    <xf numFmtId="2" fontId="1" fillId="3" borderId="29" xfId="0" applyNumberFormat="1" applyFont="1" applyFill="1" applyBorder="1" applyAlignment="1">
      <alignment horizontal="center" textRotation="90" wrapText="1"/>
    </xf>
    <xf numFmtId="2" fontId="1" fillId="0" borderId="30" xfId="0" applyNumberFormat="1" applyFont="1" applyBorder="1" applyAlignment="1">
      <alignment horizontal="center" wrapText="1"/>
    </xf>
    <xf numFmtId="49" fontId="1" fillId="0" borderId="31" xfId="0" applyNumberFormat="1" applyFont="1" applyBorder="1" applyAlignment="1">
      <alignment horizontal="center" vertical="center"/>
    </xf>
    <xf numFmtId="2" fontId="1" fillId="0" borderId="31" xfId="0" applyNumberFormat="1" applyFont="1" applyBorder="1" applyAlignment="1">
      <alignment horizontal="center" wrapText="1"/>
    </xf>
    <xf numFmtId="2" fontId="1" fillId="0" borderId="15" xfId="0" applyNumberFormat="1" applyFont="1" applyBorder="1" applyAlignment="1">
      <alignment horizontal="center" wrapText="1"/>
    </xf>
    <xf numFmtId="164" fontId="1" fillId="0" borderId="15" xfId="0" applyNumberFormat="1" applyFont="1" applyBorder="1" applyAlignment="1">
      <alignment horizontal="right" wrapText="1"/>
    </xf>
    <xf numFmtId="164" fontId="1" fillId="3" borderId="32" xfId="0" applyNumberFormat="1" applyFont="1" applyFill="1" applyBorder="1" applyAlignment="1">
      <alignment horizontal="right" wrapText="1"/>
    </xf>
    <xf numFmtId="2" fontId="1" fillId="0" borderId="33" xfId="0" applyNumberFormat="1" applyFont="1" applyBorder="1" applyAlignment="1">
      <alignment horizontal="center" wrapText="1"/>
    </xf>
    <xf numFmtId="2" fontId="1" fillId="0" borderId="33" xfId="0" applyNumberFormat="1" applyFont="1" applyBorder="1" applyAlignment="1">
      <alignment horizontal="center" textRotation="90" wrapText="1"/>
    </xf>
    <xf numFmtId="2" fontId="1" fillId="3" borderId="32" xfId="0" applyNumberFormat="1" applyFont="1" applyFill="1" applyBorder="1" applyAlignment="1">
      <alignment horizontal="center" textRotation="90" wrapText="1"/>
    </xf>
    <xf numFmtId="2" fontId="1" fillId="0" borderId="23" xfId="0" applyNumberFormat="1" applyFont="1" applyBorder="1" applyAlignment="1">
      <alignment horizontal="center" textRotation="90" wrapText="1"/>
    </xf>
    <xf numFmtId="2" fontId="1" fillId="3" borderId="15" xfId="0" applyNumberFormat="1" applyFont="1" applyFill="1" applyBorder="1" applyAlignment="1">
      <alignment horizontal="center" textRotation="90" wrapText="1"/>
    </xf>
    <xf numFmtId="2" fontId="1" fillId="0" borderId="32" xfId="0" applyNumberFormat="1" applyFont="1" applyBorder="1" applyAlignment="1">
      <alignment horizontal="center" wrapText="1"/>
    </xf>
    <xf numFmtId="49" fontId="0" fillId="0" borderId="31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2" fontId="0" fillId="0" borderId="31" xfId="0" applyNumberFormat="1" applyFont="1" applyBorder="1" applyAlignment="1">
      <alignment horizontal="center" wrapText="1"/>
    </xf>
    <xf numFmtId="2" fontId="0" fillId="0" borderId="15" xfId="0" applyNumberFormat="1" applyFont="1" applyBorder="1" applyAlignment="1">
      <alignment horizontal="center" wrapText="1"/>
    </xf>
    <xf numFmtId="164" fontId="0" fillId="0" borderId="15" xfId="0" applyNumberFormat="1" applyFont="1" applyBorder="1" applyAlignment="1">
      <alignment horizontal="right" wrapText="1"/>
    </xf>
    <xf numFmtId="164" fontId="0" fillId="3" borderId="32" xfId="0" applyNumberFormat="1" applyFont="1" applyFill="1" applyBorder="1" applyAlignment="1">
      <alignment horizontal="right" wrapText="1"/>
    </xf>
    <xf numFmtId="2" fontId="0" fillId="0" borderId="33" xfId="0" applyNumberFormat="1" applyFont="1" applyBorder="1" applyAlignment="1">
      <alignment horizontal="center" wrapText="1"/>
    </xf>
    <xf numFmtId="2" fontId="0" fillId="0" borderId="33" xfId="0" applyNumberFormat="1" applyFont="1" applyBorder="1" applyAlignment="1">
      <alignment horizontal="center" textRotation="90" wrapText="1"/>
    </xf>
    <xf numFmtId="2" fontId="0" fillId="3" borderId="32" xfId="0" applyNumberFormat="1" applyFont="1" applyFill="1" applyBorder="1" applyAlignment="1">
      <alignment horizontal="center" textRotation="90" wrapText="1"/>
    </xf>
    <xf numFmtId="2" fontId="0" fillId="0" borderId="23" xfId="0" applyNumberFormat="1" applyFont="1" applyBorder="1" applyAlignment="1">
      <alignment horizontal="center" textRotation="90" wrapText="1"/>
    </xf>
    <xf numFmtId="2" fontId="0" fillId="3" borderId="15" xfId="0" applyNumberFormat="1" applyFont="1" applyFill="1" applyBorder="1" applyAlignment="1">
      <alignment horizontal="center" textRotation="90" wrapText="1"/>
    </xf>
    <xf numFmtId="2" fontId="0" fillId="0" borderId="32" xfId="0" applyNumberFormat="1" applyFont="1" applyBorder="1" applyAlignment="1">
      <alignment horizontal="center" wrapText="1"/>
    </xf>
    <xf numFmtId="0" fontId="0" fillId="0" borderId="0" xfId="0" applyFont="1"/>
    <xf numFmtId="0" fontId="0" fillId="0" borderId="34" xfId="0" applyBorder="1" applyAlignment="1">
      <alignment wrapText="1"/>
    </xf>
    <xf numFmtId="164" fontId="1" fillId="0" borderId="31" xfId="0" applyNumberFormat="1" applyFont="1" applyBorder="1" applyAlignment="1">
      <alignment horizontal="right" wrapText="1"/>
    </xf>
    <xf numFmtId="164" fontId="1" fillId="0" borderId="19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164" fontId="1" fillId="3" borderId="20" xfId="0" applyNumberFormat="1" applyFont="1" applyFill="1" applyBorder="1" applyAlignment="1">
      <alignment horizontal="right" wrapText="1"/>
    </xf>
    <xf numFmtId="164" fontId="1" fillId="0" borderId="23" xfId="0" applyNumberFormat="1" applyFont="1" applyBorder="1" applyAlignment="1">
      <alignment horizontal="right" wrapText="1"/>
    </xf>
    <xf numFmtId="164" fontId="1" fillId="3" borderId="15" xfId="0" applyNumberFormat="1" applyFont="1" applyFill="1" applyBorder="1" applyAlignment="1">
      <alignment horizontal="right" wrapText="1"/>
    </xf>
    <xf numFmtId="164" fontId="1" fillId="0" borderId="20" xfId="0" applyNumberFormat="1" applyFont="1" applyBorder="1" applyAlignment="1">
      <alignment horizontal="right" wrapText="1"/>
    </xf>
    <xf numFmtId="49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34" xfId="0" applyNumberFormat="1" applyBorder="1" applyAlignment="1">
      <alignment horizontal="right"/>
    </xf>
    <xf numFmtId="164" fontId="1" fillId="3" borderId="20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49" fontId="0" fillId="0" borderId="28" xfId="0" applyNumberFormat="1" applyBorder="1"/>
    <xf numFmtId="0" fontId="0" fillId="0" borderId="35" xfId="0" applyBorder="1" applyAlignment="1">
      <alignment wrapText="1"/>
    </xf>
    <xf numFmtId="164" fontId="0" fillId="0" borderId="28" xfId="0" applyNumberFormat="1" applyBorder="1" applyAlignment="1">
      <alignment horizontal="right"/>
    </xf>
    <xf numFmtId="164" fontId="0" fillId="0" borderId="29" xfId="0" applyNumberFormat="1" applyBorder="1" applyAlignment="1">
      <alignment horizontal="right"/>
    </xf>
    <xf numFmtId="164" fontId="0" fillId="0" borderId="35" xfId="0" applyNumberFormat="1" applyBorder="1" applyAlignment="1">
      <alignment horizontal="right"/>
    </xf>
    <xf numFmtId="164" fontId="1" fillId="3" borderId="30" xfId="0" applyNumberFormat="1" applyFont="1" applyFill="1" applyBorder="1" applyAlignment="1">
      <alignment horizontal="right"/>
    </xf>
    <xf numFmtId="164" fontId="1" fillId="3" borderId="29" xfId="0" applyNumberFormat="1" applyFont="1" applyFill="1" applyBorder="1" applyAlignment="1">
      <alignment horizontal="right"/>
    </xf>
    <xf numFmtId="164" fontId="0" fillId="0" borderId="30" xfId="0" applyNumberFormat="1" applyBorder="1" applyAlignment="1">
      <alignment horizontal="right"/>
    </xf>
    <xf numFmtId="165" fontId="3" fillId="6" borderId="1" xfId="0" applyNumberFormat="1" applyFont="1" applyFill="1" applyBorder="1"/>
    <xf numFmtId="0" fontId="3" fillId="0" borderId="1" xfId="0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164" fontId="3" fillId="2" borderId="1" xfId="2" applyNumberFormat="1" applyFont="1" applyFill="1" applyBorder="1"/>
    <xf numFmtId="0" fontId="12" fillId="0" borderId="0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1" xfId="0" applyFont="1" applyBorder="1" applyAlignment="1">
      <alignment horizontal="left" vertical="center" wrapText="1"/>
    </xf>
    <xf numFmtId="0" fontId="15" fillId="7" borderId="21" xfId="0" applyFont="1" applyFill="1" applyBorder="1" applyAlignment="1">
      <alignment horizontal="left" vertical="center" wrapText="1"/>
    </xf>
    <xf numFmtId="0" fontId="15" fillId="7" borderId="36" xfId="0" applyFont="1" applyFill="1" applyBorder="1" applyAlignment="1">
      <alignment horizontal="center" vertical="center" wrapText="1"/>
    </xf>
    <xf numFmtId="0" fontId="15" fillId="7" borderId="38" xfId="0" applyFont="1" applyFill="1" applyBorder="1" applyAlignment="1">
      <alignment horizontal="center" vertical="center" wrapText="1"/>
    </xf>
    <xf numFmtId="0" fontId="16" fillId="0" borderId="0" xfId="0" applyFont="1"/>
    <xf numFmtId="0" fontId="15" fillId="0" borderId="36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left" vertical="center" wrapText="1"/>
    </xf>
    <xf numFmtId="4" fontId="15" fillId="0" borderId="36" xfId="0" applyNumberFormat="1" applyFont="1" applyBorder="1" applyAlignment="1">
      <alignment horizontal="center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4" fontId="15" fillId="0" borderId="13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4" fontId="15" fillId="7" borderId="39" xfId="0" applyNumberFormat="1" applyFont="1" applyFill="1" applyBorder="1" applyAlignment="1">
      <alignment horizontal="center" vertical="center" wrapText="1"/>
    </xf>
    <xf numFmtId="166" fontId="17" fillId="7" borderId="22" xfId="0" applyNumberFormat="1" applyFont="1" applyFill="1" applyBorder="1" applyAlignment="1">
      <alignment horizontal="center" vertical="center" wrapText="1"/>
    </xf>
    <xf numFmtId="49" fontId="14" fillId="0" borderId="39" xfId="0" applyNumberFormat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left" vertical="center" wrapText="1"/>
    </xf>
    <xf numFmtId="4" fontId="14" fillId="0" borderId="39" xfId="0" applyNumberFormat="1" applyFont="1" applyBorder="1" applyAlignment="1">
      <alignment horizontal="center" vertical="center" wrapText="1"/>
    </xf>
    <xf numFmtId="166" fontId="17" fillId="0" borderId="22" xfId="0" applyNumberFormat="1" applyFont="1" applyBorder="1" applyAlignment="1">
      <alignment horizontal="center" vertical="center" wrapText="1"/>
    </xf>
    <xf numFmtId="4" fontId="14" fillId="0" borderId="22" xfId="0" applyNumberFormat="1" applyFont="1" applyBorder="1" applyAlignment="1">
      <alignment horizontal="center" vertical="center" wrapText="1"/>
    </xf>
    <xf numFmtId="49" fontId="14" fillId="7" borderId="39" xfId="0" applyNumberFormat="1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left" vertical="center" wrapText="1"/>
    </xf>
    <xf numFmtId="4" fontId="14" fillId="7" borderId="39" xfId="0" applyNumberFormat="1" applyFont="1" applyFill="1" applyBorder="1" applyAlignment="1">
      <alignment horizontal="center" vertical="center" wrapText="1"/>
    </xf>
    <xf numFmtId="4" fontId="14" fillId="7" borderId="22" xfId="0" applyNumberFormat="1" applyFont="1" applyFill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center" wrapText="1"/>
    </xf>
    <xf numFmtId="4" fontId="15" fillId="0" borderId="39" xfId="0" applyNumberFormat="1" applyFont="1" applyBorder="1" applyAlignment="1">
      <alignment horizontal="center" vertical="center" wrapText="1"/>
    </xf>
    <xf numFmtId="4" fontId="15" fillId="0" borderId="22" xfId="0" applyNumberFormat="1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left" vertical="center" wrapText="1"/>
    </xf>
    <xf numFmtId="4" fontId="15" fillId="0" borderId="37" xfId="0" applyNumberFormat="1" applyFont="1" applyBorder="1" applyAlignment="1">
      <alignment horizontal="center" vertical="center" wrapText="1"/>
    </xf>
    <xf numFmtId="166" fontId="17" fillId="0" borderId="37" xfId="0" applyNumberFormat="1" applyFont="1" applyBorder="1" applyAlignment="1">
      <alignment horizontal="center" vertical="center" wrapText="1"/>
    </xf>
    <xf numFmtId="49" fontId="15" fillId="7" borderId="39" xfId="0" applyNumberFormat="1" applyFont="1" applyFill="1" applyBorder="1" applyAlignment="1">
      <alignment horizontal="center" vertical="center" wrapText="1"/>
    </xf>
    <xf numFmtId="166" fontId="17" fillId="7" borderId="39" xfId="0" applyNumberFormat="1" applyFont="1" applyFill="1" applyBorder="1" applyAlignment="1">
      <alignment horizontal="center" vertical="center" wrapText="1"/>
    </xf>
    <xf numFmtId="166" fontId="17" fillId="0" borderId="39" xfId="0" applyNumberFormat="1" applyFont="1" applyBorder="1" applyAlignment="1">
      <alignment horizontal="center" vertical="center" wrapText="1"/>
    </xf>
    <xf numFmtId="0" fontId="18" fillId="0" borderId="0" xfId="0" applyFont="1"/>
    <xf numFmtId="49" fontId="17" fillId="7" borderId="39" xfId="0" applyNumberFormat="1" applyFont="1" applyFill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left" vertical="center" wrapText="1"/>
    </xf>
    <xf numFmtId="4" fontId="17" fillId="7" borderId="39" xfId="0" applyNumberFormat="1" applyFont="1" applyFill="1" applyBorder="1" applyAlignment="1">
      <alignment horizontal="center" vertical="center" wrapText="1"/>
    </xf>
    <xf numFmtId="49" fontId="17" fillId="0" borderId="39" xfId="0" applyNumberFormat="1" applyFont="1" applyBorder="1" applyAlignment="1">
      <alignment horizontal="center" vertical="center" wrapText="1"/>
    </xf>
    <xf numFmtId="0" fontId="17" fillId="0" borderId="21" xfId="0" applyFont="1" applyBorder="1" applyAlignment="1">
      <alignment horizontal="left" vertical="center" wrapText="1"/>
    </xf>
    <xf numFmtId="4" fontId="17" fillId="0" borderId="39" xfId="0" applyNumberFormat="1" applyFont="1" applyBorder="1" applyAlignment="1">
      <alignment horizontal="center" vertical="center" wrapText="1"/>
    </xf>
    <xf numFmtId="49" fontId="14" fillId="0" borderId="37" xfId="0" applyNumberFormat="1" applyFont="1" applyBorder="1" applyAlignment="1">
      <alignment horizontal="center" vertical="center" wrapText="1"/>
    </xf>
    <xf numFmtId="165" fontId="15" fillId="0" borderId="37" xfId="0" applyNumberFormat="1" applyFont="1" applyBorder="1" applyAlignment="1">
      <alignment horizontal="center" vertical="center" wrapText="1"/>
    </xf>
    <xf numFmtId="165" fontId="15" fillId="0" borderId="4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5" fillId="8" borderId="39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left" vertical="center" wrapText="1"/>
    </xf>
    <xf numFmtId="4" fontId="15" fillId="8" borderId="39" xfId="0" applyNumberFormat="1" applyFont="1" applyFill="1" applyBorder="1" applyAlignment="1">
      <alignment horizontal="center" vertical="center" wrapText="1"/>
    </xf>
    <xf numFmtId="166" fontId="17" fillId="8" borderId="22" xfId="0" applyNumberFormat="1" applyFont="1" applyFill="1" applyBorder="1" applyAlignment="1">
      <alignment horizontal="center" vertical="center" wrapText="1"/>
    </xf>
    <xf numFmtId="4" fontId="15" fillId="8" borderId="22" xfId="0" applyNumberFormat="1" applyFont="1" applyFill="1" applyBorder="1" applyAlignment="1">
      <alignment horizontal="center" vertical="center" wrapText="1"/>
    </xf>
    <xf numFmtId="0" fontId="20" fillId="9" borderId="0" xfId="0" applyNumberFormat="1" applyFont="1" applyFill="1" applyBorder="1" applyAlignment="1" applyProtection="1">
      <alignment vertical="center" wrapText="1"/>
    </xf>
    <xf numFmtId="0" fontId="20" fillId="9" borderId="1" xfId="0" applyNumberFormat="1" applyFont="1" applyFill="1" applyBorder="1" applyAlignment="1" applyProtection="1">
      <alignment horizontal="center" vertical="center" wrapText="1"/>
    </xf>
    <xf numFmtId="0" fontId="20" fillId="9" borderId="34" xfId="0" applyNumberFormat="1" applyFont="1" applyFill="1" applyBorder="1" applyAlignment="1" applyProtection="1">
      <alignment horizontal="center" vertical="center" wrapText="1"/>
    </xf>
    <xf numFmtId="0" fontId="20" fillId="9" borderId="33" xfId="0" applyNumberFormat="1" applyFont="1" applyFill="1" applyBorder="1" applyAlignment="1" applyProtection="1">
      <alignment horizontal="center" vertical="center" wrapText="1"/>
    </xf>
    <xf numFmtId="0" fontId="19" fillId="9" borderId="1" xfId="0" applyNumberFormat="1" applyFont="1" applyFill="1" applyBorder="1" applyAlignment="1" applyProtection="1">
      <alignment horizontal="left" wrapText="1"/>
    </xf>
    <xf numFmtId="0" fontId="20" fillId="10" borderId="1" xfId="0" applyNumberFormat="1" applyFont="1" applyFill="1" applyBorder="1" applyAlignment="1" applyProtection="1">
      <alignment horizontal="center" vertical="center" wrapText="1"/>
    </xf>
    <xf numFmtId="0" fontId="20" fillId="10" borderId="34" xfId="0" applyNumberFormat="1" applyFont="1" applyFill="1" applyBorder="1" applyAlignment="1" applyProtection="1">
      <alignment horizontal="center" vertical="center" wrapText="1"/>
    </xf>
    <xf numFmtId="0" fontId="19" fillId="10" borderId="1" xfId="0" applyNumberFormat="1" applyFont="1" applyFill="1" applyBorder="1" applyAlignment="1" applyProtection="1">
      <alignment horizontal="left" wrapText="1"/>
    </xf>
    <xf numFmtId="164" fontId="20" fillId="10" borderId="1" xfId="0" applyNumberFormat="1" applyFont="1" applyFill="1" applyBorder="1" applyAlignment="1" applyProtection="1">
      <alignment horizontal="center" vertical="center" wrapText="1"/>
    </xf>
    <xf numFmtId="0" fontId="20" fillId="3" borderId="1" xfId="0" applyNumberFormat="1" applyFont="1" applyFill="1" applyBorder="1" applyAlignment="1" applyProtection="1">
      <alignment horizontal="center" vertical="center" wrapText="1"/>
    </xf>
    <xf numFmtId="0" fontId="20" fillId="3" borderId="34" xfId="0" applyNumberFormat="1" applyFont="1" applyFill="1" applyBorder="1" applyAlignment="1" applyProtection="1">
      <alignment horizontal="center" vertical="center" wrapText="1"/>
    </xf>
    <xf numFmtId="0" fontId="19" fillId="3" borderId="1" xfId="0" applyNumberFormat="1" applyFont="1" applyFill="1" applyBorder="1" applyAlignment="1" applyProtection="1">
      <alignment horizontal="left" wrapText="1"/>
    </xf>
    <xf numFmtId="164" fontId="20" fillId="3" borderId="1" xfId="0" applyNumberFormat="1" applyFont="1" applyFill="1" applyBorder="1" applyAlignment="1" applyProtection="1">
      <alignment horizontal="center" vertical="center" wrapText="1"/>
    </xf>
    <xf numFmtId="0" fontId="20" fillId="3" borderId="1" xfId="0" applyNumberFormat="1" applyFont="1" applyFill="1" applyBorder="1" applyAlignment="1" applyProtection="1">
      <alignment horizontal="center" vertical="center"/>
    </xf>
    <xf numFmtId="0" fontId="20" fillId="3" borderId="1" xfId="0" applyNumberFormat="1" applyFont="1" applyFill="1" applyBorder="1" applyAlignment="1" applyProtection="1">
      <alignment wrapText="1"/>
    </xf>
    <xf numFmtId="164" fontId="20" fillId="3" borderId="1" xfId="0" applyNumberFormat="1" applyFont="1" applyFill="1" applyBorder="1" applyAlignment="1" applyProtection="1"/>
    <xf numFmtId="0" fontId="21" fillId="3" borderId="1" xfId="0" applyNumberFormat="1" applyFont="1" applyFill="1" applyBorder="1" applyAlignment="1" applyProtection="1">
      <alignment horizontal="center" vertical="center"/>
    </xf>
    <xf numFmtId="0" fontId="21" fillId="3" borderId="34" xfId="0" applyNumberFormat="1" applyFont="1" applyFill="1" applyBorder="1" applyAlignment="1" applyProtection="1">
      <alignment horizontal="center" vertical="center"/>
    </xf>
    <xf numFmtId="0" fontId="21" fillId="3" borderId="1" xfId="0" applyNumberFormat="1" applyFont="1" applyFill="1" applyBorder="1" applyAlignment="1" applyProtection="1">
      <alignment wrapText="1"/>
    </xf>
    <xf numFmtId="164" fontId="21" fillId="3" borderId="1" xfId="0" applyNumberFormat="1" applyFont="1" applyFill="1" applyBorder="1" applyAlignment="1" applyProtection="1"/>
    <xf numFmtId="0" fontId="22" fillId="0" borderId="0" xfId="0" applyFont="1"/>
    <xf numFmtId="0" fontId="20" fillId="11" borderId="1" xfId="0" applyNumberFormat="1" applyFont="1" applyFill="1" applyBorder="1" applyAlignment="1" applyProtection="1">
      <alignment horizontal="center" vertical="center" wrapText="1"/>
    </xf>
    <xf numFmtId="0" fontId="20" fillId="11" borderId="34" xfId="0" applyNumberFormat="1" applyFont="1" applyFill="1" applyBorder="1" applyAlignment="1" applyProtection="1">
      <alignment vertical="center" wrapText="1"/>
    </xf>
    <xf numFmtId="0" fontId="19" fillId="11" borderId="1" xfId="0" applyNumberFormat="1" applyFont="1" applyFill="1" applyBorder="1" applyAlignment="1" applyProtection="1">
      <alignment horizontal="left" wrapText="1"/>
    </xf>
    <xf numFmtId="164" fontId="20" fillId="11" borderId="1" xfId="0" applyNumberFormat="1" applyFont="1" applyFill="1" applyBorder="1" applyAlignment="1" applyProtection="1">
      <alignment horizontal="center" wrapText="1"/>
    </xf>
    <xf numFmtId="0" fontId="20" fillId="11" borderId="1" xfId="0" applyNumberFormat="1" applyFont="1" applyFill="1" applyBorder="1" applyAlignment="1" applyProtection="1">
      <alignment horizontal="center" vertical="center"/>
    </xf>
    <xf numFmtId="0" fontId="20" fillId="11" borderId="1" xfId="0" applyNumberFormat="1" applyFont="1" applyFill="1" applyBorder="1" applyAlignment="1" applyProtection="1">
      <alignment horizontal="left" wrapText="1"/>
    </xf>
    <xf numFmtId="164" fontId="20" fillId="11" borderId="1" xfId="0" applyNumberFormat="1" applyFont="1" applyFill="1" applyBorder="1" applyAlignment="1" applyProtection="1"/>
    <xf numFmtId="0" fontId="20" fillId="11" borderId="1" xfId="0" applyNumberFormat="1" applyFont="1" applyFill="1" applyBorder="1" applyAlignment="1" applyProtection="1">
      <alignment wrapText="1"/>
    </xf>
    <xf numFmtId="0" fontId="20" fillId="9" borderId="1" xfId="0" applyNumberFormat="1" applyFont="1" applyFill="1" applyBorder="1" applyAlignment="1" applyProtection="1">
      <alignment horizontal="center" vertical="center"/>
    </xf>
    <xf numFmtId="0" fontId="20" fillId="9" borderId="1" xfId="0" applyNumberFormat="1" applyFont="1" applyFill="1" applyBorder="1" applyAlignment="1" applyProtection="1">
      <alignment wrapText="1"/>
    </xf>
    <xf numFmtId="164" fontId="20" fillId="9" borderId="1" xfId="0" applyNumberFormat="1" applyFont="1" applyFill="1" applyBorder="1" applyAlignment="1" applyProtection="1"/>
    <xf numFmtId="0" fontId="20" fillId="12" borderId="1" xfId="0" applyNumberFormat="1" applyFont="1" applyFill="1" applyBorder="1" applyAlignment="1" applyProtection="1">
      <alignment horizontal="center" vertical="center"/>
    </xf>
    <xf numFmtId="0" fontId="19" fillId="12" borderId="1" xfId="0" applyNumberFormat="1" applyFont="1" applyFill="1" applyBorder="1" applyAlignment="1" applyProtection="1">
      <alignment horizontal="left" wrapText="1"/>
    </xf>
    <xf numFmtId="164" fontId="20" fillId="12" borderId="1" xfId="0" applyNumberFormat="1" applyFont="1" applyFill="1" applyBorder="1" applyAlignment="1" applyProtection="1"/>
    <xf numFmtId="0" fontId="20" fillId="13" borderId="1" xfId="0" applyNumberFormat="1" applyFont="1" applyFill="1" applyBorder="1" applyAlignment="1" applyProtection="1">
      <alignment horizontal="center" vertical="center"/>
    </xf>
    <xf numFmtId="0" fontId="19" fillId="13" borderId="1" xfId="0" applyNumberFormat="1" applyFont="1" applyFill="1" applyBorder="1" applyAlignment="1" applyProtection="1">
      <alignment horizontal="left" wrapText="1"/>
    </xf>
    <xf numFmtId="164" fontId="20" fillId="13" borderId="1" xfId="0" applyNumberFormat="1" applyFont="1" applyFill="1" applyBorder="1" applyAlignment="1" applyProtection="1"/>
    <xf numFmtId="0" fontId="20" fillId="13" borderId="1" xfId="0" applyNumberFormat="1" applyFont="1" applyFill="1" applyBorder="1" applyAlignment="1" applyProtection="1">
      <alignment wrapText="1"/>
    </xf>
    <xf numFmtId="0" fontId="20" fillId="14" borderId="1" xfId="0" applyNumberFormat="1" applyFont="1" applyFill="1" applyBorder="1" applyAlignment="1" applyProtection="1">
      <alignment horizontal="center" vertical="center" wrapText="1"/>
    </xf>
    <xf numFmtId="0" fontId="20" fillId="14" borderId="34" xfId="0" applyNumberFormat="1" applyFont="1" applyFill="1" applyBorder="1" applyAlignment="1" applyProtection="1">
      <alignment horizontal="center" vertical="center" wrapText="1"/>
    </xf>
    <xf numFmtId="0" fontId="19" fillId="14" borderId="1" xfId="0" applyNumberFormat="1" applyFont="1" applyFill="1" applyBorder="1" applyAlignment="1" applyProtection="1">
      <alignment horizontal="left" wrapText="1"/>
    </xf>
    <xf numFmtId="4" fontId="20" fillId="14" borderId="1" xfId="0" applyNumberFormat="1" applyFont="1" applyFill="1" applyBorder="1" applyAlignment="1" applyProtection="1">
      <alignment horizontal="center" vertical="center" wrapText="1"/>
    </xf>
    <xf numFmtId="0" fontId="20" fillId="14" borderId="1" xfId="0" applyNumberFormat="1" applyFont="1" applyFill="1" applyBorder="1" applyAlignment="1" applyProtection="1">
      <alignment horizontal="center" vertical="center"/>
    </xf>
    <xf numFmtId="0" fontId="20" fillId="14" borderId="1" xfId="0" applyNumberFormat="1" applyFont="1" applyFill="1" applyBorder="1" applyAlignment="1" applyProtection="1">
      <alignment wrapText="1"/>
    </xf>
    <xf numFmtId="0" fontId="20" fillId="9" borderId="34" xfId="0" applyNumberFormat="1" applyFont="1" applyFill="1" applyBorder="1" applyAlignment="1" applyProtection="1">
      <alignment horizontal="center" vertical="center"/>
    </xf>
    <xf numFmtId="4" fontId="20" fillId="9" borderId="1" xfId="0" applyNumberFormat="1" applyFont="1" applyFill="1" applyBorder="1" applyAlignment="1" applyProtection="1">
      <alignment horizontal="center" vertical="center" wrapText="1"/>
    </xf>
    <xf numFmtId="0" fontId="20" fillId="15" borderId="1" xfId="0" applyNumberFormat="1" applyFont="1" applyFill="1" applyBorder="1" applyAlignment="1" applyProtection="1">
      <alignment horizontal="center" vertical="center"/>
    </xf>
    <xf numFmtId="0" fontId="20" fillId="15" borderId="34" xfId="0" applyNumberFormat="1" applyFont="1" applyFill="1" applyBorder="1" applyAlignment="1" applyProtection="1">
      <alignment horizontal="center" vertical="center"/>
    </xf>
    <xf numFmtId="0" fontId="20" fillId="15" borderId="1" xfId="0" applyNumberFormat="1" applyFont="1" applyFill="1" applyBorder="1" applyAlignment="1" applyProtection="1">
      <alignment wrapText="1"/>
    </xf>
    <xf numFmtId="4" fontId="20" fillId="15" borderId="1" xfId="0" applyNumberFormat="1" applyFont="1" applyFill="1" applyBorder="1" applyAlignment="1" applyProtection="1">
      <alignment horizontal="center" vertical="center" wrapText="1"/>
    </xf>
    <xf numFmtId="0" fontId="19" fillId="9" borderId="0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2" fontId="1" fillId="0" borderId="16" xfId="0" applyNumberFormat="1" applyFont="1" applyBorder="1" applyAlignment="1">
      <alignment horizontal="center" wrapText="1"/>
    </xf>
    <xf numFmtId="2" fontId="1" fillId="0" borderId="17" xfId="0" applyNumberFormat="1" applyFont="1" applyBorder="1" applyAlignment="1">
      <alignment horizontal="center" wrapText="1"/>
    </xf>
    <xf numFmtId="2" fontId="1" fillId="0" borderId="18" xfId="0" applyNumberFormat="1" applyFont="1" applyBorder="1" applyAlignment="1">
      <alignment horizontal="center" wrapText="1"/>
    </xf>
    <xf numFmtId="2" fontId="1" fillId="0" borderId="19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2" fontId="1" fillId="0" borderId="20" xfId="0" applyNumberFormat="1" applyFont="1" applyBorder="1" applyAlignment="1">
      <alignment horizontal="center" wrapText="1"/>
    </xf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9" fillId="6" borderId="0" xfId="0" applyNumberFormat="1" applyFont="1" applyFill="1" applyBorder="1" applyAlignment="1" applyProtection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F4DA6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.lukasevych\AppData\Local\Microsoft\Windows\Temporary%20Internet%20Files\Content.Outlook\1VO7RNWJ\GDP%20Components-Ukraine%202005-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означения"/>
      <sheetName val="GDP"/>
      <sheetName val="Споживчи витрати"/>
      <sheetName val="Лист1"/>
      <sheetName val="Poland"/>
      <sheetName val="Ukraine"/>
    </sheetNames>
    <sheetDataSet>
      <sheetData sheetId="0"/>
      <sheetData sheetId="1">
        <row r="7">
          <cell r="D7">
            <v>50.263867187499997</v>
          </cell>
          <cell r="F7">
            <v>64.268514851485151</v>
          </cell>
          <cell r="H7">
            <v>85.073069306930705</v>
          </cell>
          <cell r="J7">
            <v>111.90493358633776</v>
          </cell>
          <cell r="L7">
            <v>75.585622593068038</v>
          </cell>
          <cell r="N7">
            <v>87.443828715365228</v>
          </cell>
          <cell r="P7">
            <v>109.85897114178168</v>
          </cell>
          <cell r="R7">
            <v>124.75406758448059</v>
          </cell>
        </row>
      </sheetData>
      <sheetData sheetId="2">
        <row r="14">
          <cell r="D14">
            <v>65.312843029637762</v>
          </cell>
          <cell r="F14">
            <v>61.657458563535911</v>
          </cell>
          <cell r="H14">
            <v>60</v>
          </cell>
          <cell r="J14">
            <v>59.280742459396755</v>
          </cell>
          <cell r="L14">
            <v>60.592255125284744</v>
          </cell>
          <cell r="N14">
            <v>61</v>
          </cell>
          <cell r="P14">
            <v>60.643015521064292</v>
          </cell>
          <cell r="R14">
            <v>59.07590759075908</v>
          </cell>
        </row>
        <row r="18">
          <cell r="D18">
            <v>9.110867178924261</v>
          </cell>
          <cell r="F18">
            <v>9.5027624309392262</v>
          </cell>
          <cell r="H18">
            <v>9.7777777777777786</v>
          </cell>
          <cell r="J18">
            <v>10.092807424593968</v>
          </cell>
          <cell r="L18">
            <v>8.9977220956719819</v>
          </cell>
          <cell r="N18">
            <v>9.4444444444444446</v>
          </cell>
          <cell r="P18">
            <v>8.8691796008869179</v>
          </cell>
          <cell r="R18">
            <v>9.2409240924092391</v>
          </cell>
        </row>
        <row r="20">
          <cell r="D20">
            <v>9.330406147091109</v>
          </cell>
          <cell r="F20">
            <v>10.607734806629834</v>
          </cell>
          <cell r="H20">
            <v>12.111111111111111</v>
          </cell>
          <cell r="J20">
            <v>10.556844547563804</v>
          </cell>
          <cell r="L20">
            <v>10.70615034168565</v>
          </cell>
          <cell r="N20">
            <v>10.333333333333334</v>
          </cell>
          <cell r="P20">
            <v>10.643015521064301</v>
          </cell>
          <cell r="R20">
            <v>10.891089108910892</v>
          </cell>
        </row>
        <row r="21">
          <cell r="D21">
            <v>3.2930845225027445</v>
          </cell>
          <cell r="F21">
            <v>4.0883977900552484</v>
          </cell>
          <cell r="H21">
            <v>3.7777777777777777</v>
          </cell>
          <cell r="J21">
            <v>4.6403712296983759</v>
          </cell>
          <cell r="L21">
            <v>4.3280182232346238</v>
          </cell>
          <cell r="N21">
            <v>4.1111111111111116</v>
          </cell>
          <cell r="P21">
            <v>4.434589800443459</v>
          </cell>
          <cell r="R21">
            <v>4.7304730473047298</v>
          </cell>
        </row>
        <row r="22">
          <cell r="D22">
            <v>2.3051591657519213</v>
          </cell>
          <cell r="F22">
            <v>2.8729281767955803</v>
          </cell>
          <cell r="H22">
            <v>2.8888888888888888</v>
          </cell>
          <cell r="J22">
            <v>2.6682134570765661</v>
          </cell>
          <cell r="L22">
            <v>2.8473804100227791</v>
          </cell>
          <cell r="N22">
            <v>3</v>
          </cell>
          <cell r="P22">
            <v>2.8824833702882482</v>
          </cell>
          <cell r="R22">
            <v>3.0803080308030801</v>
          </cell>
        </row>
        <row r="23">
          <cell r="D23">
            <v>2.7442371020856204</v>
          </cell>
          <cell r="F23">
            <v>2.7624309392265194</v>
          </cell>
          <cell r="H23">
            <v>2.7777777777777777</v>
          </cell>
          <cell r="J23">
            <v>3.1322505800464038</v>
          </cell>
          <cell r="L23">
            <v>3.5307517084282463</v>
          </cell>
          <cell r="N23">
            <v>3.4444444444444446</v>
          </cell>
          <cell r="P23">
            <v>3.4368070953436809</v>
          </cell>
          <cell r="R23">
            <v>3.7403740374037402</v>
          </cell>
        </row>
        <row r="24">
          <cell r="D24">
            <v>1.2074643249176731</v>
          </cell>
          <cell r="F24">
            <v>1.5469613259668507</v>
          </cell>
          <cell r="H24">
            <v>1.4444444444444444</v>
          </cell>
          <cell r="J24">
            <v>1.5081206496519721</v>
          </cell>
          <cell r="L24">
            <v>1.4806378132118452</v>
          </cell>
          <cell r="N24">
            <v>1.4444444444444444</v>
          </cell>
          <cell r="P24">
            <v>1.4412416851441241</v>
          </cell>
          <cell r="R24">
            <v>1.4301430143014302</v>
          </cell>
        </row>
        <row r="25">
          <cell r="D25">
            <v>2.8540065861690453</v>
          </cell>
          <cell r="F25">
            <v>2.6519337016574585</v>
          </cell>
          <cell r="H25">
            <v>2.6666666666666665</v>
          </cell>
          <cell r="J25">
            <v>2.9002320185614852</v>
          </cell>
          <cell r="L25">
            <v>2.0501138952164011</v>
          </cell>
          <cell r="N25">
            <v>2</v>
          </cell>
          <cell r="P25">
            <v>2.2172949002217295</v>
          </cell>
          <cell r="R25">
            <v>2.2002200220022003</v>
          </cell>
        </row>
        <row r="26">
          <cell r="D26">
            <v>1.8660812294182219</v>
          </cell>
          <cell r="F26">
            <v>2.430939226519337</v>
          </cell>
          <cell r="H26">
            <v>2.5555555555555554</v>
          </cell>
          <cell r="J26">
            <v>2.7842227378190256</v>
          </cell>
          <cell r="L26">
            <v>2.8473804100227791</v>
          </cell>
          <cell r="N26">
            <v>2.6666666666666665</v>
          </cell>
          <cell r="P26">
            <v>2.7716186252771617</v>
          </cell>
          <cell r="R26">
            <v>2.7502750275027501</v>
          </cell>
        </row>
        <row r="27">
          <cell r="D27">
            <v>1.9758507135016468</v>
          </cell>
          <cell r="F27">
            <v>1.878453038674033</v>
          </cell>
          <cell r="H27">
            <v>2</v>
          </cell>
          <cell r="J27">
            <v>2.4361948955916475</v>
          </cell>
          <cell r="L27">
            <v>2.6195899772209565</v>
          </cell>
          <cell r="N27">
            <v>2.5555555555555554</v>
          </cell>
          <cell r="P27">
            <v>2.6607538802660753</v>
          </cell>
          <cell r="R27">
            <v>2.8602860286028604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a.un.org/Data.aspx?d=PopDiv&amp;f=variableID%3a2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7"/>
  <sheetViews>
    <sheetView topLeftCell="A10" workbookViewId="0">
      <selection activeCell="K18" sqref="K18"/>
    </sheetView>
  </sheetViews>
  <sheetFormatPr defaultRowHeight="14.4" x14ac:dyDescent="0.3"/>
  <cols>
    <col min="2" max="2" width="43.109375" customWidth="1"/>
    <col min="3" max="5" width="6.109375" bestFit="1" customWidth="1"/>
    <col min="6" max="6" width="7.33203125" bestFit="1" customWidth="1"/>
    <col min="7" max="7" width="7.109375" customWidth="1"/>
    <col min="8" max="9" width="7.33203125" bestFit="1" customWidth="1"/>
  </cols>
  <sheetData>
    <row r="4" spans="2:9" x14ac:dyDescent="0.3">
      <c r="B4" s="229" t="s">
        <v>0</v>
      </c>
      <c r="C4" s="229"/>
      <c r="D4" s="229"/>
      <c r="E4" s="229"/>
      <c r="F4" s="229"/>
      <c r="G4" s="229"/>
      <c r="H4" s="229"/>
      <c r="I4" s="229"/>
    </row>
    <row r="6" spans="2:9" x14ac:dyDescent="0.3">
      <c r="B6" s="1" t="s">
        <v>1</v>
      </c>
      <c r="C6" s="2">
        <v>1900</v>
      </c>
      <c r="D6" s="2">
        <v>1920</v>
      </c>
      <c r="E6" s="2">
        <v>1940</v>
      </c>
      <c r="F6" s="2">
        <v>1960</v>
      </c>
      <c r="G6" s="2">
        <v>1980</v>
      </c>
      <c r="H6" s="2">
        <v>2000</v>
      </c>
      <c r="I6" s="2" t="s">
        <v>2</v>
      </c>
    </row>
    <row r="7" spans="2:9" x14ac:dyDescent="0.3">
      <c r="B7" s="3" t="s">
        <v>3</v>
      </c>
      <c r="C7" s="4">
        <v>1550</v>
      </c>
      <c r="D7" s="4">
        <v>1850</v>
      </c>
      <c r="E7" s="4">
        <v>2300</v>
      </c>
      <c r="F7" s="4">
        <v>3039</v>
      </c>
      <c r="G7" s="4">
        <v>4456</v>
      </c>
      <c r="H7" s="4">
        <v>6080</v>
      </c>
      <c r="I7" s="4">
        <v>6823</v>
      </c>
    </row>
    <row r="8" spans="2:9" x14ac:dyDescent="0.3">
      <c r="B8" s="3" t="s">
        <v>126</v>
      </c>
      <c r="C8" s="4"/>
      <c r="D8" s="117">
        <f>((D7-C7)/20)/C7*100</f>
        <v>0.967741935483871</v>
      </c>
      <c r="E8" s="117">
        <f t="shared" ref="E8:H8" si="0">((E7-D7)/20)/D7*100</f>
        <v>1.2162162162162162</v>
      </c>
      <c r="F8" s="117">
        <f t="shared" si="0"/>
        <v>1.6065217391304349</v>
      </c>
      <c r="G8" s="117">
        <f t="shared" si="0"/>
        <v>2.3313589996709445</v>
      </c>
      <c r="H8" s="117">
        <f t="shared" si="0"/>
        <v>1.822262118491921</v>
      </c>
      <c r="I8" s="117">
        <f>((I7-H7)/10)/H7*100</f>
        <v>1.2220394736842106</v>
      </c>
    </row>
    <row r="9" spans="2:9" x14ac:dyDescent="0.3">
      <c r="B9" s="3" t="s">
        <v>123</v>
      </c>
      <c r="C9" s="4"/>
      <c r="D9" s="4"/>
      <c r="E9" s="4"/>
      <c r="F9" s="4">
        <v>1354.5</v>
      </c>
      <c r="G9" s="4">
        <v>11108.8</v>
      </c>
      <c r="H9" s="4">
        <v>32874.699999999997</v>
      </c>
      <c r="I9" s="4">
        <v>64074.6</v>
      </c>
    </row>
    <row r="10" spans="2:9" s="6" customFormat="1" x14ac:dyDescent="0.3">
      <c r="B10" s="3" t="s">
        <v>122</v>
      </c>
      <c r="C10" s="4"/>
      <c r="D10" s="4"/>
      <c r="E10" s="4"/>
      <c r="F10" s="115">
        <f>F9/F7</f>
        <v>0.44570582428430405</v>
      </c>
      <c r="G10" s="115">
        <f>G9/G7</f>
        <v>2.4929982046678636</v>
      </c>
      <c r="H10" s="115">
        <f>H9/H7</f>
        <v>5.4070230263157892</v>
      </c>
      <c r="I10" s="115">
        <f>I9/I7</f>
        <v>9.3909717133225854</v>
      </c>
    </row>
    <row r="11" spans="2:9" s="6" customFormat="1" x14ac:dyDescent="0.3">
      <c r="B11" s="3" t="s">
        <v>126</v>
      </c>
      <c r="C11" s="4"/>
      <c r="D11" s="4"/>
      <c r="E11" s="4"/>
      <c r="F11" s="115"/>
      <c r="G11" s="117">
        <f>(G10-F10)/20/F10*100</f>
        <v>22.966856936085776</v>
      </c>
      <c r="H11" s="117">
        <f t="shared" ref="H11" si="1">(H10-G10)/20/G10*100</f>
        <v>5.8444182113563832</v>
      </c>
      <c r="I11" s="117">
        <f>(I10-H10)/10/H10*100</f>
        <v>7.3681000942978416</v>
      </c>
    </row>
    <row r="12" spans="2:9" s="6" customFormat="1" x14ac:dyDescent="0.3">
      <c r="B12" s="3" t="s">
        <v>4</v>
      </c>
      <c r="C12" s="5">
        <v>28.792000000000002</v>
      </c>
      <c r="D12" s="5">
        <v>30.800999999999998</v>
      </c>
      <c r="E12" s="5">
        <v>41.194000000000003</v>
      </c>
      <c r="F12" s="5">
        <v>42.47</v>
      </c>
      <c r="G12" s="5">
        <v>49.95</v>
      </c>
      <c r="H12" s="5">
        <v>49.11495</v>
      </c>
      <c r="I12" s="5">
        <v>45.782592000000001</v>
      </c>
    </row>
    <row r="13" spans="2:9" x14ac:dyDescent="0.3">
      <c r="B13" s="7" t="s">
        <v>124</v>
      </c>
      <c r="C13" s="8">
        <v>1.6096774193548387</v>
      </c>
      <c r="D13" s="8">
        <v>1.384054054054054</v>
      </c>
      <c r="E13" s="8">
        <v>1.8026086956521741</v>
      </c>
      <c r="F13" s="8">
        <v>1.397499177360974</v>
      </c>
      <c r="G13" s="8">
        <v>1.1209605026929983</v>
      </c>
      <c r="H13" s="8">
        <v>0.8129934210526315</v>
      </c>
      <c r="I13" s="8">
        <v>0.67125897698959403</v>
      </c>
    </row>
    <row r="14" spans="2:9" x14ac:dyDescent="0.3">
      <c r="B14" s="1" t="s">
        <v>120</v>
      </c>
      <c r="C14" s="2"/>
      <c r="D14" s="2"/>
      <c r="E14" s="2"/>
      <c r="F14" s="2"/>
      <c r="G14" s="5">
        <v>49</v>
      </c>
      <c r="H14" s="116">
        <v>31.26</v>
      </c>
      <c r="I14" s="116">
        <v>136.4</v>
      </c>
    </row>
    <row r="15" spans="2:9" x14ac:dyDescent="0.3">
      <c r="B15" s="1" t="s">
        <v>121</v>
      </c>
      <c r="C15" s="2"/>
      <c r="D15" s="2"/>
      <c r="E15" s="2"/>
      <c r="F15" s="2"/>
      <c r="G15" s="115">
        <f>G14/G12</f>
        <v>0.98098098098098097</v>
      </c>
      <c r="H15" s="115">
        <f>H14/H12</f>
        <v>0.63646608619167888</v>
      </c>
      <c r="I15" s="115">
        <f>I14/I12</f>
        <v>2.9792983324316809</v>
      </c>
    </row>
    <row r="16" spans="2:9" x14ac:dyDescent="0.3">
      <c r="B16" s="1" t="s">
        <v>125</v>
      </c>
      <c r="C16" s="2"/>
      <c r="D16" s="2"/>
      <c r="E16" s="2"/>
      <c r="F16" s="2"/>
      <c r="G16" s="9">
        <f>G15/G10*100</f>
        <v>39.349445946018029</v>
      </c>
      <c r="H16" s="9">
        <f t="shared" ref="H16:I16" si="2">H15/H10*100</f>
        <v>11.771099976715856</v>
      </c>
      <c r="I16" s="9">
        <f t="shared" si="2"/>
        <v>31.725133706931231</v>
      </c>
    </row>
    <row r="17" spans="2:9" s="6" customFormat="1" x14ac:dyDescent="0.3">
      <c r="B17" s="3" t="s">
        <v>6</v>
      </c>
      <c r="C17" s="5">
        <v>3.59</v>
      </c>
      <c r="D17" s="5">
        <v>6.79</v>
      </c>
      <c r="E17" s="5">
        <v>13.57</v>
      </c>
      <c r="F17" s="5">
        <v>19.149999999999999</v>
      </c>
      <c r="G17" s="5">
        <v>30.5</v>
      </c>
      <c r="H17" s="5">
        <v>33.340000000000003</v>
      </c>
      <c r="I17" s="5">
        <v>31.269164</v>
      </c>
    </row>
    <row r="18" spans="2:9" x14ac:dyDescent="0.3">
      <c r="B18" s="1" t="s">
        <v>7</v>
      </c>
      <c r="C18" s="9">
        <v>14.388777555110222</v>
      </c>
      <c r="D18" s="9">
        <v>26.518258152704551</v>
      </c>
      <c r="E18" s="9">
        <v>32.730342498794016</v>
      </c>
      <c r="F18" s="9">
        <v>45.090652225100072</v>
      </c>
      <c r="G18" s="9">
        <v>61.061061061061061</v>
      </c>
      <c r="H18" s="9">
        <v>67.44891766133928</v>
      </c>
      <c r="I18" s="9">
        <v>68.273283842794768</v>
      </c>
    </row>
    <row r="19" spans="2:9" ht="15" x14ac:dyDescent="0.25">
      <c r="B19" s="10"/>
      <c r="C19" s="8"/>
      <c r="D19" s="8"/>
      <c r="E19" s="8"/>
      <c r="F19" s="11"/>
      <c r="G19" s="11"/>
      <c r="H19" s="11"/>
      <c r="I19" s="11"/>
    </row>
    <row r="20" spans="2:9" s="6" customFormat="1" ht="28.2" x14ac:dyDescent="0.3">
      <c r="B20" s="12" t="s">
        <v>17</v>
      </c>
      <c r="C20" s="13"/>
      <c r="D20" s="13"/>
      <c r="E20" s="13">
        <f>E12*E21/100</f>
        <v>10.42985037544814</v>
      </c>
      <c r="F20" s="13">
        <f>F12*F21/100</f>
        <v>11.669441559762312</v>
      </c>
      <c r="G20" s="13">
        <f>G12*G21/100</f>
        <v>11.682930772569925</v>
      </c>
      <c r="H20" s="13">
        <f>H12*H21/100</f>
        <v>11.481680000000001</v>
      </c>
      <c r="I20" s="13">
        <f>I12*I21/100</f>
        <v>11.016969000000001</v>
      </c>
    </row>
    <row r="21" spans="2:9" x14ac:dyDescent="0.3">
      <c r="B21" s="14" t="s">
        <v>8</v>
      </c>
      <c r="C21" s="15"/>
      <c r="D21" s="15"/>
      <c r="E21" s="15">
        <v>25.318858026528474</v>
      </c>
      <c r="F21" s="16">
        <v>27.476905014745263</v>
      </c>
      <c r="G21" s="16">
        <v>23.389250795935784</v>
      </c>
      <c r="H21" s="16">
        <v>23.377159093107089</v>
      </c>
      <c r="I21" s="16">
        <v>24.063663761108153</v>
      </c>
    </row>
    <row r="22" spans="2:9" ht="15" x14ac:dyDescent="0.25">
      <c r="B22" s="1"/>
      <c r="C22" s="8"/>
      <c r="D22" s="8"/>
      <c r="E22" s="8"/>
      <c r="F22" s="8"/>
      <c r="G22" s="8"/>
      <c r="H22" s="8"/>
      <c r="I22" s="8"/>
    </row>
    <row r="23" spans="2:9" s="6" customFormat="1" x14ac:dyDescent="0.3">
      <c r="B23" s="17" t="s">
        <v>18</v>
      </c>
      <c r="C23" s="18"/>
      <c r="D23" s="18"/>
      <c r="E23" s="18">
        <f>E12*E24/100</f>
        <v>16.129376708276201</v>
      </c>
      <c r="F23" s="18">
        <f>F12*F24/100</f>
        <v>12.846990981117649</v>
      </c>
      <c r="G23" s="18">
        <f>G12*G24/100</f>
        <v>13.204563988220436</v>
      </c>
      <c r="H23" s="18">
        <f>H12*H24/100</f>
        <v>11.115983000000002</v>
      </c>
      <c r="I23" s="18">
        <f>I12*I24/100</f>
        <v>8.0811260000000011</v>
      </c>
    </row>
    <row r="24" spans="2:9" x14ac:dyDescent="0.3">
      <c r="B24" s="19" t="s">
        <v>9</v>
      </c>
      <c r="C24" s="20"/>
      <c r="D24" s="20"/>
      <c r="E24" s="20">
        <v>39.154674730000004</v>
      </c>
      <c r="F24" s="21">
        <v>30.249566708541675</v>
      </c>
      <c r="G24" s="21">
        <v>26.435563539980851</v>
      </c>
      <c r="H24" s="21">
        <v>22.632585394060261</v>
      </c>
      <c r="I24" s="21">
        <v>17.651088868013414</v>
      </c>
    </row>
    <row r="25" spans="2:9" x14ac:dyDescent="0.3">
      <c r="B25" s="22" t="s">
        <v>10</v>
      </c>
      <c r="C25" s="20"/>
      <c r="D25" s="20"/>
      <c r="E25" s="20">
        <f>E23/E20</f>
        <v>1.546462904803001</v>
      </c>
      <c r="F25" s="20">
        <f>F23/F20</f>
        <v>1.1009088065889694</v>
      </c>
      <c r="G25" s="20">
        <f>G23/G20</f>
        <v>1.1302441352492747</v>
      </c>
      <c r="H25" s="20">
        <f>H23/H20</f>
        <v>0.96814952167278667</v>
      </c>
      <c r="I25" s="20">
        <f>I23/I20</f>
        <v>0.73351626931145941</v>
      </c>
    </row>
    <row r="26" spans="2:9" x14ac:dyDescent="0.3">
      <c r="B26" s="23" t="s">
        <v>11</v>
      </c>
      <c r="C26" s="24">
        <f>(C12*44.1)/1000</f>
        <v>1.2697271999999999</v>
      </c>
      <c r="D26" s="24">
        <f>(D12*40)/1000</f>
        <v>1.23204</v>
      </c>
      <c r="E26" s="24">
        <v>0.985205</v>
      </c>
      <c r="F26" s="24">
        <v>0.81230999999999998</v>
      </c>
      <c r="G26" s="24">
        <f>(G12*14.8)/1000</f>
        <v>0.73926000000000014</v>
      </c>
      <c r="H26" s="24">
        <v>0.3851</v>
      </c>
      <c r="I26" s="24">
        <f>(I12*10.8)/1000</f>
        <v>0.49445199360000003</v>
      </c>
    </row>
    <row r="27" spans="2:9" x14ac:dyDescent="0.3">
      <c r="B27" s="22" t="s">
        <v>12</v>
      </c>
      <c r="C27" s="25"/>
      <c r="D27" s="25"/>
      <c r="E27" s="20">
        <f>E26/E20*1000</f>
        <v>94.460127857555065</v>
      </c>
      <c r="F27" s="20">
        <f t="shared" ref="F27:I27" si="3">F26/F20*1000</f>
        <v>69.610014827182994</v>
      </c>
      <c r="G27" s="20">
        <f t="shared" si="3"/>
        <v>63.276930625634719</v>
      </c>
      <c r="H27" s="20">
        <f t="shared" si="3"/>
        <v>33.540387817810632</v>
      </c>
      <c r="I27" s="20">
        <f t="shared" si="3"/>
        <v>44.880946256633742</v>
      </c>
    </row>
    <row r="28" spans="2:9" x14ac:dyDescent="0.3">
      <c r="B28" s="1"/>
      <c r="C28" s="8"/>
      <c r="D28" s="8"/>
      <c r="E28" s="8"/>
      <c r="F28" s="8"/>
      <c r="G28" s="8"/>
      <c r="H28" s="8"/>
      <c r="I28" s="8"/>
    </row>
    <row r="29" spans="2:9" s="6" customFormat="1" ht="28.2" x14ac:dyDescent="0.3">
      <c r="B29" s="26" t="s">
        <v>19</v>
      </c>
      <c r="C29" s="27"/>
      <c r="D29" s="27"/>
      <c r="E29" s="27">
        <f>E12*E30/100</f>
        <v>12.529655339208169</v>
      </c>
      <c r="F29" s="27">
        <f>F12*F30/100</f>
        <v>13.87438367236741</v>
      </c>
      <c r="G29" s="27">
        <f>G12*G30/100</f>
        <v>17.694264526111958</v>
      </c>
      <c r="H29" s="27">
        <f>H12*H30/100</f>
        <v>17.035986000000001</v>
      </c>
      <c r="I29" s="27">
        <f>I12*I30/100</f>
        <v>17.831987999999999</v>
      </c>
    </row>
    <row r="30" spans="2:9" x14ac:dyDescent="0.3">
      <c r="B30" s="28" t="s">
        <v>7</v>
      </c>
      <c r="C30" s="29"/>
      <c r="D30" s="29"/>
      <c r="E30" s="29">
        <v>30.416214349682399</v>
      </c>
      <c r="F30" s="30">
        <v>32.668668877719355</v>
      </c>
      <c r="G30" s="30">
        <v>35.423953005229144</v>
      </c>
      <c r="H30" s="30">
        <v>34.68594796492718</v>
      </c>
      <c r="I30" s="30">
        <v>38.949275742186025</v>
      </c>
    </row>
    <row r="31" spans="2:9" x14ac:dyDescent="0.3">
      <c r="B31" s="1"/>
      <c r="C31" s="8"/>
      <c r="D31" s="8"/>
      <c r="E31" s="8"/>
      <c r="F31" s="9"/>
      <c r="G31" s="9"/>
      <c r="H31" s="9"/>
      <c r="I31" s="9"/>
    </row>
    <row r="32" spans="2:9" s="6" customFormat="1" x14ac:dyDescent="0.3">
      <c r="B32" s="31" t="s">
        <v>20</v>
      </c>
      <c r="C32" s="32"/>
      <c r="D32" s="32"/>
      <c r="E32" s="32">
        <f>E12*E33/100</f>
        <v>2.1051175759183236</v>
      </c>
      <c r="F32" s="32">
        <f>F12*F33/100</f>
        <v>4.0791837867526288</v>
      </c>
      <c r="G32" s="32">
        <f>G12*G33/100</f>
        <v>7.3682407130976859</v>
      </c>
      <c r="H32" s="32">
        <f>H12*H33/100</f>
        <v>10.046555926562817</v>
      </c>
      <c r="I32" s="32">
        <f>I12*I33/100</f>
        <v>9.2594792510043682</v>
      </c>
    </row>
    <row r="33" spans="2:9" x14ac:dyDescent="0.3">
      <c r="B33" s="33" t="s">
        <v>7</v>
      </c>
      <c r="C33" s="34"/>
      <c r="D33" s="34"/>
      <c r="E33" s="34">
        <v>5.1102528909994751</v>
      </c>
      <c r="F33" s="35">
        <v>9.6048593989937103</v>
      </c>
      <c r="G33" s="35">
        <v>14.751232658854224</v>
      </c>
      <c r="H33" s="35">
        <v>20.455189156382765</v>
      </c>
      <c r="I33" s="35">
        <v>20.224890829694324</v>
      </c>
    </row>
    <row r="34" spans="2:9" x14ac:dyDescent="0.3">
      <c r="B34" s="36" t="s">
        <v>13</v>
      </c>
      <c r="C34" s="37">
        <f>(C12*25.2)/1000</f>
        <v>0.72555840000000005</v>
      </c>
      <c r="D34" s="37">
        <f>(D12*25)/1000</f>
        <v>0.77002499999999996</v>
      </c>
      <c r="E34" s="37">
        <f>(E12*14.3)/1000</f>
        <v>0.58907419999999999</v>
      </c>
      <c r="F34" s="37">
        <f>(F12*6.9)/1000</f>
        <v>0.293043</v>
      </c>
      <c r="G34" s="37">
        <f>(G12*11.3)/1000</f>
        <v>0.56443500000000002</v>
      </c>
      <c r="H34" s="37">
        <f>(H12*15.3)/1000</f>
        <v>0.75145873500000004</v>
      </c>
      <c r="I34" s="37">
        <f>(I12*15.2)/1000</f>
        <v>0.69589539840000003</v>
      </c>
    </row>
    <row r="35" spans="2:9" x14ac:dyDescent="0.3">
      <c r="B35" s="33" t="s">
        <v>14</v>
      </c>
      <c r="C35" s="34">
        <f>C34/C12*1000</f>
        <v>25.2</v>
      </c>
      <c r="D35" s="34">
        <f>D34/D12*1000</f>
        <v>25</v>
      </c>
      <c r="E35" s="34">
        <f>E34/E12*1000</f>
        <v>14.299999999999999</v>
      </c>
      <c r="F35" s="34">
        <f>F34/F12*1000</f>
        <v>6.8999999999999995</v>
      </c>
      <c r="G35" s="34">
        <f>G34/G12*1000</f>
        <v>11.299999999999999</v>
      </c>
      <c r="H35" s="34">
        <v>19.304307547905474</v>
      </c>
      <c r="I35" s="34">
        <v>19.335971628692409</v>
      </c>
    </row>
    <row r="36" spans="2:9" x14ac:dyDescent="0.3">
      <c r="B36" s="38" t="s">
        <v>15</v>
      </c>
    </row>
    <row r="37" spans="2:9" ht="30" customHeight="1" x14ac:dyDescent="0.3">
      <c r="B37" s="230" t="s">
        <v>16</v>
      </c>
      <c r="C37" s="230"/>
      <c r="D37" s="230"/>
      <c r="E37" s="230"/>
      <c r="F37" s="230"/>
      <c r="G37" s="230"/>
      <c r="H37" s="230"/>
      <c r="I37" s="230"/>
    </row>
  </sheetData>
  <mergeCells count="2">
    <mergeCell ref="B4:I4"/>
    <mergeCell ref="B37:I37"/>
  </mergeCells>
  <hyperlinks>
    <hyperlink ref="B36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6"/>
  <sheetViews>
    <sheetView topLeftCell="A20" workbookViewId="0">
      <selection activeCell="K30" sqref="K30"/>
    </sheetView>
  </sheetViews>
  <sheetFormatPr defaultRowHeight="14.4" x14ac:dyDescent="0.3"/>
  <cols>
    <col min="2" max="2" width="43.88671875" customWidth="1"/>
    <col min="5" max="5" width="10.109375" bestFit="1" customWidth="1"/>
  </cols>
  <sheetData>
    <row r="3" spans="2:11" x14ac:dyDescent="0.3">
      <c r="B3" s="229" t="s">
        <v>23</v>
      </c>
      <c r="C3" s="229"/>
      <c r="D3" s="229"/>
      <c r="E3" s="229"/>
      <c r="F3" s="229"/>
      <c r="G3" s="229"/>
      <c r="H3" s="229"/>
      <c r="I3" s="229"/>
    </row>
    <row r="5" spans="2:11" x14ac:dyDescent="0.3">
      <c r="B5" s="1" t="s">
        <v>1</v>
      </c>
      <c r="C5" s="2" t="s">
        <v>2</v>
      </c>
      <c r="D5" s="2">
        <v>2015</v>
      </c>
      <c r="E5" s="2">
        <v>2020</v>
      </c>
      <c r="F5" s="2">
        <v>2025</v>
      </c>
      <c r="G5" s="2">
        <v>2030</v>
      </c>
      <c r="H5" s="2">
        <v>2035</v>
      </c>
      <c r="I5" s="2">
        <v>2040</v>
      </c>
      <c r="J5" s="2">
        <v>2045</v>
      </c>
      <c r="K5" s="2">
        <v>2050</v>
      </c>
    </row>
    <row r="6" spans="2:11" x14ac:dyDescent="0.3">
      <c r="B6" s="3" t="s">
        <v>3</v>
      </c>
      <c r="C6" s="4">
        <v>6823</v>
      </c>
      <c r="D6" s="4">
        <v>7213</v>
      </c>
      <c r="E6" s="4">
        <v>7574</v>
      </c>
      <c r="F6" s="4">
        <v>7911</v>
      </c>
      <c r="G6" s="4">
        <v>8218</v>
      </c>
      <c r="H6" s="4">
        <v>8494</v>
      </c>
      <c r="I6" s="4">
        <v>8752</v>
      </c>
      <c r="J6" s="4">
        <v>8961</v>
      </c>
      <c r="K6" s="4">
        <v>9148</v>
      </c>
    </row>
    <row r="7" spans="2:11" x14ac:dyDescent="0.3">
      <c r="B7" s="3" t="s">
        <v>126</v>
      </c>
      <c r="C7" s="117">
        <v>1.18</v>
      </c>
      <c r="D7" s="117">
        <f>((D6-C6)/5)/C6*100</f>
        <v>1.1431921442180859</v>
      </c>
      <c r="E7" s="117">
        <f t="shared" ref="E7:K7" si="0">((E6-D6)/5)/D6*100</f>
        <v>1.0009704699847497</v>
      </c>
      <c r="F7" s="117">
        <f t="shared" si="0"/>
        <v>0.8898864536572485</v>
      </c>
      <c r="G7" s="117">
        <f t="shared" si="0"/>
        <v>0.77613449627101505</v>
      </c>
      <c r="H7" s="117">
        <f t="shared" si="0"/>
        <v>0.67169627646629348</v>
      </c>
      <c r="I7" s="117">
        <f t="shared" si="0"/>
        <v>0.60748763833294084</v>
      </c>
      <c r="J7" s="117">
        <f t="shared" si="0"/>
        <v>0.47760511882998169</v>
      </c>
      <c r="K7" s="117">
        <f t="shared" si="0"/>
        <v>0.41736413346724688</v>
      </c>
    </row>
    <row r="8" spans="2:11" x14ac:dyDescent="0.3">
      <c r="B8" s="3" t="s">
        <v>123</v>
      </c>
      <c r="C8" s="4">
        <v>64074.6</v>
      </c>
      <c r="D8" s="4">
        <f>D6*D9</f>
        <v>84671.348710244754</v>
      </c>
      <c r="E8" s="4">
        <f>E6*E9</f>
        <v>111136.28086985197</v>
      </c>
      <c r="F8" s="4">
        <f t="shared" ref="F8:K8" si="1">F6*F9</f>
        <v>145101.51801581049</v>
      </c>
      <c r="G8" s="4">
        <f t="shared" si="1"/>
        <v>188415.54086934816</v>
      </c>
      <c r="H8" s="4">
        <f t="shared" si="1"/>
        <v>243429.30216358046</v>
      </c>
      <c r="I8" s="4">
        <f t="shared" si="1"/>
        <v>313529.14594649989</v>
      </c>
      <c r="J8" s="4">
        <f t="shared" si="1"/>
        <v>401270.37774602743</v>
      </c>
      <c r="K8" s="4">
        <f t="shared" si="1"/>
        <v>512055.21365091216</v>
      </c>
    </row>
    <row r="9" spans="2:11" x14ac:dyDescent="0.3">
      <c r="B9" s="3" t="s">
        <v>122</v>
      </c>
      <c r="C9" s="115">
        <f>C8/C6</f>
        <v>9.3909717133225854</v>
      </c>
      <c r="D9" s="115">
        <f>(C9*D10/100)*5+C9</f>
        <v>11.738714641653232</v>
      </c>
      <c r="E9" s="115">
        <f>(D9*E10/100)*5+D9</f>
        <v>14.67339330206654</v>
      </c>
      <c r="F9" s="115">
        <f t="shared" ref="F9:K9" si="2">(E9*F10/100)*5+E9</f>
        <v>18.341741627583176</v>
      </c>
      <c r="G9" s="115">
        <f t="shared" si="2"/>
        <v>22.927177034478969</v>
      </c>
      <c r="H9" s="115">
        <f t="shared" si="2"/>
        <v>28.658971293098713</v>
      </c>
      <c r="I9" s="115">
        <f t="shared" si="2"/>
        <v>35.823714116373388</v>
      </c>
      <c r="J9" s="115">
        <f t="shared" si="2"/>
        <v>44.779642645466737</v>
      </c>
      <c r="K9" s="115">
        <f t="shared" si="2"/>
        <v>55.974553306833421</v>
      </c>
    </row>
    <row r="10" spans="2:11" x14ac:dyDescent="0.3">
      <c r="B10" s="3" t="s">
        <v>126</v>
      </c>
      <c r="C10" s="117">
        <v>7.3681000942978416</v>
      </c>
      <c r="D10" s="117">
        <v>5</v>
      </c>
      <c r="E10" s="117">
        <v>5</v>
      </c>
      <c r="F10" s="117">
        <v>5</v>
      </c>
      <c r="G10" s="117">
        <v>5</v>
      </c>
      <c r="H10" s="117">
        <v>5</v>
      </c>
      <c r="I10" s="117">
        <v>5</v>
      </c>
      <c r="J10" s="117">
        <v>5</v>
      </c>
      <c r="K10" s="117">
        <v>5</v>
      </c>
    </row>
    <row r="11" spans="2:11" x14ac:dyDescent="0.3">
      <c r="B11" s="3" t="s">
        <v>4</v>
      </c>
      <c r="C11" s="5">
        <v>45.782592000000001</v>
      </c>
      <c r="D11" s="5">
        <v>45.135919000000001</v>
      </c>
      <c r="E11" s="5">
        <v>44.447080999999997</v>
      </c>
      <c r="F11" s="5">
        <v>43.6</v>
      </c>
      <c r="G11" s="5">
        <v>42.643207755309149</v>
      </c>
      <c r="H11" s="5">
        <v>41.559650800449653</v>
      </c>
      <c r="I11" s="5">
        <v>40.307817263592902</v>
      </c>
      <c r="J11" s="5">
        <v>38.916414088791861</v>
      </c>
      <c r="K11" s="5">
        <v>37.458250682806792</v>
      </c>
    </row>
    <row r="12" spans="2:11" x14ac:dyDescent="0.3">
      <c r="B12" s="7" t="s">
        <v>5</v>
      </c>
      <c r="C12" s="8">
        <v>0.67125897698959403</v>
      </c>
      <c r="D12" s="8">
        <f t="shared" ref="D12:K12" si="3">D11/D6*100</f>
        <v>0.62575792319423262</v>
      </c>
      <c r="E12" s="8">
        <f t="shared" si="3"/>
        <v>0.58683761552680225</v>
      </c>
      <c r="F12" s="8">
        <f t="shared" si="3"/>
        <v>0.55113133611427134</v>
      </c>
      <c r="G12" s="8">
        <f t="shared" si="3"/>
        <v>0.51890007003296601</v>
      </c>
      <c r="H12" s="8">
        <f t="shared" si="3"/>
        <v>0.48928244408346661</v>
      </c>
      <c r="I12" s="8">
        <f t="shared" si="3"/>
        <v>0.46055549889845637</v>
      </c>
      <c r="J12" s="8">
        <f t="shared" si="3"/>
        <v>0.4342865091930796</v>
      </c>
      <c r="K12" s="8">
        <f t="shared" si="3"/>
        <v>0.40946929036736762</v>
      </c>
    </row>
    <row r="13" spans="2:11" x14ac:dyDescent="0.3">
      <c r="B13" s="1" t="s">
        <v>120</v>
      </c>
      <c r="C13" s="116">
        <v>136.4</v>
      </c>
      <c r="D13" s="5">
        <f>D11*D14</f>
        <v>127.16104157514584</v>
      </c>
      <c r="E13" s="5">
        <f t="shared" ref="E13:K13" si="4">E11*E14</f>
        <v>169.56927016687033</v>
      </c>
      <c r="F13" s="5">
        <f t="shared" si="4"/>
        <v>223.91598178953541</v>
      </c>
      <c r="G13" s="5">
        <f t="shared" si="4"/>
        <v>283.52962832197142</v>
      </c>
      <c r="H13" s="5">
        <f t="shared" si="4"/>
        <v>357.31705177238803</v>
      </c>
      <c r="I13" s="5">
        <f t="shared" si="4"/>
        <v>447.63247391485135</v>
      </c>
      <c r="J13" s="5">
        <f t="shared" si="4"/>
        <v>557.65219710051406</v>
      </c>
      <c r="K13" s="5">
        <f t="shared" si="4"/>
        <v>670.94683188015938</v>
      </c>
    </row>
    <row r="14" spans="2:11" x14ac:dyDescent="0.3">
      <c r="B14" s="1" t="s">
        <v>121</v>
      </c>
      <c r="C14" s="115">
        <f>C13/C11</f>
        <v>2.9792983324316809</v>
      </c>
      <c r="D14" s="115">
        <f>D9*D15/100</f>
        <v>2.8172915139967758</v>
      </c>
      <c r="E14" s="115">
        <f t="shared" ref="E14:K14" si="5">E9*E15/100</f>
        <v>3.8150822585373003</v>
      </c>
      <c r="F14" s="115">
        <f t="shared" si="5"/>
        <v>5.1356876557232889</v>
      </c>
      <c r="G14" s="115">
        <f t="shared" si="5"/>
        <v>6.6488813399989013</v>
      </c>
      <c r="H14" s="115">
        <f t="shared" si="5"/>
        <v>8.5976913879296131</v>
      </c>
      <c r="I14" s="115">
        <f t="shared" si="5"/>
        <v>11.105351376075751</v>
      </c>
      <c r="J14" s="115">
        <f t="shared" si="5"/>
        <v>14.329485646549356</v>
      </c>
      <c r="K14" s="115">
        <f t="shared" si="5"/>
        <v>17.911857058186694</v>
      </c>
    </row>
    <row r="15" spans="2:11" x14ac:dyDescent="0.3">
      <c r="B15" s="1" t="s">
        <v>125</v>
      </c>
      <c r="C15" s="9">
        <f t="shared" ref="C15" si="6">C14/C9*100</f>
        <v>31.725133706931231</v>
      </c>
      <c r="D15" s="9">
        <v>24</v>
      </c>
      <c r="E15" s="9">
        <v>26</v>
      </c>
      <c r="F15" s="9">
        <v>28</v>
      </c>
      <c r="G15" s="9">
        <v>29</v>
      </c>
      <c r="H15" s="9">
        <v>30</v>
      </c>
      <c r="I15" s="9">
        <v>31</v>
      </c>
      <c r="J15" s="9">
        <v>32</v>
      </c>
      <c r="K15" s="9">
        <v>32</v>
      </c>
    </row>
    <row r="16" spans="2:11" x14ac:dyDescent="0.3">
      <c r="B16" s="3" t="s">
        <v>6</v>
      </c>
      <c r="C16" s="5">
        <v>31.269164</v>
      </c>
      <c r="D16" s="5">
        <f t="shared" ref="D16:K16" si="7">D11*D17/100</f>
        <v>30.968792152037004</v>
      </c>
      <c r="E16" s="5">
        <f t="shared" si="7"/>
        <v>30.624038808999998</v>
      </c>
      <c r="F16" s="5">
        <f t="shared" si="7"/>
        <v>30.607200000000002</v>
      </c>
      <c r="G16" s="5">
        <f t="shared" si="7"/>
        <v>30.063461467492949</v>
      </c>
      <c r="H16" s="5">
        <f t="shared" si="7"/>
        <v>29.424232766718351</v>
      </c>
      <c r="I16" s="5">
        <f t="shared" si="7"/>
        <v>28.658858074414553</v>
      </c>
      <c r="J16" s="5">
        <f t="shared" si="7"/>
        <v>27.786319659397392</v>
      </c>
      <c r="K16" s="5">
        <f t="shared" si="7"/>
        <v>26.857565739572468</v>
      </c>
    </row>
    <row r="17" spans="2:11" x14ac:dyDescent="0.3">
      <c r="B17" s="1" t="s">
        <v>7</v>
      </c>
      <c r="C17" s="9">
        <v>68.273283842794768</v>
      </c>
      <c r="D17" s="9">
        <v>68.612300000000005</v>
      </c>
      <c r="E17" s="9">
        <v>68.900000000000006</v>
      </c>
      <c r="F17" s="9">
        <v>70.2</v>
      </c>
      <c r="G17" s="9">
        <v>70.5</v>
      </c>
      <c r="H17" s="9">
        <v>70.8</v>
      </c>
      <c r="I17" s="9">
        <v>71.099999999999994</v>
      </c>
      <c r="J17" s="9">
        <v>71.400000000000006</v>
      </c>
      <c r="K17" s="9">
        <v>71.7</v>
      </c>
    </row>
    <row r="18" spans="2:11" x14ac:dyDescent="0.3">
      <c r="B18" s="1" t="s">
        <v>22</v>
      </c>
      <c r="C18" s="39">
        <v>1.61E-2</v>
      </c>
      <c r="D18" s="39">
        <v>6.1412000000000001E-2</v>
      </c>
      <c r="E18" s="39">
        <v>6.1412000000000001E-2</v>
      </c>
      <c r="F18" s="39">
        <v>6.1412000000000001E-2</v>
      </c>
      <c r="G18" s="39">
        <v>6.1412000000000001E-2</v>
      </c>
      <c r="H18" s="39">
        <v>6.1412000000000001E-2</v>
      </c>
      <c r="I18" s="39">
        <v>6.1412000000000001E-2</v>
      </c>
      <c r="J18" s="39">
        <v>6.1412000000000001E-2</v>
      </c>
      <c r="K18" s="39">
        <v>6.1412000000000001E-2</v>
      </c>
    </row>
    <row r="19" spans="2:11" x14ac:dyDescent="0.3">
      <c r="B19" s="1" t="s">
        <v>21</v>
      </c>
      <c r="C19" s="39">
        <f t="shared" ref="C19:K19" si="8">C18/C11*100</f>
        <v>3.5166204657001508E-2</v>
      </c>
      <c r="D19" s="39">
        <f t="shared" si="8"/>
        <v>0.13606015200443797</v>
      </c>
      <c r="E19" s="39">
        <f t="shared" si="8"/>
        <v>0.13816880348115548</v>
      </c>
      <c r="F19" s="39">
        <f t="shared" si="8"/>
        <v>0.14085321100917431</v>
      </c>
      <c r="G19" s="39">
        <f t="shared" si="8"/>
        <v>0.14401355627932119</v>
      </c>
      <c r="H19" s="39">
        <f t="shared" si="8"/>
        <v>0.14776832532802597</v>
      </c>
      <c r="I19" s="39">
        <f t="shared" si="8"/>
        <v>0.15235754295102694</v>
      </c>
      <c r="J19" s="39">
        <f t="shared" si="8"/>
        <v>0.15780487857869463</v>
      </c>
      <c r="K19" s="39">
        <f t="shared" si="8"/>
        <v>0.16394785896445477</v>
      </c>
    </row>
    <row r="20" spans="2:11" ht="15" x14ac:dyDescent="0.25">
      <c r="B20" s="10"/>
      <c r="C20" s="11"/>
      <c r="D20" s="8"/>
      <c r="E20" s="8"/>
      <c r="F20" s="11"/>
      <c r="G20" s="11"/>
      <c r="H20" s="11"/>
      <c r="I20" s="11"/>
      <c r="J20" s="11"/>
      <c r="K20" s="11"/>
    </row>
    <row r="21" spans="2:11" ht="28.2" x14ac:dyDescent="0.3">
      <c r="B21" s="12" t="s">
        <v>17</v>
      </c>
      <c r="C21" s="13">
        <f>C11*C22/100</f>
        <v>11.016969000000001</v>
      </c>
      <c r="D21" s="13">
        <v>10.364474</v>
      </c>
      <c r="E21" s="13">
        <v>9.7652529999999995</v>
      </c>
      <c r="F21" s="118">
        <v>9.1509217508729037</v>
      </c>
      <c r="G21" s="118">
        <v>8.699012274103552</v>
      </c>
      <c r="H21" s="118">
        <v>8.0708054243255862</v>
      </c>
      <c r="I21" s="118">
        <v>7.3799394299405385</v>
      </c>
      <c r="J21" s="118">
        <v>7.0098887653397446</v>
      </c>
      <c r="K21" s="118">
        <v>6.9101597975593796</v>
      </c>
    </row>
    <row r="22" spans="2:11" x14ac:dyDescent="0.3">
      <c r="B22" s="14" t="s">
        <v>8</v>
      </c>
      <c r="C22" s="16">
        <v>24.063663761108153</v>
      </c>
      <c r="D22" s="15">
        <f t="shared" ref="D22:K22" si="9">D21/D11*100</f>
        <v>22.962807071680537</v>
      </c>
      <c r="E22" s="15">
        <f t="shared" si="9"/>
        <v>21.970515904070282</v>
      </c>
      <c r="F22" s="15">
        <f t="shared" si="9"/>
        <v>20.98835263961675</v>
      </c>
      <c r="G22" s="15">
        <f t="shared" si="9"/>
        <v>20.399526048836019</v>
      </c>
      <c r="H22" s="15">
        <f t="shared" si="9"/>
        <v>19.419810486565169</v>
      </c>
      <c r="I22" s="15">
        <f t="shared" si="9"/>
        <v>18.308953277423676</v>
      </c>
      <c r="J22" s="15">
        <f t="shared" si="9"/>
        <v>18.012679044235554</v>
      </c>
      <c r="K22" s="15">
        <f t="shared" si="9"/>
        <v>18.447630819906706</v>
      </c>
    </row>
    <row r="23" spans="2:11" ht="15" x14ac:dyDescent="0.25">
      <c r="B23" s="1"/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3">
      <c r="B24" s="17" t="s">
        <v>18</v>
      </c>
      <c r="C24" s="18">
        <f>C11*C25/100</f>
        <v>8.0811260000000011</v>
      </c>
      <c r="D24" s="18">
        <v>8.0127120000000005</v>
      </c>
      <c r="E24" s="18">
        <v>8.3351299999999995</v>
      </c>
      <c r="F24" s="18">
        <v>8.3994222663254501</v>
      </c>
      <c r="G24" s="18">
        <v>7.955343897018075</v>
      </c>
      <c r="H24" s="18">
        <v>7.4657413087604318</v>
      </c>
      <c r="I24" s="18">
        <v>6.9836666655364557</v>
      </c>
      <c r="J24" s="18">
        <v>6.5128469699510321</v>
      </c>
      <c r="K24" s="18">
        <v>6.0942562915725027</v>
      </c>
    </row>
    <row r="25" spans="2:11" x14ac:dyDescent="0.3">
      <c r="B25" s="19" t="s">
        <v>9</v>
      </c>
      <c r="C25" s="21">
        <v>17.651088868013414</v>
      </c>
      <c r="D25" s="20">
        <f t="shared" ref="D25:K25" si="10">D24/D11*100</f>
        <v>17.752406902360846</v>
      </c>
      <c r="E25" s="20">
        <f t="shared" si="10"/>
        <v>18.752930029308338</v>
      </c>
      <c r="F25" s="20">
        <f t="shared" si="10"/>
        <v>19.264729968636352</v>
      </c>
      <c r="G25" s="20">
        <f t="shared" si="10"/>
        <v>18.655594444645459</v>
      </c>
      <c r="H25" s="20">
        <f t="shared" si="10"/>
        <v>17.96391732117166</v>
      </c>
      <c r="I25" s="20">
        <f t="shared" si="10"/>
        <v>17.325836871460389</v>
      </c>
      <c r="J25" s="20">
        <f t="shared" si="10"/>
        <v>16.735475563322179</v>
      </c>
      <c r="K25" s="20">
        <f t="shared" si="10"/>
        <v>16.269463150263302</v>
      </c>
    </row>
    <row r="26" spans="2:11" x14ac:dyDescent="0.3">
      <c r="B26" s="22" t="s">
        <v>10</v>
      </c>
      <c r="C26" s="20">
        <f>C24/C21</f>
        <v>0.73351626931145941</v>
      </c>
      <c r="D26" s="20">
        <f>D24/D21</f>
        <v>0.77309393607432475</v>
      </c>
      <c r="E26" s="20">
        <f t="shared" ref="E26:K26" si="11">E24/E21</f>
        <v>0.85354982610281571</v>
      </c>
      <c r="F26" s="20">
        <f t="shared" si="11"/>
        <v>0.917877181664703</v>
      </c>
      <c r="G26" s="20">
        <f t="shared" si="11"/>
        <v>0.91451117050388187</v>
      </c>
      <c r="H26" s="20">
        <f t="shared" si="11"/>
        <v>0.92503051631730859</v>
      </c>
      <c r="I26" s="20">
        <f t="shared" si="11"/>
        <v>0.9463040627682664</v>
      </c>
      <c r="J26" s="20">
        <f t="shared" si="11"/>
        <v>0.9290941964947681</v>
      </c>
      <c r="K26" s="20">
        <f t="shared" si="11"/>
        <v>0.8819269698690545</v>
      </c>
    </row>
    <row r="27" spans="2:11" x14ac:dyDescent="0.3">
      <c r="B27" s="23" t="s">
        <v>11</v>
      </c>
      <c r="C27" s="24">
        <f>(C11*10.8)/1000</f>
        <v>0.49445199360000003</v>
      </c>
      <c r="D27" s="24">
        <f>D28/1000*D21</f>
        <v>0.47676580399999996</v>
      </c>
      <c r="E27" s="24">
        <f>E21*E28/1000*0.9938</f>
        <v>0.44641658784440003</v>
      </c>
      <c r="F27" s="24">
        <f t="shared" ref="F27:K27" si="12">F21*F28/1000*0.9938</f>
        <v>0.41833255765680466</v>
      </c>
      <c r="G27" s="24">
        <f t="shared" si="12"/>
        <v>0.3976736063081891</v>
      </c>
      <c r="H27" s="24">
        <f t="shared" si="12"/>
        <v>0.36895525581195926</v>
      </c>
      <c r="I27" s="24">
        <f t="shared" si="12"/>
        <v>0.33737245505184571</v>
      </c>
      <c r="J27" s="24">
        <f t="shared" si="12"/>
        <v>0.32045566292975336</v>
      </c>
      <c r="K27" s="24">
        <f t="shared" si="12"/>
        <v>0.31589657311346753</v>
      </c>
    </row>
    <row r="28" spans="2:11" x14ac:dyDescent="0.3">
      <c r="B28" s="22" t="s">
        <v>12</v>
      </c>
      <c r="C28" s="20">
        <f t="shared" ref="C28" si="13">C27/C21*1000</f>
        <v>44.880946256633742</v>
      </c>
      <c r="D28" s="20">
        <v>46</v>
      </c>
      <c r="E28" s="20">
        <v>46</v>
      </c>
      <c r="F28" s="20">
        <v>46</v>
      </c>
      <c r="G28" s="20">
        <v>46</v>
      </c>
      <c r="H28" s="20">
        <v>46</v>
      </c>
      <c r="I28" s="20">
        <v>46</v>
      </c>
      <c r="J28" s="20">
        <v>46</v>
      </c>
      <c r="K28" s="20">
        <v>46</v>
      </c>
    </row>
    <row r="29" spans="2:11" x14ac:dyDescent="0.3">
      <c r="B29" s="1"/>
      <c r="C29" s="8"/>
      <c r="D29" s="8"/>
      <c r="E29" s="8"/>
      <c r="F29" s="8"/>
      <c r="G29" s="8"/>
      <c r="H29" s="8"/>
      <c r="I29" s="8"/>
      <c r="J29" s="8"/>
      <c r="K29" s="8"/>
    </row>
    <row r="30" spans="2:11" ht="28.2" x14ac:dyDescent="0.3">
      <c r="B30" s="26" t="s">
        <v>19</v>
      </c>
      <c r="C30" s="27">
        <f>C11*C31/100</f>
        <v>17.831987999999999</v>
      </c>
      <c r="D30" s="27">
        <v>17.494372219580899</v>
      </c>
      <c r="E30" s="27">
        <v>16.512835287815602</v>
      </c>
      <c r="F30" s="27">
        <v>15.570442595693399</v>
      </c>
      <c r="G30" s="27">
        <v>15.430187054150712</v>
      </c>
      <c r="H30" s="27">
        <v>15.340042792151616</v>
      </c>
      <c r="I30" s="27">
        <v>15.036042733497347</v>
      </c>
      <c r="J30" s="27">
        <v>14.006986945024545</v>
      </c>
      <c r="K30" s="27">
        <v>12.402099472097303</v>
      </c>
    </row>
    <row r="31" spans="2:11" x14ac:dyDescent="0.3">
      <c r="B31" s="28" t="s">
        <v>7</v>
      </c>
      <c r="C31" s="30">
        <v>38.949275742186025</v>
      </c>
      <c r="D31" s="29">
        <f t="shared" ref="D31:K31" si="14">D30/D11*100</f>
        <v>38.759313219214384</v>
      </c>
      <c r="E31" s="29">
        <f t="shared" si="14"/>
        <v>37.151675467317197</v>
      </c>
      <c r="F31" s="29">
        <f t="shared" si="14"/>
        <v>35.71202430204908</v>
      </c>
      <c r="G31" s="29">
        <f t="shared" si="14"/>
        <v>36.184395748768758</v>
      </c>
      <c r="H31" s="29">
        <f t="shared" si="14"/>
        <v>36.910903957801409</v>
      </c>
      <c r="I31" s="29">
        <f t="shared" si="14"/>
        <v>37.303043811995998</v>
      </c>
      <c r="J31" s="29">
        <f t="shared" si="14"/>
        <v>35.992491273903454</v>
      </c>
      <c r="K31" s="29">
        <f t="shared" si="14"/>
        <v>33.109126149849345</v>
      </c>
    </row>
    <row r="32" spans="2:11" x14ac:dyDescent="0.3">
      <c r="B32" s="1"/>
      <c r="C32" s="9"/>
      <c r="D32" s="8"/>
      <c r="E32" s="8"/>
      <c r="F32" s="9"/>
      <c r="G32" s="9"/>
      <c r="H32" s="9"/>
      <c r="I32" s="9"/>
      <c r="J32" s="9"/>
      <c r="K32" s="9"/>
    </row>
    <row r="33" spans="2:11" x14ac:dyDescent="0.3">
      <c r="B33" s="31" t="s">
        <v>20</v>
      </c>
      <c r="C33" s="32">
        <f>C11*C34/100</f>
        <v>9.2594792510043682</v>
      </c>
      <c r="D33" s="32">
        <v>9.2643601509793907</v>
      </c>
      <c r="E33" s="32">
        <f>9.833862</f>
        <v>9.8338619999999999</v>
      </c>
      <c r="F33" s="32">
        <v>10.48898697884826</v>
      </c>
      <c r="G33" s="32">
        <v>10.558664530036811</v>
      </c>
      <c r="H33" s="32">
        <v>10.683061275212019</v>
      </c>
      <c r="I33" s="32">
        <v>10.908168434618553</v>
      </c>
      <c r="J33" s="32">
        <v>11.386691408476544</v>
      </c>
      <c r="K33" s="32">
        <v>12.051735121577604</v>
      </c>
    </row>
    <row r="34" spans="2:11" x14ac:dyDescent="0.3">
      <c r="B34" s="33" t="s">
        <v>7</v>
      </c>
      <c r="C34" s="35">
        <v>20.224890829694324</v>
      </c>
      <c r="D34" s="34">
        <f t="shared" ref="D34:K34" si="15">D33/D11*100</f>
        <v>20.525471412201423</v>
      </c>
      <c r="E34" s="34">
        <f t="shared" si="15"/>
        <v>22.124876996984348</v>
      </c>
      <c r="F34" s="34">
        <f t="shared" si="15"/>
        <v>24.057309584514357</v>
      </c>
      <c r="G34" s="34">
        <f t="shared" si="15"/>
        <v>24.760483757749768</v>
      </c>
      <c r="H34" s="34">
        <f t="shared" si="15"/>
        <v>25.705368234461762</v>
      </c>
      <c r="I34" s="34">
        <f t="shared" si="15"/>
        <v>27.062166039119916</v>
      </c>
      <c r="J34" s="34">
        <f t="shared" si="15"/>
        <v>29.259354118538823</v>
      </c>
      <c r="K34" s="34">
        <f t="shared" si="15"/>
        <v>32.173779879980643</v>
      </c>
    </row>
    <row r="35" spans="2:11" x14ac:dyDescent="0.3">
      <c r="B35" s="36" t="s">
        <v>13</v>
      </c>
      <c r="C35" s="37">
        <f>(C11*15.2)/1000</f>
        <v>0.69589539840000003</v>
      </c>
      <c r="D35" s="37">
        <f t="shared" ref="D35:K35" si="16">D36/1000*D11</f>
        <v>0.65898441740000002</v>
      </c>
      <c r="E35" s="37">
        <f t="shared" si="16"/>
        <v>0.64892738259999994</v>
      </c>
      <c r="F35" s="37">
        <f t="shared" si="16"/>
        <v>0.63656000000000001</v>
      </c>
      <c r="G35" s="37">
        <f t="shared" si="16"/>
        <v>0.62259083322751363</v>
      </c>
      <c r="H35" s="37">
        <f t="shared" si="16"/>
        <v>0.60677090168656489</v>
      </c>
      <c r="I35" s="37">
        <f t="shared" si="16"/>
        <v>0.58849413204845635</v>
      </c>
      <c r="J35" s="37">
        <f t="shared" si="16"/>
        <v>0.56817964569636115</v>
      </c>
      <c r="K35" s="37">
        <f t="shared" si="16"/>
        <v>0.54689045996897911</v>
      </c>
    </row>
    <row r="36" spans="2:11" x14ac:dyDescent="0.3">
      <c r="B36" s="33" t="s">
        <v>14</v>
      </c>
      <c r="C36" s="34">
        <v>19.335971628692409</v>
      </c>
      <c r="D36" s="34">
        <f>14.6</f>
        <v>14.6</v>
      </c>
      <c r="E36" s="34">
        <f t="shared" ref="E36:K36" si="17">14.6</f>
        <v>14.6</v>
      </c>
      <c r="F36" s="34">
        <f t="shared" si="17"/>
        <v>14.6</v>
      </c>
      <c r="G36" s="34">
        <f t="shared" si="17"/>
        <v>14.6</v>
      </c>
      <c r="H36" s="34">
        <f t="shared" si="17"/>
        <v>14.6</v>
      </c>
      <c r="I36" s="34">
        <f t="shared" si="17"/>
        <v>14.6</v>
      </c>
      <c r="J36" s="34">
        <f t="shared" si="17"/>
        <v>14.6</v>
      </c>
      <c r="K36" s="34">
        <f t="shared" si="17"/>
        <v>14.6</v>
      </c>
    </row>
  </sheetData>
  <mergeCells count="1">
    <mergeCell ref="B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6"/>
  <sheetViews>
    <sheetView topLeftCell="A22" workbookViewId="0">
      <selection activeCell="K22" sqref="K22"/>
    </sheetView>
  </sheetViews>
  <sheetFormatPr defaultRowHeight="14.4" x14ac:dyDescent="0.3"/>
  <cols>
    <col min="2" max="2" width="39.109375" customWidth="1"/>
  </cols>
  <sheetData>
    <row r="3" spans="2:11" x14ac:dyDescent="0.3">
      <c r="B3" s="229" t="s">
        <v>24</v>
      </c>
      <c r="C3" s="229"/>
      <c r="D3" s="229"/>
      <c r="E3" s="229"/>
      <c r="F3" s="229"/>
      <c r="G3" s="229"/>
      <c r="H3" s="229"/>
      <c r="I3" s="229"/>
    </row>
    <row r="5" spans="2:11" x14ac:dyDescent="0.3">
      <c r="B5" s="1" t="s">
        <v>1</v>
      </c>
      <c r="C5" s="2" t="s">
        <v>2</v>
      </c>
      <c r="D5" s="2">
        <v>2015</v>
      </c>
      <c r="E5" s="2">
        <v>2020</v>
      </c>
      <c r="F5" s="2">
        <v>2025</v>
      </c>
      <c r="G5" s="2">
        <v>2030</v>
      </c>
      <c r="H5" s="2">
        <v>2035</v>
      </c>
      <c r="I5" s="2">
        <v>2040</v>
      </c>
      <c r="J5" s="2">
        <v>2045</v>
      </c>
      <c r="K5" s="2">
        <v>2050</v>
      </c>
    </row>
    <row r="6" spans="2:11" x14ac:dyDescent="0.3">
      <c r="B6" s="3" t="s">
        <v>3</v>
      </c>
      <c r="C6" s="4">
        <v>6823</v>
      </c>
      <c r="D6" s="4">
        <v>7213</v>
      </c>
      <c r="E6" s="4">
        <v>7574</v>
      </c>
      <c r="F6" s="4">
        <v>7911</v>
      </c>
      <c r="G6" s="4">
        <v>8218</v>
      </c>
      <c r="H6" s="4">
        <v>8494</v>
      </c>
      <c r="I6" s="4">
        <v>8752</v>
      </c>
      <c r="J6" s="4">
        <v>8961</v>
      </c>
      <c r="K6" s="4">
        <v>9148</v>
      </c>
    </row>
    <row r="7" spans="2:11" x14ac:dyDescent="0.3">
      <c r="B7" s="3" t="s">
        <v>126</v>
      </c>
      <c r="C7" s="117">
        <v>1.18</v>
      </c>
      <c r="D7" s="117">
        <f>((D6-C6)/5)/C6*100</f>
        <v>1.1431921442180859</v>
      </c>
      <c r="E7" s="117">
        <f t="shared" ref="E7:K7" si="0">((E6-D6)/5)/D6*100</f>
        <v>1.0009704699847497</v>
      </c>
      <c r="F7" s="117">
        <f t="shared" si="0"/>
        <v>0.8898864536572485</v>
      </c>
      <c r="G7" s="117">
        <f t="shared" si="0"/>
        <v>0.77613449627101505</v>
      </c>
      <c r="H7" s="117">
        <f t="shared" si="0"/>
        <v>0.67169627646629348</v>
      </c>
      <c r="I7" s="117">
        <f t="shared" si="0"/>
        <v>0.60748763833294084</v>
      </c>
      <c r="J7" s="117">
        <f t="shared" si="0"/>
        <v>0.47760511882998169</v>
      </c>
      <c r="K7" s="117">
        <f t="shared" si="0"/>
        <v>0.41736413346724688</v>
      </c>
    </row>
    <row r="8" spans="2:11" x14ac:dyDescent="0.3">
      <c r="B8" s="3" t="s">
        <v>123</v>
      </c>
      <c r="C8" s="4">
        <v>64074.6</v>
      </c>
      <c r="D8" s="4">
        <f>D6*D9</f>
        <v>84671.348710244754</v>
      </c>
      <c r="E8" s="4">
        <f>E6*E9</f>
        <v>111136.28086985197</v>
      </c>
      <c r="F8" s="4">
        <f t="shared" ref="F8:K8" si="1">F6*F9</f>
        <v>145101.51801581049</v>
      </c>
      <c r="G8" s="4">
        <f t="shared" si="1"/>
        <v>188415.54086934816</v>
      </c>
      <c r="H8" s="4">
        <f t="shared" si="1"/>
        <v>243429.30216358046</v>
      </c>
      <c r="I8" s="4">
        <f t="shared" si="1"/>
        <v>313529.14594649989</v>
      </c>
      <c r="J8" s="4">
        <f t="shared" si="1"/>
        <v>401270.37774602743</v>
      </c>
      <c r="K8" s="4">
        <f t="shared" si="1"/>
        <v>512055.21365091216</v>
      </c>
    </row>
    <row r="9" spans="2:11" x14ac:dyDescent="0.3">
      <c r="B9" s="3" t="s">
        <v>122</v>
      </c>
      <c r="C9" s="115">
        <f>C8/C6</f>
        <v>9.3909717133225854</v>
      </c>
      <c r="D9" s="115">
        <f>(C9*D10/100)*5+C9</f>
        <v>11.738714641653232</v>
      </c>
      <c r="E9" s="115">
        <f>(D9*E10/100)*5+D9</f>
        <v>14.67339330206654</v>
      </c>
      <c r="F9" s="115">
        <f t="shared" ref="F9:K9" si="2">(E9*F10/100)*5+E9</f>
        <v>18.341741627583176</v>
      </c>
      <c r="G9" s="115">
        <f t="shared" si="2"/>
        <v>22.927177034478969</v>
      </c>
      <c r="H9" s="115">
        <f t="shared" si="2"/>
        <v>28.658971293098713</v>
      </c>
      <c r="I9" s="115">
        <f t="shared" si="2"/>
        <v>35.823714116373388</v>
      </c>
      <c r="J9" s="115">
        <f t="shared" si="2"/>
        <v>44.779642645466737</v>
      </c>
      <c r="K9" s="115">
        <f t="shared" si="2"/>
        <v>55.974553306833421</v>
      </c>
    </row>
    <row r="10" spans="2:11" x14ac:dyDescent="0.3">
      <c r="B10" s="3" t="s">
        <v>126</v>
      </c>
      <c r="C10" s="117">
        <v>7.3681000942978416</v>
      </c>
      <c r="D10" s="117">
        <v>5</v>
      </c>
      <c r="E10" s="117">
        <v>5</v>
      </c>
      <c r="F10" s="117">
        <v>5</v>
      </c>
      <c r="G10" s="117">
        <v>5</v>
      </c>
      <c r="H10" s="117">
        <v>5</v>
      </c>
      <c r="I10" s="117">
        <v>5</v>
      </c>
      <c r="J10" s="117">
        <v>5</v>
      </c>
      <c r="K10" s="117">
        <v>5</v>
      </c>
    </row>
    <row r="11" spans="2:11" x14ac:dyDescent="0.3">
      <c r="B11" s="3" t="s">
        <v>4</v>
      </c>
      <c r="C11" s="5">
        <v>45.782592000000001</v>
      </c>
      <c r="D11" s="5">
        <v>45.135919000000001</v>
      </c>
      <c r="E11" s="5">
        <v>45.651848000000001</v>
      </c>
      <c r="F11" s="5">
        <v>46.997312999999998</v>
      </c>
      <c r="G11" s="5">
        <v>48.234589999999997</v>
      </c>
      <c r="H11" s="5">
        <v>49.279656000000003</v>
      </c>
      <c r="I11" s="5">
        <v>50.197122999999998</v>
      </c>
      <c r="J11" s="5">
        <v>51.313961999999997</v>
      </c>
      <c r="K11" s="5">
        <v>52.832540999999999</v>
      </c>
    </row>
    <row r="12" spans="2:11" x14ac:dyDescent="0.3">
      <c r="B12" s="7" t="s">
        <v>5</v>
      </c>
      <c r="C12" s="8">
        <v>0.67125897698959403</v>
      </c>
      <c r="D12" s="8">
        <f t="shared" ref="D12:K12" si="3">D11/D6*100</f>
        <v>0.62575792319423262</v>
      </c>
      <c r="E12" s="8">
        <f t="shared" si="3"/>
        <v>0.60274423026142065</v>
      </c>
      <c r="F12" s="8">
        <f t="shared" si="3"/>
        <v>0.59407550246492224</v>
      </c>
      <c r="G12" s="8">
        <f t="shared" si="3"/>
        <v>0.58693830615721587</v>
      </c>
      <c r="H12" s="8">
        <f t="shared" si="3"/>
        <v>0.58017019072286313</v>
      </c>
      <c r="I12" s="8">
        <f t="shared" si="3"/>
        <v>0.57355030850091404</v>
      </c>
      <c r="J12" s="8">
        <f t="shared" si="3"/>
        <v>0.5726365584198192</v>
      </c>
      <c r="K12" s="8">
        <f t="shared" si="3"/>
        <v>0.57753105596851773</v>
      </c>
    </row>
    <row r="13" spans="2:11" x14ac:dyDescent="0.3">
      <c r="B13" s="1" t="s">
        <v>120</v>
      </c>
      <c r="C13" s="116">
        <v>136.4</v>
      </c>
      <c r="D13" s="5">
        <f>D11*D14</f>
        <v>127.16104157514584</v>
      </c>
      <c r="E13" s="5">
        <f t="shared" ref="E13:K13" si="4">E11*E14</f>
        <v>174.16555537424153</v>
      </c>
      <c r="F13" s="5">
        <f t="shared" si="4"/>
        <v>241.36352022626363</v>
      </c>
      <c r="G13" s="5">
        <f t="shared" si="4"/>
        <v>320.70606539349757</v>
      </c>
      <c r="H13" s="5">
        <f t="shared" si="4"/>
        <v>423.6912739913339</v>
      </c>
      <c r="I13" s="5">
        <f t="shared" si="4"/>
        <v>557.45668898309373</v>
      </c>
      <c r="J13" s="5">
        <f t="shared" si="4"/>
        <v>735.30268194657901</v>
      </c>
      <c r="K13" s="5">
        <f t="shared" si="4"/>
        <v>946.32892241278785</v>
      </c>
    </row>
    <row r="14" spans="2:11" x14ac:dyDescent="0.3">
      <c r="B14" s="1" t="s">
        <v>121</v>
      </c>
      <c r="C14" s="115">
        <f>C13/C11</f>
        <v>2.9792983324316809</v>
      </c>
      <c r="D14" s="115">
        <f>D9*D15/100</f>
        <v>2.8172915139967758</v>
      </c>
      <c r="E14" s="115">
        <f t="shared" ref="E14:K14" si="5">E9*E15/100</f>
        <v>3.8150822585373003</v>
      </c>
      <c r="F14" s="115">
        <f t="shared" si="5"/>
        <v>5.1356876557232889</v>
      </c>
      <c r="G14" s="115">
        <f t="shared" si="5"/>
        <v>6.6488813399989013</v>
      </c>
      <c r="H14" s="115">
        <f t="shared" si="5"/>
        <v>8.5976913879296131</v>
      </c>
      <c r="I14" s="115">
        <f t="shared" si="5"/>
        <v>11.105351376075751</v>
      </c>
      <c r="J14" s="115">
        <f t="shared" si="5"/>
        <v>14.329485646549356</v>
      </c>
      <c r="K14" s="115">
        <f t="shared" si="5"/>
        <v>17.911857058186694</v>
      </c>
    </row>
    <row r="15" spans="2:11" x14ac:dyDescent="0.3">
      <c r="B15" s="1" t="s">
        <v>125</v>
      </c>
      <c r="C15" s="9">
        <f t="shared" ref="C15" si="6">C14/C9*100</f>
        <v>31.725133706931231</v>
      </c>
      <c r="D15" s="9">
        <v>24</v>
      </c>
      <c r="E15" s="9">
        <v>26</v>
      </c>
      <c r="F15" s="9">
        <v>28</v>
      </c>
      <c r="G15" s="9">
        <v>29</v>
      </c>
      <c r="H15" s="9">
        <v>30</v>
      </c>
      <c r="I15" s="9">
        <v>31</v>
      </c>
      <c r="J15" s="9">
        <v>32</v>
      </c>
      <c r="K15" s="9">
        <v>32</v>
      </c>
    </row>
    <row r="16" spans="2:11" x14ac:dyDescent="0.3">
      <c r="B16" s="3" t="s">
        <v>6</v>
      </c>
      <c r="C16" s="5">
        <v>31.269164</v>
      </c>
      <c r="D16" s="5">
        <f t="shared" ref="D16:K16" si="7">D11*D17/100</f>
        <v>30.968792152037004</v>
      </c>
      <c r="E16" s="5">
        <f t="shared" si="7"/>
        <v>31.454123272</v>
      </c>
      <c r="F16" s="5">
        <f t="shared" si="7"/>
        <v>32.992113725999999</v>
      </c>
      <c r="G16" s="5">
        <f t="shared" si="7"/>
        <v>34.005385949999997</v>
      </c>
      <c r="H16" s="5">
        <f t="shared" si="7"/>
        <v>34.889996448000005</v>
      </c>
      <c r="I16" s="5">
        <f t="shared" si="7"/>
        <v>35.690154452999998</v>
      </c>
      <c r="J16" s="5">
        <f t="shared" si="7"/>
        <v>36.638168868000001</v>
      </c>
      <c r="K16" s="5">
        <f t="shared" si="7"/>
        <v>37.880931897000004</v>
      </c>
    </row>
    <row r="17" spans="2:11" x14ac:dyDescent="0.3">
      <c r="B17" s="1" t="s">
        <v>7</v>
      </c>
      <c r="C17" s="9">
        <v>68.273283842794768</v>
      </c>
      <c r="D17" s="9">
        <v>68.612300000000005</v>
      </c>
      <c r="E17" s="9">
        <v>68.900000000000006</v>
      </c>
      <c r="F17" s="9">
        <v>70.2</v>
      </c>
      <c r="G17" s="9">
        <v>70.5</v>
      </c>
      <c r="H17" s="9">
        <v>70.8</v>
      </c>
      <c r="I17" s="9">
        <v>71.099999999999994</v>
      </c>
      <c r="J17" s="9">
        <v>71.400000000000006</v>
      </c>
      <c r="K17" s="9">
        <v>71.7</v>
      </c>
    </row>
    <row r="18" spans="2:11" x14ac:dyDescent="0.3">
      <c r="B18" s="1" t="s">
        <v>22</v>
      </c>
      <c r="C18" s="39">
        <v>1.61E-2</v>
      </c>
      <c r="D18" s="39">
        <v>6.1412000000000001E-2</v>
      </c>
      <c r="E18" s="39">
        <v>6.1412000000000001E-2</v>
      </c>
      <c r="F18" s="39">
        <v>6.1412000000000001E-2</v>
      </c>
      <c r="G18" s="39">
        <v>6.1412000000000001E-2</v>
      </c>
      <c r="H18" s="39">
        <v>6.1412000000000001E-2</v>
      </c>
      <c r="I18" s="39">
        <v>6.1412000000000001E-2</v>
      </c>
      <c r="J18" s="39">
        <v>6.1412000000000001E-2</v>
      </c>
      <c r="K18" s="39">
        <v>6.1412000000000001E-2</v>
      </c>
    </row>
    <row r="19" spans="2:11" x14ac:dyDescent="0.3">
      <c r="B19" s="1" t="s">
        <v>21</v>
      </c>
      <c r="C19" s="39">
        <f t="shared" ref="C19:K19" si="8">C18/C11*100</f>
        <v>3.5166204657001508E-2</v>
      </c>
      <c r="D19" s="39">
        <f t="shared" si="8"/>
        <v>0.13606015200443797</v>
      </c>
      <c r="E19" s="39">
        <f t="shared" si="8"/>
        <v>0.13452248417194415</v>
      </c>
      <c r="F19" s="39">
        <f t="shared" si="8"/>
        <v>0.13067130029327423</v>
      </c>
      <c r="G19" s="39">
        <f t="shared" si="8"/>
        <v>0.12731941952859971</v>
      </c>
      <c r="H19" s="39">
        <f t="shared" si="8"/>
        <v>0.12461937640149111</v>
      </c>
      <c r="I19" s="39">
        <f t="shared" si="8"/>
        <v>0.12234167284846185</v>
      </c>
      <c r="J19" s="39">
        <f t="shared" si="8"/>
        <v>0.11967892870950016</v>
      </c>
      <c r="K19" s="39">
        <f t="shared" si="8"/>
        <v>0.11623896719258686</v>
      </c>
    </row>
    <row r="20" spans="2:11" ht="15" x14ac:dyDescent="0.25">
      <c r="B20" s="10"/>
      <c r="C20" s="11"/>
      <c r="D20" s="8"/>
      <c r="E20" s="8"/>
      <c r="F20" s="11"/>
      <c r="G20" s="11"/>
      <c r="H20" s="11"/>
      <c r="I20" s="11"/>
      <c r="J20" s="11"/>
      <c r="K20" s="11"/>
    </row>
    <row r="21" spans="2:11" ht="28.2" x14ac:dyDescent="0.3">
      <c r="B21" s="12" t="s">
        <v>17</v>
      </c>
      <c r="C21" s="13">
        <f>C11*C22/100</f>
        <v>11.016969000000001</v>
      </c>
      <c r="D21" s="13">
        <v>10.364474</v>
      </c>
      <c r="E21" s="13">
        <v>9.7658047088653799</v>
      </c>
      <c r="F21" s="118">
        <v>9.1544699999999999</v>
      </c>
      <c r="G21" s="118">
        <v>8.7088739999999998</v>
      </c>
      <c r="H21" s="118">
        <v>8.2535600000000002</v>
      </c>
      <c r="I21" s="118">
        <v>8.3802000000000003</v>
      </c>
      <c r="J21" s="118">
        <v>9.1172690000000003</v>
      </c>
      <c r="K21" s="118">
        <v>10.071980999999999</v>
      </c>
    </row>
    <row r="22" spans="2:11" x14ac:dyDescent="0.3">
      <c r="B22" s="14" t="s">
        <v>8</v>
      </c>
      <c r="C22" s="16">
        <v>24.063663761108153</v>
      </c>
      <c r="D22" s="15">
        <f t="shared" ref="D22:K22" si="9">D21/D11*100</f>
        <v>22.962807071680537</v>
      </c>
      <c r="E22" s="15">
        <f t="shared" si="9"/>
        <v>21.391915413512681</v>
      </c>
      <c r="F22" s="15">
        <f t="shared" si="9"/>
        <v>19.478709346638606</v>
      </c>
      <c r="G22" s="15">
        <f t="shared" si="9"/>
        <v>18.055246245484827</v>
      </c>
      <c r="H22" s="15">
        <f t="shared" si="9"/>
        <v>16.748412367164249</v>
      </c>
      <c r="I22" s="15">
        <f t="shared" si="9"/>
        <v>16.694582277155607</v>
      </c>
      <c r="J22" s="15">
        <f t="shared" si="9"/>
        <v>17.767618489486352</v>
      </c>
      <c r="K22" s="15">
        <f t="shared" si="9"/>
        <v>19.063972334777539</v>
      </c>
    </row>
    <row r="23" spans="2:11" ht="15" x14ac:dyDescent="0.25">
      <c r="B23" s="1"/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3">
      <c r="B24" s="17" t="s">
        <v>18</v>
      </c>
      <c r="C24" s="18">
        <f>C11*C25/100</f>
        <v>8.0811260000000011</v>
      </c>
      <c r="D24" s="18">
        <v>8.0127120000000005</v>
      </c>
      <c r="E24" s="18">
        <v>9.5375524714509101</v>
      </c>
      <c r="F24" s="18">
        <v>11.771712000000001</v>
      </c>
      <c r="G24" s="18">
        <v>13.512798999999999</v>
      </c>
      <c r="H24" s="18">
        <v>14.762763</v>
      </c>
      <c r="I24" s="18">
        <v>14.729645</v>
      </c>
      <c r="J24" s="18">
        <v>14.439093</v>
      </c>
      <c r="K24" s="18">
        <v>14.765949000000001</v>
      </c>
    </row>
    <row r="25" spans="2:11" x14ac:dyDescent="0.3">
      <c r="B25" s="19" t="s">
        <v>9</v>
      </c>
      <c r="C25" s="21">
        <v>17.651088868013414</v>
      </c>
      <c r="D25" s="20">
        <f t="shared" ref="D25:K25" si="10">D24/D11*100</f>
        <v>17.752406902360846</v>
      </c>
      <c r="E25" s="20">
        <f t="shared" si="10"/>
        <v>20.891930752619061</v>
      </c>
      <c r="F25" s="20">
        <f t="shared" si="10"/>
        <v>25.047627722887057</v>
      </c>
      <c r="G25" s="20">
        <f t="shared" si="10"/>
        <v>28.014748337240974</v>
      </c>
      <c r="H25" s="20">
        <f t="shared" si="10"/>
        <v>29.957114554533415</v>
      </c>
      <c r="I25" s="20">
        <f t="shared" si="10"/>
        <v>29.343604014915357</v>
      </c>
      <c r="J25" s="20">
        <f t="shared" si="10"/>
        <v>28.138721777125692</v>
      </c>
      <c r="K25" s="20">
        <f t="shared" si="10"/>
        <v>27.948587594906709</v>
      </c>
    </row>
    <row r="26" spans="2:11" x14ac:dyDescent="0.3">
      <c r="B26" s="22" t="s">
        <v>10</v>
      </c>
      <c r="C26" s="20">
        <f>C24/C21</f>
        <v>0.73351626931145941</v>
      </c>
      <c r="D26" s="20">
        <f>D24/D21</f>
        <v>0.77309393607432475</v>
      </c>
      <c r="E26" s="20">
        <f t="shared" ref="E26:K26" si="11">E24/E21</f>
        <v>0.97662740099571488</v>
      </c>
      <c r="F26" s="20">
        <f t="shared" si="11"/>
        <v>1.2858977089880683</v>
      </c>
      <c r="G26" s="20">
        <f t="shared" si="11"/>
        <v>1.5516126424610115</v>
      </c>
      <c r="H26" s="20">
        <f t="shared" si="11"/>
        <v>1.788653986885659</v>
      </c>
      <c r="I26" s="20">
        <f t="shared" si="11"/>
        <v>1.7576722512589198</v>
      </c>
      <c r="J26" s="20">
        <f t="shared" si="11"/>
        <v>1.58370812575564</v>
      </c>
      <c r="K26" s="20">
        <f t="shared" si="11"/>
        <v>1.4660421817713916</v>
      </c>
    </row>
    <row r="27" spans="2:11" x14ac:dyDescent="0.3">
      <c r="B27" s="23" t="s">
        <v>11</v>
      </c>
      <c r="C27" s="24">
        <f>(C11*10.8)/1000</f>
        <v>0.49445199360000003</v>
      </c>
      <c r="D27" s="24">
        <f>D28/1000*D21</f>
        <v>0.62186843999999997</v>
      </c>
      <c r="E27" s="24">
        <f>E21*E28/1000*0.9938</f>
        <v>0.82494682117198526</v>
      </c>
      <c r="F27" s="24">
        <f t="shared" ref="F27:K27" si="12">F21*F28/1000*0.9938</f>
        <v>0.86428266717000002</v>
      </c>
      <c r="G27" s="24">
        <f t="shared" si="12"/>
        <v>0.822213503214</v>
      </c>
      <c r="H27" s="24">
        <f t="shared" si="12"/>
        <v>0.77922685316000007</v>
      </c>
      <c r="I27" s="24">
        <f t="shared" si="12"/>
        <v>0.79118306220000001</v>
      </c>
      <c r="J27" s="24">
        <f t="shared" si="12"/>
        <v>0.8607704835590001</v>
      </c>
      <c r="K27" s="24">
        <f t="shared" si="12"/>
        <v>0.95090579819099996</v>
      </c>
    </row>
    <row r="28" spans="2:11" ht="28.2" x14ac:dyDescent="0.3">
      <c r="B28" s="22" t="s">
        <v>12</v>
      </c>
      <c r="C28" s="20">
        <f t="shared" ref="C28" si="13">C27/C21*1000</f>
        <v>44.880946256633742</v>
      </c>
      <c r="D28" s="20">
        <v>60</v>
      </c>
      <c r="E28" s="20">
        <v>85</v>
      </c>
      <c r="F28" s="20">
        <v>95</v>
      </c>
      <c r="G28" s="20">
        <v>95</v>
      </c>
      <c r="H28" s="20">
        <v>95</v>
      </c>
      <c r="I28" s="20">
        <v>95</v>
      </c>
      <c r="J28" s="20">
        <v>95</v>
      </c>
      <c r="K28" s="20">
        <v>95</v>
      </c>
    </row>
    <row r="29" spans="2:11" x14ac:dyDescent="0.3">
      <c r="B29" s="1"/>
      <c r="C29" s="8"/>
      <c r="D29" s="8"/>
      <c r="E29" s="8"/>
      <c r="F29" s="8"/>
      <c r="G29" s="8"/>
      <c r="H29" s="8"/>
      <c r="I29" s="8"/>
      <c r="J29" s="8"/>
      <c r="K29" s="8"/>
    </row>
    <row r="30" spans="2:11" ht="28.2" x14ac:dyDescent="0.3">
      <c r="B30" s="26" t="s">
        <v>19</v>
      </c>
      <c r="C30" s="27">
        <f>C11*C31/100</f>
        <v>17.831987999999999</v>
      </c>
      <c r="D30" s="27">
        <v>17.494372219580899</v>
      </c>
      <c r="E30" s="27">
        <v>16.514482000000001</v>
      </c>
      <c r="F30" s="27">
        <v>15.581068</v>
      </c>
      <c r="G30" s="27">
        <v>15.459797999999999</v>
      </c>
      <c r="H30" s="27">
        <v>15.572469</v>
      </c>
      <c r="I30" s="27">
        <v>16.164494999999999</v>
      </c>
      <c r="J30" s="27">
        <v>16.346423000000001</v>
      </c>
      <c r="K30" s="27">
        <v>15.904585000000001</v>
      </c>
    </row>
    <row r="31" spans="2:11" x14ac:dyDescent="0.3">
      <c r="B31" s="28" t="s">
        <v>7</v>
      </c>
      <c r="C31" s="30">
        <v>38.949275742186025</v>
      </c>
      <c r="D31" s="29">
        <f t="shared" ref="D31:K31" si="14">D30/D11*100</f>
        <v>38.759313219214384</v>
      </c>
      <c r="E31" s="29">
        <f t="shared" si="14"/>
        <v>36.1748378729378</v>
      </c>
      <c r="F31" s="29">
        <f t="shared" si="14"/>
        <v>33.153103880641005</v>
      </c>
      <c r="G31" s="29">
        <f t="shared" si="14"/>
        <v>32.051268602055082</v>
      </c>
      <c r="H31" s="29">
        <f t="shared" si="14"/>
        <v>31.600198264370999</v>
      </c>
      <c r="I31" s="29">
        <f t="shared" si="14"/>
        <v>32.202034766016368</v>
      </c>
      <c r="J31" s="29">
        <f t="shared" si="14"/>
        <v>31.855702352509834</v>
      </c>
      <c r="K31" s="29">
        <f t="shared" si="14"/>
        <v>30.103766918952473</v>
      </c>
    </row>
    <row r="32" spans="2:11" x14ac:dyDescent="0.3">
      <c r="B32" s="1"/>
      <c r="C32" s="9"/>
      <c r="D32" s="8"/>
      <c r="E32" s="8"/>
      <c r="F32" s="9"/>
      <c r="G32" s="9"/>
      <c r="H32" s="9"/>
      <c r="I32" s="9"/>
      <c r="J32" s="9"/>
      <c r="K32" s="9"/>
    </row>
    <row r="33" spans="2:11" x14ac:dyDescent="0.3">
      <c r="B33" s="31" t="s">
        <v>20</v>
      </c>
      <c r="C33" s="32">
        <f>C11*C34/100</f>
        <v>9.2594792510043682</v>
      </c>
      <c r="D33" s="32">
        <v>9.2643601509793907</v>
      </c>
      <c r="E33" s="32">
        <v>9.834009</v>
      </c>
      <c r="F33" s="32">
        <v>10.490064</v>
      </c>
      <c r="G33" s="32">
        <v>10.562118999999999</v>
      </c>
      <c r="H33" s="32">
        <v>10.690863</v>
      </c>
      <c r="I33" s="32">
        <v>10.922783000000001</v>
      </c>
      <c r="J33" s="32">
        <v>11.411175999999999</v>
      </c>
      <c r="K33" s="32">
        <v>12.090025000000001</v>
      </c>
    </row>
    <row r="34" spans="2:11" x14ac:dyDescent="0.3">
      <c r="B34" s="33" t="s">
        <v>7</v>
      </c>
      <c r="C34" s="35">
        <v>20.224890829694324</v>
      </c>
      <c r="D34" s="34">
        <f t="shared" ref="D34:K34" si="15">D33/D11*100</f>
        <v>20.525471412201423</v>
      </c>
      <c r="E34" s="34">
        <f t="shared" si="15"/>
        <v>21.541316355911814</v>
      </c>
      <c r="F34" s="34">
        <f t="shared" si="15"/>
        <v>22.320561177614557</v>
      </c>
      <c r="G34" s="34">
        <f t="shared" si="15"/>
        <v>21.897395624177587</v>
      </c>
      <c r="H34" s="34">
        <f t="shared" si="15"/>
        <v>21.694272784696388</v>
      </c>
      <c r="I34" s="34">
        <f t="shared" si="15"/>
        <v>21.759778941912668</v>
      </c>
      <c r="J34" s="34">
        <f t="shared" si="15"/>
        <v>22.237955432090782</v>
      </c>
      <c r="K34" s="34">
        <f t="shared" si="15"/>
        <v>22.883671258590422</v>
      </c>
    </row>
    <row r="35" spans="2:11" x14ac:dyDescent="0.3">
      <c r="B35" s="36" t="s">
        <v>13</v>
      </c>
      <c r="C35" s="37">
        <f>(C11*15.2)/1000</f>
        <v>0.69589539840000003</v>
      </c>
      <c r="D35" s="37">
        <f t="shared" ref="D35:K35" si="16">D36/1000*D11</f>
        <v>0.65898441740000002</v>
      </c>
      <c r="E35" s="37">
        <f t="shared" si="16"/>
        <v>0.66651698079999999</v>
      </c>
      <c r="F35" s="37">
        <f t="shared" si="16"/>
        <v>0.68616076979999996</v>
      </c>
      <c r="G35" s="37">
        <f t="shared" si="16"/>
        <v>0.70422501399999993</v>
      </c>
      <c r="H35" s="37">
        <f t="shared" si="16"/>
        <v>0.71948297760000002</v>
      </c>
      <c r="I35" s="37">
        <f t="shared" si="16"/>
        <v>0.73287799580000001</v>
      </c>
      <c r="J35" s="37">
        <f t="shared" si="16"/>
        <v>0.74918384519999992</v>
      </c>
      <c r="K35" s="37">
        <f t="shared" si="16"/>
        <v>0.77135509859999996</v>
      </c>
    </row>
    <row r="36" spans="2:11" x14ac:dyDescent="0.3">
      <c r="B36" s="33" t="s">
        <v>14</v>
      </c>
      <c r="C36" s="34">
        <v>19.335971628692409</v>
      </c>
      <c r="D36" s="34">
        <f>14.6</f>
        <v>14.6</v>
      </c>
      <c r="E36" s="34">
        <f t="shared" ref="E36:K36" si="17">14.6</f>
        <v>14.6</v>
      </c>
      <c r="F36" s="34">
        <f t="shared" si="17"/>
        <v>14.6</v>
      </c>
      <c r="G36" s="34">
        <f t="shared" si="17"/>
        <v>14.6</v>
      </c>
      <c r="H36" s="34">
        <f t="shared" si="17"/>
        <v>14.6</v>
      </c>
      <c r="I36" s="34">
        <f t="shared" si="17"/>
        <v>14.6</v>
      </c>
      <c r="J36" s="34">
        <f t="shared" si="17"/>
        <v>14.6</v>
      </c>
      <c r="K36" s="34">
        <f t="shared" si="17"/>
        <v>14.6</v>
      </c>
    </row>
  </sheetData>
  <mergeCells count="1">
    <mergeCell ref="B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1"/>
  <sheetViews>
    <sheetView topLeftCell="B1" workbookViewId="0">
      <selection activeCell="M32" sqref="M32"/>
    </sheetView>
  </sheetViews>
  <sheetFormatPr defaultRowHeight="11.4" x14ac:dyDescent="0.2"/>
  <cols>
    <col min="1" max="1" width="0" style="40" hidden="1" customWidth="1"/>
    <col min="2" max="2" width="20.6640625" style="40" customWidth="1"/>
    <col min="3" max="3" width="13.109375" style="40" customWidth="1"/>
    <col min="4" max="11" width="6.6640625" style="40" bestFit="1" customWidth="1"/>
    <col min="12" max="256" width="9.109375" style="40"/>
    <col min="257" max="257" width="0" style="40" hidden="1" customWidth="1"/>
    <col min="258" max="258" width="20.6640625" style="40" customWidth="1"/>
    <col min="259" max="259" width="13.109375" style="40" customWidth="1"/>
    <col min="260" max="267" width="6.6640625" style="40" bestFit="1" customWidth="1"/>
    <col min="268" max="512" width="9.109375" style="40"/>
    <col min="513" max="513" width="0" style="40" hidden="1" customWidth="1"/>
    <col min="514" max="514" width="20.6640625" style="40" customWidth="1"/>
    <col min="515" max="515" width="13.109375" style="40" customWidth="1"/>
    <col min="516" max="523" width="6.6640625" style="40" bestFit="1" customWidth="1"/>
    <col min="524" max="768" width="9.109375" style="40"/>
    <col min="769" max="769" width="0" style="40" hidden="1" customWidth="1"/>
    <col min="770" max="770" width="20.6640625" style="40" customWidth="1"/>
    <col min="771" max="771" width="13.109375" style="40" customWidth="1"/>
    <col min="772" max="779" width="6.6640625" style="40" bestFit="1" customWidth="1"/>
    <col min="780" max="1024" width="9.109375" style="40"/>
    <col min="1025" max="1025" width="0" style="40" hidden="1" customWidth="1"/>
    <col min="1026" max="1026" width="20.6640625" style="40" customWidth="1"/>
    <col min="1027" max="1027" width="13.109375" style="40" customWidth="1"/>
    <col min="1028" max="1035" width="6.6640625" style="40" bestFit="1" customWidth="1"/>
    <col min="1036" max="1280" width="9.109375" style="40"/>
    <col min="1281" max="1281" width="0" style="40" hidden="1" customWidth="1"/>
    <col min="1282" max="1282" width="20.6640625" style="40" customWidth="1"/>
    <col min="1283" max="1283" width="13.109375" style="40" customWidth="1"/>
    <col min="1284" max="1291" width="6.6640625" style="40" bestFit="1" customWidth="1"/>
    <col min="1292" max="1536" width="9.109375" style="40"/>
    <col min="1537" max="1537" width="0" style="40" hidden="1" customWidth="1"/>
    <col min="1538" max="1538" width="20.6640625" style="40" customWidth="1"/>
    <col min="1539" max="1539" width="13.109375" style="40" customWidth="1"/>
    <col min="1540" max="1547" width="6.6640625" style="40" bestFit="1" customWidth="1"/>
    <col min="1548" max="1792" width="9.109375" style="40"/>
    <col min="1793" max="1793" width="0" style="40" hidden="1" customWidth="1"/>
    <col min="1794" max="1794" width="20.6640625" style="40" customWidth="1"/>
    <col min="1795" max="1795" width="13.109375" style="40" customWidth="1"/>
    <col min="1796" max="1803" width="6.6640625" style="40" bestFit="1" customWidth="1"/>
    <col min="1804" max="2048" width="9.109375" style="40"/>
    <col min="2049" max="2049" width="0" style="40" hidden="1" customWidth="1"/>
    <col min="2050" max="2050" width="20.6640625" style="40" customWidth="1"/>
    <col min="2051" max="2051" width="13.109375" style="40" customWidth="1"/>
    <col min="2052" max="2059" width="6.6640625" style="40" bestFit="1" customWidth="1"/>
    <col min="2060" max="2304" width="9.109375" style="40"/>
    <col min="2305" max="2305" width="0" style="40" hidden="1" customWidth="1"/>
    <col min="2306" max="2306" width="20.6640625" style="40" customWidth="1"/>
    <col min="2307" max="2307" width="13.109375" style="40" customWidth="1"/>
    <col min="2308" max="2315" width="6.6640625" style="40" bestFit="1" customWidth="1"/>
    <col min="2316" max="2560" width="9.109375" style="40"/>
    <col min="2561" max="2561" width="0" style="40" hidden="1" customWidth="1"/>
    <col min="2562" max="2562" width="20.6640625" style="40" customWidth="1"/>
    <col min="2563" max="2563" width="13.109375" style="40" customWidth="1"/>
    <col min="2564" max="2571" width="6.6640625" style="40" bestFit="1" customWidth="1"/>
    <col min="2572" max="2816" width="9.109375" style="40"/>
    <col min="2817" max="2817" width="0" style="40" hidden="1" customWidth="1"/>
    <col min="2818" max="2818" width="20.6640625" style="40" customWidth="1"/>
    <col min="2819" max="2819" width="13.109375" style="40" customWidth="1"/>
    <col min="2820" max="2827" width="6.6640625" style="40" bestFit="1" customWidth="1"/>
    <col min="2828" max="3072" width="9.109375" style="40"/>
    <col min="3073" max="3073" width="0" style="40" hidden="1" customWidth="1"/>
    <col min="3074" max="3074" width="20.6640625" style="40" customWidth="1"/>
    <col min="3075" max="3075" width="13.109375" style="40" customWidth="1"/>
    <col min="3076" max="3083" width="6.6640625" style="40" bestFit="1" customWidth="1"/>
    <col min="3084" max="3328" width="9.109375" style="40"/>
    <col min="3329" max="3329" width="0" style="40" hidden="1" customWidth="1"/>
    <col min="3330" max="3330" width="20.6640625" style="40" customWidth="1"/>
    <col min="3331" max="3331" width="13.109375" style="40" customWidth="1"/>
    <col min="3332" max="3339" width="6.6640625" style="40" bestFit="1" customWidth="1"/>
    <col min="3340" max="3584" width="9.109375" style="40"/>
    <col min="3585" max="3585" width="0" style="40" hidden="1" customWidth="1"/>
    <col min="3586" max="3586" width="20.6640625" style="40" customWidth="1"/>
    <col min="3587" max="3587" width="13.109375" style="40" customWidth="1"/>
    <col min="3588" max="3595" width="6.6640625" style="40" bestFit="1" customWidth="1"/>
    <col min="3596" max="3840" width="9.109375" style="40"/>
    <col min="3841" max="3841" width="0" style="40" hidden="1" customWidth="1"/>
    <col min="3842" max="3842" width="20.6640625" style="40" customWidth="1"/>
    <col min="3843" max="3843" width="13.109375" style="40" customWidth="1"/>
    <col min="3844" max="3851" width="6.6640625" style="40" bestFit="1" customWidth="1"/>
    <col min="3852" max="4096" width="9.109375" style="40"/>
    <col min="4097" max="4097" width="0" style="40" hidden="1" customWidth="1"/>
    <col min="4098" max="4098" width="20.6640625" style="40" customWidth="1"/>
    <col min="4099" max="4099" width="13.109375" style="40" customWidth="1"/>
    <col min="4100" max="4107" width="6.6640625" style="40" bestFit="1" customWidth="1"/>
    <col min="4108" max="4352" width="9.109375" style="40"/>
    <col min="4353" max="4353" width="0" style="40" hidden="1" customWidth="1"/>
    <col min="4354" max="4354" width="20.6640625" style="40" customWidth="1"/>
    <col min="4355" max="4355" width="13.109375" style="40" customWidth="1"/>
    <col min="4356" max="4363" width="6.6640625" style="40" bestFit="1" customWidth="1"/>
    <col min="4364" max="4608" width="9.109375" style="40"/>
    <col min="4609" max="4609" width="0" style="40" hidden="1" customWidth="1"/>
    <col min="4610" max="4610" width="20.6640625" style="40" customWidth="1"/>
    <col min="4611" max="4611" width="13.109375" style="40" customWidth="1"/>
    <col min="4612" max="4619" width="6.6640625" style="40" bestFit="1" customWidth="1"/>
    <col min="4620" max="4864" width="9.109375" style="40"/>
    <col min="4865" max="4865" width="0" style="40" hidden="1" customWidth="1"/>
    <col min="4866" max="4866" width="20.6640625" style="40" customWidth="1"/>
    <col min="4867" max="4867" width="13.109375" style="40" customWidth="1"/>
    <col min="4868" max="4875" width="6.6640625" style="40" bestFit="1" customWidth="1"/>
    <col min="4876" max="5120" width="9.109375" style="40"/>
    <col min="5121" max="5121" width="0" style="40" hidden="1" customWidth="1"/>
    <col min="5122" max="5122" width="20.6640625" style="40" customWidth="1"/>
    <col min="5123" max="5123" width="13.109375" style="40" customWidth="1"/>
    <col min="5124" max="5131" width="6.6640625" style="40" bestFit="1" customWidth="1"/>
    <col min="5132" max="5376" width="9.109375" style="40"/>
    <col min="5377" max="5377" width="0" style="40" hidden="1" customWidth="1"/>
    <col min="5378" max="5378" width="20.6640625" style="40" customWidth="1"/>
    <col min="5379" max="5379" width="13.109375" style="40" customWidth="1"/>
    <col min="5380" max="5387" width="6.6640625" style="40" bestFit="1" customWidth="1"/>
    <col min="5388" max="5632" width="9.109375" style="40"/>
    <col min="5633" max="5633" width="0" style="40" hidden="1" customWidth="1"/>
    <col min="5634" max="5634" width="20.6640625" style="40" customWidth="1"/>
    <col min="5635" max="5635" width="13.109375" style="40" customWidth="1"/>
    <col min="5636" max="5643" width="6.6640625" style="40" bestFit="1" customWidth="1"/>
    <col min="5644" max="5888" width="9.109375" style="40"/>
    <col min="5889" max="5889" width="0" style="40" hidden="1" customWidth="1"/>
    <col min="5890" max="5890" width="20.6640625" style="40" customWidth="1"/>
    <col min="5891" max="5891" width="13.109375" style="40" customWidth="1"/>
    <col min="5892" max="5899" width="6.6640625" style="40" bestFit="1" customWidth="1"/>
    <col min="5900" max="6144" width="9.109375" style="40"/>
    <col min="6145" max="6145" width="0" style="40" hidden="1" customWidth="1"/>
    <col min="6146" max="6146" width="20.6640625" style="40" customWidth="1"/>
    <col min="6147" max="6147" width="13.109375" style="40" customWidth="1"/>
    <col min="6148" max="6155" width="6.6640625" style="40" bestFit="1" customWidth="1"/>
    <col min="6156" max="6400" width="9.109375" style="40"/>
    <col min="6401" max="6401" width="0" style="40" hidden="1" customWidth="1"/>
    <col min="6402" max="6402" width="20.6640625" style="40" customWidth="1"/>
    <col min="6403" max="6403" width="13.109375" style="40" customWidth="1"/>
    <col min="6404" max="6411" width="6.6640625" style="40" bestFit="1" customWidth="1"/>
    <col min="6412" max="6656" width="9.109375" style="40"/>
    <col min="6657" max="6657" width="0" style="40" hidden="1" customWidth="1"/>
    <col min="6658" max="6658" width="20.6640625" style="40" customWidth="1"/>
    <col min="6659" max="6659" width="13.109375" style="40" customWidth="1"/>
    <col min="6660" max="6667" width="6.6640625" style="40" bestFit="1" customWidth="1"/>
    <col min="6668" max="6912" width="9.109375" style="40"/>
    <col min="6913" max="6913" width="0" style="40" hidden="1" customWidth="1"/>
    <col min="6914" max="6914" width="20.6640625" style="40" customWidth="1"/>
    <col min="6915" max="6915" width="13.109375" style="40" customWidth="1"/>
    <col min="6916" max="6923" width="6.6640625" style="40" bestFit="1" customWidth="1"/>
    <col min="6924" max="7168" width="9.109375" style="40"/>
    <col min="7169" max="7169" width="0" style="40" hidden="1" customWidth="1"/>
    <col min="7170" max="7170" width="20.6640625" style="40" customWidth="1"/>
    <col min="7171" max="7171" width="13.109375" style="40" customWidth="1"/>
    <col min="7172" max="7179" width="6.6640625" style="40" bestFit="1" customWidth="1"/>
    <col min="7180" max="7424" width="9.109375" style="40"/>
    <col min="7425" max="7425" width="0" style="40" hidden="1" customWidth="1"/>
    <col min="7426" max="7426" width="20.6640625" style="40" customWidth="1"/>
    <col min="7427" max="7427" width="13.109375" style="40" customWidth="1"/>
    <col min="7428" max="7435" width="6.6640625" style="40" bestFit="1" customWidth="1"/>
    <col min="7436" max="7680" width="9.109375" style="40"/>
    <col min="7681" max="7681" width="0" style="40" hidden="1" customWidth="1"/>
    <col min="7682" max="7682" width="20.6640625" style="40" customWidth="1"/>
    <col min="7683" max="7683" width="13.109375" style="40" customWidth="1"/>
    <col min="7684" max="7691" width="6.6640625" style="40" bestFit="1" customWidth="1"/>
    <col min="7692" max="7936" width="9.109375" style="40"/>
    <col min="7937" max="7937" width="0" style="40" hidden="1" customWidth="1"/>
    <col min="7938" max="7938" width="20.6640625" style="40" customWidth="1"/>
    <col min="7939" max="7939" width="13.109375" style="40" customWidth="1"/>
    <col min="7940" max="7947" width="6.6640625" style="40" bestFit="1" customWidth="1"/>
    <col min="7948" max="8192" width="9.109375" style="40"/>
    <col min="8193" max="8193" width="0" style="40" hidden="1" customWidth="1"/>
    <col min="8194" max="8194" width="20.6640625" style="40" customWidth="1"/>
    <col min="8195" max="8195" width="13.109375" style="40" customWidth="1"/>
    <col min="8196" max="8203" width="6.6640625" style="40" bestFit="1" customWidth="1"/>
    <col min="8204" max="8448" width="9.109375" style="40"/>
    <col min="8449" max="8449" width="0" style="40" hidden="1" customWidth="1"/>
    <col min="8450" max="8450" width="20.6640625" style="40" customWidth="1"/>
    <col min="8451" max="8451" width="13.109375" style="40" customWidth="1"/>
    <col min="8452" max="8459" width="6.6640625" style="40" bestFit="1" customWidth="1"/>
    <col min="8460" max="8704" width="9.109375" style="40"/>
    <col min="8705" max="8705" width="0" style="40" hidden="1" customWidth="1"/>
    <col min="8706" max="8706" width="20.6640625" style="40" customWidth="1"/>
    <col min="8707" max="8707" width="13.109375" style="40" customWidth="1"/>
    <col min="8708" max="8715" width="6.6640625" style="40" bestFit="1" customWidth="1"/>
    <col min="8716" max="8960" width="9.109375" style="40"/>
    <col min="8961" max="8961" width="0" style="40" hidden="1" customWidth="1"/>
    <col min="8962" max="8962" width="20.6640625" style="40" customWidth="1"/>
    <col min="8963" max="8963" width="13.109375" style="40" customWidth="1"/>
    <col min="8964" max="8971" width="6.6640625" style="40" bestFit="1" customWidth="1"/>
    <col min="8972" max="9216" width="9.109375" style="40"/>
    <col min="9217" max="9217" width="0" style="40" hidden="1" customWidth="1"/>
    <col min="9218" max="9218" width="20.6640625" style="40" customWidth="1"/>
    <col min="9219" max="9219" width="13.109375" style="40" customWidth="1"/>
    <col min="9220" max="9227" width="6.6640625" style="40" bestFit="1" customWidth="1"/>
    <col min="9228" max="9472" width="9.109375" style="40"/>
    <col min="9473" max="9473" width="0" style="40" hidden="1" customWidth="1"/>
    <col min="9474" max="9474" width="20.6640625" style="40" customWidth="1"/>
    <col min="9475" max="9475" width="13.109375" style="40" customWidth="1"/>
    <col min="9476" max="9483" width="6.6640625" style="40" bestFit="1" customWidth="1"/>
    <col min="9484" max="9728" width="9.109375" style="40"/>
    <col min="9729" max="9729" width="0" style="40" hidden="1" customWidth="1"/>
    <col min="9730" max="9730" width="20.6640625" style="40" customWidth="1"/>
    <col min="9731" max="9731" width="13.109375" style="40" customWidth="1"/>
    <col min="9732" max="9739" width="6.6640625" style="40" bestFit="1" customWidth="1"/>
    <col min="9740" max="9984" width="9.109375" style="40"/>
    <col min="9985" max="9985" width="0" style="40" hidden="1" customWidth="1"/>
    <col min="9986" max="9986" width="20.6640625" style="40" customWidth="1"/>
    <col min="9987" max="9987" width="13.109375" style="40" customWidth="1"/>
    <col min="9988" max="9995" width="6.6640625" style="40" bestFit="1" customWidth="1"/>
    <col min="9996" max="10240" width="9.109375" style="40"/>
    <col min="10241" max="10241" width="0" style="40" hidden="1" customWidth="1"/>
    <col min="10242" max="10242" width="20.6640625" style="40" customWidth="1"/>
    <col min="10243" max="10243" width="13.109375" style="40" customWidth="1"/>
    <col min="10244" max="10251" width="6.6640625" style="40" bestFit="1" customWidth="1"/>
    <col min="10252" max="10496" width="9.109375" style="40"/>
    <col min="10497" max="10497" width="0" style="40" hidden="1" customWidth="1"/>
    <col min="10498" max="10498" width="20.6640625" style="40" customWidth="1"/>
    <col min="10499" max="10499" width="13.109375" style="40" customWidth="1"/>
    <col min="10500" max="10507" width="6.6640625" style="40" bestFit="1" customWidth="1"/>
    <col min="10508" max="10752" width="9.109375" style="40"/>
    <col min="10753" max="10753" width="0" style="40" hidden="1" customWidth="1"/>
    <col min="10754" max="10754" width="20.6640625" style="40" customWidth="1"/>
    <col min="10755" max="10755" width="13.109375" style="40" customWidth="1"/>
    <col min="10756" max="10763" width="6.6640625" style="40" bestFit="1" customWidth="1"/>
    <col min="10764" max="11008" width="9.109375" style="40"/>
    <col min="11009" max="11009" width="0" style="40" hidden="1" customWidth="1"/>
    <col min="11010" max="11010" width="20.6640625" style="40" customWidth="1"/>
    <col min="11011" max="11011" width="13.109375" style="40" customWidth="1"/>
    <col min="11012" max="11019" width="6.6640625" style="40" bestFit="1" customWidth="1"/>
    <col min="11020" max="11264" width="9.109375" style="40"/>
    <col min="11265" max="11265" width="0" style="40" hidden="1" customWidth="1"/>
    <col min="11266" max="11266" width="20.6640625" style="40" customWidth="1"/>
    <col min="11267" max="11267" width="13.109375" style="40" customWidth="1"/>
    <col min="11268" max="11275" width="6.6640625" style="40" bestFit="1" customWidth="1"/>
    <col min="11276" max="11520" width="9.109375" style="40"/>
    <col min="11521" max="11521" width="0" style="40" hidden="1" customWidth="1"/>
    <col min="11522" max="11522" width="20.6640625" style="40" customWidth="1"/>
    <col min="11523" max="11523" width="13.109375" style="40" customWidth="1"/>
    <col min="11524" max="11531" width="6.6640625" style="40" bestFit="1" customWidth="1"/>
    <col min="11532" max="11776" width="9.109375" style="40"/>
    <col min="11777" max="11777" width="0" style="40" hidden="1" customWidth="1"/>
    <col min="11778" max="11778" width="20.6640625" style="40" customWidth="1"/>
    <col min="11779" max="11779" width="13.109375" style="40" customWidth="1"/>
    <col min="11780" max="11787" width="6.6640625" style="40" bestFit="1" customWidth="1"/>
    <col min="11788" max="12032" width="9.109375" style="40"/>
    <col min="12033" max="12033" width="0" style="40" hidden="1" customWidth="1"/>
    <col min="12034" max="12034" width="20.6640625" style="40" customWidth="1"/>
    <col min="12035" max="12035" width="13.109375" style="40" customWidth="1"/>
    <col min="12036" max="12043" width="6.6640625" style="40" bestFit="1" customWidth="1"/>
    <col min="12044" max="12288" width="9.109375" style="40"/>
    <col min="12289" max="12289" width="0" style="40" hidden="1" customWidth="1"/>
    <col min="12290" max="12290" width="20.6640625" style="40" customWidth="1"/>
    <col min="12291" max="12291" width="13.109375" style="40" customWidth="1"/>
    <col min="12292" max="12299" width="6.6640625" style="40" bestFit="1" customWidth="1"/>
    <col min="12300" max="12544" width="9.109375" style="40"/>
    <col min="12545" max="12545" width="0" style="40" hidden="1" customWidth="1"/>
    <col min="12546" max="12546" width="20.6640625" style="40" customWidth="1"/>
    <col min="12547" max="12547" width="13.109375" style="40" customWidth="1"/>
    <col min="12548" max="12555" width="6.6640625" style="40" bestFit="1" customWidth="1"/>
    <col min="12556" max="12800" width="9.109375" style="40"/>
    <col min="12801" max="12801" width="0" style="40" hidden="1" customWidth="1"/>
    <col min="12802" max="12802" width="20.6640625" style="40" customWidth="1"/>
    <col min="12803" max="12803" width="13.109375" style="40" customWidth="1"/>
    <col min="12804" max="12811" width="6.6640625" style="40" bestFit="1" customWidth="1"/>
    <col min="12812" max="13056" width="9.109375" style="40"/>
    <col min="13057" max="13057" width="0" style="40" hidden="1" customWidth="1"/>
    <col min="13058" max="13058" width="20.6640625" style="40" customWidth="1"/>
    <col min="13059" max="13059" width="13.109375" style="40" customWidth="1"/>
    <col min="13060" max="13067" width="6.6640625" style="40" bestFit="1" customWidth="1"/>
    <col min="13068" max="13312" width="9.109375" style="40"/>
    <col min="13313" max="13313" width="0" style="40" hidden="1" customWidth="1"/>
    <col min="13314" max="13314" width="20.6640625" style="40" customWidth="1"/>
    <col min="13315" max="13315" width="13.109375" style="40" customWidth="1"/>
    <col min="13316" max="13323" width="6.6640625" style="40" bestFit="1" customWidth="1"/>
    <col min="13324" max="13568" width="9.109375" style="40"/>
    <col min="13569" max="13569" width="0" style="40" hidden="1" customWidth="1"/>
    <col min="13570" max="13570" width="20.6640625" style="40" customWidth="1"/>
    <col min="13571" max="13571" width="13.109375" style="40" customWidth="1"/>
    <col min="13572" max="13579" width="6.6640625" style="40" bestFit="1" customWidth="1"/>
    <col min="13580" max="13824" width="9.109375" style="40"/>
    <col min="13825" max="13825" width="0" style="40" hidden="1" customWidth="1"/>
    <col min="13826" max="13826" width="20.6640625" style="40" customWidth="1"/>
    <col min="13827" max="13827" width="13.109375" style="40" customWidth="1"/>
    <col min="13828" max="13835" width="6.6640625" style="40" bestFit="1" customWidth="1"/>
    <col min="13836" max="14080" width="9.109375" style="40"/>
    <col min="14081" max="14081" width="0" style="40" hidden="1" customWidth="1"/>
    <col min="14082" max="14082" width="20.6640625" style="40" customWidth="1"/>
    <col min="14083" max="14083" width="13.109375" style="40" customWidth="1"/>
    <col min="14084" max="14091" width="6.6640625" style="40" bestFit="1" customWidth="1"/>
    <col min="14092" max="14336" width="9.109375" style="40"/>
    <col min="14337" max="14337" width="0" style="40" hidden="1" customWidth="1"/>
    <col min="14338" max="14338" width="20.6640625" style="40" customWidth="1"/>
    <col min="14339" max="14339" width="13.109375" style="40" customWidth="1"/>
    <col min="14340" max="14347" width="6.6640625" style="40" bestFit="1" customWidth="1"/>
    <col min="14348" max="14592" width="9.109375" style="40"/>
    <col min="14593" max="14593" width="0" style="40" hidden="1" customWidth="1"/>
    <col min="14594" max="14594" width="20.6640625" style="40" customWidth="1"/>
    <col min="14595" max="14595" width="13.109375" style="40" customWidth="1"/>
    <col min="14596" max="14603" width="6.6640625" style="40" bestFit="1" customWidth="1"/>
    <col min="14604" max="14848" width="9.109375" style="40"/>
    <col min="14849" max="14849" width="0" style="40" hidden="1" customWidth="1"/>
    <col min="14850" max="14850" width="20.6640625" style="40" customWidth="1"/>
    <col min="14851" max="14851" width="13.109375" style="40" customWidth="1"/>
    <col min="14852" max="14859" width="6.6640625" style="40" bestFit="1" customWidth="1"/>
    <col min="14860" max="15104" width="9.109375" style="40"/>
    <col min="15105" max="15105" width="0" style="40" hidden="1" customWidth="1"/>
    <col min="15106" max="15106" width="20.6640625" style="40" customWidth="1"/>
    <col min="15107" max="15107" width="13.109375" style="40" customWidth="1"/>
    <col min="15108" max="15115" width="6.6640625" style="40" bestFit="1" customWidth="1"/>
    <col min="15116" max="15360" width="9.109375" style="40"/>
    <col min="15361" max="15361" width="0" style="40" hidden="1" customWidth="1"/>
    <col min="15362" max="15362" width="20.6640625" style="40" customWidth="1"/>
    <col min="15363" max="15363" width="13.109375" style="40" customWidth="1"/>
    <col min="15364" max="15371" width="6.6640625" style="40" bestFit="1" customWidth="1"/>
    <col min="15372" max="15616" width="9.109375" style="40"/>
    <col min="15617" max="15617" width="0" style="40" hidden="1" customWidth="1"/>
    <col min="15618" max="15618" width="20.6640625" style="40" customWidth="1"/>
    <col min="15619" max="15619" width="13.109375" style="40" customWidth="1"/>
    <col min="15620" max="15627" width="6.6640625" style="40" bestFit="1" customWidth="1"/>
    <col min="15628" max="15872" width="9.109375" style="40"/>
    <col min="15873" max="15873" width="0" style="40" hidden="1" customWidth="1"/>
    <col min="15874" max="15874" width="20.6640625" style="40" customWidth="1"/>
    <col min="15875" max="15875" width="13.109375" style="40" customWidth="1"/>
    <col min="15876" max="15883" width="6.6640625" style="40" bestFit="1" customWidth="1"/>
    <col min="15884" max="16128" width="9.109375" style="40"/>
    <col min="16129" max="16129" width="0" style="40" hidden="1" customWidth="1"/>
    <col min="16130" max="16130" width="20.6640625" style="40" customWidth="1"/>
    <col min="16131" max="16131" width="13.109375" style="40" customWidth="1"/>
    <col min="16132" max="16139" width="6.6640625" style="40" bestFit="1" customWidth="1"/>
    <col min="16140" max="16384" width="9.109375" style="40"/>
  </cols>
  <sheetData>
    <row r="1" spans="2:11" ht="18" x14ac:dyDescent="0.2">
      <c r="B1" s="231" t="s">
        <v>25</v>
      </c>
      <c r="C1" s="231"/>
      <c r="D1" s="231"/>
      <c r="E1" s="231"/>
      <c r="F1" s="231"/>
    </row>
    <row r="3" spans="2:11" ht="12" customHeight="1" x14ac:dyDescent="0.2">
      <c r="B3" s="41" t="s">
        <v>26</v>
      </c>
      <c r="C3" s="42" t="s">
        <v>27</v>
      </c>
      <c r="D3" s="43"/>
      <c r="E3" s="43"/>
      <c r="H3" s="44"/>
      <c r="I3" s="44"/>
      <c r="J3" s="43"/>
      <c r="K3" s="43"/>
    </row>
    <row r="4" spans="2:11" ht="11.1" customHeight="1" x14ac:dyDescent="0.25">
      <c r="C4"/>
      <c r="D4"/>
    </row>
    <row r="5" spans="2:11" ht="10.35" customHeight="1" x14ac:dyDescent="0.2">
      <c r="B5" s="45" t="s">
        <v>28</v>
      </c>
      <c r="C5" s="45">
        <v>2010</v>
      </c>
      <c r="D5" s="45">
        <v>2015</v>
      </c>
      <c r="E5" s="45">
        <v>2020</v>
      </c>
      <c r="F5" s="45">
        <v>2025</v>
      </c>
      <c r="G5" s="45">
        <v>2030</v>
      </c>
      <c r="H5" s="45">
        <v>2035</v>
      </c>
      <c r="I5" s="45">
        <v>2040</v>
      </c>
      <c r="J5" s="45">
        <v>2045</v>
      </c>
      <c r="K5" s="45">
        <v>2050</v>
      </c>
    </row>
    <row r="6" spans="2:11" s="46" customFormat="1" ht="5.25" customHeight="1" x14ac:dyDescent="0.2">
      <c r="B6" s="47"/>
      <c r="C6" s="47"/>
      <c r="D6" s="47"/>
      <c r="E6" s="47"/>
      <c r="F6" s="47"/>
      <c r="G6" s="47"/>
      <c r="H6" s="47"/>
      <c r="I6" s="47"/>
      <c r="J6" s="47"/>
      <c r="K6" s="47"/>
    </row>
    <row r="7" spans="2:11" ht="10.35" customHeight="1" x14ac:dyDescent="0.2">
      <c r="B7" s="48" t="s">
        <v>29</v>
      </c>
      <c r="C7" s="49">
        <v>45871</v>
      </c>
      <c r="D7" s="49">
        <v>44586</v>
      </c>
      <c r="E7" s="49">
        <v>43324</v>
      </c>
      <c r="F7" s="49">
        <v>42115</v>
      </c>
      <c r="G7" s="49">
        <v>40797</v>
      </c>
      <c r="H7" s="49">
        <v>39449</v>
      </c>
      <c r="I7" s="49">
        <v>38211</v>
      </c>
      <c r="J7" s="49">
        <v>37126</v>
      </c>
      <c r="K7" s="49">
        <v>36135</v>
      </c>
    </row>
    <row r="8" spans="2:11" ht="10.35" customHeight="1" x14ac:dyDescent="0.2">
      <c r="B8" s="48" t="s">
        <v>30</v>
      </c>
      <c r="C8" s="49"/>
      <c r="D8" s="49"/>
      <c r="E8" s="49"/>
      <c r="F8" s="49"/>
      <c r="G8" s="49"/>
      <c r="H8" s="49"/>
      <c r="I8" s="49"/>
      <c r="J8" s="49"/>
      <c r="K8" s="49"/>
    </row>
    <row r="9" spans="2:11" ht="10.35" customHeight="1" x14ac:dyDescent="0.2">
      <c r="B9" s="48" t="s">
        <v>31</v>
      </c>
      <c r="C9" s="49">
        <v>1231</v>
      </c>
      <c r="D9" s="49">
        <v>1252</v>
      </c>
      <c r="E9" s="49">
        <v>1187</v>
      </c>
      <c r="F9" s="49">
        <v>1077</v>
      </c>
      <c r="G9" s="49">
        <v>977</v>
      </c>
      <c r="H9" s="49">
        <v>955</v>
      </c>
      <c r="I9" s="49">
        <v>1002</v>
      </c>
      <c r="J9" s="49">
        <v>1034</v>
      </c>
      <c r="K9" s="49">
        <v>1011</v>
      </c>
    </row>
    <row r="10" spans="2:11" ht="10.35" customHeight="1" x14ac:dyDescent="0.2">
      <c r="B10" s="50" t="s">
        <v>32</v>
      </c>
      <c r="C10" s="49">
        <v>1026</v>
      </c>
      <c r="D10" s="49">
        <v>1226</v>
      </c>
      <c r="E10" s="49">
        <v>1246</v>
      </c>
      <c r="F10" s="49">
        <v>1182</v>
      </c>
      <c r="G10" s="49">
        <v>1072</v>
      </c>
      <c r="H10" s="49">
        <v>973</v>
      </c>
      <c r="I10" s="49">
        <v>951</v>
      </c>
      <c r="J10" s="49">
        <v>998</v>
      </c>
      <c r="K10" s="49">
        <v>1030</v>
      </c>
    </row>
    <row r="11" spans="2:11" ht="10.35" customHeight="1" x14ac:dyDescent="0.2">
      <c r="B11" s="50" t="s">
        <v>33</v>
      </c>
      <c r="C11" s="49">
        <v>1086</v>
      </c>
      <c r="D11" s="49">
        <v>1024</v>
      </c>
      <c r="E11" s="49">
        <v>1223</v>
      </c>
      <c r="F11" s="49">
        <v>1243</v>
      </c>
      <c r="G11" s="49">
        <v>1180</v>
      </c>
      <c r="H11" s="49">
        <v>1070</v>
      </c>
      <c r="I11" s="49">
        <v>970</v>
      </c>
      <c r="J11" s="49">
        <v>949</v>
      </c>
      <c r="K11" s="49">
        <v>996</v>
      </c>
    </row>
    <row r="12" spans="2:11" ht="10.35" customHeight="1" x14ac:dyDescent="0.2">
      <c r="B12" s="48" t="s">
        <v>34</v>
      </c>
      <c r="C12" s="49">
        <v>1440</v>
      </c>
      <c r="D12" s="49">
        <v>1081</v>
      </c>
      <c r="E12" s="49">
        <v>1019</v>
      </c>
      <c r="F12" s="49">
        <v>1219</v>
      </c>
      <c r="G12" s="49">
        <v>1239</v>
      </c>
      <c r="H12" s="49">
        <v>1176</v>
      </c>
      <c r="I12" s="49">
        <v>1067</v>
      </c>
      <c r="J12" s="49">
        <v>968</v>
      </c>
      <c r="K12" s="49">
        <v>946</v>
      </c>
    </row>
    <row r="13" spans="2:11" ht="10.35" customHeight="1" x14ac:dyDescent="0.2">
      <c r="B13" s="48" t="s">
        <v>35</v>
      </c>
      <c r="C13" s="49">
        <v>1846</v>
      </c>
      <c r="D13" s="49">
        <v>1428</v>
      </c>
      <c r="E13" s="49">
        <v>1073</v>
      </c>
      <c r="F13" s="49">
        <v>1012</v>
      </c>
      <c r="G13" s="49">
        <v>1211</v>
      </c>
      <c r="H13" s="49">
        <v>1232</v>
      </c>
      <c r="I13" s="49">
        <v>1170</v>
      </c>
      <c r="J13" s="49">
        <v>1061</v>
      </c>
      <c r="K13" s="49">
        <v>963</v>
      </c>
    </row>
    <row r="14" spans="2:11" ht="10.35" customHeight="1" x14ac:dyDescent="0.2">
      <c r="B14" s="48" t="s">
        <v>36</v>
      </c>
      <c r="C14" s="49">
        <v>1913</v>
      </c>
      <c r="D14" s="49">
        <v>1819</v>
      </c>
      <c r="E14" s="49">
        <v>1409</v>
      </c>
      <c r="F14" s="49">
        <v>1059</v>
      </c>
      <c r="G14" s="49">
        <v>1001</v>
      </c>
      <c r="H14" s="49">
        <v>1200</v>
      </c>
      <c r="I14" s="49">
        <v>1222</v>
      </c>
      <c r="J14" s="49">
        <v>1161</v>
      </c>
      <c r="K14" s="49">
        <v>1053</v>
      </c>
    </row>
    <row r="15" spans="2:11" ht="10.35" customHeight="1" x14ac:dyDescent="0.2">
      <c r="B15" s="48" t="s">
        <v>37</v>
      </c>
      <c r="C15" s="49">
        <v>1718</v>
      </c>
      <c r="D15" s="49">
        <v>1871</v>
      </c>
      <c r="E15" s="49">
        <v>1785</v>
      </c>
      <c r="F15" s="49">
        <v>1386</v>
      </c>
      <c r="G15" s="49">
        <v>1043</v>
      </c>
      <c r="H15" s="49">
        <v>987</v>
      </c>
      <c r="I15" s="49">
        <v>1186</v>
      </c>
      <c r="J15" s="49">
        <v>1209</v>
      </c>
      <c r="K15" s="49">
        <v>1150</v>
      </c>
    </row>
    <row r="16" spans="2:11" ht="10.35" customHeight="1" x14ac:dyDescent="0.2">
      <c r="B16" s="48" t="s">
        <v>38</v>
      </c>
      <c r="C16" s="49">
        <v>1590</v>
      </c>
      <c r="D16" s="49">
        <v>1665</v>
      </c>
      <c r="E16" s="49">
        <v>1822</v>
      </c>
      <c r="F16" s="49">
        <v>1745</v>
      </c>
      <c r="G16" s="49">
        <v>1359</v>
      </c>
      <c r="H16" s="49">
        <v>1025</v>
      </c>
      <c r="I16" s="49">
        <v>971</v>
      </c>
      <c r="J16" s="49">
        <v>1170</v>
      </c>
      <c r="K16" s="49">
        <v>1195</v>
      </c>
    </row>
    <row r="17" spans="2:11" ht="10.35" customHeight="1" x14ac:dyDescent="0.2">
      <c r="B17" s="48" t="s">
        <v>39</v>
      </c>
      <c r="C17" s="49">
        <v>1444</v>
      </c>
      <c r="D17" s="49">
        <v>1523</v>
      </c>
      <c r="E17" s="49">
        <v>1605</v>
      </c>
      <c r="F17" s="49">
        <v>1765</v>
      </c>
      <c r="G17" s="49">
        <v>1698</v>
      </c>
      <c r="H17" s="49">
        <v>1326</v>
      </c>
      <c r="I17" s="49">
        <v>1003</v>
      </c>
      <c r="J17" s="49">
        <v>953</v>
      </c>
      <c r="K17" s="49">
        <v>1150</v>
      </c>
    </row>
    <row r="18" spans="2:11" ht="10.35" customHeight="1" x14ac:dyDescent="0.2">
      <c r="B18" s="48" t="s">
        <v>40</v>
      </c>
      <c r="C18" s="49">
        <v>1587</v>
      </c>
      <c r="D18" s="49">
        <v>1362</v>
      </c>
      <c r="E18" s="49">
        <v>1447</v>
      </c>
      <c r="F18" s="49">
        <v>1535</v>
      </c>
      <c r="G18" s="49">
        <v>1697</v>
      </c>
      <c r="H18" s="49">
        <v>1639</v>
      </c>
      <c r="I18" s="49">
        <v>1285</v>
      </c>
      <c r="J18" s="49">
        <v>975</v>
      </c>
      <c r="K18" s="49">
        <v>930</v>
      </c>
    </row>
    <row r="19" spans="2:11" ht="10.35" customHeight="1" x14ac:dyDescent="0.2">
      <c r="B19" s="48" t="s">
        <v>41</v>
      </c>
      <c r="C19" s="49">
        <v>1566</v>
      </c>
      <c r="D19" s="49">
        <v>1463</v>
      </c>
      <c r="E19" s="49">
        <v>1267</v>
      </c>
      <c r="F19" s="49">
        <v>1356</v>
      </c>
      <c r="G19" s="49">
        <v>1448</v>
      </c>
      <c r="H19" s="49">
        <v>1610</v>
      </c>
      <c r="I19" s="49">
        <v>1563</v>
      </c>
      <c r="J19" s="49">
        <v>1231</v>
      </c>
      <c r="K19" s="49">
        <v>938</v>
      </c>
    </row>
    <row r="20" spans="2:11" ht="10.35" customHeight="1" x14ac:dyDescent="0.2">
      <c r="B20" s="48" t="s">
        <v>42</v>
      </c>
      <c r="C20" s="49">
        <v>1324</v>
      </c>
      <c r="D20" s="49">
        <v>1401</v>
      </c>
      <c r="E20" s="49">
        <v>1322</v>
      </c>
      <c r="F20" s="49">
        <v>1155</v>
      </c>
      <c r="G20" s="49">
        <v>1247</v>
      </c>
      <c r="H20" s="49">
        <v>1340</v>
      </c>
      <c r="I20" s="49">
        <v>1499</v>
      </c>
      <c r="J20" s="49">
        <v>1464</v>
      </c>
      <c r="K20" s="49">
        <v>1160</v>
      </c>
    </row>
    <row r="21" spans="2:11" ht="10.35" customHeight="1" x14ac:dyDescent="0.2">
      <c r="B21" s="48" t="s">
        <v>43</v>
      </c>
      <c r="C21" s="49">
        <v>989</v>
      </c>
      <c r="D21" s="49">
        <v>1136</v>
      </c>
      <c r="E21" s="49">
        <v>1216</v>
      </c>
      <c r="F21" s="49">
        <v>1159</v>
      </c>
      <c r="G21" s="49">
        <v>1022</v>
      </c>
      <c r="H21" s="49">
        <v>1112</v>
      </c>
      <c r="I21" s="49">
        <v>1205</v>
      </c>
      <c r="J21" s="49">
        <v>1358</v>
      </c>
      <c r="K21" s="49">
        <v>1336</v>
      </c>
    </row>
    <row r="22" spans="2:11" ht="10.35" customHeight="1" x14ac:dyDescent="0.2">
      <c r="B22" s="48" t="s">
        <v>44</v>
      </c>
      <c r="C22" s="49">
        <v>694</v>
      </c>
      <c r="D22" s="49">
        <v>803</v>
      </c>
      <c r="E22" s="49">
        <v>934</v>
      </c>
      <c r="F22" s="49">
        <v>1012</v>
      </c>
      <c r="G22" s="49">
        <v>974</v>
      </c>
      <c r="H22" s="49">
        <v>868</v>
      </c>
      <c r="I22" s="49">
        <v>953</v>
      </c>
      <c r="J22" s="49">
        <v>1041</v>
      </c>
      <c r="K22" s="49">
        <v>1185</v>
      </c>
    </row>
    <row r="23" spans="2:11" ht="10.35" customHeight="1" x14ac:dyDescent="0.2">
      <c r="B23" s="48" t="s">
        <v>45</v>
      </c>
      <c r="C23" s="49">
        <v>849</v>
      </c>
      <c r="D23" s="49">
        <v>521</v>
      </c>
      <c r="E23" s="49">
        <v>612</v>
      </c>
      <c r="F23" s="49">
        <v>721</v>
      </c>
      <c r="G23" s="49">
        <v>791</v>
      </c>
      <c r="H23" s="49">
        <v>771</v>
      </c>
      <c r="I23" s="49">
        <v>694</v>
      </c>
      <c r="J23" s="49">
        <v>770</v>
      </c>
      <c r="K23" s="49">
        <v>852</v>
      </c>
    </row>
    <row r="24" spans="2:11" ht="10.35" customHeight="1" x14ac:dyDescent="0.2">
      <c r="B24" s="48" t="s">
        <v>46</v>
      </c>
      <c r="C24" s="49">
        <v>803</v>
      </c>
      <c r="D24" s="49">
        <v>920</v>
      </c>
      <c r="E24" s="49">
        <v>770</v>
      </c>
      <c r="F24" s="49">
        <v>776</v>
      </c>
      <c r="G24" s="49">
        <v>868</v>
      </c>
      <c r="H24" s="49">
        <v>974</v>
      </c>
      <c r="I24" s="49">
        <v>1025</v>
      </c>
      <c r="J24" s="49">
        <v>1011</v>
      </c>
      <c r="K24" s="49">
        <v>1077</v>
      </c>
    </row>
    <row r="25" spans="2:11" ht="10.35" customHeight="1" x14ac:dyDescent="0.2">
      <c r="B25" s="48" t="s">
        <v>47</v>
      </c>
      <c r="C25" s="49">
        <v>21108</v>
      </c>
      <c r="D25" s="49">
        <v>20494</v>
      </c>
      <c r="E25" s="49">
        <v>19938</v>
      </c>
      <c r="F25" s="49">
        <v>19403</v>
      </c>
      <c r="G25" s="49">
        <v>18827</v>
      </c>
      <c r="H25" s="49">
        <v>18259</v>
      </c>
      <c r="I25" s="49">
        <v>17766</v>
      </c>
      <c r="J25" s="49">
        <v>17353</v>
      </c>
      <c r="K25" s="49">
        <v>16973</v>
      </c>
    </row>
    <row r="26" spans="2:11" ht="5.25" customHeight="1" x14ac:dyDescent="0.2">
      <c r="B26" s="48"/>
      <c r="C26" s="49"/>
      <c r="D26" s="49"/>
      <c r="E26" s="49"/>
      <c r="F26" s="49"/>
      <c r="G26" s="49"/>
      <c r="H26" s="49"/>
      <c r="I26" s="49"/>
      <c r="J26" s="49"/>
      <c r="K26" s="49"/>
    </row>
    <row r="27" spans="2:11" ht="10.35" customHeight="1" x14ac:dyDescent="0.2">
      <c r="B27" s="48" t="s">
        <v>48</v>
      </c>
      <c r="C27" s="49"/>
      <c r="D27" s="49"/>
      <c r="E27" s="49"/>
      <c r="F27" s="49"/>
      <c r="G27" s="49"/>
      <c r="H27" s="49"/>
      <c r="I27" s="49"/>
      <c r="J27" s="49"/>
      <c r="K27" s="49"/>
    </row>
    <row r="28" spans="2:11" ht="10.35" customHeight="1" x14ac:dyDescent="0.2">
      <c r="B28" s="48" t="s">
        <v>31</v>
      </c>
      <c r="C28" s="49">
        <v>1167</v>
      </c>
      <c r="D28" s="49">
        <v>1182</v>
      </c>
      <c r="E28" s="49">
        <v>1121</v>
      </c>
      <c r="F28" s="49">
        <v>1016</v>
      </c>
      <c r="G28" s="49">
        <v>921</v>
      </c>
      <c r="H28" s="49">
        <v>900</v>
      </c>
      <c r="I28" s="49">
        <v>944</v>
      </c>
      <c r="J28" s="49">
        <v>974</v>
      </c>
      <c r="K28" s="49">
        <v>952</v>
      </c>
    </row>
    <row r="29" spans="2:11" ht="10.35" customHeight="1" x14ac:dyDescent="0.2">
      <c r="B29" s="51" t="s">
        <v>32</v>
      </c>
      <c r="C29" s="49">
        <v>970</v>
      </c>
      <c r="D29" s="49">
        <v>1163</v>
      </c>
      <c r="E29" s="49">
        <v>1178</v>
      </c>
      <c r="F29" s="49">
        <v>1117</v>
      </c>
      <c r="G29" s="49">
        <v>1012</v>
      </c>
      <c r="H29" s="49">
        <v>917</v>
      </c>
      <c r="I29" s="49">
        <v>896</v>
      </c>
      <c r="J29" s="49">
        <v>941</v>
      </c>
      <c r="K29" s="49">
        <v>970</v>
      </c>
    </row>
    <row r="30" spans="2:11" ht="10.35" customHeight="1" x14ac:dyDescent="0.2">
      <c r="B30" s="51" t="s">
        <v>33</v>
      </c>
      <c r="C30" s="49">
        <v>1032</v>
      </c>
      <c r="D30" s="49">
        <v>968</v>
      </c>
      <c r="E30" s="49">
        <v>1160</v>
      </c>
      <c r="F30" s="49">
        <v>1176</v>
      </c>
      <c r="G30" s="49">
        <v>1115</v>
      </c>
      <c r="H30" s="49">
        <v>1010</v>
      </c>
      <c r="I30" s="49">
        <v>915</v>
      </c>
      <c r="J30" s="49">
        <v>894</v>
      </c>
      <c r="K30" s="49">
        <v>939</v>
      </c>
    </row>
    <row r="31" spans="2:11" ht="10.35" customHeight="1" x14ac:dyDescent="0.2">
      <c r="B31" s="48" t="s">
        <v>34</v>
      </c>
      <c r="C31" s="49">
        <v>1376</v>
      </c>
      <c r="D31" s="49">
        <v>1028</v>
      </c>
      <c r="E31" s="49">
        <v>965</v>
      </c>
      <c r="F31" s="49">
        <v>1157</v>
      </c>
      <c r="G31" s="49">
        <v>1173</v>
      </c>
      <c r="H31" s="49">
        <v>1112</v>
      </c>
      <c r="I31" s="49">
        <v>1007</v>
      </c>
      <c r="J31" s="49">
        <v>913</v>
      </c>
      <c r="K31" s="49">
        <v>892</v>
      </c>
    </row>
    <row r="32" spans="2:11" ht="10.35" customHeight="1" x14ac:dyDescent="0.2">
      <c r="B32" s="48" t="s">
        <v>35</v>
      </c>
      <c r="C32" s="49">
        <v>1773</v>
      </c>
      <c r="D32" s="49">
        <v>1369</v>
      </c>
      <c r="E32" s="49">
        <v>1023</v>
      </c>
      <c r="F32" s="49">
        <v>960</v>
      </c>
      <c r="G32" s="49">
        <v>1152</v>
      </c>
      <c r="H32" s="49">
        <v>1168</v>
      </c>
      <c r="I32" s="49">
        <v>1107</v>
      </c>
      <c r="J32" s="49">
        <v>1003</v>
      </c>
      <c r="K32" s="49">
        <v>909</v>
      </c>
    </row>
    <row r="33" spans="2:12" ht="10.35" customHeight="1" x14ac:dyDescent="0.2">
      <c r="B33" s="48" t="s">
        <v>36</v>
      </c>
      <c r="C33" s="49">
        <v>1861</v>
      </c>
      <c r="D33" s="49">
        <v>1763</v>
      </c>
      <c r="E33" s="49">
        <v>1361</v>
      </c>
      <c r="F33" s="49">
        <v>1016</v>
      </c>
      <c r="G33" s="49">
        <v>953</v>
      </c>
      <c r="H33" s="49">
        <v>1145</v>
      </c>
      <c r="I33" s="49">
        <v>1161</v>
      </c>
      <c r="J33" s="49">
        <v>1101</v>
      </c>
      <c r="K33" s="49">
        <v>997</v>
      </c>
    </row>
    <row r="34" spans="2:12" ht="10.35" customHeight="1" x14ac:dyDescent="0.2">
      <c r="B34" s="48" t="s">
        <v>37</v>
      </c>
      <c r="C34" s="49">
        <v>1722</v>
      </c>
      <c r="D34" s="49">
        <v>1846</v>
      </c>
      <c r="E34" s="49">
        <v>1749</v>
      </c>
      <c r="F34" s="49">
        <v>1351</v>
      </c>
      <c r="G34" s="49">
        <v>1008</v>
      </c>
      <c r="H34" s="49">
        <v>946</v>
      </c>
      <c r="I34" s="49">
        <v>1138</v>
      </c>
      <c r="J34" s="49">
        <v>1154</v>
      </c>
      <c r="K34" s="49">
        <v>1095</v>
      </c>
    </row>
    <row r="35" spans="2:12" ht="10.35" customHeight="1" x14ac:dyDescent="0.2">
      <c r="B35" s="48" t="s">
        <v>38</v>
      </c>
      <c r="C35" s="49">
        <v>1652</v>
      </c>
      <c r="D35" s="49">
        <v>1704</v>
      </c>
      <c r="E35" s="49">
        <v>1828</v>
      </c>
      <c r="F35" s="49">
        <v>1734</v>
      </c>
      <c r="G35" s="49">
        <v>1339</v>
      </c>
      <c r="H35" s="49">
        <v>1000</v>
      </c>
      <c r="I35" s="49">
        <v>939</v>
      </c>
      <c r="J35" s="49">
        <v>1130</v>
      </c>
      <c r="K35" s="49">
        <v>1147</v>
      </c>
    </row>
    <row r="36" spans="2:12" ht="10.35" customHeight="1" x14ac:dyDescent="0.2">
      <c r="B36" s="48" t="s">
        <v>39</v>
      </c>
      <c r="C36" s="49">
        <v>1576</v>
      </c>
      <c r="D36" s="49">
        <v>1630</v>
      </c>
      <c r="E36" s="49">
        <v>1683</v>
      </c>
      <c r="F36" s="49">
        <v>1808</v>
      </c>
      <c r="G36" s="49">
        <v>1716</v>
      </c>
      <c r="H36" s="49">
        <v>1327</v>
      </c>
      <c r="I36" s="49">
        <v>991</v>
      </c>
      <c r="J36" s="49">
        <v>931</v>
      </c>
      <c r="K36" s="49">
        <v>1121</v>
      </c>
    </row>
    <row r="37" spans="2:12" ht="10.35" customHeight="1" x14ac:dyDescent="0.2">
      <c r="B37" s="48" t="s">
        <v>40</v>
      </c>
      <c r="C37" s="49">
        <v>1823</v>
      </c>
      <c r="D37" s="49">
        <v>1548</v>
      </c>
      <c r="E37" s="49">
        <v>1604</v>
      </c>
      <c r="F37" s="49">
        <v>1658</v>
      </c>
      <c r="G37" s="49">
        <v>1784</v>
      </c>
      <c r="H37" s="49">
        <v>1695</v>
      </c>
      <c r="I37" s="49">
        <v>1311</v>
      </c>
      <c r="J37" s="49">
        <v>980</v>
      </c>
      <c r="K37" s="49">
        <v>921</v>
      </c>
    </row>
    <row r="38" spans="2:12" ht="10.35" customHeight="1" x14ac:dyDescent="0.2">
      <c r="B38" s="48" t="s">
        <v>41</v>
      </c>
      <c r="C38" s="49">
        <v>1915</v>
      </c>
      <c r="D38" s="49">
        <v>1778</v>
      </c>
      <c r="E38" s="49">
        <v>1512</v>
      </c>
      <c r="F38" s="49">
        <v>1570</v>
      </c>
      <c r="G38" s="49">
        <v>1626</v>
      </c>
      <c r="H38" s="49">
        <v>1751</v>
      </c>
      <c r="I38" s="49">
        <v>1666</v>
      </c>
      <c r="J38" s="49">
        <v>1290</v>
      </c>
      <c r="K38" s="49">
        <v>965</v>
      </c>
    </row>
    <row r="39" spans="2:12" ht="10.35" customHeight="1" x14ac:dyDescent="0.2">
      <c r="B39" s="48" t="s">
        <v>42</v>
      </c>
      <c r="C39" s="49">
        <v>1726</v>
      </c>
      <c r="D39" s="49">
        <v>1844</v>
      </c>
      <c r="E39" s="49">
        <v>1717</v>
      </c>
      <c r="F39" s="49">
        <v>1465</v>
      </c>
      <c r="G39" s="49">
        <v>1524</v>
      </c>
      <c r="H39" s="49">
        <v>1581</v>
      </c>
      <c r="I39" s="49">
        <v>1706</v>
      </c>
      <c r="J39" s="49">
        <v>1626</v>
      </c>
      <c r="K39" s="49">
        <v>1261</v>
      </c>
    </row>
    <row r="40" spans="2:12" ht="10.35" customHeight="1" x14ac:dyDescent="0.2">
      <c r="B40" s="48" t="s">
        <v>43</v>
      </c>
      <c r="C40" s="49">
        <v>1428</v>
      </c>
      <c r="D40" s="49">
        <v>1633</v>
      </c>
      <c r="E40" s="49">
        <v>1752</v>
      </c>
      <c r="F40" s="49">
        <v>1637</v>
      </c>
      <c r="G40" s="49">
        <v>1401</v>
      </c>
      <c r="H40" s="49">
        <v>1462</v>
      </c>
      <c r="I40" s="49">
        <v>1520</v>
      </c>
      <c r="J40" s="49">
        <v>1645</v>
      </c>
      <c r="K40" s="49">
        <v>1572</v>
      </c>
    </row>
    <row r="41" spans="2:12" ht="10.35" customHeight="1" x14ac:dyDescent="0.2">
      <c r="B41" s="48" t="s">
        <v>44</v>
      </c>
      <c r="C41" s="49">
        <v>1158</v>
      </c>
      <c r="D41" s="49">
        <v>1313</v>
      </c>
      <c r="E41" s="49">
        <v>1510</v>
      </c>
      <c r="F41" s="49">
        <v>1628</v>
      </c>
      <c r="G41" s="49">
        <v>1528</v>
      </c>
      <c r="H41" s="49">
        <v>1313</v>
      </c>
      <c r="I41" s="49">
        <v>1374</v>
      </c>
      <c r="J41" s="49">
        <v>1435</v>
      </c>
      <c r="K41" s="49">
        <v>1559</v>
      </c>
    </row>
    <row r="42" spans="2:12" ht="10.35" customHeight="1" x14ac:dyDescent="0.2">
      <c r="B42" s="48" t="s">
        <v>45</v>
      </c>
      <c r="C42" s="49">
        <v>1565</v>
      </c>
      <c r="D42" s="49">
        <v>1010</v>
      </c>
      <c r="E42" s="49">
        <v>1155</v>
      </c>
      <c r="F42" s="49">
        <v>1338</v>
      </c>
      <c r="G42" s="49">
        <v>1452</v>
      </c>
      <c r="H42" s="49">
        <v>1371</v>
      </c>
      <c r="I42" s="49">
        <v>1185</v>
      </c>
      <c r="J42" s="49">
        <v>1248</v>
      </c>
      <c r="K42" s="49">
        <v>1311</v>
      </c>
    </row>
    <row r="43" spans="2:12" ht="10.35" customHeight="1" x14ac:dyDescent="0.2">
      <c r="B43" s="48" t="s">
        <v>46</v>
      </c>
      <c r="C43" s="49">
        <v>2020</v>
      </c>
      <c r="D43" s="49">
        <v>2313</v>
      </c>
      <c r="E43" s="49">
        <v>2067</v>
      </c>
      <c r="F43" s="49">
        <v>2081</v>
      </c>
      <c r="G43" s="49">
        <v>2266</v>
      </c>
      <c r="H43" s="49">
        <v>2493</v>
      </c>
      <c r="I43" s="49">
        <v>2584</v>
      </c>
      <c r="J43" s="49">
        <v>2511</v>
      </c>
      <c r="K43" s="49">
        <v>2553</v>
      </c>
    </row>
    <row r="44" spans="2:12" ht="10.35" customHeight="1" x14ac:dyDescent="0.2">
      <c r="B44" s="48" t="s">
        <v>47</v>
      </c>
      <c r="C44" s="49">
        <v>24763</v>
      </c>
      <c r="D44" s="49">
        <v>24092</v>
      </c>
      <c r="E44" s="49">
        <v>23386</v>
      </c>
      <c r="F44" s="49">
        <v>22712</v>
      </c>
      <c r="G44" s="49">
        <v>21971</v>
      </c>
      <c r="H44" s="49">
        <v>21190</v>
      </c>
      <c r="I44" s="49">
        <v>20445</v>
      </c>
      <c r="J44" s="49">
        <v>19774</v>
      </c>
      <c r="K44" s="49">
        <v>19161</v>
      </c>
    </row>
    <row r="45" spans="2:12" ht="5.25" customHeight="1" x14ac:dyDescent="0.2">
      <c r="B45" s="48"/>
      <c r="C45" s="49"/>
      <c r="D45" s="49"/>
      <c r="E45" s="49"/>
      <c r="F45" s="49"/>
      <c r="G45" s="49"/>
      <c r="H45" s="49"/>
      <c r="I45" s="49"/>
      <c r="J45" s="49"/>
      <c r="K45" s="49"/>
    </row>
    <row r="46" spans="2:12" ht="10.35" customHeight="1" x14ac:dyDescent="0.2">
      <c r="B46" s="48" t="s">
        <v>49</v>
      </c>
      <c r="C46" s="52">
        <v>42.148811552883572</v>
      </c>
      <c r="D46" s="52">
        <v>44.331865855237602</v>
      </c>
      <c r="E46" s="52">
        <v>48.571624541307997</v>
      </c>
      <c r="F46" s="52">
        <v>51.778570656287172</v>
      </c>
      <c r="G46" s="52">
        <v>53.13614353815548</v>
      </c>
      <c r="H46" s="52">
        <v>52.701865758303015</v>
      </c>
      <c r="I46" s="52">
        <v>54.58995832827609</v>
      </c>
      <c r="J46" s="52">
        <v>59.194786262487675</v>
      </c>
      <c r="K46" s="52">
        <v>66.517671996682182</v>
      </c>
      <c r="L46" s="52"/>
    </row>
    <row r="47" spans="2:12" ht="6" customHeight="1" x14ac:dyDescent="0.2">
      <c r="B47" s="48"/>
      <c r="C47" s="48"/>
      <c r="D47" s="48"/>
      <c r="E47" s="48"/>
      <c r="F47" s="48"/>
      <c r="G47" s="48"/>
      <c r="H47" s="48"/>
      <c r="I47" s="48"/>
      <c r="J47" s="48"/>
      <c r="K47" s="48"/>
    </row>
    <row r="48" spans="2:12" ht="10.35" customHeight="1" x14ac:dyDescent="0.2">
      <c r="B48" s="45"/>
      <c r="C48" s="45"/>
      <c r="D48" s="53" t="s">
        <v>50</v>
      </c>
      <c r="E48" s="53" t="s">
        <v>51</v>
      </c>
      <c r="F48" s="53" t="s">
        <v>52</v>
      </c>
      <c r="G48" s="53" t="s">
        <v>53</v>
      </c>
      <c r="H48" s="53" t="s">
        <v>54</v>
      </c>
      <c r="I48" s="53" t="s">
        <v>55</v>
      </c>
      <c r="J48" s="53" t="s">
        <v>56</v>
      </c>
      <c r="K48" s="53" t="s">
        <v>57</v>
      </c>
    </row>
    <row r="49" spans="2:11" ht="13.35" customHeight="1" x14ac:dyDescent="0.2">
      <c r="B49" s="48" t="s">
        <v>58</v>
      </c>
      <c r="C49" s="52"/>
      <c r="D49" s="52">
        <v>10.9</v>
      </c>
      <c r="E49" s="52">
        <v>10.7</v>
      </c>
      <c r="F49" s="52">
        <v>9.9</v>
      </c>
      <c r="G49" s="52">
        <v>9.3000000000000007</v>
      </c>
      <c r="H49" s="52">
        <v>9.4</v>
      </c>
      <c r="I49" s="52">
        <v>10.1</v>
      </c>
      <c r="J49" s="52">
        <v>10.8</v>
      </c>
      <c r="K49" s="52">
        <v>10.8</v>
      </c>
    </row>
    <row r="50" spans="2:11" ht="10.35" customHeight="1" x14ac:dyDescent="0.2">
      <c r="B50" s="48" t="s">
        <v>59</v>
      </c>
      <c r="C50" s="52"/>
      <c r="D50" s="52">
        <v>16.399999999999999</v>
      </c>
      <c r="E50" s="52">
        <v>16.2</v>
      </c>
      <c r="F50" s="52">
        <v>15.4</v>
      </c>
      <c r="G50" s="52">
        <v>15.4</v>
      </c>
      <c r="H50" s="52">
        <v>15.9</v>
      </c>
      <c r="I50" s="52">
        <v>16.3</v>
      </c>
      <c r="J50" s="52">
        <v>16.3</v>
      </c>
      <c r="K50" s="52">
        <v>16</v>
      </c>
    </row>
    <row r="51" spans="2:11" ht="10.35" customHeight="1" x14ac:dyDescent="0.2">
      <c r="B51" s="48" t="s">
        <v>60</v>
      </c>
      <c r="C51" s="52"/>
      <c r="D51" s="52">
        <v>-0.55000000000000004</v>
      </c>
      <c r="E51" s="52">
        <v>-0.56000000000000005</v>
      </c>
      <c r="F51" s="52">
        <v>-0.55000000000000004</v>
      </c>
      <c r="G51" s="52">
        <v>-0.62</v>
      </c>
      <c r="H51" s="52">
        <v>-0.65</v>
      </c>
      <c r="I51" s="52">
        <v>-0.62</v>
      </c>
      <c r="J51" s="52">
        <v>-0.55000000000000004</v>
      </c>
      <c r="K51" s="52">
        <v>-0.52</v>
      </c>
    </row>
    <row r="52" spans="2:11" ht="10.35" customHeight="1" x14ac:dyDescent="0.2">
      <c r="B52" s="48" t="s">
        <v>61</v>
      </c>
      <c r="C52" s="52"/>
      <c r="D52" s="52">
        <v>-0.2</v>
      </c>
      <c r="E52" s="52">
        <v>-0.2</v>
      </c>
      <c r="F52" s="52">
        <v>-0.2</v>
      </c>
      <c r="G52" s="52">
        <v>-0.2</v>
      </c>
      <c r="H52" s="52">
        <v>-0.2</v>
      </c>
      <c r="I52" s="52">
        <v>-0.2</v>
      </c>
      <c r="J52" s="52">
        <v>-0.2</v>
      </c>
      <c r="K52" s="52">
        <v>-0.2</v>
      </c>
    </row>
    <row r="53" spans="2:11" ht="10.35" customHeight="1" x14ac:dyDescent="0.2">
      <c r="B53" s="48" t="s">
        <v>62</v>
      </c>
      <c r="C53" s="52"/>
      <c r="D53" s="52">
        <v>-0.56999999999999995</v>
      </c>
      <c r="E53" s="52">
        <v>-0.56999999999999995</v>
      </c>
      <c r="F53" s="52">
        <v>-0.56999999999999995</v>
      </c>
      <c r="G53" s="52">
        <v>-0.64</v>
      </c>
      <c r="H53" s="52">
        <v>-0.67</v>
      </c>
      <c r="I53" s="52">
        <v>-0.64</v>
      </c>
      <c r="J53" s="52">
        <v>-0.57999999999999996</v>
      </c>
      <c r="K53" s="52">
        <v>-0.54</v>
      </c>
    </row>
    <row r="54" spans="2:11" ht="10.35" customHeight="1" x14ac:dyDescent="0.2">
      <c r="B54" s="48" t="s">
        <v>63</v>
      </c>
      <c r="C54" s="52"/>
      <c r="D54" s="52">
        <v>1.4830000000000001</v>
      </c>
      <c r="E54" s="52">
        <v>1.5649999999999999</v>
      </c>
      <c r="F54" s="52">
        <v>1.637</v>
      </c>
      <c r="G54" s="52">
        <v>1.6990000000000001</v>
      </c>
      <c r="H54" s="52">
        <v>1.752</v>
      </c>
      <c r="I54" s="52">
        <v>1.798</v>
      </c>
      <c r="J54" s="52">
        <v>1.839</v>
      </c>
      <c r="K54" s="52">
        <v>1.8740000000000001</v>
      </c>
    </row>
    <row r="55" spans="2:11" ht="10.35" customHeight="1" x14ac:dyDescent="0.2">
      <c r="B55" s="48" t="s">
        <v>64</v>
      </c>
      <c r="C55" s="52"/>
      <c r="D55" s="52">
        <v>0.70299999999999996</v>
      </c>
      <c r="E55" s="52">
        <v>0.74199999999999999</v>
      </c>
      <c r="F55" s="52">
        <v>0.77700000000000002</v>
      </c>
      <c r="G55" s="52">
        <v>0.80700000000000005</v>
      </c>
      <c r="H55" s="52">
        <v>0.83299999999999996</v>
      </c>
      <c r="I55" s="52">
        <v>0.85599999999999998</v>
      </c>
      <c r="J55" s="52">
        <v>0.876</v>
      </c>
      <c r="K55" s="52">
        <v>0.89400000000000002</v>
      </c>
    </row>
    <row r="56" spans="2:11" ht="10.35" customHeight="1" x14ac:dyDescent="0.2">
      <c r="B56" s="48" t="s">
        <v>65</v>
      </c>
      <c r="C56" s="52"/>
      <c r="D56" s="52">
        <v>68.790000000000006</v>
      </c>
      <c r="E56" s="52">
        <v>69.92</v>
      </c>
      <c r="F56" s="52">
        <v>70.94</v>
      </c>
      <c r="G56" s="52">
        <v>71.89</v>
      </c>
      <c r="H56" s="52">
        <v>72.739999999999995</v>
      </c>
      <c r="I56" s="52">
        <v>73.510000000000005</v>
      </c>
      <c r="J56" s="52">
        <v>74.33</v>
      </c>
      <c r="K56" s="52">
        <v>75.19</v>
      </c>
    </row>
    <row r="57" spans="2:11" ht="10.35" customHeight="1" x14ac:dyDescent="0.2">
      <c r="B57" s="48" t="s">
        <v>66</v>
      </c>
      <c r="C57" s="52"/>
      <c r="D57" s="52">
        <v>54.97</v>
      </c>
      <c r="E57" s="52">
        <v>56.05</v>
      </c>
      <c r="F57" s="52">
        <v>57.02</v>
      </c>
      <c r="G57" s="52">
        <v>57.9</v>
      </c>
      <c r="H57" s="52">
        <v>58.7</v>
      </c>
      <c r="I57" s="52">
        <v>59.43</v>
      </c>
      <c r="J57" s="52">
        <v>60.2</v>
      </c>
      <c r="K57" s="52">
        <v>61</v>
      </c>
    </row>
    <row r="58" spans="2:11" ht="10.35" customHeight="1" x14ac:dyDescent="0.2">
      <c r="B58" s="48" t="s">
        <v>67</v>
      </c>
      <c r="C58" s="52"/>
      <c r="D58" s="52">
        <v>11.8</v>
      </c>
      <c r="E58" s="52">
        <v>10.9</v>
      </c>
      <c r="F58" s="52">
        <v>10.199999999999999</v>
      </c>
      <c r="G58" s="52">
        <v>9.5</v>
      </c>
      <c r="H58" s="52">
        <v>8.8000000000000007</v>
      </c>
      <c r="I58" s="52">
        <v>8.3000000000000007</v>
      </c>
      <c r="J58" s="52">
        <v>7.7</v>
      </c>
      <c r="K58" s="52">
        <v>7.2</v>
      </c>
    </row>
    <row r="59" spans="2:11" ht="10.35" customHeight="1" x14ac:dyDescent="0.2">
      <c r="B59" s="48" t="s">
        <v>68</v>
      </c>
      <c r="C59" s="52"/>
      <c r="D59" s="52">
        <v>15</v>
      </c>
      <c r="E59" s="52">
        <v>14.3</v>
      </c>
      <c r="F59" s="52">
        <v>13.4</v>
      </c>
      <c r="G59" s="52">
        <v>12.6</v>
      </c>
      <c r="H59" s="52">
        <v>11.799999999999999</v>
      </c>
      <c r="I59" s="52">
        <v>11.1</v>
      </c>
      <c r="J59" s="52">
        <v>10.5</v>
      </c>
      <c r="K59" s="52">
        <v>9.7999999999999989</v>
      </c>
    </row>
    <row r="61" spans="2:11" ht="39.75" customHeight="1" x14ac:dyDescent="0.2">
      <c r="B61" s="232" t="s">
        <v>69</v>
      </c>
      <c r="C61" s="232"/>
      <c r="D61" s="232"/>
      <c r="E61" s="232"/>
      <c r="F61" s="232"/>
      <c r="G61" s="232"/>
      <c r="H61" s="232"/>
      <c r="I61" s="232"/>
      <c r="J61" s="232"/>
      <c r="K61" s="232"/>
    </row>
  </sheetData>
  <mergeCells count="2">
    <mergeCell ref="B1:F1"/>
    <mergeCell ref="B61:K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topLeftCell="A7" workbookViewId="0">
      <selection activeCell="R24" sqref="R24"/>
    </sheetView>
  </sheetViews>
  <sheetFormatPr defaultRowHeight="14.4" x14ac:dyDescent="0.3"/>
  <cols>
    <col min="1" max="1" width="2" customWidth="1"/>
    <col min="2" max="2" width="4.44140625" customWidth="1"/>
    <col min="3" max="3" width="43.88671875" customWidth="1"/>
    <col min="4" max="4" width="6.6640625" bestFit="1" customWidth="1"/>
    <col min="5" max="5" width="5.5546875" bestFit="1" customWidth="1"/>
    <col min="6" max="6" width="7" bestFit="1" customWidth="1"/>
    <col min="7" max="7" width="6.5546875" bestFit="1" customWidth="1"/>
    <col min="8" max="9" width="7" bestFit="1" customWidth="1"/>
    <col min="10" max="10" width="8" bestFit="1" customWidth="1"/>
    <col min="11" max="11" width="7" bestFit="1" customWidth="1"/>
    <col min="12" max="12" width="8" bestFit="1" customWidth="1"/>
    <col min="13" max="14" width="7" bestFit="1" customWidth="1"/>
  </cols>
  <sheetData>
    <row r="1" spans="2:14" ht="18" x14ac:dyDescent="0.35">
      <c r="B1" s="233" t="s">
        <v>70</v>
      </c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</row>
    <row r="2" spans="2:14" ht="15.75" thickBot="1" x14ac:dyDescent="0.3"/>
    <row r="3" spans="2:14" x14ac:dyDescent="0.3">
      <c r="B3" s="234" t="s">
        <v>71</v>
      </c>
      <c r="C3" s="54" t="s">
        <v>72</v>
      </c>
      <c r="D3" s="237" t="s">
        <v>73</v>
      </c>
      <c r="E3" s="238"/>
      <c r="F3" s="238"/>
      <c r="G3" s="239"/>
      <c r="H3" s="240" t="s">
        <v>74</v>
      </c>
      <c r="I3" s="241"/>
      <c r="J3" s="241"/>
      <c r="K3" s="242"/>
      <c r="L3" s="243" t="s">
        <v>75</v>
      </c>
      <c r="M3" s="244"/>
      <c r="N3" s="245"/>
    </row>
    <row r="4" spans="2:14" ht="15" customHeight="1" x14ac:dyDescent="0.3">
      <c r="B4" s="235"/>
      <c r="C4" s="55" t="s">
        <v>76</v>
      </c>
      <c r="D4" s="252">
        <v>45.6</v>
      </c>
      <c r="E4" s="253"/>
      <c r="F4" s="253"/>
      <c r="G4" s="254"/>
      <c r="H4" s="255">
        <v>502.6</v>
      </c>
      <c r="I4" s="256"/>
      <c r="J4" s="256"/>
      <c r="K4" s="257"/>
      <c r="L4" s="246"/>
      <c r="M4" s="247"/>
      <c r="N4" s="248"/>
    </row>
    <row r="5" spans="2:14" x14ac:dyDescent="0.3">
      <c r="B5" s="235"/>
      <c r="C5" s="55" t="s">
        <v>77</v>
      </c>
      <c r="D5" s="258">
        <f>7.99*1.3</f>
        <v>10.387</v>
      </c>
      <c r="E5" s="259"/>
      <c r="F5" s="259"/>
      <c r="G5" s="260"/>
      <c r="H5" s="261">
        <v>1</v>
      </c>
      <c r="I5" s="262"/>
      <c r="J5" s="262"/>
      <c r="K5" s="263"/>
      <c r="L5" s="249"/>
      <c r="M5" s="250"/>
      <c r="N5" s="251"/>
    </row>
    <row r="6" spans="2:14" ht="52.8" thickBot="1" x14ac:dyDescent="0.35">
      <c r="B6" s="236"/>
      <c r="C6" s="56" t="s">
        <v>78</v>
      </c>
      <c r="D6" s="57" t="s">
        <v>79</v>
      </c>
      <c r="E6" s="58" t="s">
        <v>80</v>
      </c>
      <c r="F6" s="59" t="s">
        <v>81</v>
      </c>
      <c r="G6" s="60" t="s">
        <v>82</v>
      </c>
      <c r="H6" s="61" t="s">
        <v>79</v>
      </c>
      <c r="I6" s="62" t="s">
        <v>80</v>
      </c>
      <c r="J6" s="63" t="s">
        <v>81</v>
      </c>
      <c r="K6" s="64" t="s">
        <v>82</v>
      </c>
      <c r="L6" s="65" t="s">
        <v>81</v>
      </c>
      <c r="M6" s="66" t="s">
        <v>82</v>
      </c>
      <c r="N6" s="67" t="s">
        <v>80</v>
      </c>
    </row>
    <row r="7" spans="2:14" x14ac:dyDescent="0.3">
      <c r="B7" s="68"/>
      <c r="C7" s="55" t="s">
        <v>83</v>
      </c>
      <c r="D7" s="69">
        <f>1408.889/D5</f>
        <v>135.63964571098487</v>
      </c>
      <c r="E7" s="70" t="s">
        <v>84</v>
      </c>
      <c r="F7" s="71">
        <f>D7/D4*1000</f>
        <v>2974.553634012826</v>
      </c>
      <c r="G7" s="72">
        <f>F7/12</f>
        <v>247.87946950106883</v>
      </c>
      <c r="H7" s="69"/>
      <c r="I7" s="73"/>
      <c r="J7" s="74"/>
      <c r="K7" s="75"/>
      <c r="L7" s="76"/>
      <c r="M7" s="77"/>
      <c r="N7" s="78"/>
    </row>
    <row r="8" spans="2:14" x14ac:dyDescent="0.3">
      <c r="B8" s="68">
        <v>1</v>
      </c>
      <c r="C8" s="55" t="s">
        <v>85</v>
      </c>
      <c r="D8" s="69">
        <f>1407.197/D5</f>
        <v>135.47674978338307</v>
      </c>
      <c r="E8" s="70" t="s">
        <v>84</v>
      </c>
      <c r="F8" s="71">
        <f>D8/$D$4*1000</f>
        <v>2970.9813548987513</v>
      </c>
      <c r="G8" s="72">
        <f>F8/12</f>
        <v>247.58177957489593</v>
      </c>
      <c r="H8" s="69"/>
      <c r="I8" s="73"/>
      <c r="J8" s="74"/>
      <c r="K8" s="75"/>
      <c r="L8" s="76"/>
      <c r="M8" s="77"/>
      <c r="N8" s="78"/>
    </row>
    <row r="9" spans="2:14" s="91" customFormat="1" x14ac:dyDescent="0.3">
      <c r="B9" s="79" t="s">
        <v>86</v>
      </c>
      <c r="C9" s="80" t="s">
        <v>87</v>
      </c>
      <c r="D9" s="81">
        <f>593.213/D5</f>
        <v>57.11110041397901</v>
      </c>
      <c r="E9" s="82" t="s">
        <v>84</v>
      </c>
      <c r="F9" s="83">
        <f t="shared" ref="F9:F11" si="0">D9/$D$4*1000</f>
        <v>1252.4364125872589</v>
      </c>
      <c r="G9" s="84">
        <f t="shared" ref="G9:G11" si="1">F9/12</f>
        <v>104.36970104893824</v>
      </c>
      <c r="H9" s="81"/>
      <c r="I9" s="85"/>
      <c r="J9" s="86"/>
      <c r="K9" s="87"/>
      <c r="L9" s="88"/>
      <c r="M9" s="89"/>
      <c r="N9" s="90"/>
    </row>
    <row r="10" spans="2:14" s="91" customFormat="1" ht="28.8" x14ac:dyDescent="0.3">
      <c r="B10" s="79" t="s">
        <v>88</v>
      </c>
      <c r="C10" s="92" t="s">
        <v>89</v>
      </c>
      <c r="D10" s="81">
        <f>(212.42+74.62)/D5</f>
        <v>27.634543178973711</v>
      </c>
      <c r="E10" s="82" t="s">
        <v>84</v>
      </c>
      <c r="F10" s="83">
        <f t="shared" si="0"/>
        <v>606.02068374942348</v>
      </c>
      <c r="G10" s="84">
        <f t="shared" si="1"/>
        <v>50.50172364578529</v>
      </c>
      <c r="H10" s="81"/>
      <c r="I10" s="85"/>
      <c r="J10" s="86"/>
      <c r="K10" s="87"/>
      <c r="L10" s="88"/>
      <c r="M10" s="89"/>
      <c r="N10" s="90"/>
    </row>
    <row r="11" spans="2:14" s="91" customFormat="1" x14ac:dyDescent="0.3">
      <c r="B11" s="79" t="s">
        <v>90</v>
      </c>
      <c r="C11" s="80" t="s">
        <v>91</v>
      </c>
      <c r="D11" s="81">
        <f>526.944/D5</f>
        <v>50.731106190430339</v>
      </c>
      <c r="E11" s="82" t="s">
        <v>84</v>
      </c>
      <c r="F11" s="83">
        <f t="shared" si="0"/>
        <v>1112.5242585620688</v>
      </c>
      <c r="G11" s="84">
        <f t="shared" si="1"/>
        <v>92.710354880172403</v>
      </c>
      <c r="H11" s="81"/>
      <c r="I11" s="85"/>
      <c r="J11" s="86"/>
      <c r="K11" s="87"/>
      <c r="L11" s="88"/>
      <c r="M11" s="89"/>
      <c r="N11" s="90"/>
    </row>
    <row r="12" spans="2:14" x14ac:dyDescent="0.3">
      <c r="B12" s="68" t="s">
        <v>92</v>
      </c>
      <c r="C12" s="55" t="s">
        <v>93</v>
      </c>
      <c r="D12" s="93">
        <f>986.5/D5</f>
        <v>94.974487339944162</v>
      </c>
      <c r="E12" s="71">
        <f>D12/$D$12*100</f>
        <v>100</v>
      </c>
      <c r="F12" s="71">
        <f>D12/D4*1000</f>
        <v>2082.7738451742143</v>
      </c>
      <c r="G12" s="72">
        <f>F12/12</f>
        <v>173.56448709785118</v>
      </c>
      <c r="H12" s="94">
        <v>7167</v>
      </c>
      <c r="I12" s="95">
        <v>100</v>
      </c>
      <c r="J12" s="95">
        <f>H12/H4*1000</f>
        <v>14259.84878631118</v>
      </c>
      <c r="K12" s="96">
        <f>J12/12</f>
        <v>1188.3207321925984</v>
      </c>
      <c r="L12" s="97">
        <f>J12-F12</f>
        <v>12177.074941136965</v>
      </c>
      <c r="M12" s="98">
        <f>K12-G12</f>
        <v>1014.7562450947472</v>
      </c>
      <c r="N12" s="99">
        <f>K12/G12*100</f>
        <v>684.65660923058169</v>
      </c>
    </row>
    <row r="13" spans="2:14" x14ac:dyDescent="0.3">
      <c r="B13" s="100" t="s">
        <v>94</v>
      </c>
      <c r="C13" s="92" t="s">
        <v>95</v>
      </c>
      <c r="D13" s="101">
        <f>$D$12*E13/100</f>
        <v>36.945075575238278</v>
      </c>
      <c r="E13" s="102">
        <v>38.9</v>
      </c>
      <c r="F13" s="103">
        <f>$F$12*E13/100</f>
        <v>810.19902577276935</v>
      </c>
      <c r="G13" s="104">
        <f>$G$12*E13/100</f>
        <v>67.516585481064112</v>
      </c>
      <c r="H13" s="101">
        <f>$H$12*I13/100</f>
        <v>924.54300000000001</v>
      </c>
      <c r="I13" s="102">
        <v>12.9</v>
      </c>
      <c r="J13" s="102">
        <f>$J$12*I13/100</f>
        <v>1839.5204934341423</v>
      </c>
      <c r="K13" s="104">
        <f>$K$12*I13/100</f>
        <v>153.2933744528452</v>
      </c>
      <c r="L13" s="101">
        <f t="shared" ref="L13:M24" si="2">J13-F13</f>
        <v>1029.3214676613729</v>
      </c>
      <c r="M13" s="105">
        <f t="shared" si="2"/>
        <v>85.776788971781087</v>
      </c>
      <c r="N13" s="106">
        <f>K13/G13*100</f>
        <v>227.04550794536001</v>
      </c>
    </row>
    <row r="14" spans="2:14" x14ac:dyDescent="0.3">
      <c r="B14" s="100" t="s">
        <v>96</v>
      </c>
      <c r="C14" s="92" t="s">
        <v>97</v>
      </c>
      <c r="D14" s="101">
        <f t="shared" ref="D14:D24" si="3">$D$12*E14/100</f>
        <v>11.681861942813132</v>
      </c>
      <c r="E14" s="102">
        <v>12.3</v>
      </c>
      <c r="F14" s="103">
        <f t="shared" ref="F14:F24" si="4">$F$12*E14/100</f>
        <v>256.18118295642836</v>
      </c>
      <c r="G14" s="104">
        <f t="shared" ref="G14:G24" si="5">$G$12*E14/100</f>
        <v>21.348431913035697</v>
      </c>
      <c r="H14" s="101">
        <f t="shared" ref="H14:H24" si="6">$H$12*I14/100</f>
        <v>953.21100000000001</v>
      </c>
      <c r="I14" s="102">
        <v>13.3</v>
      </c>
      <c r="J14" s="102">
        <f t="shared" ref="J14:J24" si="7">$J$12*I14/100</f>
        <v>1896.559888579387</v>
      </c>
      <c r="K14" s="104">
        <f t="shared" ref="K14:K24" si="8">$K$12*I14/100</f>
        <v>158.04665738161557</v>
      </c>
      <c r="L14" s="101">
        <f t="shared" si="2"/>
        <v>1640.3787056229587</v>
      </c>
      <c r="M14" s="105">
        <f t="shared" si="2"/>
        <v>136.69822546857989</v>
      </c>
      <c r="N14" s="106">
        <f t="shared" ref="N14:N24" si="9">K14/G14*100</f>
        <v>740.31974819241759</v>
      </c>
    </row>
    <row r="15" spans="2:14" ht="28.8" x14ac:dyDescent="0.3">
      <c r="B15" s="100" t="s">
        <v>98</v>
      </c>
      <c r="C15" s="92" t="s">
        <v>99</v>
      </c>
      <c r="D15" s="101">
        <f t="shared" si="3"/>
        <v>11.586887455473185</v>
      </c>
      <c r="E15" s="102">
        <v>12.2</v>
      </c>
      <c r="F15" s="103">
        <f t="shared" si="4"/>
        <v>254.09840911125414</v>
      </c>
      <c r="G15" s="104">
        <f t="shared" si="5"/>
        <v>21.17486742593784</v>
      </c>
      <c r="H15" s="101">
        <f t="shared" si="6"/>
        <v>1691.412</v>
      </c>
      <c r="I15" s="102">
        <v>23.6</v>
      </c>
      <c r="J15" s="102">
        <f t="shared" si="7"/>
        <v>3365.3243135694383</v>
      </c>
      <c r="K15" s="104">
        <f t="shared" si="8"/>
        <v>280.4436927974532</v>
      </c>
      <c r="L15" s="101">
        <f t="shared" si="2"/>
        <v>3111.2259044581842</v>
      </c>
      <c r="M15" s="105">
        <f t="shared" si="2"/>
        <v>259.26882537151533</v>
      </c>
      <c r="N15" s="106">
        <f t="shared" si="9"/>
        <v>1324.4177031017812</v>
      </c>
    </row>
    <row r="16" spans="2:14" ht="28.8" x14ac:dyDescent="0.3">
      <c r="B16" s="100" t="s">
        <v>100</v>
      </c>
      <c r="C16" s="92" t="s">
        <v>101</v>
      </c>
      <c r="D16" s="101">
        <f t="shared" si="3"/>
        <v>7.3130355251757013</v>
      </c>
      <c r="E16" s="102">
        <v>7.7</v>
      </c>
      <c r="F16" s="103">
        <f t="shared" si="4"/>
        <v>160.37358607841449</v>
      </c>
      <c r="G16" s="104">
        <f t="shared" si="5"/>
        <v>13.364465506534541</v>
      </c>
      <c r="H16" s="101">
        <f t="shared" si="6"/>
        <v>258.012</v>
      </c>
      <c r="I16" s="102">
        <v>3.6</v>
      </c>
      <c r="J16" s="102">
        <f t="shared" si="7"/>
        <v>513.35455630720253</v>
      </c>
      <c r="K16" s="104">
        <f t="shared" si="8"/>
        <v>42.779546358933537</v>
      </c>
      <c r="L16" s="101">
        <f t="shared" si="2"/>
        <v>352.98097022878801</v>
      </c>
      <c r="M16" s="105">
        <f t="shared" si="2"/>
        <v>29.415080852398994</v>
      </c>
      <c r="N16" s="106">
        <f t="shared" si="9"/>
        <v>320.09919392598619</v>
      </c>
    </row>
    <row r="17" spans="2:14" x14ac:dyDescent="0.3">
      <c r="B17" s="100" t="s">
        <v>102</v>
      </c>
      <c r="C17" s="92" t="s">
        <v>103</v>
      </c>
      <c r="D17" s="101">
        <f t="shared" si="3"/>
        <v>6.2683161644363148</v>
      </c>
      <c r="E17" s="102">
        <v>6.6</v>
      </c>
      <c r="F17" s="103">
        <f t="shared" si="4"/>
        <v>137.46307378149814</v>
      </c>
      <c r="G17" s="104">
        <f t="shared" si="5"/>
        <v>11.455256148458178</v>
      </c>
      <c r="H17" s="101">
        <f t="shared" si="6"/>
        <v>379.851</v>
      </c>
      <c r="I17" s="102">
        <v>5.3</v>
      </c>
      <c r="J17" s="102">
        <f t="shared" si="7"/>
        <v>755.77198567449261</v>
      </c>
      <c r="K17" s="104">
        <f t="shared" si="8"/>
        <v>62.980998806207708</v>
      </c>
      <c r="L17" s="101">
        <f t="shared" si="2"/>
        <v>618.3089118929945</v>
      </c>
      <c r="M17" s="105">
        <f t="shared" si="2"/>
        <v>51.525742657749532</v>
      </c>
      <c r="N17" s="106">
        <f t="shared" si="9"/>
        <v>549.80000438213381</v>
      </c>
    </row>
    <row r="18" spans="2:14" x14ac:dyDescent="0.3">
      <c r="B18" s="100" t="s">
        <v>104</v>
      </c>
      <c r="C18" s="92" t="s">
        <v>105</v>
      </c>
      <c r="D18" s="101">
        <f t="shared" si="3"/>
        <v>4.4638009049773757</v>
      </c>
      <c r="E18" s="102">
        <v>4.7</v>
      </c>
      <c r="F18" s="103">
        <f t="shared" si="4"/>
        <v>97.890370723188084</v>
      </c>
      <c r="G18" s="104">
        <f t="shared" si="5"/>
        <v>8.1575308935990059</v>
      </c>
      <c r="H18" s="101">
        <f t="shared" si="6"/>
        <v>265.17900000000003</v>
      </c>
      <c r="I18" s="102">
        <v>3.7</v>
      </c>
      <c r="J18" s="102">
        <f t="shared" si="7"/>
        <v>527.61440509351371</v>
      </c>
      <c r="K18" s="104">
        <f t="shared" si="8"/>
        <v>43.967867091126145</v>
      </c>
      <c r="L18" s="101">
        <f t="shared" si="2"/>
        <v>429.72403437032563</v>
      </c>
      <c r="M18" s="105">
        <f t="shared" si="2"/>
        <v>35.810336197527135</v>
      </c>
      <c r="N18" s="106">
        <f t="shared" si="9"/>
        <v>538.98499024535158</v>
      </c>
    </row>
    <row r="19" spans="2:14" ht="28.8" x14ac:dyDescent="0.3">
      <c r="B19" s="100" t="s">
        <v>106</v>
      </c>
      <c r="C19" s="92" t="s">
        <v>107</v>
      </c>
      <c r="D19" s="101">
        <f t="shared" si="3"/>
        <v>3.8939539809377099</v>
      </c>
      <c r="E19" s="102">
        <v>4.0999999999999996</v>
      </c>
      <c r="F19" s="103">
        <f t="shared" si="4"/>
        <v>85.393727652142786</v>
      </c>
      <c r="G19" s="104">
        <f t="shared" si="5"/>
        <v>7.1161439710118977</v>
      </c>
      <c r="H19" s="101">
        <f t="shared" si="6"/>
        <v>408.51900000000001</v>
      </c>
      <c r="I19" s="102">
        <v>5.7</v>
      </c>
      <c r="J19" s="102">
        <f t="shared" si="7"/>
        <v>812.81138081973722</v>
      </c>
      <c r="K19" s="104">
        <f t="shared" si="8"/>
        <v>67.734281734978111</v>
      </c>
      <c r="L19" s="101">
        <f t="shared" si="2"/>
        <v>727.41765316759438</v>
      </c>
      <c r="M19" s="105">
        <f t="shared" si="2"/>
        <v>60.618137763966217</v>
      </c>
      <c r="N19" s="106">
        <f t="shared" si="9"/>
        <v>951.83967624739432</v>
      </c>
    </row>
    <row r="20" spans="2:14" x14ac:dyDescent="0.3">
      <c r="B20" s="100" t="s">
        <v>108</v>
      </c>
      <c r="C20" s="92" t="s">
        <v>109</v>
      </c>
      <c r="D20" s="101">
        <f t="shared" si="3"/>
        <v>3.7040050062578223</v>
      </c>
      <c r="E20" s="102">
        <v>3.9</v>
      </c>
      <c r="F20" s="103">
        <f t="shared" si="4"/>
        <v>81.228179961794353</v>
      </c>
      <c r="G20" s="104">
        <f t="shared" si="5"/>
        <v>6.7690149968161961</v>
      </c>
      <c r="H20" s="101">
        <f t="shared" si="6"/>
        <v>623.529</v>
      </c>
      <c r="I20" s="102">
        <v>8.6999999999999993</v>
      </c>
      <c r="J20" s="102">
        <f t="shared" si="7"/>
        <v>1240.6068444090727</v>
      </c>
      <c r="K20" s="104">
        <f t="shared" si="8"/>
        <v>103.38390370075605</v>
      </c>
      <c r="L20" s="101">
        <f t="shared" si="2"/>
        <v>1159.3786644472784</v>
      </c>
      <c r="M20" s="105">
        <f t="shared" si="2"/>
        <v>96.614888703939855</v>
      </c>
      <c r="N20" s="106">
        <f t="shared" si="9"/>
        <v>1527.3108975143743</v>
      </c>
    </row>
    <row r="21" spans="2:14" x14ac:dyDescent="0.3">
      <c r="B21" s="100" t="s">
        <v>110</v>
      </c>
      <c r="C21" s="92" t="s">
        <v>111</v>
      </c>
      <c r="D21" s="101">
        <f t="shared" si="3"/>
        <v>3.2291325695581015</v>
      </c>
      <c r="E21" s="102">
        <v>3.4</v>
      </c>
      <c r="F21" s="103">
        <f t="shared" si="4"/>
        <v>70.814310735923286</v>
      </c>
      <c r="G21" s="104">
        <f t="shared" si="5"/>
        <v>5.9011925613269396</v>
      </c>
      <c r="H21" s="101">
        <f t="shared" si="6"/>
        <v>781.20299999999997</v>
      </c>
      <c r="I21" s="102">
        <v>10.9</v>
      </c>
      <c r="J21" s="102">
        <f t="shared" si="7"/>
        <v>1554.3235177079187</v>
      </c>
      <c r="K21" s="104">
        <f t="shared" si="8"/>
        <v>129.52695980899324</v>
      </c>
      <c r="L21" s="101">
        <f t="shared" si="2"/>
        <v>1483.5092069719954</v>
      </c>
      <c r="M21" s="105">
        <f t="shared" si="2"/>
        <v>123.6257672476663</v>
      </c>
      <c r="N21" s="106">
        <f t="shared" si="9"/>
        <v>2194.9285413568655</v>
      </c>
    </row>
    <row r="22" spans="2:14" x14ac:dyDescent="0.3">
      <c r="B22" s="100" t="s">
        <v>112</v>
      </c>
      <c r="C22" s="92" t="s">
        <v>113</v>
      </c>
      <c r="D22" s="101">
        <f t="shared" si="3"/>
        <v>2.2793876961586599</v>
      </c>
      <c r="E22" s="102">
        <v>2.4</v>
      </c>
      <c r="F22" s="103">
        <f t="shared" si="4"/>
        <v>49.986572284181136</v>
      </c>
      <c r="G22" s="104">
        <f t="shared" si="5"/>
        <v>4.1655476903484283</v>
      </c>
      <c r="H22" s="101">
        <f t="shared" si="6"/>
        <v>616.36199999999997</v>
      </c>
      <c r="I22" s="102">
        <v>8.6</v>
      </c>
      <c r="J22" s="102">
        <f t="shared" si="7"/>
        <v>1226.3469956227614</v>
      </c>
      <c r="K22" s="104">
        <f t="shared" si="8"/>
        <v>102.19558296856344</v>
      </c>
      <c r="L22" s="101">
        <f t="shared" si="2"/>
        <v>1176.3604233385802</v>
      </c>
      <c r="M22" s="105">
        <f t="shared" si="2"/>
        <v>98.03003527821501</v>
      </c>
      <c r="N22" s="106">
        <f t="shared" si="9"/>
        <v>2453.3528497429174</v>
      </c>
    </row>
    <row r="23" spans="2:14" x14ac:dyDescent="0.3">
      <c r="B23" s="100" t="s">
        <v>114</v>
      </c>
      <c r="C23" s="92" t="s">
        <v>115</v>
      </c>
      <c r="D23" s="101">
        <f t="shared" si="3"/>
        <v>2.2793876961586599</v>
      </c>
      <c r="E23" s="102">
        <v>2.4</v>
      </c>
      <c r="F23" s="103">
        <f t="shared" si="4"/>
        <v>49.986572284181136</v>
      </c>
      <c r="G23" s="104">
        <f t="shared" si="5"/>
        <v>4.1655476903484283</v>
      </c>
      <c r="H23" s="101">
        <f t="shared" si="6"/>
        <v>186.34200000000001</v>
      </c>
      <c r="I23" s="102">
        <v>2.6</v>
      </c>
      <c r="J23" s="102">
        <f t="shared" si="7"/>
        <v>370.75606844409072</v>
      </c>
      <c r="K23" s="104">
        <f t="shared" si="8"/>
        <v>30.896339037007561</v>
      </c>
      <c r="L23" s="101">
        <f t="shared" si="2"/>
        <v>320.76949615990958</v>
      </c>
      <c r="M23" s="105">
        <f t="shared" si="2"/>
        <v>26.730791346659132</v>
      </c>
      <c r="N23" s="106">
        <f t="shared" si="9"/>
        <v>741.71132666646361</v>
      </c>
    </row>
    <row r="24" spans="2:14" ht="15" thickBot="1" x14ac:dyDescent="0.35">
      <c r="B24" s="107" t="s">
        <v>116</v>
      </c>
      <c r="C24" s="108" t="s">
        <v>117</v>
      </c>
      <c r="D24" s="109">
        <f t="shared" si="3"/>
        <v>1.3296428227592181</v>
      </c>
      <c r="E24" s="110">
        <v>1.4</v>
      </c>
      <c r="F24" s="111">
        <f t="shared" si="4"/>
        <v>29.158833832439001</v>
      </c>
      <c r="G24" s="112">
        <f t="shared" si="5"/>
        <v>2.4299028193699161</v>
      </c>
      <c r="H24" s="109">
        <f t="shared" si="6"/>
        <v>78.837000000000003</v>
      </c>
      <c r="I24" s="110">
        <v>1.1000000000000001</v>
      </c>
      <c r="J24" s="110">
        <f t="shared" si="7"/>
        <v>156.85833664942299</v>
      </c>
      <c r="K24" s="112">
        <f t="shared" si="8"/>
        <v>13.071528054118582</v>
      </c>
      <c r="L24" s="109">
        <f t="shared" si="2"/>
        <v>127.69950281698399</v>
      </c>
      <c r="M24" s="113">
        <f t="shared" si="2"/>
        <v>10.641625234748666</v>
      </c>
      <c r="N24" s="114">
        <f t="shared" si="9"/>
        <v>537.94447868117152</v>
      </c>
    </row>
    <row r="26" spans="2:14" x14ac:dyDescent="0.3">
      <c r="B26" t="s">
        <v>118</v>
      </c>
    </row>
    <row r="27" spans="2:14" x14ac:dyDescent="0.3">
      <c r="B27" t="s">
        <v>119</v>
      </c>
    </row>
  </sheetData>
  <mergeCells count="9">
    <mergeCell ref="B1:N1"/>
    <mergeCell ref="B3:B6"/>
    <mergeCell ref="D3:G3"/>
    <mergeCell ref="H3:K3"/>
    <mergeCell ref="L3:N5"/>
    <mergeCell ref="D4:G4"/>
    <mergeCell ref="H4:K4"/>
    <mergeCell ref="D5:G5"/>
    <mergeCell ref="H5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topLeftCell="D1" workbookViewId="0">
      <selection activeCell="T14" sqref="T14"/>
    </sheetView>
  </sheetViews>
  <sheetFormatPr defaultRowHeight="14.4" x14ac:dyDescent="0.3"/>
  <cols>
    <col min="1" max="1" width="2.6640625" customWidth="1"/>
    <col min="2" max="2" width="6.44140625" bestFit="1" customWidth="1"/>
    <col min="3" max="3" width="46.6640625" bestFit="1" customWidth="1"/>
    <col min="4" max="4" width="7.6640625" bestFit="1" customWidth="1"/>
    <col min="5" max="5" width="7" bestFit="1" customWidth="1"/>
    <col min="6" max="6" width="7.6640625" bestFit="1" customWidth="1"/>
    <col min="7" max="7" width="7" bestFit="1" customWidth="1"/>
    <col min="8" max="8" width="7.6640625" bestFit="1" customWidth="1"/>
    <col min="9" max="9" width="7" bestFit="1" customWidth="1"/>
    <col min="10" max="10" width="7.6640625" bestFit="1" customWidth="1"/>
    <col min="11" max="11" width="7" bestFit="1" customWidth="1"/>
    <col min="12" max="12" width="7.6640625" bestFit="1" customWidth="1"/>
    <col min="13" max="13" width="7" bestFit="1" customWidth="1"/>
    <col min="14" max="14" width="7.6640625" bestFit="1" customWidth="1"/>
    <col min="15" max="15" width="7" bestFit="1" customWidth="1"/>
    <col min="16" max="16" width="7.6640625" bestFit="1" customWidth="1"/>
    <col min="17" max="17" width="7" bestFit="1" customWidth="1"/>
    <col min="18" max="18" width="8" bestFit="1" customWidth="1"/>
    <col min="19" max="19" width="7" bestFit="1" customWidth="1"/>
  </cols>
  <sheetData>
    <row r="1" spans="1:19" ht="18" x14ac:dyDescent="0.3">
      <c r="A1" s="119"/>
      <c r="B1" s="266" t="s">
        <v>127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</row>
    <row r="2" spans="1:19" ht="15.75" thickBot="1" x14ac:dyDescent="0.3">
      <c r="A2" s="120"/>
      <c r="B2" s="121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</row>
    <row r="3" spans="1:19" ht="16.2" thickBot="1" x14ac:dyDescent="0.35">
      <c r="A3" s="122"/>
      <c r="B3" s="267"/>
      <c r="C3" s="123"/>
      <c r="D3" s="269">
        <v>2005</v>
      </c>
      <c r="E3" s="270"/>
      <c r="F3" s="269">
        <v>2006</v>
      </c>
      <c r="G3" s="270"/>
      <c r="H3" s="269">
        <v>2007</v>
      </c>
      <c r="I3" s="270"/>
      <c r="J3" s="269">
        <v>2008</v>
      </c>
      <c r="K3" s="270"/>
      <c r="L3" s="269">
        <v>2009</v>
      </c>
      <c r="M3" s="270"/>
      <c r="N3" s="269">
        <v>2010</v>
      </c>
      <c r="O3" s="270"/>
      <c r="P3" s="269">
        <v>2011</v>
      </c>
      <c r="Q3" s="270"/>
      <c r="R3" s="269">
        <v>2012</v>
      </c>
      <c r="S3" s="270"/>
    </row>
    <row r="4" spans="1:19" ht="16.2" thickBot="1" x14ac:dyDescent="0.35">
      <c r="A4" s="122"/>
      <c r="B4" s="268"/>
      <c r="C4" s="124" t="s">
        <v>128</v>
      </c>
      <c r="D4" s="123">
        <v>5.12</v>
      </c>
      <c r="E4" s="123"/>
      <c r="F4" s="123">
        <v>5.05</v>
      </c>
      <c r="G4" s="123"/>
      <c r="H4" s="123">
        <v>5.05</v>
      </c>
      <c r="I4" s="123"/>
      <c r="J4" s="123">
        <v>5.27</v>
      </c>
      <c r="K4" s="123"/>
      <c r="L4" s="123">
        <v>7.79</v>
      </c>
      <c r="M4" s="123"/>
      <c r="N4" s="123">
        <v>7.94</v>
      </c>
      <c r="O4" s="123"/>
      <c r="P4" s="123">
        <v>7.97</v>
      </c>
      <c r="Q4" s="123"/>
      <c r="R4" s="124">
        <v>7.99</v>
      </c>
      <c r="S4" s="123"/>
    </row>
    <row r="5" spans="1:19" s="130" customFormat="1" ht="16.2" thickBot="1" x14ac:dyDescent="0.3">
      <c r="A5" s="125"/>
      <c r="B5" s="126"/>
      <c r="C5" s="127" t="s">
        <v>129</v>
      </c>
      <c r="D5" s="128">
        <v>47.1</v>
      </c>
      <c r="E5" s="128" t="s">
        <v>80</v>
      </c>
      <c r="F5" s="128">
        <v>46.7</v>
      </c>
      <c r="G5" s="128" t="s">
        <v>80</v>
      </c>
      <c r="H5" s="128">
        <v>46.5</v>
      </c>
      <c r="I5" s="128" t="s">
        <v>80</v>
      </c>
      <c r="J5" s="128">
        <v>46.2</v>
      </c>
      <c r="K5" s="128" t="s">
        <v>80</v>
      </c>
      <c r="L5" s="128">
        <v>46</v>
      </c>
      <c r="M5" s="128" t="s">
        <v>80</v>
      </c>
      <c r="N5" s="128">
        <v>45.8</v>
      </c>
      <c r="O5" s="128" t="s">
        <v>80</v>
      </c>
      <c r="P5" s="128">
        <v>45.6</v>
      </c>
      <c r="Q5" s="128" t="s">
        <v>80</v>
      </c>
      <c r="R5" s="129">
        <v>45.5</v>
      </c>
      <c r="S5" s="128" t="s">
        <v>80</v>
      </c>
    </row>
    <row r="6" spans="1:19" ht="15.6" x14ac:dyDescent="0.3">
      <c r="A6" s="122"/>
      <c r="B6" s="131" t="s">
        <v>130</v>
      </c>
      <c r="C6" s="132" t="s">
        <v>131</v>
      </c>
      <c r="D6" s="133">
        <f>441452/D4/1000</f>
        <v>86.221093749999994</v>
      </c>
      <c r="E6" s="134">
        <f>D6/D6*100</f>
        <v>100</v>
      </c>
      <c r="F6" s="135">
        <f>544153/F4/1000</f>
        <v>107.7530693069307</v>
      </c>
      <c r="G6" s="134">
        <f>F6/F6*100</f>
        <v>100</v>
      </c>
      <c r="H6" s="135">
        <f>720731/H4/1000</f>
        <v>142.71900990099013</v>
      </c>
      <c r="I6" s="134">
        <f>H6/H6*100</f>
        <v>100</v>
      </c>
      <c r="J6" s="135">
        <f>948056/J4/1000</f>
        <v>179.8967741935484</v>
      </c>
      <c r="K6" s="134">
        <f>J6/J6*100</f>
        <v>100</v>
      </c>
      <c r="L6" s="135">
        <f>1408889/L4/1000</f>
        <v>180.85866495507059</v>
      </c>
      <c r="M6" s="134">
        <f>L6/L6*100</f>
        <v>100</v>
      </c>
      <c r="N6" s="135">
        <f>1408889/N4/1000</f>
        <v>177.44193954659949</v>
      </c>
      <c r="O6" s="134">
        <f>N6/N6*100</f>
        <v>100</v>
      </c>
      <c r="P6" s="135">
        <f>1408889/P4/1000</f>
        <v>176.77402760351319</v>
      </c>
      <c r="Q6" s="134">
        <f>P6/P6*100</f>
        <v>100</v>
      </c>
      <c r="R6" s="135">
        <f>1408889/R4/1000</f>
        <v>176.33153942428035</v>
      </c>
      <c r="S6" s="134">
        <f>R6/R6*100</f>
        <v>100</v>
      </c>
    </row>
    <row r="7" spans="1:19" ht="15.6" x14ac:dyDescent="0.3">
      <c r="A7" s="136"/>
      <c r="B7" s="172" t="s">
        <v>92</v>
      </c>
      <c r="C7" s="173" t="s">
        <v>132</v>
      </c>
      <c r="D7" s="174">
        <f>(252624+4727)/D4/1000</f>
        <v>50.263867187499997</v>
      </c>
      <c r="E7" s="175">
        <f>D7/D$6*100</f>
        <v>58.29648523508785</v>
      </c>
      <c r="F7" s="176">
        <f>(319383+5173)/F4/1000</f>
        <v>64.268514851485151</v>
      </c>
      <c r="G7" s="175">
        <f>F7/F$6*100</f>
        <v>59.644254465196369</v>
      </c>
      <c r="H7" s="176">
        <f>(423174+6445)/H4/1000</f>
        <v>85.073069306930705</v>
      </c>
      <c r="I7" s="175">
        <f>H7/H$6*100</f>
        <v>59.608786079688535</v>
      </c>
      <c r="J7" s="176">
        <f>(582482+7257)/J4/1000</f>
        <v>111.90493358633776</v>
      </c>
      <c r="K7" s="175">
        <f>J7/J$6*100</f>
        <v>62.205080712531746</v>
      </c>
      <c r="L7" s="176">
        <f>(581733+7079)/L4/1000</f>
        <v>75.585622593068038</v>
      </c>
      <c r="M7" s="175">
        <f>L7/L$6*100</f>
        <v>41.792646546321258</v>
      </c>
      <c r="N7" s="176">
        <f>(686082+8222)/N4/1000</f>
        <v>87.443828715365228</v>
      </c>
      <c r="O7" s="175">
        <f>N7/N$6*100</f>
        <v>49.280248479475667</v>
      </c>
      <c r="P7" s="176">
        <f>(865860+9716)/P4/1000</f>
        <v>109.85897114178168</v>
      </c>
      <c r="Q7" s="175">
        <f>P7/P$6*100</f>
        <v>62.146556613047579</v>
      </c>
      <c r="R7" s="176">
        <f>(986540+10245)/R4/1000</f>
        <v>124.75406758448059</v>
      </c>
      <c r="S7" s="175">
        <f>R7/R$6*100</f>
        <v>70.749718395132604</v>
      </c>
    </row>
    <row r="8" spans="1:19" ht="15.6" x14ac:dyDescent="0.3">
      <c r="A8" s="136"/>
      <c r="B8" s="139" t="s">
        <v>94</v>
      </c>
      <c r="C8" s="140" t="s">
        <v>133</v>
      </c>
      <c r="D8" s="141">
        <f>D7*'[1]Споживчи витрати'!D14/100</f>
        <v>32.828760676797472</v>
      </c>
      <c r="E8" s="142">
        <f t="shared" ref="E8:G21" si="0">D8/D$6*100</f>
        <v>38.07509189338888</v>
      </c>
      <c r="F8" s="143">
        <f>F7*'[1]Споживчи витрати'!F14/100</f>
        <v>39.626332913954379</v>
      </c>
      <c r="G8" s="142">
        <f t="shared" si="0"/>
        <v>36.775131482408369</v>
      </c>
      <c r="H8" s="143">
        <f>H7*'[1]Споживчи витрати'!H14/100</f>
        <v>51.043841584158429</v>
      </c>
      <c r="I8" s="142">
        <f t="shared" ref="I8:I21" si="1">H8/H$6*100</f>
        <v>35.765271647813123</v>
      </c>
      <c r="J8" s="143">
        <f>J7*'[1]Споживчи витрати'!J14/100</f>
        <v>66.338075478675876</v>
      </c>
      <c r="K8" s="142">
        <f t="shared" ref="K8:K21" si="2">J8/J$6*100</f>
        <v>36.875633693855832</v>
      </c>
      <c r="L8" s="143">
        <f>L7*'[1]Споживчи витрати'!L14/100</f>
        <v>45.799033279626656</v>
      </c>
      <c r="M8" s="142">
        <f t="shared" ref="M8:M21" si="3">L8/L$6*100</f>
        <v>25.323107018955483</v>
      </c>
      <c r="N8" s="143">
        <f>N7*'[1]Споживчи витрати'!N14/100</f>
        <v>53.340735516372789</v>
      </c>
      <c r="O8" s="142">
        <f t="shared" ref="O8:O21" si="4">N8/N$6*100</f>
        <v>30.06095157248016</v>
      </c>
      <c r="P8" s="143">
        <f>P7*'[1]Споживчи витрати'!P14/100</f>
        <v>66.621792920792203</v>
      </c>
      <c r="Q8" s="142">
        <f t="shared" ref="Q8:Q21" si="5">P8/P$6*100</f>
        <v>37.687545972657446</v>
      </c>
      <c r="R8" s="143">
        <f>R7*'[1]Споживчи витрати'!R14/100</f>
        <v>73.699597681920892</v>
      </c>
      <c r="S8" s="142">
        <f t="shared" ref="S8:S21" si="6">R8/R$6*100</f>
        <v>41.796038259830823</v>
      </c>
    </row>
    <row r="9" spans="1:19" ht="15.6" x14ac:dyDescent="0.3">
      <c r="A9" s="136"/>
      <c r="B9" s="144" t="s">
        <v>96</v>
      </c>
      <c r="C9" s="145" t="s">
        <v>134</v>
      </c>
      <c r="D9" s="146">
        <f>'[1]Споживчи витрати'!D18/100*[1]GDP!D7</f>
        <v>4.5794741784440181</v>
      </c>
      <c r="E9" s="138">
        <f t="shared" si="0"/>
        <v>5.3113153397500463</v>
      </c>
      <c r="F9" s="147">
        <f>'[1]Споживчи витрати'!F18/100*[1]GDP!F7</f>
        <v>6.1072842842295278</v>
      </c>
      <c r="G9" s="138">
        <f t="shared" si="0"/>
        <v>5.6678518055324725</v>
      </c>
      <c r="H9" s="147">
        <f>'[1]Споживчи витрати'!H18/100*[1]GDP!H7</f>
        <v>8.3182556655665589</v>
      </c>
      <c r="I9" s="138">
        <f t="shared" si="1"/>
        <v>5.8284146389028795</v>
      </c>
      <c r="J9" s="147">
        <f>'[1]Споживчи витрати'!J18/100*[1]GDP!J7</f>
        <v>11.294349445488846</v>
      </c>
      <c r="K9" s="138">
        <f t="shared" si="2"/>
        <v>6.2782390046290741</v>
      </c>
      <c r="L9" s="147">
        <f>'[1]Споживчи витрати'!L18/100*[1]GDP!L7</f>
        <v>6.8009842652077168</v>
      </c>
      <c r="M9" s="138">
        <f t="shared" si="3"/>
        <v>3.7603861926644409</v>
      </c>
      <c r="N9" s="147">
        <f>'[1]Споживчи витрати'!N18/100*[1]GDP!N7</f>
        <v>8.2585838231178261</v>
      </c>
      <c r="O9" s="138">
        <f t="shared" si="4"/>
        <v>4.6542456897282571</v>
      </c>
      <c r="P9" s="147">
        <f>'[1]Споживчи витрати'!P18/100*[1]GDP!P7</f>
        <v>9.7435894582511455</v>
      </c>
      <c r="Q9" s="138">
        <f t="shared" si="5"/>
        <v>5.5118897217780551</v>
      </c>
      <c r="R9" s="147">
        <f>'[1]Споживчи витрати'!R18/100*[1]GDP!R7</f>
        <v>11.528428687674772</v>
      </c>
      <c r="S9" s="138">
        <f t="shared" si="6"/>
        <v>6.5379277724875005</v>
      </c>
    </row>
    <row r="10" spans="1:19" ht="15.6" x14ac:dyDescent="0.3">
      <c r="A10" s="136"/>
      <c r="B10" s="139" t="s">
        <v>98</v>
      </c>
      <c r="C10" s="140" t="s">
        <v>135</v>
      </c>
      <c r="D10" s="141">
        <f>'[1]Споживчи витрати'!D20/100*D7</f>
        <v>4.6898229538282106</v>
      </c>
      <c r="E10" s="142">
        <f t="shared" si="0"/>
        <v>5.4392988419126969</v>
      </c>
      <c r="F10" s="143">
        <f>'[1]Споживчи витрати'!F20/100*F7</f>
        <v>6.8174336196050547</v>
      </c>
      <c r="G10" s="142">
        <f t="shared" si="0"/>
        <v>6.3269043410595041</v>
      </c>
      <c r="H10" s="143">
        <f>'[1]Споживчи витрати'!H20/100*H7</f>
        <v>10.303293949394941</v>
      </c>
      <c r="I10" s="142">
        <f t="shared" si="1"/>
        <v>7.2192863140956121</v>
      </c>
      <c r="J10" s="143">
        <f>'[1]Споживчи витрати'!J20/100*J7</f>
        <v>11.813629879764195</v>
      </c>
      <c r="K10" s="142">
        <f t="shared" si="2"/>
        <v>6.5668936715085708</v>
      </c>
      <c r="L10" s="143">
        <f>'[1]Споживчи витрати'!L20/100*L7</f>
        <v>8.0923103915129797</v>
      </c>
      <c r="M10" s="142">
        <f t="shared" si="3"/>
        <v>4.474383571018449</v>
      </c>
      <c r="N10" s="143">
        <f>'[1]Споживчи витрати'!N20/100*N7</f>
        <v>9.0358623005877394</v>
      </c>
      <c r="O10" s="142">
        <f t="shared" si="4"/>
        <v>5.0922923428791522</v>
      </c>
      <c r="P10" s="143">
        <f>'[1]Споживчи витрати'!P20/100*P7</f>
        <v>11.692307349901377</v>
      </c>
      <c r="Q10" s="142">
        <f t="shared" si="5"/>
        <v>6.6142676661336681</v>
      </c>
      <c r="R10" s="143">
        <f>'[1]Споживчи витрати'!R20/100*[1]GDP!$R$7</f>
        <v>13.587076667616699</v>
      </c>
      <c r="S10" s="142">
        <f t="shared" si="6"/>
        <v>7.7054148747174143</v>
      </c>
    </row>
    <row r="11" spans="1:19" ht="15.6" x14ac:dyDescent="0.3">
      <c r="A11" s="136"/>
      <c r="B11" s="144" t="s">
        <v>100</v>
      </c>
      <c r="C11" s="145" t="s">
        <v>97</v>
      </c>
      <c r="D11" s="146">
        <f>'[1]Споживчи витрати'!D21/100*D7</f>
        <v>1.655231630762898</v>
      </c>
      <c r="E11" s="138">
        <f t="shared" si="0"/>
        <v>1.9197525324397755</v>
      </c>
      <c r="F11" s="147">
        <f>'[1]Споживчи витрати'!F21/100*F7</f>
        <v>2.627552540889448</v>
      </c>
      <c r="G11" s="138">
        <f t="shared" si="0"/>
        <v>2.4384943814500173</v>
      </c>
      <c r="H11" s="147">
        <f>'[1]Споживчи витрати'!H21/100*H7</f>
        <v>3.2138715071507153</v>
      </c>
      <c r="I11" s="138">
        <f t="shared" si="1"/>
        <v>2.2518874741215669</v>
      </c>
      <c r="J11" s="147">
        <f>'[1]Споживчи витрати'!J21/100*J7</f>
        <v>5.192804342753492</v>
      </c>
      <c r="K11" s="138">
        <f t="shared" si="2"/>
        <v>2.8865466687949763</v>
      </c>
      <c r="L11" s="147">
        <f>'[1]Споживчи витрати'!L21/100*L7</f>
        <v>3.2713595199733319</v>
      </c>
      <c r="M11" s="138">
        <f t="shared" si="3"/>
        <v>1.8087933584968197</v>
      </c>
      <c r="N11" s="147">
        <f>'[1]Споживчи витрати'!N21/100*N7</f>
        <v>3.594912958298349</v>
      </c>
      <c r="O11" s="138">
        <f t="shared" si="4"/>
        <v>2.0259657708228889</v>
      </c>
      <c r="P11" s="147">
        <f>'[1]Споживчи витрати'!P21/100*P7</f>
        <v>4.8717947291255728</v>
      </c>
      <c r="Q11" s="138">
        <f t="shared" si="5"/>
        <v>2.7559448608890276</v>
      </c>
      <c r="R11" s="147">
        <f>'[1]Споживчи витрати'!R21/100*[1]GDP!$R$7</f>
        <v>5.9014575425001814</v>
      </c>
      <c r="S11" s="138">
        <f t="shared" si="6"/>
        <v>3.3467963597257446</v>
      </c>
    </row>
    <row r="12" spans="1:19" ht="15.6" x14ac:dyDescent="0.3">
      <c r="A12" s="136"/>
      <c r="B12" s="139" t="s">
        <v>102</v>
      </c>
      <c r="C12" s="140" t="s">
        <v>136</v>
      </c>
      <c r="D12" s="141">
        <f>'[1]Споживчи витрати'!D22/100*D7</f>
        <v>1.1586621415340286</v>
      </c>
      <c r="E12" s="142">
        <f t="shared" si="0"/>
        <v>1.343826772707843</v>
      </c>
      <c r="F12" s="143">
        <f>'[1]Споживчи витрати'!F22/100*F7</f>
        <v>1.8463882719763691</v>
      </c>
      <c r="G12" s="142">
        <f t="shared" si="0"/>
        <v>1.7135365923702826</v>
      </c>
      <c r="H12" s="143">
        <f>'[1]Споживчи витрати'!H22/100*H7</f>
        <v>2.4576664466446645</v>
      </c>
      <c r="I12" s="142">
        <f t="shared" si="1"/>
        <v>1.7220315978576686</v>
      </c>
      <c r="J12" s="143">
        <f>'[1]Споживчи витрати'!J22/100*J7</f>
        <v>2.9858624970832581</v>
      </c>
      <c r="K12" s="142">
        <f t="shared" si="2"/>
        <v>1.6597643345571116</v>
      </c>
      <c r="L12" s="143">
        <f>'[1]Споживчи витрати'!L22/100*L7</f>
        <v>2.152210210508771</v>
      </c>
      <c r="M12" s="142">
        <f t="shared" si="3"/>
        <v>1.189995630590013</v>
      </c>
      <c r="N12" s="143">
        <f>'[1]Споживчи витрати'!N22/100*N7</f>
        <v>2.6233148614609569</v>
      </c>
      <c r="O12" s="142">
        <f t="shared" si="4"/>
        <v>1.47840745438427</v>
      </c>
      <c r="P12" s="143">
        <f>'[1]Споживчи витрати'!P22/100*P7</f>
        <v>3.1666665739316224</v>
      </c>
      <c r="Q12" s="142">
        <f t="shared" si="5"/>
        <v>1.791364159577868</v>
      </c>
      <c r="R12" s="143">
        <f>'[1]Споживчи витрати'!R22/100*[1]GDP!$R$7</f>
        <v>3.8428095625582581</v>
      </c>
      <c r="S12" s="142">
        <f t="shared" si="6"/>
        <v>2.1793092574958339</v>
      </c>
    </row>
    <row r="13" spans="1:19" ht="15.6" x14ac:dyDescent="0.3">
      <c r="A13" s="136"/>
      <c r="B13" s="144" t="s">
        <v>104</v>
      </c>
      <c r="C13" s="145" t="s">
        <v>137</v>
      </c>
      <c r="D13" s="146">
        <f>'[1]Споживчи витрати'!D23/100*D7</f>
        <v>1.379359692302415</v>
      </c>
      <c r="E13" s="138">
        <f t="shared" si="0"/>
        <v>1.5997937770331463</v>
      </c>
      <c r="F13" s="147">
        <f>'[1]Споживчи витрати'!F23/100*F7</f>
        <v>1.7753733384388162</v>
      </c>
      <c r="G13" s="138">
        <f t="shared" si="0"/>
        <v>1.6476313388175789</v>
      </c>
      <c r="H13" s="147">
        <f>'[1]Споживчи витрати'!H23/100*H7</f>
        <v>2.3631408140814085</v>
      </c>
      <c r="I13" s="138">
        <f t="shared" si="1"/>
        <v>1.6557996133246815</v>
      </c>
      <c r="J13" s="147">
        <f>'[1]Споживчи витрати'!J23/100*J7</f>
        <v>3.5051429313586073</v>
      </c>
      <c r="K13" s="138">
        <f t="shared" si="2"/>
        <v>1.9484190014366094</v>
      </c>
      <c r="L13" s="147">
        <f>'[1]Споживчи витрати'!L23/100*L7</f>
        <v>2.6687406610308759</v>
      </c>
      <c r="M13" s="138">
        <f t="shared" si="3"/>
        <v>1.4755945819316159</v>
      </c>
      <c r="N13" s="147">
        <f>'[1]Споживчи витрати'!N23/100*N7</f>
        <v>3.0119541001959136</v>
      </c>
      <c r="O13" s="138">
        <f t="shared" si="4"/>
        <v>1.6974307809597176</v>
      </c>
      <c r="P13" s="147">
        <f>'[1]Споживчи витрати'!P23/100*P7</f>
        <v>3.7756409150723198</v>
      </c>
      <c r="Q13" s="138">
        <f t="shared" si="5"/>
        <v>2.1358572671889968</v>
      </c>
      <c r="R13" s="147">
        <f>'[1]Споживчи витрати'!R23/100*[1]GDP!$R$7</f>
        <v>4.6662687545350279</v>
      </c>
      <c r="S13" s="138">
        <f t="shared" si="6"/>
        <v>2.6463040983877986</v>
      </c>
    </row>
    <row r="14" spans="1:19" ht="15.6" x14ac:dyDescent="0.3">
      <c r="A14" s="136"/>
      <c r="B14" s="139" t="s">
        <v>106</v>
      </c>
      <c r="C14" s="140" t="s">
        <v>138</v>
      </c>
      <c r="D14" s="141">
        <f>'[1]Споживчи витрати'!D24/100*D7</f>
        <v>0.60691826461306264</v>
      </c>
      <c r="E14" s="142">
        <f t="shared" si="0"/>
        <v>0.70390926189458447</v>
      </c>
      <c r="F14" s="143">
        <f>'[1]Споживчи витрати'!F24/100*F7</f>
        <v>0.99420906952573707</v>
      </c>
      <c r="G14" s="142">
        <f t="shared" si="0"/>
        <v>0.92267354973784443</v>
      </c>
      <c r="H14" s="143">
        <f>'[1]Споживчи витрати'!H24/100*H7</f>
        <v>1.2288332233223322</v>
      </c>
      <c r="I14" s="142">
        <f t="shared" si="1"/>
        <v>0.86101579892883429</v>
      </c>
      <c r="J14" s="143">
        <f>'[1]Споживчи витрати'!J24/100*J7</f>
        <v>1.6876614113948849</v>
      </c>
      <c r="K14" s="142">
        <f t="shared" si="2"/>
        <v>0.93812766735836739</v>
      </c>
      <c r="L14" s="143">
        <f>'[1]Споживчи витрати'!L24/100*L7</f>
        <v>1.119149309464561</v>
      </c>
      <c r="M14" s="142">
        <f t="shared" si="3"/>
        <v>0.61879772790680676</v>
      </c>
      <c r="N14" s="143">
        <f>'[1]Споживчи витрати'!N24/100*N7</f>
        <v>1.2630775258886089</v>
      </c>
      <c r="O14" s="142">
        <f t="shared" si="4"/>
        <v>0.71182581137020418</v>
      </c>
      <c r="P14" s="143">
        <f>'[1]Споживчи витрати'!P24/100*P7</f>
        <v>1.5833332869658112</v>
      </c>
      <c r="Q14" s="142">
        <f t="shared" si="5"/>
        <v>0.89568207978893399</v>
      </c>
      <c r="R14" s="143">
        <f>'[1]Споживчи витрати'!R24/100*[1]GDP!$R$7</f>
        <v>1.7841615826163342</v>
      </c>
      <c r="S14" s="142">
        <f t="shared" si="6"/>
        <v>1.011822155265923</v>
      </c>
    </row>
    <row r="15" spans="1:19" ht="15.6" x14ac:dyDescent="0.3">
      <c r="A15" s="136"/>
      <c r="B15" s="144" t="s">
        <v>108</v>
      </c>
      <c r="C15" s="145" t="s">
        <v>139</v>
      </c>
      <c r="D15" s="146">
        <f>'[1]Споживчи витрати'!D25/100*D7</f>
        <v>1.4345340799945117</v>
      </c>
      <c r="E15" s="138">
        <f t="shared" si="0"/>
        <v>1.6637855281144722</v>
      </c>
      <c r="F15" s="147">
        <f>'[1]Споживчи витрати'!F25/100*F7</f>
        <v>1.7043584049012637</v>
      </c>
      <c r="G15" s="138">
        <f t="shared" si="0"/>
        <v>1.581726085264876</v>
      </c>
      <c r="H15" s="147">
        <f>'[1]Споживчи витрати'!H25/100*H7</f>
        <v>2.2686151815181521</v>
      </c>
      <c r="I15" s="138">
        <f t="shared" si="1"/>
        <v>1.5895676287916942</v>
      </c>
      <c r="J15" s="147">
        <f>'[1]Споживчи витрати'!J25/100*J7</f>
        <v>3.2455027142209332</v>
      </c>
      <c r="K15" s="138">
        <f t="shared" si="2"/>
        <v>1.8040916679968606</v>
      </c>
      <c r="L15" s="147">
        <f>'[1]Споживчи витрати'!L25/100*L7</f>
        <v>1.5495913515663151</v>
      </c>
      <c r="M15" s="138">
        <f t="shared" si="3"/>
        <v>0.85679685402480932</v>
      </c>
      <c r="N15" s="147">
        <f>'[1]Споживчи витрати'!N25/100*N7</f>
        <v>1.7488765743073047</v>
      </c>
      <c r="O15" s="138">
        <f t="shared" si="4"/>
        <v>0.98560496958951349</v>
      </c>
      <c r="P15" s="147">
        <f>'[1]Споживчи витрати'!P25/100*P7</f>
        <v>2.4358973645627864</v>
      </c>
      <c r="Q15" s="138">
        <f t="shared" si="5"/>
        <v>1.3779724304445138</v>
      </c>
      <c r="R15" s="147">
        <f>'[1]Споживчи витрати'!R25/100*[1]GDP!$R$7</f>
        <v>2.744863973255899</v>
      </c>
      <c r="S15" s="138">
        <f t="shared" si="6"/>
        <v>1.5566494696398818</v>
      </c>
    </row>
    <row r="16" spans="1:19" ht="15.6" x14ac:dyDescent="0.3">
      <c r="A16" s="136"/>
      <c r="B16" s="139" t="s">
        <v>110</v>
      </c>
      <c r="C16" s="140" t="s">
        <v>140</v>
      </c>
      <c r="D16" s="141">
        <f>'[1]Споживчи витрати'!D26/100*D7</f>
        <v>0.9379645907656422</v>
      </c>
      <c r="E16" s="142">
        <f t="shared" si="0"/>
        <v>1.0878597683825395</v>
      </c>
      <c r="F16" s="143">
        <f>'[1]Споживчи витрати'!F26/100*F7</f>
        <v>1.5623285378261584</v>
      </c>
      <c r="G16" s="142">
        <f t="shared" si="0"/>
        <v>1.4499155781594699</v>
      </c>
      <c r="H16" s="143">
        <f>'[1]Споживчи витрати'!H26/100*H7</f>
        <v>2.1740895489548957</v>
      </c>
      <c r="I16" s="142">
        <f t="shared" si="1"/>
        <v>1.5233356442587069</v>
      </c>
      <c r="J16" s="143">
        <f>'[1]Споживчи витрати'!J26/100*J7</f>
        <v>3.1156826056520956</v>
      </c>
      <c r="K16" s="142">
        <f t="shared" si="2"/>
        <v>1.731928001276986</v>
      </c>
      <c r="L16" s="143">
        <f>'[1]Споживчи витрати'!L26/100*L7</f>
        <v>2.152210210508771</v>
      </c>
      <c r="M16" s="142">
        <f t="shared" si="3"/>
        <v>1.189995630590013</v>
      </c>
      <c r="N16" s="143">
        <f>'[1]Споживчи витрати'!N26/100*N7</f>
        <v>2.3318354324097395</v>
      </c>
      <c r="O16" s="142">
        <f t="shared" si="4"/>
        <v>1.3141399594526846</v>
      </c>
      <c r="P16" s="143">
        <f>'[1]Споживчи витрати'!P26/100*P7</f>
        <v>3.0448717057034833</v>
      </c>
      <c r="Q16" s="142">
        <f t="shared" si="5"/>
        <v>1.7224655380556424</v>
      </c>
      <c r="R16" s="143">
        <f>'[1]Споживчи витрати'!R26/100*[1]GDP!$R$7</f>
        <v>3.431079966569873</v>
      </c>
      <c r="S16" s="142">
        <f t="shared" si="6"/>
        <v>1.9458118370498516</v>
      </c>
    </row>
    <row r="17" spans="1:19" ht="15.6" x14ac:dyDescent="0.3">
      <c r="A17" s="136"/>
      <c r="B17" s="144" t="s">
        <v>112</v>
      </c>
      <c r="C17" s="145" t="s">
        <v>141</v>
      </c>
      <c r="D17" s="146">
        <f>'[1]Споживчи витрати'!D27/100*D7</f>
        <v>0.9931389784577388</v>
      </c>
      <c r="E17" s="138">
        <f t="shared" si="0"/>
        <v>1.1518515194638654</v>
      </c>
      <c r="F17" s="147">
        <f>'[1]Споживчи витрати'!F27/100*F7</f>
        <v>1.207253870138395</v>
      </c>
      <c r="G17" s="138">
        <f t="shared" si="0"/>
        <v>1.1203893103959539</v>
      </c>
      <c r="H17" s="147">
        <f>'[1]Споживчи витрати'!H27/100*H7</f>
        <v>1.7014613861386141</v>
      </c>
      <c r="I17" s="138">
        <f t="shared" si="1"/>
        <v>1.1921757215937707</v>
      </c>
      <c r="J17" s="147">
        <f>'[1]Споживчи витрати'!J27/100*J7</f>
        <v>2.726222279945584</v>
      </c>
      <c r="K17" s="138">
        <f t="shared" si="2"/>
        <v>1.515437001117363</v>
      </c>
      <c r="L17" s="147">
        <f>'[1]Споживчи витрати'!L27/100*L7</f>
        <v>1.9800333936680692</v>
      </c>
      <c r="M17" s="138">
        <f t="shared" si="3"/>
        <v>1.0947959801428118</v>
      </c>
      <c r="N17" s="147">
        <f>'[1]Споживчи витрати'!N27/100*N7</f>
        <v>2.2346756227260003</v>
      </c>
      <c r="O17" s="138">
        <f t="shared" si="4"/>
        <v>1.2593841278088225</v>
      </c>
      <c r="P17" s="147">
        <f>'[1]Споживчи витрати'!P27/100*P7</f>
        <v>2.9230768374753442</v>
      </c>
      <c r="Q17" s="138">
        <f t="shared" si="5"/>
        <v>1.653566916533417</v>
      </c>
      <c r="R17" s="147">
        <f>'[1]Споживчи витрати'!R27/100*[1]GDP!$R$7</f>
        <v>3.5683231652326683</v>
      </c>
      <c r="S17" s="138">
        <f t="shared" si="6"/>
        <v>2.023644310531846</v>
      </c>
    </row>
    <row r="18" spans="1:19" ht="15.6" x14ac:dyDescent="0.3">
      <c r="A18" s="136"/>
      <c r="B18" s="148">
        <v>3</v>
      </c>
      <c r="C18" s="149" t="s">
        <v>142</v>
      </c>
      <c r="D18" s="150">
        <f>(96965+2736+175)/D4/1000</f>
        <v>19.507031250000001</v>
      </c>
      <c r="E18" s="142">
        <f t="shared" si="0"/>
        <v>22.624430289136761</v>
      </c>
      <c r="F18" s="151">
        <f>(133874+655+211)/F4/1000</f>
        <v>26.681188118811882</v>
      </c>
      <c r="G18" s="142">
        <f t="shared" si="0"/>
        <v>24.76141820407128</v>
      </c>
      <c r="H18" s="151">
        <f>(198348+4685+285)/H4/1000</f>
        <v>40.260990099009902</v>
      </c>
      <c r="I18" s="142">
        <f t="shared" si="1"/>
        <v>28.209970155300656</v>
      </c>
      <c r="J18" s="151">
        <f>(250158+14379+346)/J4/1000</f>
        <v>50.262428842504747</v>
      </c>
      <c r="K18" s="142">
        <f t="shared" si="2"/>
        <v>27.93959428556963</v>
      </c>
      <c r="L18" s="151">
        <f>(167644-12274+445)/L4/1000</f>
        <v>20.001925545571243</v>
      </c>
      <c r="M18" s="142">
        <f t="shared" si="3"/>
        <v>11.059423418026544</v>
      </c>
      <c r="N18" s="151">
        <f>(195927+3616+375)/N4/1000</f>
        <v>25.178589420654909</v>
      </c>
      <c r="O18" s="142">
        <f t="shared" si="4"/>
        <v>14.189762287873636</v>
      </c>
      <c r="P18" s="151">
        <f>(241785+27714+520)/P4/1000</f>
        <v>33.879422835633626</v>
      </c>
      <c r="Q18" s="142">
        <f t="shared" si="5"/>
        <v>19.165384923865542</v>
      </c>
      <c r="R18" s="151">
        <f>(265349-8737+723)/1000/R4</f>
        <v>32.207133917396746</v>
      </c>
      <c r="S18" s="142">
        <f t="shared" si="6"/>
        <v>18.265101083193922</v>
      </c>
    </row>
    <row r="19" spans="1:19" ht="16.2" thickBot="1" x14ac:dyDescent="0.35">
      <c r="A19" s="136"/>
      <c r="B19" s="152">
        <v>4</v>
      </c>
      <c r="C19" s="153" t="s">
        <v>143</v>
      </c>
      <c r="D19" s="154">
        <f>80528/D4/1000</f>
        <v>15.728125</v>
      </c>
      <c r="E19" s="155">
        <f t="shared" si="0"/>
        <v>18.241620833069057</v>
      </c>
      <c r="F19" s="154">
        <f>100350/F4/1000</f>
        <v>19.871287128712872</v>
      </c>
      <c r="G19" s="155">
        <f t="shared" si="0"/>
        <v>18.441504503329025</v>
      </c>
      <c r="H19" s="154">
        <f>128962/H4/1000</f>
        <v>25.537029702970301</v>
      </c>
      <c r="I19" s="155">
        <f t="shared" si="1"/>
        <v>17.893222297916974</v>
      </c>
      <c r="J19" s="154">
        <f>169163/J4/1000</f>
        <v>32.09924098671727</v>
      </c>
      <c r="K19" s="155">
        <f t="shared" si="2"/>
        <v>17.843144286835376</v>
      </c>
      <c r="L19" s="154">
        <f>184014/L4/1000</f>
        <v>23.621822849807447</v>
      </c>
      <c r="M19" s="155">
        <f t="shared" si="3"/>
        <v>13.060929569327323</v>
      </c>
      <c r="N19" s="154">
        <f>219926/N4/1000</f>
        <v>27.698488664987401</v>
      </c>
      <c r="O19" s="155">
        <f t="shared" si="4"/>
        <v>15.609888358841612</v>
      </c>
      <c r="P19" s="154">
        <f>237432/P4/1000</f>
        <v>29.790715181932246</v>
      </c>
      <c r="Q19" s="155">
        <f t="shared" si="5"/>
        <v>16.852427693026208</v>
      </c>
      <c r="R19" s="154">
        <f>272816/R4/1000</f>
        <v>34.144680851063832</v>
      </c>
      <c r="S19" s="155">
        <f t="shared" si="6"/>
        <v>19.363910144802041</v>
      </c>
    </row>
    <row r="20" spans="1:19" ht="15.6" x14ac:dyDescent="0.3">
      <c r="A20" s="136"/>
      <c r="B20" s="156" t="s">
        <v>144</v>
      </c>
      <c r="C20" s="127" t="s">
        <v>145</v>
      </c>
      <c r="D20" s="137">
        <f>D21+D25</f>
        <v>0.72207031250000142</v>
      </c>
      <c r="E20" s="157">
        <f t="shared" si="0"/>
        <v>0.83746364270634344</v>
      </c>
      <c r="F20" s="137">
        <f>F21+F25</f>
        <v>-3.0679207920791995</v>
      </c>
      <c r="G20" s="157">
        <f t="shared" si="0"/>
        <v>-2.8471771725966701</v>
      </c>
      <c r="H20" s="137">
        <f>H21+H25</f>
        <v>-8.1520792079207922</v>
      </c>
      <c r="I20" s="157">
        <f t="shared" si="1"/>
        <v>-5.7119785329061736</v>
      </c>
      <c r="J20" s="137">
        <f>J21+J25</f>
        <v>-14.36982922201139</v>
      </c>
      <c r="K20" s="157">
        <f t="shared" si="2"/>
        <v>-7.9878192849367577</v>
      </c>
      <c r="L20" s="137">
        <f>L21+L25</f>
        <v>-1.9635430038510933</v>
      </c>
      <c r="M20" s="157">
        <f t="shared" si="3"/>
        <v>-1.085678147817182</v>
      </c>
      <c r="N20" s="137">
        <f>N21+N25</f>
        <v>-3.9772040302267015</v>
      </c>
      <c r="O20" s="157">
        <f t="shared" si="4"/>
        <v>-2.2414114951568229</v>
      </c>
      <c r="P20" s="137">
        <f>P21+P25</f>
        <v>-10.156587202007543</v>
      </c>
      <c r="Q20" s="157">
        <f t="shared" si="5"/>
        <v>-5.7455200516151459</v>
      </c>
      <c r="R20" s="137">
        <f>R21+R25</f>
        <v>-14.774342928660829</v>
      </c>
      <c r="S20" s="157">
        <f t="shared" si="6"/>
        <v>-8.3787296231285815</v>
      </c>
    </row>
    <row r="21" spans="1:19" s="159" customFormat="1" ht="15.6" x14ac:dyDescent="0.25">
      <c r="A21" s="122"/>
      <c r="B21" s="139" t="s">
        <v>146</v>
      </c>
      <c r="C21" s="140" t="s">
        <v>147</v>
      </c>
      <c r="D21" s="141">
        <f>227252/D4/1000</f>
        <v>44.385156250000001</v>
      </c>
      <c r="E21" s="158">
        <f t="shared" si="0"/>
        <v>51.478303416906037</v>
      </c>
      <c r="F21" s="141">
        <f>253707/F4/1000</f>
        <v>50.239009900990105</v>
      </c>
      <c r="G21" s="158">
        <f t="shared" si="0"/>
        <v>46.624203119343278</v>
      </c>
      <c r="H21" s="141">
        <f>323205/H4/1000</f>
        <v>64.000990099009911</v>
      </c>
      <c r="I21" s="158">
        <f t="shared" si="1"/>
        <v>44.844054161677519</v>
      </c>
      <c r="J21" s="141">
        <f>444859/J4/1000</f>
        <v>84.413472485768509</v>
      </c>
      <c r="K21" s="158">
        <f t="shared" si="2"/>
        <v>46.923283012817812</v>
      </c>
      <c r="L21" s="141">
        <f>423564/L4/1000</f>
        <v>54.372785622593064</v>
      </c>
      <c r="M21" s="158">
        <f t="shared" si="3"/>
        <v>30.063688480781664</v>
      </c>
      <c r="N21" s="141">
        <f>549365/N4/1000</f>
        <v>69.189546599496211</v>
      </c>
      <c r="O21" s="158">
        <f t="shared" si="4"/>
        <v>38.992780836531473</v>
      </c>
      <c r="P21" s="141">
        <f>707953/P4/1000</f>
        <v>88.827227101631109</v>
      </c>
      <c r="Q21" s="158">
        <f t="shared" si="5"/>
        <v>50.249026005597308</v>
      </c>
      <c r="R21" s="141">
        <f>717347/R4/1000</f>
        <v>89.780600750938675</v>
      </c>
      <c r="S21" s="158">
        <f t="shared" si="6"/>
        <v>50.915792514527404</v>
      </c>
    </row>
    <row r="22" spans="1:19" ht="15.6" x14ac:dyDescent="0.3">
      <c r="A22" s="136"/>
      <c r="B22" s="160" t="s">
        <v>148</v>
      </c>
      <c r="C22" s="161" t="s">
        <v>149</v>
      </c>
      <c r="D22" s="162">
        <v>34.200000000000003</v>
      </c>
      <c r="E22" s="157"/>
      <c r="F22" s="162">
        <v>38.4</v>
      </c>
      <c r="G22" s="157"/>
      <c r="H22" s="162">
        <v>49.3</v>
      </c>
      <c r="I22" s="157"/>
      <c r="J22" s="162">
        <v>67</v>
      </c>
      <c r="K22" s="157"/>
      <c r="L22" s="162">
        <v>39.700000000000003</v>
      </c>
      <c r="M22" s="157"/>
      <c r="N22" s="162">
        <v>51.4</v>
      </c>
      <c r="O22" s="157"/>
      <c r="P22" s="162">
        <v>68.400000000000006</v>
      </c>
      <c r="Q22" s="157"/>
      <c r="R22" s="162">
        <v>68.808999999999997</v>
      </c>
      <c r="S22" s="157"/>
    </row>
    <row r="23" spans="1:19" ht="15.6" x14ac:dyDescent="0.3">
      <c r="A23" s="136"/>
      <c r="B23" s="160" t="s">
        <v>150</v>
      </c>
      <c r="C23" s="161" t="s">
        <v>151</v>
      </c>
      <c r="D23" s="162">
        <v>6.1</v>
      </c>
      <c r="E23" s="157"/>
      <c r="F23" s="162">
        <v>7.5</v>
      </c>
      <c r="G23" s="157"/>
      <c r="H23" s="162">
        <v>9</v>
      </c>
      <c r="I23" s="157"/>
      <c r="J23" s="162">
        <v>11.7</v>
      </c>
      <c r="K23" s="157"/>
      <c r="L23" s="162">
        <v>9.6</v>
      </c>
      <c r="M23" s="157"/>
      <c r="N23" s="162">
        <v>11.8</v>
      </c>
      <c r="O23" s="157"/>
      <c r="P23" s="162">
        <v>13.8</v>
      </c>
      <c r="Q23" s="157"/>
      <c r="R23" s="162">
        <v>13.599</v>
      </c>
      <c r="S23" s="157"/>
    </row>
    <row r="24" spans="1:19" ht="15.6" x14ac:dyDescent="0.3">
      <c r="A24" s="136"/>
      <c r="B24" s="163" t="s">
        <v>152</v>
      </c>
      <c r="C24" s="164" t="s">
        <v>153</v>
      </c>
      <c r="D24" s="165">
        <f>D21-D22-D23</f>
        <v>4.0851562499999989</v>
      </c>
      <c r="E24" s="158"/>
      <c r="F24" s="165">
        <f t="shared" ref="F24:R24" si="7">F21-F22-F23</f>
        <v>4.3390099009901064</v>
      </c>
      <c r="G24" s="158"/>
      <c r="H24" s="165">
        <f t="shared" si="7"/>
        <v>5.700990099009914</v>
      </c>
      <c r="I24" s="158"/>
      <c r="J24" s="165">
        <f t="shared" si="7"/>
        <v>5.7134724857685093</v>
      </c>
      <c r="K24" s="158"/>
      <c r="L24" s="165">
        <f t="shared" si="7"/>
        <v>5.0727856225930612</v>
      </c>
      <c r="M24" s="158"/>
      <c r="N24" s="165">
        <f t="shared" si="7"/>
        <v>5.9895465994962116</v>
      </c>
      <c r="O24" s="158"/>
      <c r="P24" s="165">
        <f t="shared" si="7"/>
        <v>6.6272271016311031</v>
      </c>
      <c r="Q24" s="158"/>
      <c r="R24" s="165">
        <f t="shared" si="7"/>
        <v>7.3726007509386768</v>
      </c>
      <c r="S24" s="158"/>
    </row>
    <row r="25" spans="1:19" ht="15.6" x14ac:dyDescent="0.3">
      <c r="A25" s="136"/>
      <c r="B25" s="144" t="s">
        <v>154</v>
      </c>
      <c r="C25" s="145" t="s">
        <v>155</v>
      </c>
      <c r="D25" s="165">
        <f>-223555/D4/1000</f>
        <v>-43.6630859375</v>
      </c>
      <c r="E25" s="158">
        <f t="shared" ref="E25:G25" si="8">D25/D$6*100</f>
        <v>-50.640839774199684</v>
      </c>
      <c r="F25" s="165">
        <f>-269200/F4/1000</f>
        <v>-53.306930693069305</v>
      </c>
      <c r="G25" s="158">
        <f t="shared" si="8"/>
        <v>-49.471380291939951</v>
      </c>
      <c r="H25" s="165">
        <f>-364373/H4/1000</f>
        <v>-72.153069306930703</v>
      </c>
      <c r="I25" s="158">
        <f t="shared" ref="I25" si="9">H25/H$6*100</f>
        <v>-50.556032694583685</v>
      </c>
      <c r="J25" s="165">
        <f>-520588/J4/1000</f>
        <v>-98.783301707779898</v>
      </c>
      <c r="K25" s="158">
        <f t="shared" ref="K25" si="10">J25/J$6*100</f>
        <v>-54.911102297754567</v>
      </c>
      <c r="L25" s="165">
        <f>-438860/L4/1000</f>
        <v>-56.336328626444157</v>
      </c>
      <c r="M25" s="158">
        <f t="shared" ref="M25" si="11">L25/L$6*100</f>
        <v>-31.149366628598845</v>
      </c>
      <c r="N25" s="165">
        <f>-580944/N4/1000</f>
        <v>-73.166750629722912</v>
      </c>
      <c r="O25" s="158">
        <f t="shared" ref="O25" si="12">N25/N$6*100</f>
        <v>-41.234192331688298</v>
      </c>
      <c r="P25" s="165">
        <f>-788901/P4/1000</f>
        <v>-98.983814303638653</v>
      </c>
      <c r="Q25" s="158">
        <f t="shared" ref="Q25" si="13">P25/P$6*100</f>
        <v>-55.99454605721246</v>
      </c>
      <c r="R25" s="146">
        <f>-835394/1000/R4</f>
        <v>-104.5549436795995</v>
      </c>
      <c r="S25" s="158">
        <f t="shared" ref="S25" si="14">R25/R$6*100</f>
        <v>-59.294522137655981</v>
      </c>
    </row>
    <row r="26" spans="1:19" ht="15.6" x14ac:dyDescent="0.3">
      <c r="A26" s="136"/>
      <c r="B26" s="163" t="s">
        <v>156</v>
      </c>
      <c r="C26" s="164" t="s">
        <v>149</v>
      </c>
      <c r="D26" s="162">
        <v>-36.1</v>
      </c>
      <c r="E26" s="157"/>
      <c r="F26" s="162">
        <v>-45.04</v>
      </c>
      <c r="G26" s="157"/>
      <c r="H26" s="162">
        <v>-60.6</v>
      </c>
      <c r="I26" s="157"/>
      <c r="J26" s="162">
        <v>-85.5</v>
      </c>
      <c r="K26" s="157"/>
      <c r="L26" s="162">
        <v>-45.4</v>
      </c>
      <c r="M26" s="157"/>
      <c r="N26" s="162">
        <v>-60.7</v>
      </c>
      <c r="O26" s="157"/>
      <c r="P26" s="162">
        <v>-82.6</v>
      </c>
      <c r="Q26" s="157"/>
      <c r="R26" s="165">
        <v>-84.658000000000001</v>
      </c>
      <c r="S26" s="157"/>
    </row>
    <row r="27" spans="1:19" ht="15.6" x14ac:dyDescent="0.3">
      <c r="A27" s="136"/>
      <c r="B27" s="163" t="s">
        <v>157</v>
      </c>
      <c r="C27" s="164" t="s">
        <v>151</v>
      </c>
      <c r="D27" s="162">
        <v>-2.9</v>
      </c>
      <c r="E27" s="157"/>
      <c r="F27" s="162">
        <v>-3.7</v>
      </c>
      <c r="G27" s="157"/>
      <c r="H27" s="162">
        <v>-5</v>
      </c>
      <c r="I27" s="157"/>
      <c r="J27" s="162">
        <v>-6.5</v>
      </c>
      <c r="K27" s="157"/>
      <c r="L27" s="162">
        <v>-5.2</v>
      </c>
      <c r="M27" s="157"/>
      <c r="N27" s="162">
        <v>-5.45</v>
      </c>
      <c r="O27" s="157"/>
      <c r="P27" s="162">
        <v>-6.24</v>
      </c>
      <c r="Q27" s="157"/>
      <c r="R27" s="165">
        <v>-6.7359999999999998</v>
      </c>
      <c r="S27" s="157"/>
    </row>
    <row r="28" spans="1:19" ht="15.6" x14ac:dyDescent="0.3">
      <c r="A28" s="136"/>
      <c r="B28" s="160" t="s">
        <v>158</v>
      </c>
      <c r="C28" s="161" t="s">
        <v>153</v>
      </c>
      <c r="D28" s="162">
        <f>D25-D26-D27</f>
        <v>-4.6630859374999982</v>
      </c>
      <c r="E28" s="157"/>
      <c r="F28" s="162">
        <f t="shared" ref="F28:R28" si="15">F25-F26-F27</f>
        <v>-4.5669306930693052</v>
      </c>
      <c r="G28" s="157"/>
      <c r="H28" s="162">
        <f t="shared" si="15"/>
        <v>-6.553069306930702</v>
      </c>
      <c r="I28" s="157"/>
      <c r="J28" s="162">
        <f t="shared" si="15"/>
        <v>-6.7833017077798985</v>
      </c>
      <c r="K28" s="157"/>
      <c r="L28" s="162">
        <f t="shared" si="15"/>
        <v>-5.7363286264441582</v>
      </c>
      <c r="M28" s="157"/>
      <c r="N28" s="162">
        <f t="shared" si="15"/>
        <v>-7.0167506297229094</v>
      </c>
      <c r="O28" s="157"/>
      <c r="P28" s="162">
        <f t="shared" si="15"/>
        <v>-10.143814303638658</v>
      </c>
      <c r="Q28" s="157"/>
      <c r="R28" s="162">
        <f t="shared" si="15"/>
        <v>-13.160943679599502</v>
      </c>
      <c r="S28" s="157"/>
    </row>
    <row r="29" spans="1:19" ht="16.2" thickBot="1" x14ac:dyDescent="0.35">
      <c r="A29" s="136"/>
      <c r="B29" s="166"/>
      <c r="C29" s="153" t="s">
        <v>159</v>
      </c>
      <c r="D29" s="167">
        <f>D7/D5</f>
        <v>1.0671734010084926</v>
      </c>
      <c r="E29" s="168"/>
      <c r="F29" s="168">
        <f>F7/F5</f>
        <v>1.3761994614879047</v>
      </c>
      <c r="G29" s="168"/>
      <c r="H29" s="168">
        <f>H7/H5</f>
        <v>1.8295283721920581</v>
      </c>
      <c r="I29" s="168"/>
      <c r="J29" s="168">
        <f>J7/J5</f>
        <v>2.4221847096609905</v>
      </c>
      <c r="K29" s="168"/>
      <c r="L29" s="168">
        <f>L7/L5</f>
        <v>1.6431657085449574</v>
      </c>
      <c r="M29" s="168"/>
      <c r="N29" s="168">
        <f>N7/N5</f>
        <v>1.9092539020822104</v>
      </c>
      <c r="O29" s="168"/>
      <c r="P29" s="168">
        <f>P7/P5</f>
        <v>2.4091879636355631</v>
      </c>
      <c r="Q29" s="168"/>
      <c r="R29" s="168">
        <f>R7/R5</f>
        <v>2.7418476392193538</v>
      </c>
      <c r="S29" s="168"/>
    </row>
    <row r="30" spans="1:19" x14ac:dyDescent="0.3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</row>
    <row r="31" spans="1:19" x14ac:dyDescent="0.3">
      <c r="A31" s="169"/>
      <c r="B31" s="264"/>
      <c r="C31" s="265"/>
      <c r="D31" s="170"/>
      <c r="E31" s="170"/>
      <c r="F31" s="170"/>
      <c r="G31" s="170"/>
      <c r="H31" s="170"/>
      <c r="I31" s="170"/>
      <c r="J31" s="170"/>
      <c r="K31" s="170"/>
      <c r="L31" s="169"/>
      <c r="M31" s="169"/>
      <c r="N31" s="169"/>
      <c r="O31" s="169"/>
      <c r="P31" s="169"/>
      <c r="Q31" s="169"/>
      <c r="R31" s="169"/>
      <c r="S31" s="169"/>
    </row>
    <row r="32" spans="1:19" x14ac:dyDescent="0.3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</row>
    <row r="33" spans="1:19" x14ac:dyDescent="0.3">
      <c r="A33" s="171"/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</row>
  </sheetData>
  <mergeCells count="11">
    <mergeCell ref="B31:C31"/>
    <mergeCell ref="B1:S1"/>
    <mergeCell ref="B3:B4"/>
    <mergeCell ref="D3:E3"/>
    <mergeCell ref="F3:G3"/>
    <mergeCell ref="H3:I3"/>
    <mergeCell ref="J3:K3"/>
    <mergeCell ref="L3:M3"/>
    <mergeCell ref="N3:O3"/>
    <mergeCell ref="P3:Q3"/>
    <mergeCell ref="R3:S3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9"/>
  <sheetViews>
    <sheetView tabSelected="1" workbookViewId="0">
      <selection activeCell="H8" sqref="H8"/>
    </sheetView>
  </sheetViews>
  <sheetFormatPr defaultRowHeight="14.4" x14ac:dyDescent="0.3"/>
  <cols>
    <col min="1" max="1" width="3.33203125" customWidth="1"/>
    <col min="2" max="2" width="12.33203125" customWidth="1"/>
    <col min="3" max="3" width="5.5546875" customWidth="1"/>
    <col min="4" max="4" width="78.44140625" customWidth="1"/>
    <col min="5" max="5" width="13.88671875" bestFit="1" customWidth="1"/>
    <col min="6" max="6" width="12" bestFit="1" customWidth="1"/>
    <col min="7" max="7" width="10.33203125" customWidth="1"/>
  </cols>
  <sheetData>
    <row r="1" spans="2:6" ht="15.6" x14ac:dyDescent="0.3">
      <c r="B1" s="271" t="s">
        <v>160</v>
      </c>
      <c r="C1" s="271"/>
      <c r="D1" s="271"/>
      <c r="E1" s="271"/>
    </row>
    <row r="2" spans="2:6" x14ac:dyDescent="0.3">
      <c r="E2" s="177" t="s">
        <v>161</v>
      </c>
    </row>
    <row r="3" spans="2:6" ht="26.4" x14ac:dyDescent="0.3">
      <c r="B3" s="178" t="s">
        <v>162</v>
      </c>
      <c r="C3" s="178"/>
      <c r="D3" s="178" t="s">
        <v>163</v>
      </c>
      <c r="E3" s="178" t="s">
        <v>164</v>
      </c>
    </row>
    <row r="4" spans="2:6" ht="15" x14ac:dyDescent="0.25">
      <c r="B4" s="178"/>
      <c r="C4" s="179"/>
      <c r="D4" s="178"/>
      <c r="E4" s="180"/>
    </row>
    <row r="5" spans="2:6" ht="15.6" x14ac:dyDescent="0.3">
      <c r="B5" s="178"/>
      <c r="C5" s="179"/>
      <c r="D5" s="181" t="s">
        <v>165</v>
      </c>
      <c r="E5" s="178">
        <v>7.99</v>
      </c>
    </row>
    <row r="6" spans="2:6" ht="15.6" x14ac:dyDescent="0.3">
      <c r="B6" s="182"/>
      <c r="C6" s="183"/>
      <c r="D6" s="184" t="s">
        <v>166</v>
      </c>
      <c r="E6" s="185">
        <f>176.33*7.99*1000000</f>
        <v>1408876700</v>
      </c>
    </row>
    <row r="7" spans="2:6" ht="15.6" x14ac:dyDescent="0.3">
      <c r="B7" s="186"/>
      <c r="C7" s="187"/>
      <c r="D7" s="188" t="s">
        <v>167</v>
      </c>
      <c r="E7" s="189">
        <f>E10+E24+E25+E29+E35+E37+E39+E43</f>
        <v>687539983.10000014</v>
      </c>
    </row>
    <row r="8" spans="2:6" x14ac:dyDescent="0.3">
      <c r="B8" s="190"/>
      <c r="C8" s="190"/>
      <c r="D8" s="191" t="s">
        <v>168</v>
      </c>
      <c r="E8" s="192">
        <f>E7-E19-E21</f>
        <v>647894903.30000007</v>
      </c>
    </row>
    <row r="9" spans="2:6" s="197" customFormat="1" x14ac:dyDescent="0.3">
      <c r="B9" s="193"/>
      <c r="C9" s="194"/>
      <c r="D9" s="195" t="s">
        <v>169</v>
      </c>
      <c r="E9" s="196">
        <f>E8/E6*100</f>
        <v>45.986629156405243</v>
      </c>
      <c r="F9"/>
    </row>
    <row r="10" spans="2:6" ht="15.6" x14ac:dyDescent="0.3">
      <c r="B10" s="198"/>
      <c r="C10" s="199"/>
      <c r="D10" s="200" t="s">
        <v>170</v>
      </c>
      <c r="E10" s="201">
        <f>E11+E19+E21</f>
        <v>413605316.00000006</v>
      </c>
    </row>
    <row r="11" spans="2:6" ht="15.6" x14ac:dyDescent="0.3">
      <c r="B11" s="198" t="s">
        <v>171</v>
      </c>
      <c r="C11" s="199"/>
      <c r="D11" s="200" t="s">
        <v>172</v>
      </c>
      <c r="E11" s="201">
        <f>E12+E13+E14+E15+E16+E17</f>
        <v>373960236.20000005</v>
      </c>
    </row>
    <row r="12" spans="2:6" x14ac:dyDescent="0.3">
      <c r="B12" s="202" t="s">
        <v>173</v>
      </c>
      <c r="C12" s="202">
        <v>0</v>
      </c>
      <c r="D12" s="203" t="s">
        <v>174</v>
      </c>
      <c r="E12" s="204">
        <v>311111027.10000002</v>
      </c>
    </row>
    <row r="13" spans="2:6" x14ac:dyDescent="0.3">
      <c r="B13" s="202" t="s">
        <v>175</v>
      </c>
      <c r="C13" s="202">
        <v>0</v>
      </c>
      <c r="D13" s="205" t="s">
        <v>176</v>
      </c>
      <c r="E13" s="204">
        <v>58708255.600000001</v>
      </c>
    </row>
    <row r="14" spans="2:6" x14ac:dyDescent="0.3">
      <c r="B14" s="202" t="s">
        <v>177</v>
      </c>
      <c r="C14" s="202">
        <v>0</v>
      </c>
      <c r="D14" s="205" t="s">
        <v>178</v>
      </c>
      <c r="E14" s="204">
        <v>2064017.3</v>
      </c>
    </row>
    <row r="15" spans="2:6" x14ac:dyDescent="0.3">
      <c r="B15" s="202" t="s">
        <v>179</v>
      </c>
      <c r="C15" s="202"/>
      <c r="D15" s="205" t="s">
        <v>180</v>
      </c>
      <c r="E15" s="204">
        <v>1137227.2</v>
      </c>
    </row>
    <row r="16" spans="2:6" x14ac:dyDescent="0.3">
      <c r="B16" s="202" t="s">
        <v>181</v>
      </c>
      <c r="C16" s="202"/>
      <c r="D16" s="205" t="s">
        <v>182</v>
      </c>
      <c r="E16" s="204">
        <v>762379</v>
      </c>
    </row>
    <row r="17" spans="2:5" x14ac:dyDescent="0.3">
      <c r="B17" s="202" t="s">
        <v>183</v>
      </c>
      <c r="C17" s="202">
        <v>0</v>
      </c>
      <c r="D17" s="205" t="s">
        <v>184</v>
      </c>
      <c r="E17" s="204">
        <v>177330</v>
      </c>
    </row>
    <row r="18" spans="2:5" ht="15" x14ac:dyDescent="0.25">
      <c r="B18" s="206"/>
      <c r="C18" s="206"/>
      <c r="D18" s="207"/>
      <c r="E18" s="208"/>
    </row>
    <row r="19" spans="2:5" ht="15.6" x14ac:dyDescent="0.3">
      <c r="B19" s="209" t="s">
        <v>185</v>
      </c>
      <c r="C19" s="209"/>
      <c r="D19" s="210" t="s">
        <v>186</v>
      </c>
      <c r="E19" s="211">
        <v>38807222.099999994</v>
      </c>
    </row>
    <row r="21" spans="2:5" ht="15.6" x14ac:dyDescent="0.3">
      <c r="B21" s="209" t="s">
        <v>187</v>
      </c>
      <c r="C21" s="209"/>
      <c r="D21" s="210" t="s">
        <v>188</v>
      </c>
      <c r="E21" s="211">
        <v>837857.69999999902</v>
      </c>
    </row>
    <row r="23" spans="2:5" ht="15.6" x14ac:dyDescent="0.3">
      <c r="B23" s="190" t="s">
        <v>189</v>
      </c>
      <c r="C23" s="190"/>
      <c r="D23" s="188" t="s">
        <v>190</v>
      </c>
      <c r="E23" s="192">
        <f>E24+E25+E26</f>
        <v>116146206.70000006</v>
      </c>
    </row>
    <row r="24" spans="2:5" ht="15.6" x14ac:dyDescent="0.3">
      <c r="B24" s="190"/>
      <c r="C24" s="190"/>
      <c r="D24" s="188" t="s">
        <v>191</v>
      </c>
      <c r="E24" s="192">
        <v>65633486.600000076</v>
      </c>
    </row>
    <row r="25" spans="2:5" ht="15.6" x14ac:dyDescent="0.3">
      <c r="B25" s="190"/>
      <c r="C25" s="190"/>
      <c r="D25" s="188" t="s">
        <v>192</v>
      </c>
      <c r="E25" s="192">
        <v>-1137227.2</v>
      </c>
    </row>
    <row r="26" spans="2:5" ht="15.6" x14ac:dyDescent="0.3">
      <c r="B26" s="190"/>
      <c r="C26" s="190"/>
      <c r="D26" s="188" t="s">
        <v>193</v>
      </c>
      <c r="E26" s="192">
        <v>51649947.29999999</v>
      </c>
    </row>
    <row r="28" spans="2:5" ht="15.6" x14ac:dyDescent="0.3">
      <c r="B28" s="212"/>
      <c r="C28" s="212"/>
      <c r="D28" s="213" t="s">
        <v>194</v>
      </c>
      <c r="E28" s="214">
        <f>E29+E30+E32+E33+E31</f>
        <v>244087673.90000001</v>
      </c>
    </row>
    <row r="29" spans="2:5" x14ac:dyDescent="0.3">
      <c r="B29" s="212"/>
      <c r="C29" s="212"/>
      <c r="D29" s="215" t="s">
        <v>195</v>
      </c>
      <c r="E29" s="214">
        <v>184350393.19999999</v>
      </c>
    </row>
    <row r="30" spans="2:5" ht="27" x14ac:dyDescent="0.3">
      <c r="B30" s="212"/>
      <c r="C30" s="212"/>
      <c r="D30" s="215" t="s">
        <v>196</v>
      </c>
      <c r="E30" s="214">
        <v>43778668</v>
      </c>
    </row>
    <row r="31" spans="2:5" ht="27" x14ac:dyDescent="0.3">
      <c r="B31" s="212"/>
      <c r="C31" s="212"/>
      <c r="D31" s="215" t="s">
        <v>197</v>
      </c>
      <c r="E31" s="214">
        <v>15323930.300000001</v>
      </c>
    </row>
    <row r="32" spans="2:5" ht="27" x14ac:dyDescent="0.3">
      <c r="B32" s="212"/>
      <c r="C32" s="212"/>
      <c r="D32" s="215" t="s">
        <v>198</v>
      </c>
      <c r="E32" s="214">
        <v>154842.9</v>
      </c>
    </row>
    <row r="33" spans="2:5" ht="27" x14ac:dyDescent="0.3">
      <c r="B33" s="212"/>
      <c r="C33" s="212"/>
      <c r="D33" s="215" t="s">
        <v>199</v>
      </c>
      <c r="E33" s="214">
        <v>479839.5</v>
      </c>
    </row>
    <row r="34" spans="2:5" ht="31.2" x14ac:dyDescent="0.3">
      <c r="B34" s="212"/>
      <c r="C34" s="212"/>
      <c r="D34" s="213" t="s">
        <v>200</v>
      </c>
      <c r="E34" s="214">
        <f>E35+E36+E37</f>
        <v>8927616.5999999996</v>
      </c>
    </row>
    <row r="35" spans="2:5" x14ac:dyDescent="0.3">
      <c r="B35" s="212">
        <v>2</v>
      </c>
      <c r="C35" s="212"/>
      <c r="D35" s="215" t="s">
        <v>201</v>
      </c>
      <c r="E35" s="214">
        <v>8822140</v>
      </c>
    </row>
    <row r="36" spans="2:5" x14ac:dyDescent="0.3">
      <c r="B36" s="212">
        <v>3</v>
      </c>
      <c r="C36" s="212"/>
      <c r="D36" s="215" t="s">
        <v>202</v>
      </c>
      <c r="E36" s="214">
        <v>27795.4</v>
      </c>
    </row>
    <row r="37" spans="2:5" x14ac:dyDescent="0.3">
      <c r="B37" s="212">
        <v>4</v>
      </c>
      <c r="C37" s="212"/>
      <c r="D37" s="215" t="s">
        <v>203</v>
      </c>
      <c r="E37" s="214">
        <v>77681.2</v>
      </c>
    </row>
    <row r="38" spans="2:5" ht="27" x14ac:dyDescent="0.3">
      <c r="B38" s="212"/>
      <c r="C38" s="212"/>
      <c r="D38" s="215" t="s">
        <v>204</v>
      </c>
      <c r="E38" s="214">
        <v>154842.9</v>
      </c>
    </row>
    <row r="39" spans="2:5" ht="31.2" x14ac:dyDescent="0.3">
      <c r="B39" s="212"/>
      <c r="C39" s="212"/>
      <c r="D39" s="213" t="s">
        <v>205</v>
      </c>
      <c r="E39" s="214">
        <f>E40+E41+E42</f>
        <v>10023688</v>
      </c>
    </row>
    <row r="40" spans="2:5" ht="27" x14ac:dyDescent="0.3">
      <c r="B40" s="212" t="s">
        <v>206</v>
      </c>
      <c r="C40" s="212"/>
      <c r="D40" s="215" t="s">
        <v>207</v>
      </c>
      <c r="E40" s="214">
        <v>9709319</v>
      </c>
    </row>
    <row r="41" spans="2:5" x14ac:dyDescent="0.3">
      <c r="B41" s="212" t="s">
        <v>208</v>
      </c>
      <c r="C41" s="212"/>
      <c r="D41" s="215" t="s">
        <v>209</v>
      </c>
      <c r="E41" s="214">
        <v>245168</v>
      </c>
    </row>
    <row r="42" spans="2:5" x14ac:dyDescent="0.3">
      <c r="B42" s="212" t="s">
        <v>210</v>
      </c>
      <c r="C42" s="212"/>
      <c r="D42" s="215" t="s">
        <v>211</v>
      </c>
      <c r="E42" s="214">
        <v>69201</v>
      </c>
    </row>
    <row r="43" spans="2:5" ht="31.2" x14ac:dyDescent="0.3">
      <c r="B43" s="212"/>
      <c r="C43" s="212"/>
      <c r="D43" s="213" t="s">
        <v>212</v>
      </c>
      <c r="E43" s="214">
        <f>E44+E45+E46+E47</f>
        <v>6164505.2999999989</v>
      </c>
    </row>
    <row r="44" spans="2:5" x14ac:dyDescent="0.3">
      <c r="B44" s="206" t="s">
        <v>213</v>
      </c>
      <c r="C44" s="206"/>
      <c r="D44" s="207" t="s">
        <v>214</v>
      </c>
      <c r="E44" s="208">
        <v>6117121.5999999996</v>
      </c>
    </row>
    <row r="45" spans="2:5" ht="27" x14ac:dyDescent="0.3">
      <c r="B45" s="206" t="s">
        <v>215</v>
      </c>
      <c r="C45" s="206"/>
      <c r="D45" s="207" t="s">
        <v>216</v>
      </c>
      <c r="E45" s="208">
        <v>9004.1</v>
      </c>
    </row>
    <row r="46" spans="2:5" ht="27" x14ac:dyDescent="0.3">
      <c r="B46" s="206" t="s">
        <v>217</v>
      </c>
      <c r="C46" s="206"/>
      <c r="D46" s="207" t="s">
        <v>218</v>
      </c>
      <c r="E46" s="208">
        <v>10940.6</v>
      </c>
    </row>
    <row r="47" spans="2:5" ht="27" x14ac:dyDescent="0.3">
      <c r="B47" s="206">
        <v>4</v>
      </c>
      <c r="C47" s="206"/>
      <c r="D47" s="207" t="s">
        <v>219</v>
      </c>
      <c r="E47" s="208">
        <v>27439</v>
      </c>
    </row>
    <row r="48" spans="2:5" ht="27" x14ac:dyDescent="0.3">
      <c r="B48" s="206"/>
      <c r="C48" s="206"/>
      <c r="D48" s="207" t="s">
        <v>204</v>
      </c>
      <c r="E48" s="208">
        <v>479839.5</v>
      </c>
    </row>
    <row r="49" spans="2:7" ht="15.6" x14ac:dyDescent="0.3">
      <c r="B49" s="216" t="s">
        <v>220</v>
      </c>
      <c r="C49" s="217"/>
      <c r="D49" s="218" t="s">
        <v>221</v>
      </c>
      <c r="E49" s="219">
        <v>45.453282000000002</v>
      </c>
    </row>
    <row r="50" spans="2:7" x14ac:dyDescent="0.3">
      <c r="B50" s="220" t="s">
        <v>222</v>
      </c>
      <c r="C50" s="220"/>
      <c r="D50" s="221" t="s">
        <v>223</v>
      </c>
      <c r="E50" s="219">
        <v>7.9716379999999996</v>
      </c>
    </row>
    <row r="51" spans="2:7" x14ac:dyDescent="0.3">
      <c r="B51" s="220" t="s">
        <v>220</v>
      </c>
      <c r="C51" s="220"/>
      <c r="D51" s="221" t="s">
        <v>224</v>
      </c>
      <c r="E51" s="219">
        <v>10.736402</v>
      </c>
    </row>
    <row r="52" spans="2:7" x14ac:dyDescent="0.3">
      <c r="B52" s="220" t="s">
        <v>225</v>
      </c>
      <c r="C52" s="220"/>
      <c r="D52" s="221" t="s">
        <v>226</v>
      </c>
      <c r="E52" s="219">
        <v>17.716279</v>
      </c>
    </row>
    <row r="53" spans="2:7" x14ac:dyDescent="0.3">
      <c r="B53" s="220" t="s">
        <v>227</v>
      </c>
      <c r="C53" s="220"/>
      <c r="D53" s="221" t="s">
        <v>228</v>
      </c>
      <c r="E53" s="219">
        <v>9.0289629999999992</v>
      </c>
    </row>
    <row r="54" spans="2:7" x14ac:dyDescent="0.3">
      <c r="B54" s="206"/>
      <c r="C54" s="222"/>
      <c r="D54" s="207"/>
      <c r="E54" s="223"/>
    </row>
    <row r="55" spans="2:7" x14ac:dyDescent="0.3">
      <c r="B55" s="224"/>
      <c r="C55" s="225"/>
      <c r="D55" s="226" t="s">
        <v>229</v>
      </c>
      <c r="E55" s="227">
        <f>E6/E52/1000</f>
        <v>79524.413676257856</v>
      </c>
    </row>
    <row r="56" spans="2:7" x14ac:dyDescent="0.3">
      <c r="B56" s="224"/>
      <c r="C56" s="225"/>
      <c r="D56" s="226" t="s">
        <v>230</v>
      </c>
      <c r="E56" s="227">
        <f>E7/E52/1000</f>
        <v>38808.374100453038</v>
      </c>
    </row>
    <row r="57" spans="2:7" ht="15.6" x14ac:dyDescent="0.3">
      <c r="B57" s="224"/>
      <c r="C57" s="225"/>
      <c r="D57" s="226" t="s">
        <v>231</v>
      </c>
      <c r="E57" s="227">
        <f>E8/E52/1000</f>
        <v>36570.597206106322</v>
      </c>
      <c r="G57" s="228"/>
    </row>
    <row r="58" spans="2:7" ht="15.6" x14ac:dyDescent="0.3">
      <c r="B58" s="224"/>
      <c r="C58" s="225"/>
      <c r="D58" s="226" t="s">
        <v>232</v>
      </c>
      <c r="E58" s="227">
        <f>E28/E53/1000</f>
        <v>27033.854707345687</v>
      </c>
      <c r="G58" s="228"/>
    </row>
    <row r="59" spans="2:7" ht="15.6" x14ac:dyDescent="0.3">
      <c r="B59" s="178"/>
      <c r="C59" s="179"/>
      <c r="D59" s="181"/>
      <c r="E59" s="178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табл.1</vt:lpstr>
      <vt:lpstr>табл. 2</vt:lpstr>
      <vt:lpstr>табл. 3</vt:lpstr>
      <vt:lpstr>табл. 4</vt:lpstr>
      <vt:lpstr>табл. 5</vt:lpstr>
      <vt:lpstr>табл. 6</vt:lpstr>
      <vt:lpstr>табл. 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Yurkevych</dc:creator>
  <cp:lastModifiedBy>Olga Lukasevych</cp:lastModifiedBy>
  <cp:lastPrinted>2014-06-11T15:09:34Z</cp:lastPrinted>
  <dcterms:created xsi:type="dcterms:W3CDTF">2014-06-09T12:14:09Z</dcterms:created>
  <dcterms:modified xsi:type="dcterms:W3CDTF">2014-07-15T12:31:56Z</dcterms:modified>
</cp:coreProperties>
</file>