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D374" i="20" l="1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C461" i="6"/>
  <c r="L462" i="5"/>
  <c r="M462" i="5"/>
  <c r="I462" i="5"/>
  <c r="C462" i="5"/>
  <c r="D469" i="10"/>
  <c r="D468" i="9"/>
  <c r="D468" i="11"/>
  <c r="D468" i="12"/>
  <c r="G468" i="12" s="1"/>
  <c r="D462" i="8"/>
  <c r="D462" i="7"/>
  <c r="D461" i="6"/>
  <c r="E461" i="6" s="1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4" i="20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AT374" i="20"/>
  <c r="AU374" i="20"/>
  <c r="AW374" i="20"/>
  <c r="AY374" i="20"/>
  <c r="AZ374" i="20"/>
  <c r="BA374" i="20"/>
  <c r="BB374" i="20"/>
  <c r="BC374" i="20"/>
  <c r="I461" i="5"/>
  <c r="AE374" i="20" l="1"/>
  <c r="AC374" i="20"/>
  <c r="W374" i="20"/>
  <c r="AX374" i="20"/>
  <c r="AD374" i="20"/>
  <c r="Z374" i="20"/>
  <c r="AV374" i="20"/>
  <c r="AB374" i="20"/>
  <c r="X374" i="20"/>
  <c r="S373" i="20"/>
  <c r="T373" i="20"/>
  <c r="U373" i="20"/>
  <c r="W373" i="20" s="1"/>
  <c r="V373" i="20"/>
  <c r="AE373" i="20" s="1"/>
  <c r="Z373" i="20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AT373" i="20"/>
  <c r="AU373" i="20"/>
  <c r="AW373" i="20"/>
  <c r="AX373" i="20"/>
  <c r="AY373" i="20"/>
  <c r="AZ373" i="20"/>
  <c r="BA373" i="20"/>
  <c r="BB373" i="20"/>
  <c r="BC373" i="20"/>
  <c r="BD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M467" i="12"/>
  <c r="I466" i="12"/>
  <c r="C467" i="12"/>
  <c r="D467" i="12"/>
  <c r="G467" i="12" s="1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D460" i="6" s="1"/>
  <c r="M460" i="6"/>
  <c r="I460" i="6"/>
  <c r="C460" i="6"/>
  <c r="L461" i="5"/>
  <c r="M461" i="5"/>
  <c r="I460" i="5"/>
  <c r="C461" i="5"/>
  <c r="D461" i="5"/>
  <c r="E461" i="5" s="1"/>
  <c r="AC373" i="20" l="1"/>
  <c r="Y373" i="20"/>
  <c r="AV373" i="20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2" i="20"/>
  <c r="U372" i="20"/>
  <c r="W372" i="20" s="1"/>
  <c r="V372" i="20"/>
  <c r="Y372" i="20"/>
  <c r="AA372" i="20"/>
  <c r="AC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AT372" i="20"/>
  <c r="AU372" i="20"/>
  <c r="AW372" i="20"/>
  <c r="AY372" i="20"/>
  <c r="AZ372" i="20"/>
  <c r="BA372" i="20"/>
  <c r="BB372" i="20"/>
  <c r="BC372" i="20"/>
  <c r="BD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M466" i="12"/>
  <c r="I465" i="12"/>
  <c r="C466" i="12"/>
  <c r="D466" i="12"/>
  <c r="G466" i="12" s="1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C459" i="6"/>
  <c r="D459" i="6"/>
  <c r="H459" i="6" s="1"/>
  <c r="L460" i="5"/>
  <c r="M460" i="5"/>
  <c r="C460" i="5"/>
  <c r="D460" i="5"/>
  <c r="H460" i="5" s="1"/>
  <c r="AX372" i="20" l="1"/>
  <c r="AD372" i="20"/>
  <c r="Z372" i="20"/>
  <c r="AV372" i="20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1" i="20"/>
  <c r="U371" i="20"/>
  <c r="V371" i="20"/>
  <c r="W371" i="20" s="1"/>
  <c r="X371" i="20"/>
  <c r="Z371" i="20"/>
  <c r="AA371" i="20"/>
  <c r="AB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AT371" i="20"/>
  <c r="AU371" i="20"/>
  <c r="AV371" i="20"/>
  <c r="AW371" i="20"/>
  <c r="AX371" i="20"/>
  <c r="AY371" i="20"/>
  <c r="AZ371" i="20"/>
  <c r="BA371" i="20"/>
  <c r="BB371" i="20"/>
  <c r="BC371" i="20"/>
  <c r="BD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M465" i="12"/>
  <c r="I464" i="12"/>
  <c r="C465" i="12"/>
  <c r="D465" i="12"/>
  <c r="G465" i="12" s="1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C458" i="6"/>
  <c r="D458" i="6"/>
  <c r="E458" i="6" s="1"/>
  <c r="L459" i="5"/>
  <c r="M459" i="5"/>
  <c r="I459" i="5"/>
  <c r="C459" i="5"/>
  <c r="D459" i="5"/>
  <c r="E459" i="5" s="1"/>
  <c r="AC371" i="20" l="1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D370" i="20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C457" i="6"/>
  <c r="L458" i="5"/>
  <c r="M458" i="5"/>
  <c r="I458" i="5"/>
  <c r="C458" i="5"/>
  <c r="H463" i="9" l="1"/>
  <c r="H462" i="9"/>
  <c r="H461" i="9"/>
  <c r="H460" i="9"/>
  <c r="H459" i="9"/>
  <c r="B375" i="20"/>
  <c r="B374" i="20"/>
  <c r="B373" i="20"/>
  <c r="B372" i="20"/>
  <c r="B371" i="20"/>
  <c r="S370" i="20"/>
  <c r="T370" i="20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AT370" i="20"/>
  <c r="AU370" i="20"/>
  <c r="AW370" i="20"/>
  <c r="AY370" i="20"/>
  <c r="AZ370" i="20"/>
  <c r="BA370" i="20"/>
  <c r="BB370" i="20"/>
  <c r="BC370" i="20"/>
  <c r="D465" i="10"/>
  <c r="I464" i="10"/>
  <c r="D464" i="9"/>
  <c r="I463" i="9"/>
  <c r="D464" i="11"/>
  <c r="I463" i="11"/>
  <c r="D464" i="12"/>
  <c r="G464" i="12" s="1"/>
  <c r="I463" i="12"/>
  <c r="D458" i="8"/>
  <c r="D458" i="7"/>
  <c r="D457" i="6"/>
  <c r="D458" i="5"/>
  <c r="I457" i="5"/>
  <c r="AE370" i="20" l="1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AB370" i="20"/>
  <c r="X370" i="20"/>
  <c r="S369" i="20"/>
  <c r="T369" i="20"/>
  <c r="U369" i="20"/>
  <c r="V369" i="20"/>
  <c r="W369" i="20"/>
  <c r="X369" i="20"/>
  <c r="Y369" i="20"/>
  <c r="Z369" i="20"/>
  <c r="AA369" i="20"/>
  <c r="AB369" i="20"/>
  <c r="AC369" i="20"/>
  <c r="AD369" i="20"/>
  <c r="AE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AT369" i="20"/>
  <c r="AU369" i="20"/>
  <c r="AV369" i="20"/>
  <c r="AW369" i="20"/>
  <c r="AX369" i="20"/>
  <c r="AY369" i="20"/>
  <c r="AZ369" i="20"/>
  <c r="BA369" i="20"/>
  <c r="BB369" i="20"/>
  <c r="BC369" i="20"/>
  <c r="BD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C456" i="6"/>
  <c r="L457" i="5"/>
  <c r="D457" i="5" s="1"/>
  <c r="M457" i="5"/>
  <c r="C457" i="5"/>
  <c r="D464" i="10"/>
  <c r="D463" i="9"/>
  <c r="D463" i="11"/>
  <c r="D463" i="12"/>
  <c r="G463" i="12" s="1"/>
  <c r="D457" i="8"/>
  <c r="D457" i="7"/>
  <c r="D456" i="6"/>
  <c r="E464" i="10" l="1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H453" i="5"/>
  <c r="H454" i="5"/>
  <c r="H455" i="5"/>
  <c r="H456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35" i="5"/>
  <c r="H434" i="5"/>
  <c r="H433" i="5"/>
  <c r="H432" i="5"/>
  <c r="H238" i="5"/>
  <c r="I456" i="5"/>
  <c r="S368" i="20" l="1"/>
  <c r="T368" i="20"/>
  <c r="U368" i="20"/>
  <c r="V368" i="20"/>
  <c r="W368" i="20" s="1"/>
  <c r="X368" i="20"/>
  <c r="Z368" i="20"/>
  <c r="AA368" i="20"/>
  <c r="AB368" i="20"/>
  <c r="AC368" i="20"/>
  <c r="AD368" i="20"/>
  <c r="AE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AT368" i="20"/>
  <c r="AU368" i="20"/>
  <c r="AV368" i="20"/>
  <c r="AW368" i="20"/>
  <c r="AX368" i="20"/>
  <c r="AY368" i="20"/>
  <c r="AZ368" i="20"/>
  <c r="BA368" i="20"/>
  <c r="BB368" i="20"/>
  <c r="BC368" i="20"/>
  <c r="BD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M462" i="12"/>
  <c r="I461" i="12"/>
  <c r="C462" i="12"/>
  <c r="D462" i="12"/>
  <c r="G462" i="12" s="1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D455" i="6" s="1"/>
  <c r="M455" i="6"/>
  <c r="I455" i="6"/>
  <c r="C455" i="6"/>
  <c r="L456" i="5"/>
  <c r="D456" i="5" s="1"/>
  <c r="M456" i="5"/>
  <c r="C456" i="5"/>
  <c r="Y368" i="20" l="1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7" i="20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AT367" i="20"/>
  <c r="AU367" i="20"/>
  <c r="AW367" i="20"/>
  <c r="AY367" i="20"/>
  <c r="AZ367" i="20"/>
  <c r="BA367" i="20"/>
  <c r="BB367" i="20"/>
  <c r="BC367" i="20"/>
  <c r="BD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D461" i="12" s="1"/>
  <c r="G461" i="12" s="1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C454" i="6"/>
  <c r="D454" i="6"/>
  <c r="E454" i="6" s="1"/>
  <c r="L455" i="5"/>
  <c r="M455" i="5"/>
  <c r="I455" i="5"/>
  <c r="C455" i="5"/>
  <c r="D455" i="5"/>
  <c r="AX367" i="20" l="1"/>
  <c r="AD367" i="20"/>
  <c r="Z367" i="20"/>
  <c r="AV367" i="20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6" i="20"/>
  <c r="U366" i="20"/>
  <c r="V366" i="20"/>
  <c r="W366" i="20"/>
  <c r="X366" i="20"/>
  <c r="Y366" i="20"/>
  <c r="Z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AT366" i="20"/>
  <c r="AU366" i="20"/>
  <c r="AV366" i="20"/>
  <c r="AW366" i="20"/>
  <c r="AX366" i="20"/>
  <c r="AY366" i="20"/>
  <c r="AZ366" i="20"/>
  <c r="BA366" i="20"/>
  <c r="BB366" i="20"/>
  <c r="BC366" i="20"/>
  <c r="BD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M460" i="12"/>
  <c r="I459" i="12"/>
  <c r="G460" i="12"/>
  <c r="C460" i="12"/>
  <c r="D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C453" i="6"/>
  <c r="D453" i="6"/>
  <c r="L454" i="5"/>
  <c r="D454" i="5" s="1"/>
  <c r="M454" i="5"/>
  <c r="I454" i="5"/>
  <c r="C454" i="5"/>
  <c r="E454" i="8" l="1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D187" i="5"/>
  <c r="G187" i="5" s="1"/>
  <c r="D58" i="5"/>
  <c r="D57" i="5"/>
  <c r="D56" i="5"/>
  <c r="D55" i="5"/>
  <c r="D54" i="5"/>
  <c r="D59" i="5"/>
  <c r="D60" i="5"/>
  <c r="D61" i="5"/>
  <c r="G56" i="5"/>
  <c r="G57" i="5"/>
  <c r="G58" i="5"/>
  <c r="G53" i="5"/>
  <c r="G54" i="5"/>
  <c r="D53" i="5"/>
  <c r="C56" i="5"/>
  <c r="L56" i="5"/>
  <c r="BD365" i="20" l="1"/>
  <c r="B316" i="25"/>
  <c r="D316" i="25"/>
  <c r="L460" i="10"/>
  <c r="M460" i="10"/>
  <c r="C460" i="10"/>
  <c r="L459" i="9"/>
  <c r="M459" i="9"/>
  <c r="C459" i="9"/>
  <c r="L459" i="11"/>
  <c r="M459" i="11"/>
  <c r="C459" i="11"/>
  <c r="L459" i="12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C452" i="6"/>
  <c r="L453" i="5"/>
  <c r="M453" i="5"/>
  <c r="I453" i="5"/>
  <c r="C453" i="5"/>
  <c r="B370" i="20" l="1"/>
  <c r="B369" i="20"/>
  <c r="B368" i="20"/>
  <c r="B367" i="20"/>
  <c r="B366" i="20"/>
  <c r="S365" i="20"/>
  <c r="T365" i="20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AT365" i="20"/>
  <c r="AU365" i="20"/>
  <c r="AW365" i="20"/>
  <c r="AY365" i="20"/>
  <c r="AZ365" i="20"/>
  <c r="BA365" i="20"/>
  <c r="BB365" i="20"/>
  <c r="BC365" i="20"/>
  <c r="M316" i="25"/>
  <c r="K316" i="25"/>
  <c r="I316" i="25"/>
  <c r="D460" i="10"/>
  <c r="I459" i="10"/>
  <c r="D459" i="9"/>
  <c r="I458" i="9"/>
  <c r="D459" i="11"/>
  <c r="I458" i="11"/>
  <c r="D459" i="12"/>
  <c r="G459" i="12" s="1"/>
  <c r="I458" i="12"/>
  <c r="D453" i="8"/>
  <c r="D453" i="7"/>
  <c r="D452" i="6"/>
  <c r="D453" i="5"/>
  <c r="AE365" i="20" l="1"/>
  <c r="Z365" i="20"/>
  <c r="AC365" i="20"/>
  <c r="AV365" i="20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4" i="20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AT364" i="20"/>
  <c r="AU364" i="20"/>
  <c r="AV364" i="20"/>
  <c r="AW364" i="20"/>
  <c r="AX364" i="20"/>
  <c r="AY364" i="20"/>
  <c r="AZ364" i="20"/>
  <c r="BA364" i="20"/>
  <c r="BB364" i="20"/>
  <c r="BC364" i="20"/>
  <c r="BD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M458" i="12"/>
  <c r="I457" i="12"/>
  <c r="C458" i="12"/>
  <c r="D458" i="12"/>
  <c r="G458" i="12" s="1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C451" i="6"/>
  <c r="D451" i="6"/>
  <c r="E451" i="6" s="1"/>
  <c r="L452" i="5"/>
  <c r="M452" i="5"/>
  <c r="I452" i="5"/>
  <c r="C452" i="5"/>
  <c r="D452" i="5"/>
  <c r="E452" i="5" s="1"/>
  <c r="E459" i="10" l="1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3" i="20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AT363" i="20"/>
  <c r="AU363" i="20"/>
  <c r="AV363" i="20"/>
  <c r="AW363" i="20"/>
  <c r="AX363" i="20"/>
  <c r="AY363" i="20"/>
  <c r="AZ363" i="20"/>
  <c r="BA363" i="20"/>
  <c r="BB363" i="20"/>
  <c r="BC363" i="20"/>
  <c r="BD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M457" i="12"/>
  <c r="I456" i="12"/>
  <c r="C457" i="12"/>
  <c r="D457" i="12"/>
  <c r="G457" i="12" s="1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C450" i="6"/>
  <c r="D450" i="6"/>
  <c r="E450" i="6" s="1"/>
  <c r="L451" i="5"/>
  <c r="D451" i="5" s="1"/>
  <c r="M451" i="5"/>
  <c r="I451" i="5"/>
  <c r="C451" i="5"/>
  <c r="G458" i="10" l="1"/>
  <c r="H458" i="10"/>
  <c r="E451" i="8"/>
  <c r="H451" i="8" s="1"/>
  <c r="E451" i="7"/>
  <c r="G451" i="7"/>
  <c r="H450" i="6"/>
  <c r="G450" i="6"/>
  <c r="E451" i="5"/>
  <c r="G451" i="5"/>
  <c r="S362" i="20"/>
  <c r="T362" i="20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AT362" i="20"/>
  <c r="AU362" i="20"/>
  <c r="AW362" i="20"/>
  <c r="AY362" i="20"/>
  <c r="AZ362" i="20"/>
  <c r="BA362" i="20"/>
  <c r="BB362" i="20"/>
  <c r="BC362" i="20"/>
  <c r="BD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M456" i="12"/>
  <c r="I455" i="12"/>
  <c r="G456" i="12"/>
  <c r="C456" i="12"/>
  <c r="D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C449" i="6"/>
  <c r="L450" i="5"/>
  <c r="M450" i="5"/>
  <c r="I450" i="5"/>
  <c r="C450" i="5"/>
  <c r="D450" i="5"/>
  <c r="E450" i="5" s="1"/>
  <c r="AV362" i="20" l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1" i="20"/>
  <c r="U361" i="20"/>
  <c r="V361" i="20"/>
  <c r="W361" i="20"/>
  <c r="X361" i="20"/>
  <c r="Y361" i="20"/>
  <c r="Z361" i="20"/>
  <c r="AA361" i="20"/>
  <c r="AB361" i="20"/>
  <c r="AC361" i="20"/>
  <c r="AD361" i="20"/>
  <c r="AE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AT361" i="20"/>
  <c r="AU361" i="20"/>
  <c r="AV361" i="20"/>
  <c r="AW361" i="20"/>
  <c r="AX361" i="20"/>
  <c r="AY361" i="20"/>
  <c r="AZ361" i="20"/>
  <c r="BA361" i="20"/>
  <c r="BB361" i="20"/>
  <c r="BC361" i="20"/>
  <c r="BD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M455" i="12"/>
  <c r="I454" i="12"/>
  <c r="C455" i="12"/>
  <c r="D455" i="12"/>
  <c r="G455" i="12" s="1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C448" i="6"/>
  <c r="L449" i="5"/>
  <c r="D449" i="5" s="1"/>
  <c r="M449" i="5"/>
  <c r="I449" i="5"/>
  <c r="C449" i="5"/>
  <c r="G456" i="10" l="1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D455" i="10" l="1"/>
  <c r="I454" i="10"/>
  <c r="D454" i="9"/>
  <c r="I453" i="9"/>
  <c r="D454" i="11"/>
  <c r="I453" i="11"/>
  <c r="D454" i="12"/>
  <c r="G454" i="12" s="1"/>
  <c r="I453" i="12"/>
  <c r="D448" i="8"/>
  <c r="D448" i="7"/>
  <c r="D447" i="6"/>
  <c r="D448" i="5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0" i="20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AT360" i="20"/>
  <c r="AU360" i="20"/>
  <c r="AW360" i="20"/>
  <c r="AY360" i="20"/>
  <c r="AZ360" i="20"/>
  <c r="BA360" i="20"/>
  <c r="BB360" i="20"/>
  <c r="BC360" i="20"/>
  <c r="BD360" i="20"/>
  <c r="AE360" i="20" l="1"/>
  <c r="AX360" i="20"/>
  <c r="AC360" i="20"/>
  <c r="Z360" i="20"/>
  <c r="AV360" i="20"/>
  <c r="AB360" i="20"/>
  <c r="X360" i="20"/>
  <c r="W360" i="20"/>
  <c r="AD360" i="20"/>
  <c r="S359" i="20"/>
  <c r="T359" i="20"/>
  <c r="U359" i="20"/>
  <c r="X359" i="20" s="1"/>
  <c r="V359" i="20"/>
  <c r="Y359" i="20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AT359" i="20"/>
  <c r="AU359" i="20"/>
  <c r="AW359" i="20"/>
  <c r="AY359" i="20"/>
  <c r="AZ359" i="20"/>
  <c r="BA359" i="20"/>
  <c r="BB359" i="20"/>
  <c r="BC359" i="20"/>
  <c r="BD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W359" i="20" l="1"/>
  <c r="AX359" i="20"/>
  <c r="AD359" i="20"/>
  <c r="Z359" i="20"/>
  <c r="AV359" i="20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8" i="20"/>
  <c r="U358" i="20"/>
  <c r="W358" i="20" s="1"/>
  <c r="V358" i="20"/>
  <c r="Y358" i="20"/>
  <c r="AA358" i="20"/>
  <c r="AC358" i="20"/>
  <c r="AE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AT358" i="20"/>
  <c r="AU358" i="20"/>
  <c r="AW358" i="20"/>
  <c r="AY358" i="20"/>
  <c r="AZ358" i="20"/>
  <c r="BA358" i="20"/>
  <c r="BB358" i="20"/>
  <c r="BC358" i="20"/>
  <c r="BD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E446" i="5"/>
  <c r="AX358" i="20" l="1"/>
  <c r="AD358" i="20"/>
  <c r="Z358" i="20"/>
  <c r="AB358" i="20"/>
  <c r="AV358" i="20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7" i="20"/>
  <c r="U357" i="20"/>
  <c r="V357" i="20"/>
  <c r="W357" i="20" s="1"/>
  <c r="X357" i="20"/>
  <c r="AA357" i="20"/>
  <c r="AB357" i="20"/>
  <c r="AD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AT357" i="20"/>
  <c r="AU357" i="20"/>
  <c r="AW357" i="20"/>
  <c r="AX357" i="20"/>
  <c r="AY357" i="20"/>
  <c r="AZ357" i="20"/>
  <c r="BA357" i="20"/>
  <c r="BB357" i="20"/>
  <c r="BC357" i="20"/>
  <c r="BD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AC357" i="20" l="1"/>
  <c r="Y357" i="20"/>
  <c r="Z357" i="20"/>
  <c r="AV357" i="20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6" i="20"/>
  <c r="U356" i="20"/>
  <c r="V356" i="20"/>
  <c r="W356" i="20"/>
  <c r="X356" i="20"/>
  <c r="Y356" i="20"/>
  <c r="Z356" i="20"/>
  <c r="AA356" i="20"/>
  <c r="AB356" i="20"/>
  <c r="AC356" i="20"/>
  <c r="AD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AT356" i="20"/>
  <c r="AU356" i="20"/>
  <c r="AV356" i="20"/>
  <c r="AW356" i="20"/>
  <c r="AX356" i="20"/>
  <c r="AY356" i="20"/>
  <c r="AZ356" i="20"/>
  <c r="BA356" i="20"/>
  <c r="BB356" i="20"/>
  <c r="BC356" i="20"/>
  <c r="BD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E444" i="5" l="1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BD355" i="20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5" i="20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AT355" i="20"/>
  <c r="AU355" i="20"/>
  <c r="AW355" i="20"/>
  <c r="AY355" i="20"/>
  <c r="AZ355" i="20"/>
  <c r="BA355" i="20"/>
  <c r="BB355" i="20"/>
  <c r="BC355" i="20"/>
  <c r="I449" i="10"/>
  <c r="I448" i="9"/>
  <c r="I448" i="11"/>
  <c r="I448" i="12"/>
  <c r="I442" i="5"/>
  <c r="X355" i="20" l="1"/>
  <c r="AB355" i="20"/>
  <c r="W355" i="20"/>
  <c r="Y355" i="20"/>
  <c r="AV355" i="20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4" i="20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AT354" i="20"/>
  <c r="AU354" i="20"/>
  <c r="AW354" i="20"/>
  <c r="AY354" i="20"/>
  <c r="AZ354" i="20"/>
  <c r="BA354" i="20"/>
  <c r="BB354" i="20"/>
  <c r="BC354" i="20"/>
  <c r="BD354" i="20"/>
  <c r="D449" i="10"/>
  <c r="D448" i="9"/>
  <c r="D448" i="11"/>
  <c r="D448" i="12"/>
  <c r="G448" i="12" s="1"/>
  <c r="D442" i="8"/>
  <c r="D442" i="7"/>
  <c r="D441" i="6"/>
  <c r="D442" i="5"/>
  <c r="AX354" i="20" l="1"/>
  <c r="Z354" i="20"/>
  <c r="AD354" i="20"/>
  <c r="X354" i="20"/>
  <c r="AB354" i="20"/>
  <c r="W354" i="20"/>
  <c r="AV354" i="20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3" i="20"/>
  <c r="U353" i="20"/>
  <c r="V353" i="20"/>
  <c r="W353" i="20"/>
  <c r="X353" i="20"/>
  <c r="Y353" i="20"/>
  <c r="Z353" i="20"/>
  <c r="AA353" i="20"/>
  <c r="AB353" i="20"/>
  <c r="AC353" i="20"/>
  <c r="AD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AT353" i="20"/>
  <c r="AU353" i="20"/>
  <c r="AV353" i="20"/>
  <c r="AW353" i="20"/>
  <c r="AX353" i="20"/>
  <c r="AY353" i="20"/>
  <c r="AZ353" i="20"/>
  <c r="BA353" i="20"/>
  <c r="BB353" i="20"/>
  <c r="BC353" i="20"/>
  <c r="BD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H448" i="10" l="1"/>
  <c r="E447" i="9"/>
  <c r="H447" i="9"/>
  <c r="G447" i="9"/>
  <c r="H447" i="11"/>
  <c r="G441" i="8"/>
  <c r="H440" i="6"/>
  <c r="G441" i="5"/>
  <c r="E441" i="5"/>
  <c r="I445" i="9"/>
  <c r="I446" i="10"/>
  <c r="S352" i="20"/>
  <c r="T352" i="20"/>
  <c r="U352" i="20"/>
  <c r="V352" i="20"/>
  <c r="AC352" i="20" s="1"/>
  <c r="W352" i="20"/>
  <c r="X352" i="20"/>
  <c r="AA352" i="20"/>
  <c r="AB352" i="20"/>
  <c r="AD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AT352" i="20"/>
  <c r="AU352" i="20"/>
  <c r="AV352" i="20"/>
  <c r="AW352" i="20"/>
  <c r="AX352" i="20"/>
  <c r="AY352" i="20"/>
  <c r="AZ352" i="20"/>
  <c r="BA352" i="20"/>
  <c r="BB352" i="20"/>
  <c r="BC352" i="20"/>
  <c r="BD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Z352" i="20" l="1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1" i="20"/>
  <c r="U351" i="20"/>
  <c r="W351" i="20" s="1"/>
  <c r="V351" i="20"/>
  <c r="AE351" i="20" s="1"/>
  <c r="Y351" i="20"/>
  <c r="Z351" i="20"/>
  <c r="AA351" i="20"/>
  <c r="AB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AT351" i="20"/>
  <c r="AU351" i="20"/>
  <c r="AV351" i="20"/>
  <c r="AW351" i="20"/>
  <c r="AX351" i="20"/>
  <c r="AY351" i="20"/>
  <c r="AZ351" i="20"/>
  <c r="BA351" i="20"/>
  <c r="BB351" i="20"/>
  <c r="BC351" i="20"/>
  <c r="BD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X351" i="20" l="1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BD350" i="20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0" i="20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W350" i="20"/>
  <c r="AY350" i="20"/>
  <c r="AZ350" i="20"/>
  <c r="BA350" i="20"/>
  <c r="BB350" i="20"/>
  <c r="BC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W350" i="20" l="1"/>
  <c r="X350" i="20"/>
  <c r="AV350" i="20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<sst xmlns="http://schemas.openxmlformats.org/spreadsheetml/2006/main" count="687" uniqueCount="591">
  <si>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</si>
  <si>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</si>
  <si>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</si>
  <si>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</si>
  <si>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</si>
  <si>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</si>
  <si>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</si>
  <si>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</si>
  <si>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</si>
  <si>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</si>
  <si>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</si>
  <si>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</si>
  <si>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</si>
  <si>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</si>
  <si>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</si>
  <si>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</si>
  <si>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</si>
  <si>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</si>
  <si>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</si>
  <si>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</si>
  <si>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</si>
  <si>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</si>
  <si>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</si>
  <si>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</si>
  <si>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</si>
  <si>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</si>
  <si>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</si>
  <si>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</si>
  <si>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</si>
  <si>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</si>
  <si>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</si>
  <si>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</si>
  <si>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</si>
  <si>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</si>
  <si>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</si>
  <si>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</si>
  <si>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</si>
  <si>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</si>
  <si>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</si>
  <si>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</si>
  <si>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</si>
  <si>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</si>
  <si>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</si>
  <si>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</si>
  <si>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</si>
  <si>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</si>
  <si>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</si>
  <si>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</si>
  <si>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</si>
  <si>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</si>
  <si>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</si>
  <si>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</si>
  <si>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</si>
  <si>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</si>
  <si>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</si>
  <si>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</si>
  <si>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</si>
  <si>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</si>
  <si>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</si>
  <si>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</si>
  <si>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</si>
  <si>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</si>
  <si>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</si>
  <si>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</si>
  <si>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</si>
  <si>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</si>
  <si>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</si>
  <si>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</si>
  <si>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</si>
  <si>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</si>
  <si>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</si>
  <si>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</si>
  <si>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</si>
  <si>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</si>
  <si>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</si>
  <si>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</si>
  <si>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</si>
  <si>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</si>
  <si>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</si>
  <si>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</si>
  <si>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</si>
  <si>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</si>
  <si>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</si>
  <si>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</si>
  <si>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</si>
  <si>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</si>
  <si>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</si>
  <si>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</si>
  <si>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</si>
  <si>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</si>
  <si>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</si>
  <si>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</si>
  <si>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</si>
  <si>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</si>
  <si>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</si>
  <si>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</si>
  <si>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</si>
  <si>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</si>
  <si>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</si>
  <si>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</si>
  <si>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</si>
  <si>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</si>
  <si>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</si>
  <si>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</si>
  <si>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</si>
  <si>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</si>
  <si>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</si>
  <si>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</si>
  <si>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</si>
  <si>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</si>
  <si>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</si>
  <si>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</si>
  <si>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</si>
  <si>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</si>
  <si>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</si>
  <si>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</si>
  <si>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</si>
  <si>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</si>
  <si>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</si>
  <si>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</si>
  <si>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</si>
  <si>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</si>
  <si>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</si>
  <si>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</si>
  <si>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</si>
  <si>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</si>
  <si>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</si>
  <si>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</si>
  <si>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</si>
  <si>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</si>
  <si>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</si>
  <si>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</si>
  <si>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</si>
  <si>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</si>
  <si>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</si>
  <si>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</si>
  <si>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</si>
  <si>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</si>
  <si>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</si>
  <si>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</si>
  <si>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</si>
  <si>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</si>
  <si>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</si>
  <si>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</si>
  <si>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</si>
  <si>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</si>
  <si>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</si>
  <si>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</si>
  <si>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</si>
  <si>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</si>
  <si>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</si>
  <si>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</si>
  <si>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</si>
  <si>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</si>
  <si>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</si>
  <si>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</si>
  <si>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</si>
  <si>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</si>
  <si>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</si>
  <si>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</si>
  <si>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</si>
  <si>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</si>
  <si>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</si>
  <si>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</si>
  <si>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</si>
  <si>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</si>
  <si>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</si>
  <si>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</si>
  <si>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</si>
  <si>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</si>
  <si>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</si>
  <si>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</si>
  <si>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</si>
  <si>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</si>
  <si>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</si>
  <si>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</si>
  <si>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</si>
  <si>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</si>
  <si>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</si>
  <si>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</si>
  <si>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</si>
  <si>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</si>
  <si>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</si>
  <si>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</si>
  <si>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</si>
  <si>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</si>
  <si>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</si>
  <si>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</si>
  <si>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</si>
  <si>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</si>
  <si>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</si>
  <si>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</si>
  <si>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</si>
  <si>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</si>
  <si>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</si>
  <si>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</si>
  <si>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</si>
  <si>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</si>
  <si>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</si>
  <si>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</si>
  <si>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</si>
  <si>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</si>
  <si>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</si>
  <si>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</si>
  <si>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</si>
  <si>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</si>
  <si>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</si>
  <si>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</si>
  <si>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</si>
  <si>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</si>
  <si>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</si>
  <si>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</si>
  <si>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</si>
  <si>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</si>
  <si>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</si>
  <si>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</si>
  <si>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</si>
  <si>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</si>
  <si>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</si>
  <si>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</si>
  <si>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</si>
  <si>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</si>
  <si>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</si>
  <si>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</si>
  <si>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</si>
  <si>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</si>
  <si>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</si>
  <si>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</si>
  <si>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</si>
  <si>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</si>
  <si>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</si>
  <si>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</si>
  <si>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</si>
  <si>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</si>
  <si>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</si>
  <si>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</si>
  <si>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</si>
  <si>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</si>
  <si>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</si>
  <si>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</si>
  <si>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</si>
  <si>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</si>
  <si>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</si>
  <si>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</si>
  <si>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</si>
  <si>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</si>
  <si>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</si>
  <si>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</si>
  <si>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</si>
  <si>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</si>
  <si>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</si>
  <si>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</si>
  <si>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</si>
  <si>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</si>
  <si>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</si>
  <si>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</si>
  <si>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</si>
  <si>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</si>
  <si>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</si>
  <si>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</si>
  <si>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</si>
  <si>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</si>
  <si>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</si>
  <si>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</si>
  <si>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</si>
  <si>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</si>
  <si>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</si>
  <si>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</si>
  <si>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</si>
  <si>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</si>
  <si>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</si>
  <si>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</si>
  <si>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</si>
  <si>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</si>
  <si>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</si>
  <si>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</si>
  <si>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</si>
  <si>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</si>
  <si>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</si>
  <si>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</si>
  <si>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</si>
  <si>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</si>
  <si>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</si>
  <si>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</si>
  <si>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</si>
  <si>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</si>
  <si>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</si>
  <si>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</si>
  <si>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</si>
  <si>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</si>
  <si>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</si>
  <si>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</si>
  <si>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</si>
  <si>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</si>
  <si>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</si>
  <si>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</si>
  <si>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</si>
  <si>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</si>
  <si>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</si>
  <si>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</si>
  <si>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</si>
  <si>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</si>
  <si>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</si>
  <si>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</si>
  <si>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</si>
  <si>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</si>
  <si>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</si>
  <si>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</si>
  <si>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</si>
  <si>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</si>
  <si>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</si>
  <si>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</si>
  <si>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</si>
  <si>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</si>
  <si>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</si>
  <si>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</si>
  <si>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</si>
  <si>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</si>
  <si>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</si>
  <si>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</si>
  <si>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</si>
  <si>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</si>
  <si>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</si>
  <si>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</si>
  <si>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</si>
  <si>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</si>
  <si>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</si>
  <si>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</si>
  <si>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</si>
  <si>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</si>
  <si>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</si>
  <si>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</si>
  <si>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</si>
  <si>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</si>
  <si>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</si>
  <si>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</si>
  <si>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</si>
  <si>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</si>
  <si>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</si>
  <si>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</si>
  <si>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</si>
  <si>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</si>
  <si>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</si>
  <si>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</si>
  <si>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</si>
  <si>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</si>
  <si>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</si>
  <si>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</si>
  <si>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</si>
  <si>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</si>
  <si>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</si>
  <si>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</si>
  <si>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</si>
  <si>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</si>
  <si>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</si>
  <si>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</si>
  <si>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</si>
  <si>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</si>
  <si>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</si>
  <si>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</si>
  <si>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</si>
  <si>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</si>
  <si>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</si>
  <si>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</si>
  <si>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</si>
  <si>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</si>
  <si>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</si>
  <si>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</si>
  <si>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</si>
  <si>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</si>
  <si>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</si>
  <si>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</si>
  <si>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</si>
  <si>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</si>
  <si>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</si>
  <si>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</si>
  <si>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</si>
  <si>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</si>
  <si>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</si>
  <si>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</si>
  <si>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</si>
  <si>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</si>
  <si>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</si>
  <si>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</si>
  <si>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</si>
  <si>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</si>
  <si>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</si>
  <si>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</si>
  <si>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</si>
  <si>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</si>
  <si>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</si>
  <si>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</si>
  <si>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</si>
  <si>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</si>
  <si>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</si>
  <si>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</si>
  <si>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</si>
  <si>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</si>
  <si>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</si>
  <si>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</si>
  <si>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</si>
  <si>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</si>
  <si>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</si>
  <si>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</si>
  <si>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</si>
  <si>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</si>
  <si>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</si>
  <si>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</si>
  <si>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</si>
  <si>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</si>
  <si>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</si>
  <si>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</si>
  <si>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</si>
  <si>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</si>
  <si>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</si>
  <si>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</si>
  <si>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</si>
  <si>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</si>
  <si>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</si>
  <si>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</si>
  <si>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</si>
  <si>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</si>
  <si>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</si>
  <si>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</si>
  <si>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</si>
  <si>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</si>
  <si>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</si>
  <si>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</si>
  <si>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</si>
  <si>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</si>
  <si>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</si>
  <si>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</si>
  <si>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</si>
  <si>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</si>
  <si>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</si>
  <si>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</si>
  <si>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</si>
  <si>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</si>
  <si>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</si>
  <si>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</si>
  <si>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</si>
  <si>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</si>
  <si>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</si>
  <si>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</si>
  <si>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</si>
  <si>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</si>
  <si>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</si>
  <si>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</si>
  <si>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</si>
  <si>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</si>
  <si>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</si>
  <si>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</si>
  <si>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</si>
  <si>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</si>
  <si>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</si>
  <si>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</si>
  <si>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</si>
  <si>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</si>
  <si>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</si>
  <si>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</si>
  <si>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</si>
  <si>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</si>
  <si>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</si>
  <si>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</si>
  <si>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</si>
  <si>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</si>
  <si>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</si>
  <si>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</si>
  <si>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</si>
  <si>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</si>
  <si>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</si>
  <si>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</si>
  <si>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</si>
  <si>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</si>
  <si>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</si>
  <si>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</si>
  <si>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</si>
  <si>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</si>
  <si>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</si>
  <si>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</si>
  <si>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</si>
  <si>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</si>
  <si>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</si>
  <si>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</si>
  <si>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</si>
  <si>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</si>
  <si>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</si>
  <si>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</si>
  <si>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</si>
  <si>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</si>
  <si>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</si>
  <si>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</si>
  <si>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</si>
  <si>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</si>
  <si>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</si>
  <si>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</si>
  <si>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</si>
  <si>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</si>
  <si>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</si>
  <si>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</si>
  <si>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</si>
  <si>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</si>
  <si>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</si>
  <si>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</si>
  <si>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</si>
  <si>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</si>
  <si>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</si>
  <si>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</si>
  <si>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</si>
  <si>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</si>
  <si>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</si>
  <si>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</si>
  <si>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</si>
  <si>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</si>
  <si>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</si>
  <si>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</si>
  <si>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</si>
  <si>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</si>
  <si>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</si>
  <si>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</si>
  <si>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</si>
  <si>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</si>
  <si>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</si>
  <si>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</si>
  <si>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</si>
  <si>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</si>
  <si>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</si>
  <si>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</si>
  <si>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</si>
  <si>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</si>
  <si>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</si>
  <si>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</si>
  <si>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</si>
  <si>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</si>
  <si>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</si>
  <si>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</si>
  <si>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</si>
  <si>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</si>
  <si>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</si>
  <si>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</si>
  <si>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</si>
  <si>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</si>
  <si>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</si>
  <si>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</si>
  <si>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</si>
  <si>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</si>
  <si>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</si>
  <si>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</si>
  <si>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</si>
  <si>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</si>
  <si>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</si>
  <si>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</si>
  <si>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</si>
  <si>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</si>
  <si>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</si>
  <si>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</si>
  <si>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</si>
  <si>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</si>
  <si>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</si>
  <si>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HK NOON</t>
  </si>
  <si>
    <t>HK CLOSE</t>
  </si>
  <si>
    <t>US CLOSE</t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</si>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</sst>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tabSelected="1" zoomScale="115" zoomScaleNormal="115" workbookViewId="0">
      <selection activeCell="K6" sqref="K6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6" x14ac:dyDescent="0.15">
      <c r="A1" s="1">
        <f>D12</f>
        <v>43055</v>
      </c>
    </row>
    <row r="2" spans="1:16" x14ac:dyDescent="0.15">
      <c r="A2" s="39" t="s">
        <v>559</v>
      </c>
      <c r="B2" s="39">
        <v>6.6387600000000004</v>
      </c>
      <c r="C2" s="90">
        <v>43055</v>
      </c>
      <c r="D2" s="39">
        <v>13</v>
      </c>
    </row>
    <row r="3" spans="1:16" x14ac:dyDescent="0.15">
      <c r="A3" s="39" t="s">
        <v>560</v>
      </c>
      <c r="B3" s="39">
        <v>6.6344250000000002</v>
      </c>
      <c r="C3" s="90">
        <v>43055</v>
      </c>
      <c r="D3" s="39">
        <v>16</v>
      </c>
      <c r="J3" s="83"/>
      <c r="K3" s="84"/>
      <c r="L3" s="85"/>
    </row>
    <row r="4" spans="1:16" x14ac:dyDescent="0.15">
      <c r="A4" s="39" t="s">
        <v>561</v>
      </c>
      <c r="B4" s="39">
        <v>6.6330450000000001</v>
      </c>
      <c r="C4" s="90">
        <v>43056</v>
      </c>
      <c r="D4" s="39">
        <v>5</v>
      </c>
      <c r="J4" s="68"/>
      <c r="K4" s="69"/>
      <c r="L4" s="70"/>
    </row>
    <row r="5" spans="1:16" x14ac:dyDescent="0.15">
      <c r="A5" s="39" t="s">
        <v>348</v>
      </c>
      <c r="B5" s="39">
        <v>4105.01</v>
      </c>
      <c r="C5" s="39">
        <v>4073.67</v>
      </c>
      <c r="D5" s="93">
        <v>7.7000000000000002E-3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15">
      <c r="A6" s="39" t="s">
        <v>522</v>
      </c>
      <c r="B6" s="39">
        <v>3399.25</v>
      </c>
      <c r="C6" s="39">
        <v>3402.52</v>
      </c>
      <c r="D6" s="93">
        <v>-1E-3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15">
      <c r="A7" s="39" t="s">
        <v>523</v>
      </c>
      <c r="B7" s="39">
        <v>1878.26</v>
      </c>
      <c r="C7" s="39">
        <v>1868.08</v>
      </c>
      <c r="D7" s="93">
        <v>5.4000000000000003E-3</v>
      </c>
      <c r="H7" s="88"/>
      <c r="J7" s="71"/>
      <c r="K7" s="72"/>
      <c r="L7" s="73"/>
      <c r="M7" s="74"/>
    </row>
    <row r="8" spans="1:16" x14ac:dyDescent="0.15">
      <c r="A8" s="39" t="s">
        <v>524</v>
      </c>
      <c r="B8" s="39">
        <v>11537.96</v>
      </c>
      <c r="C8" s="39">
        <v>11462.11</v>
      </c>
      <c r="D8" s="93">
        <v>6.6E-3</v>
      </c>
      <c r="J8" s="75"/>
      <c r="K8" s="76"/>
      <c r="L8" s="77"/>
      <c r="M8" s="78"/>
    </row>
    <row r="9" spans="1:16" x14ac:dyDescent="0.15">
      <c r="A9" s="39" t="s">
        <v>525</v>
      </c>
      <c r="B9" s="39">
        <v>6558.31</v>
      </c>
      <c r="C9" s="39">
        <v>6537.66</v>
      </c>
      <c r="D9" s="93">
        <v>3.2000000000000002E-3</v>
      </c>
      <c r="J9" s="79"/>
      <c r="K9" s="80"/>
      <c r="L9" s="81"/>
      <c r="M9" s="82"/>
    </row>
    <row r="10" spans="1:16" x14ac:dyDescent="0.15">
      <c r="A10" s="39" t="s">
        <v>526</v>
      </c>
      <c r="B10" s="39">
        <v>2879.4</v>
      </c>
      <c r="C10" s="39">
        <v>2850.05</v>
      </c>
      <c r="D10" s="93">
        <v>1.03E-2</v>
      </c>
    </row>
    <row r="11" spans="1:16" x14ac:dyDescent="0.15">
      <c r="A11" s="39" t="s">
        <v>527</v>
      </c>
      <c r="B11" s="39">
        <v>15.04</v>
      </c>
      <c r="C11" s="39">
        <v>15.217000000000001</v>
      </c>
      <c r="D11" s="90">
        <v>43055</v>
      </c>
    </row>
    <row r="12" spans="1:16" x14ac:dyDescent="0.15">
      <c r="A12" s="39" t="s">
        <v>528</v>
      </c>
      <c r="B12" s="39">
        <v>15.52</v>
      </c>
      <c r="C12" s="39">
        <v>15.5906</v>
      </c>
      <c r="D12" s="90">
        <v>43055</v>
      </c>
      <c r="J12" s="53"/>
      <c r="K12" s="56"/>
      <c r="L12" s="59"/>
      <c r="M12" s="62"/>
      <c r="N12" s="65"/>
    </row>
    <row r="13" spans="1:16" x14ac:dyDescent="0.15">
      <c r="A13" s="39" t="s">
        <v>529</v>
      </c>
      <c r="B13" s="39">
        <v>8.0299999999999994</v>
      </c>
      <c r="C13" s="39">
        <v>8.09</v>
      </c>
      <c r="D13" s="90">
        <v>43055</v>
      </c>
      <c r="J13" s="54"/>
      <c r="K13" s="57"/>
      <c r="L13" s="60"/>
      <c r="M13" s="63"/>
      <c r="N13" s="66"/>
    </row>
    <row r="14" spans="1:16" x14ac:dyDescent="0.15">
      <c r="A14" s="39" t="s">
        <v>530</v>
      </c>
      <c r="B14" s="39">
        <v>49.25</v>
      </c>
      <c r="C14" s="39">
        <v>49.375</v>
      </c>
      <c r="D14" s="90">
        <v>43055</v>
      </c>
      <c r="J14" s="55"/>
      <c r="K14" s="58"/>
      <c r="L14" s="61"/>
      <c r="M14" s="64"/>
      <c r="N14" s="67"/>
    </row>
    <row r="15" spans="1:16" x14ac:dyDescent="0.15">
      <c r="A15" s="39" t="s">
        <v>531</v>
      </c>
      <c r="B15" s="39">
        <v>46.71</v>
      </c>
      <c r="C15" s="39">
        <v>45.92</v>
      </c>
      <c r="D15" s="90">
        <v>43054</v>
      </c>
    </row>
    <row r="16" spans="1:16" x14ac:dyDescent="0.15">
      <c r="A16" s="39" t="s">
        <v>532</v>
      </c>
      <c r="B16" s="39">
        <v>36.119999999999997</v>
      </c>
      <c r="C16" s="39">
        <v>35.775199999999998</v>
      </c>
      <c r="D16" s="90">
        <v>43054</v>
      </c>
    </row>
    <row r="17" spans="1:16" x14ac:dyDescent="0.15">
      <c r="A17" s="39" t="s">
        <v>533</v>
      </c>
      <c r="B17" s="39">
        <v>31.43</v>
      </c>
      <c r="C17" s="39">
        <v>31.058</v>
      </c>
      <c r="D17" s="90">
        <v>43054</v>
      </c>
    </row>
    <row r="18" spans="1:16" x14ac:dyDescent="0.15">
      <c r="A18" s="39" t="s">
        <v>534</v>
      </c>
      <c r="B18" s="39">
        <v>36.07</v>
      </c>
      <c r="C18" s="39">
        <v>35.904299999999999</v>
      </c>
      <c r="D18" s="90">
        <v>43054</v>
      </c>
    </row>
    <row r="19" spans="1:16" x14ac:dyDescent="0.15">
      <c r="A19" s="39" t="s">
        <v>535</v>
      </c>
      <c r="B19" s="39">
        <v>13209.73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15">
      <c r="A20" s="39" t="s">
        <v>536</v>
      </c>
      <c r="B20" s="39">
        <v>20431.73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15">
      <c r="A21" s="39" t="s">
        <v>537</v>
      </c>
      <c r="B21" s="39">
        <v>6.6285999999999996</v>
      </c>
      <c r="C21" s="90">
        <v>43055</v>
      </c>
      <c r="D21" s="91">
        <v>0.63288194444444446</v>
      </c>
    </row>
    <row r="22" spans="1:16" x14ac:dyDescent="0.1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15">
      <c r="A23" s="39">
        <v>3393.19</v>
      </c>
      <c r="B23" s="39">
        <v>3393.69</v>
      </c>
      <c r="C23" s="39">
        <v>3396.59</v>
      </c>
      <c r="D23" s="39">
        <v>3393.8</v>
      </c>
      <c r="E23" s="39">
        <v>3399.24</v>
      </c>
      <c r="F23" s="39">
        <v>3406.65</v>
      </c>
      <c r="G23" s="39">
        <v>3390.69</v>
      </c>
      <c r="H23" s="39">
        <v>1010</v>
      </c>
      <c r="I23" s="39">
        <v>951</v>
      </c>
      <c r="J23" s="39">
        <v>3399.78</v>
      </c>
      <c r="K23" s="39">
        <v>3396.64</v>
      </c>
      <c r="L23" s="39">
        <v>3399.25</v>
      </c>
      <c r="M23" s="39">
        <v>3409.42</v>
      </c>
      <c r="N23" s="39">
        <v>3391.39</v>
      </c>
      <c r="O23" s="39">
        <v>1408</v>
      </c>
      <c r="P23" s="39">
        <v>1328</v>
      </c>
    </row>
    <row r="24" spans="1:16" x14ac:dyDescent="0.15">
      <c r="D24" s="93"/>
    </row>
    <row r="25" spans="1:16" x14ac:dyDescent="0.15">
      <c r="A25" s="39"/>
      <c r="B25" s="39"/>
      <c r="C25" s="39"/>
      <c r="D25" s="93"/>
    </row>
    <row r="26" spans="1:16" x14ac:dyDescent="0.15">
      <c r="C26" s="39"/>
      <c r="D26" s="93"/>
    </row>
    <row r="27" spans="1:16" x14ac:dyDescent="0.15">
      <c r="D27" s="1"/>
    </row>
    <row r="28" spans="1:16" x14ac:dyDescent="0.15">
      <c r="D28" s="90"/>
    </row>
    <row r="29" spans="1:16" x14ac:dyDescent="0.15">
      <c r="D29" s="1"/>
    </row>
    <row r="30" spans="1:16" x14ac:dyDescent="0.15">
      <c r="C30" s="1"/>
      <c r="D30" s="90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0"/>
      <c r="D37" s="91"/>
    </row>
    <row r="38" spans="3:4" x14ac:dyDescent="0.15">
      <c r="C38" s="90"/>
      <c r="D38" s="91"/>
    </row>
    <row r="39" spans="3:4" x14ac:dyDescent="0.15">
      <c r="C39" s="1"/>
      <c r="D39" s="1"/>
    </row>
    <row r="40" spans="3:4" x14ac:dyDescent="0.15">
      <c r="C40" s="1"/>
      <c r="D40" s="86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86"/>
    </row>
    <row r="65" spans="3:4" x14ac:dyDescent="0.15">
      <c r="C65" s="1"/>
      <c r="D65" s="86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75"/>
  <sheetViews>
    <sheetView zoomScale="115" zoomScaleNormal="115" workbookViewId="0">
      <pane xSplit="2" ySplit="6" topLeftCell="AR356" activePane="bottomRight" state="frozen"/>
      <selection pane="topRight" activeCell="C1" sqref="C1"/>
      <selection pane="bottomLeft" activeCell="A3" sqref="A3"/>
      <selection pane="bottomRight" activeCell="AW371" sqref="AW371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408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74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95"/>
        <v>3262.6350499999999</v>
      </c>
      <c r="T317" s="92" t="str">
        <f t="shared" ref="T317" si="3642">IF(AVERAGE(N316)&lt;S316,"熊",IF(AVERAGE(N316)&gt;S316,"牛",""))</f>
        <v>牛</v>
      </c>
      <c r="U317" s="92">
        <f t="shared" ref="U317" si="3643">MAX(H317,O317)</f>
        <v>3293.4760000000001</v>
      </c>
      <c r="V317" s="92">
        <f t="shared" ref="V317" si="3644">MIN(I317,P317)</f>
        <v>3274.9924999999998</v>
      </c>
      <c r="W317" s="40">
        <f t="shared" ref="W317" si="3645">LN(U317/V317)</f>
        <v>5.6279629831892386E-3</v>
      </c>
      <c r="X317" s="92">
        <f t="shared" ref="X317" si="3646">IF(U317=H317,J317,Q317)</f>
        <v>1121</v>
      </c>
      <c r="Y317" s="92">
        <f t="shared" ref="Y317" si="3647">IF(V317=I317,K317,R317)</f>
        <v>1004</v>
      </c>
      <c r="Z317" s="93">
        <f t="shared" ref="Z317" si="3648">(U317-V317)/(C317)</f>
        <v>5.6221612587388286E-3</v>
      </c>
      <c r="AA317" s="93">
        <f t="shared" ref="AA317" si="3649">LN(C317/N316)</f>
        <v>8.903507776541694E-5</v>
      </c>
      <c r="AB317" s="93">
        <f t="shared" ref="AB317" si="3650">LN(N317/U317)</f>
        <v>-7.4435404118798111E-4</v>
      </c>
      <c r="AC317" s="93">
        <f t="shared" ref="AC317" si="3651">LN(N317/V317)</f>
        <v>4.8836089420012914E-3</v>
      </c>
      <c r="AD317" s="93">
        <f t="shared" ref="AD317" si="3652">LN(U317/C317)</f>
        <v>1.7812553623556351E-3</v>
      </c>
      <c r="AE317" s="93">
        <f t="shared" ref="AE317" si="3653">LN(V317/C317)</f>
        <v>-3.846707620833546E-3</v>
      </c>
      <c r="AF317" s="93">
        <f t="shared" ref="AF317" si="3654">LN(N317/C317)</f>
        <v>1.0369013211677493E-3</v>
      </c>
      <c r="AG317" s="93">
        <f t="shared" ref="AG317" si="3655">LN(N317/N316)</f>
        <v>1.1259363989330716E-3</v>
      </c>
      <c r="AH317" s="93">
        <f t="shared" ref="AH317" si="3656">LN(D317/C317)</f>
        <v>-3.9242831989973865E-4</v>
      </c>
      <c r="AI317" s="93">
        <f t="shared" ref="AI317" si="3657">LN(E317/C317)</f>
        <v>-1.3509180688176076E-3</v>
      </c>
      <c r="AJ317" s="93">
        <f t="shared" ref="AJ317" si="3658">LN(F317/C317)</f>
        <v>-1.4857357711987856E-3</v>
      </c>
      <c r="AK317" s="93">
        <f t="shared" ref="AK317" si="3659">+LN(G317/C317)</f>
        <v>1.2435025093610358E-3</v>
      </c>
      <c r="AL317" s="93">
        <f t="shared" ref="AL317" si="3660">LN(H317/I317)</f>
        <v>5.6279629831892386E-3</v>
      </c>
      <c r="AM317" s="93">
        <f t="shared" ref="AM317" si="3661">LN(O317/P317)</f>
        <v>3.8429233543009244E-3</v>
      </c>
      <c r="AN317" s="93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93">
        <f t="shared" ref="AQ317" si="3665">LN(M317/L317)</f>
        <v>-8.1641471215178286E-4</v>
      </c>
      <c r="AR317" s="93">
        <f t="shared" ref="AR317" si="3666">LN(N317/L317)</f>
        <v>-2.0660118819340606E-4</v>
      </c>
      <c r="AS317" s="93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93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93">
        <f t="shared" ref="AY317" si="3673">LN(G317/I317)</f>
        <v>5.0902101301947798E-3</v>
      </c>
      <c r="AZ317" s="93">
        <f t="shared" ref="AZ317" si="3674">LN(N317/P317)</f>
        <v>3.1055224773726656E-3</v>
      </c>
      <c r="BA317" s="93">
        <f t="shared" ref="BA317" si="3675">AV316</f>
        <v>0.99876685934490705</v>
      </c>
      <c r="BB317" s="93">
        <f t="shared" ref="BB317" si="3676">AR316</f>
        <v>3.2985707879190007E-3</v>
      </c>
      <c r="BC317" s="93">
        <f t="shared" ref="BC317" si="3677">AS316</f>
        <v>3.8834822715934857E-3</v>
      </c>
      <c r="BD317" s="39">
        <f t="shared" ref="BD317" si="3678">IF(AR316&lt;0,1,0)</f>
        <v>0</v>
      </c>
      <c r="BE317" s="92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92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92" t="str">
        <f t="shared" ref="BG317" si="3681">IF(B317=3,IF(AV316&lt;0.85,IF(AND(K317&gt;942,AT317&gt;0.9),0.25,1)*IF(AR316&lt;-0.004,1,0.5),0),"")</f>
        <v/>
      </c>
      <c r="BH317" s="92" t="str">
        <f t="shared" ref="BH317" si="3682">IF(B317=4,IF(AV316&lt;0.6,IF(AQ317&gt;=0,IF(K317&lt;1018,2,1),0),IF(AV316&gt;0.85,IF(AQ317&lt;=0,-0.5,0),0)),"")</f>
        <v/>
      </c>
      <c r="BI317" s="92" t="str">
        <f t="shared" ref="BI317" si="3683">IF(B317=5,IF(AV316&lt;0.4,IF(AQ317&gt; -0.004,1,0),IF(AV316&lt;0.95,IF(AND(AO317&lt;0.85,AT317&lt;0.95,AQ317&gt;0,K317&lt;1115),0.5,0),0)),"")</f>
        <v/>
      </c>
      <c r="BJ317" s="93" t="str">
        <f t="shared" ref="BJ317" si="3684">IF(MAX(BE317:BI317)=0,"",MAX(BE317:BI317)*AR317)</f>
        <v/>
      </c>
    </row>
    <row r="318" spans="1:63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95"/>
        <v>3264.9980349999996</v>
      </c>
      <c r="T318" s="92" t="str">
        <f t="shared" ref="T318" si="3685">IF(AVERAGE(N317)&lt;S317,"熊",IF(AVERAGE(N317)&gt;S317,"牛",""))</f>
        <v>牛</v>
      </c>
      <c r="U318" s="92">
        <f t="shared" ref="U318" si="3686">MAX(H318,O318)</f>
        <v>3299.1131999999998</v>
      </c>
      <c r="V318" s="92">
        <f t="shared" ref="V318" si="3687">MIN(I318,P318)</f>
        <v>3274.5729000000001</v>
      </c>
      <c r="W318" s="40">
        <f t="shared" ref="W318" si="3688">LN(U318/V318)</f>
        <v>7.4662567170009761E-3</v>
      </c>
      <c r="X318" s="92">
        <f t="shared" ref="X318" si="3689">IF(U318=H318,J318,Q318)</f>
        <v>1412</v>
      </c>
      <c r="Y318" s="92">
        <f t="shared" ref="Y318" si="3690">IF(V318=I318,K318,R318)</f>
        <v>1108</v>
      </c>
      <c r="Z318" s="93">
        <f t="shared" ref="Z318" si="3691">(U318-V318)/(C318)</f>
        <v>7.4731486109705031E-3</v>
      </c>
      <c r="AA318" s="93">
        <f t="shared" ref="AA318" si="3692">LN(C318/N317)</f>
        <v>-2.1989349408374171E-3</v>
      </c>
      <c r="AB318" s="93">
        <f t="shared" ref="AB318" si="3693">LN(N318/U318)</f>
        <v>-3.4716778957020744E-3</v>
      </c>
      <c r="AC318" s="93">
        <f t="shared" ref="AC318" si="3694">LN(N318/V318)</f>
        <v>3.9945788212989953E-3</v>
      </c>
      <c r="AD318" s="93">
        <f t="shared" ref="AD318" si="3695">LN(U318/C318)</f>
        <v>4.6534520766426677E-3</v>
      </c>
      <c r="AE318" s="93">
        <f t="shared" ref="AE318" si="3696">LN(V318/C318)</f>
        <v>-2.8128046403583318E-3</v>
      </c>
      <c r="AF318" s="93">
        <f t="shared" ref="AF318" si="3697">LN(N318/C318)</f>
        <v>1.181774180940721E-3</v>
      </c>
      <c r="AG318" s="93">
        <f t="shared" ref="AG318" si="3698">LN(N318/N317)</f>
        <v>-1.0171607598967146E-3</v>
      </c>
      <c r="AH318" s="93">
        <f t="shared" ref="AH318" si="3699">LN(D318/C318)</f>
        <v>6.1513974011036915E-6</v>
      </c>
      <c r="AI318" s="93">
        <f t="shared" ref="AI318" si="3700">LN(E318/C318)</f>
        <v>2.7881616974621408E-4</v>
      </c>
      <c r="AJ318" s="93">
        <f t="shared" ref="AJ318" si="3701">LN(F318/C318)</f>
        <v>-3.0112975662583856E-4</v>
      </c>
      <c r="AK318" s="93">
        <f t="shared" ref="AK318" si="3702">+LN(G318/C318)</f>
        <v>-1.1782788076798662E-4</v>
      </c>
      <c r="AL318" s="93">
        <f t="shared" ref="AL318" si="3703">LN(H318/I318)</f>
        <v>6.0175157337377218E-3</v>
      </c>
      <c r="AM318" s="93">
        <f t="shared" ref="AM318" si="3704">LN(O318/P318)</f>
        <v>4.891924022645015E-3</v>
      </c>
      <c r="AN318" s="93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93">
        <f t="shared" ref="AQ318" si="3708">LN(M318/L318)</f>
        <v>9.1688814323278146E-4</v>
      </c>
      <c r="AR318" s="93">
        <f t="shared" ref="AR318" si="3709">LN(N318/L318)</f>
        <v>1.2996020617086191E-3</v>
      </c>
      <c r="AS318" s="93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93">
        <f t="shared" ref="AW318" si="3714">LN(N318/C318)</f>
        <v>1.181774180940721E-3</v>
      </c>
      <c r="AX318" s="28">
        <f t="shared" ref="AX318" si="3715">(N318-L318)/(U318-V318)</f>
        <v>0.17399542792874734</v>
      </c>
      <c r="AY318" s="93">
        <f t="shared" ref="AY318" si="3716">LN(G318/I318)</f>
        <v>2.6949767595903858E-3</v>
      </c>
      <c r="AZ318" s="93">
        <f t="shared" ref="AZ318" si="3717">LN(N318/P318)</f>
        <v>1.4202461269429804E-3</v>
      </c>
      <c r="BA318" s="93">
        <f t="shared" ref="BA318" si="3718">AV317</f>
        <v>0.86741688533015471</v>
      </c>
      <c r="BB318" s="93">
        <f t="shared" ref="BB318" si="3719">AR317</f>
        <v>-2.0660118819340606E-4</v>
      </c>
      <c r="BC318" s="93">
        <f t="shared" ref="BC318" si="3720">AS317</f>
        <v>1.0369013211677493E-3</v>
      </c>
      <c r="BD318" s="39">
        <f t="shared" ref="BD318" si="3721">IF(AR317&lt;0,1,0)</f>
        <v>1</v>
      </c>
      <c r="BE318" s="92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92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92">
        <f t="shared" ref="BG318" si="3724">IF(B318=3,IF(AV317&lt;0.85,IF(AND(K318&gt;942,AT318&gt;0.9),0.25,1)*IF(AR317&lt;-0.004,1,0.5),0),"")</f>
        <v>0</v>
      </c>
      <c r="BH318" s="92" t="str">
        <f t="shared" ref="BH318" si="3725">IF(B318=4,IF(AV317&lt;0.6,IF(AQ318&gt;=0,IF(K318&lt;1018,2,1),0),IF(AV317&gt;0.85,IF(AQ318&lt;=0,-0.5,0),0)),"")</f>
        <v/>
      </c>
      <c r="BI318" s="92" t="str">
        <f t="shared" ref="BI318" si="3726">IF(B318=5,IF(AV317&lt;0.4,IF(AQ318&gt; -0.004,1,0),IF(AV317&lt;0.95,IF(AND(AO318&lt;0.85,AT318&lt;0.95,AQ318&gt;0,K318&lt;1115),0.5,0),0)),"")</f>
        <v/>
      </c>
      <c r="BJ318" s="93" t="str">
        <f t="shared" ref="BJ318" si="3727">IF(MAX(BE318:BI318)=0,"",MAX(BE318:BI318)*AR318)</f>
        <v/>
      </c>
    </row>
    <row r="319" spans="1:63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95"/>
        <v>3267.002845</v>
      </c>
      <c r="T319" s="92" t="str">
        <f t="shared" ref="T319" si="3728">IF(AVERAGE(N318)&lt;S318,"熊",IF(AVERAGE(N318)&gt;S318,"牛",""))</f>
        <v>牛</v>
      </c>
      <c r="U319" s="92">
        <f t="shared" ref="U319" si="3729">MAX(H319,O319)</f>
        <v>3297.9007999999999</v>
      </c>
      <c r="V319" s="92">
        <f t="shared" ref="V319" si="3730">MIN(I319,P319)</f>
        <v>3266.4767999999999</v>
      </c>
      <c r="W319" s="40">
        <f t="shared" ref="W319" si="3731">LN(U319/V319)</f>
        <v>9.5741719791100337E-3</v>
      </c>
      <c r="X319" s="92">
        <f t="shared" ref="X319" si="3732">IF(U319=H319,J319,Q319)</f>
        <v>946</v>
      </c>
      <c r="Y319" s="92">
        <f t="shared" ref="Y319" si="3733">IF(V319=I319,K319,R319)</f>
        <v>1439</v>
      </c>
      <c r="Z319" s="93">
        <f t="shared" ref="Z319" si="3734">(U319-V319)/(C319)</f>
        <v>9.5572956284070837E-3</v>
      </c>
      <c r="AA319" s="93">
        <f t="shared" ref="AA319" si="3735">LN(C319/N318)</f>
        <v>8.5101995462148012E-5</v>
      </c>
      <c r="AB319" s="93">
        <f t="shared" ref="AB319" si="3736">LN(N319/U319)</f>
        <v>-7.887018287537512E-3</v>
      </c>
      <c r="AC319" s="93">
        <f t="shared" ref="AC319" si="3737">LN(N319/V319)</f>
        <v>1.6871536915724263E-3</v>
      </c>
      <c r="AD319" s="93">
        <f t="shared" ref="AD319" si="3738">LN(U319/C319)</f>
        <v>3.0190156635480966E-3</v>
      </c>
      <c r="AE319" s="93">
        <f t="shared" ref="AE319" si="3739">LN(V319/C319)</f>
        <v>-6.5551563155618036E-3</v>
      </c>
      <c r="AF319" s="93">
        <f t="shared" ref="AF319" si="3740">LN(N319/C319)</f>
        <v>-4.8680026239892827E-3</v>
      </c>
      <c r="AG319" s="93">
        <f t="shared" ref="AG319" si="3741">LN(N319/N318)</f>
        <v>-4.7829006285272889E-3</v>
      </c>
      <c r="AH319" s="93">
        <f t="shared" ref="AH319" si="3742">LN(D319/C319)</f>
        <v>1.4694965449776816E-4</v>
      </c>
      <c r="AI319" s="93">
        <f t="shared" ref="AI319" si="3743">LN(E319/C319)</f>
        <v>1.1783332416817254E-3</v>
      </c>
      <c r="AJ319" s="93">
        <f t="shared" ref="AJ319" si="3744">LN(F319/C319)</f>
        <v>1.2122968811678729E-3</v>
      </c>
      <c r="AK319" s="93">
        <f t="shared" ref="AK319" si="3745">+LN(G319/C319)</f>
        <v>-4.6799848334879817E-4</v>
      </c>
      <c r="AL319" s="93">
        <f t="shared" ref="AL319" si="3746">LN(H319/I319)</f>
        <v>7.1137214533721462E-3</v>
      </c>
      <c r="AM319" s="93">
        <f t="shared" ref="AM319" si="3747">LN(O319/P319)</f>
        <v>6.3314058950203166E-3</v>
      </c>
      <c r="AN319" s="93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93">
        <f t="shared" ref="AQ319" si="3751">LN(M319/L319)</f>
        <v>-6.8922405091839992E-4</v>
      </c>
      <c r="AR319" s="93">
        <f t="shared" ref="AR319" si="3752">LN(N319/L319)</f>
        <v>-4.4000041406404697E-3</v>
      </c>
      <c r="AS319" s="93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93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93">
        <f t="shared" ref="AY319" si="3759">LN(G319/I319)</f>
        <v>3.626707306475096E-3</v>
      </c>
      <c r="AZ319" s="93">
        <f t="shared" ref="AZ319" si="3760">LN(N319/P319)</f>
        <v>1.6871536915724263E-3</v>
      </c>
      <c r="BA319" s="93">
        <f t="shared" ref="BA319" si="3761">AV318</f>
        <v>0.53408882531998381</v>
      </c>
      <c r="BB319" s="93">
        <f t="shared" ref="BB319" si="3762">AR318</f>
        <v>1.2996020617086191E-3</v>
      </c>
      <c r="BC319" s="93">
        <f t="shared" ref="BC319" si="3763">AS318</f>
        <v>1.181774180940721E-3</v>
      </c>
      <c r="BD319" s="39">
        <f t="shared" ref="BD319" si="3764">IF(AR318&lt;0,1,0)</f>
        <v>0</v>
      </c>
      <c r="BE319" s="92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92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92" t="str">
        <f t="shared" ref="BG319" si="3767">IF(B319=3,IF(AV318&lt;0.85,IF(AND(K319&gt;942,AT319&gt;0.9),0.25,1)*IF(AR318&lt;-0.004,1,0.5),0),"")</f>
        <v/>
      </c>
      <c r="BH319" s="92">
        <f t="shared" ref="BH319" si="3768">IF(B319=4,IF(AV318&lt;0.6,IF(AQ319&gt;=0,IF(K319&lt;1018,2,1),0),IF(AV318&gt;0.85,IF(AQ319&lt;=0,-0.5,0),0)),"")</f>
        <v>0</v>
      </c>
      <c r="BI319" s="92" t="str">
        <f t="shared" ref="BI319" si="3769">IF(B319=5,IF(AV318&lt;0.4,IF(AQ319&gt; -0.004,1,0),IF(AV318&lt;0.95,IF(AND(AO319&lt;0.85,AT319&lt;0.95,AQ319&gt;0,K319&lt;1115),0.5,0),0)),"")</f>
        <v/>
      </c>
      <c r="BJ319" s="93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95"/>
        <v>3268.1378349999995</v>
      </c>
      <c r="T320" s="92" t="str">
        <f t="shared" ref="T320" si="3771">IF(AVERAGE(N319)&lt;S319,"熊",IF(AVERAGE(N319)&gt;S319,"牛",""))</f>
        <v>牛</v>
      </c>
      <c r="U320" s="92">
        <f t="shared" ref="U320" si="3772">MAX(H320,O320)</f>
        <v>3331.6641</v>
      </c>
      <c r="V320" s="92">
        <f t="shared" ref="V320" si="3773">MIN(I320,P320)</f>
        <v>3271.4607999999998</v>
      </c>
      <c r="W320" s="40">
        <f t="shared" ref="W320" si="3774">LN(U320/V320)</f>
        <v>1.8235295914025396E-2</v>
      </c>
      <c r="X320" s="92">
        <f t="shared" ref="X320" si="3775">IF(U320=H320,J320,Q320)</f>
        <v>1500</v>
      </c>
      <c r="Y320" s="92">
        <f t="shared" ref="Y320" si="3776">IF(V320=I320,K320,R320)</f>
        <v>930</v>
      </c>
      <c r="Z320" s="93">
        <f t="shared" ref="Z320" si="3777">(U320-V320)/(C320)</f>
        <v>1.8402574165033592E-2</v>
      </c>
      <c r="AA320" s="93">
        <f t="shared" ref="AA320" si="3778">LN(C320/N319)</f>
        <v>-1.6251357709549675E-4</v>
      </c>
      <c r="AB320" s="93">
        <f t="shared" ref="AB320" si="3779">LN(N320/U320)</f>
        <v>0</v>
      </c>
      <c r="AC320" s="93">
        <f t="shared" ref="AC320" si="3780">LN(N320/V320)</f>
        <v>1.8235295914025396E-2</v>
      </c>
      <c r="AD320" s="93">
        <f t="shared" ref="AD320" si="3781">LN(U320/C320)</f>
        <v>1.8235295914025396E-2</v>
      </c>
      <c r="AE320" s="93">
        <f t="shared" ref="AE320" si="3782">LN(V320/C320)</f>
        <v>0</v>
      </c>
      <c r="AF320" s="93">
        <f t="shared" ref="AF320" si="3783">LN(N320/C320)</f>
        <v>1.8235295914025396E-2</v>
      </c>
      <c r="AG320" s="93">
        <f t="shared" ref="AG320" si="3784">LN(N320/N319)</f>
        <v>1.8072782336929907E-2</v>
      </c>
      <c r="AH320" s="93">
        <f t="shared" ref="AH320" si="3785">LN(D320/C320)</f>
        <v>1.6959984074102624E-3</v>
      </c>
      <c r="AI320" s="93">
        <f t="shared" ref="AI320" si="3786">LN(E320/C320)</f>
        <v>2.2028879352214903E-3</v>
      </c>
      <c r="AJ320" s="93">
        <f t="shared" ref="AJ320" si="3787">LN(F320/C320)</f>
        <v>4.0699458220780403E-3</v>
      </c>
      <c r="AK320" s="93">
        <f t="shared" ref="AK320" si="3788">+LN(G320/C320)</f>
        <v>1.1503095459089046E-2</v>
      </c>
      <c r="AL320" s="93">
        <f t="shared" ref="AL320" si="3789">LN(H320/I320)</f>
        <v>1.1503095459089046E-2</v>
      </c>
      <c r="AM320" s="93">
        <f t="shared" ref="AM320" si="3790">LN(O320/P320)</f>
        <v>6.7322004549363627E-3</v>
      </c>
      <c r="AN320" s="93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93">
        <f t="shared" ref="AQ320" si="3794">LN(M320/L320)</f>
        <v>2.0772473082298171E-3</v>
      </c>
      <c r="AR320" s="93">
        <f t="shared" ref="AR320" si="3795">LN(N320/L320)</f>
        <v>6.7322004549363627E-3</v>
      </c>
      <c r="AS320" s="93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93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93">
        <f t="shared" ref="AY320" si="3802">LN(G320/I320)</f>
        <v>1.1503095459089046E-2</v>
      </c>
      <c r="AZ320" s="93">
        <f t="shared" ref="AZ320" si="3803">LN(N320/P320)</f>
        <v>6.7322004549363627E-3</v>
      </c>
      <c r="BA320" s="93">
        <f t="shared" ref="BA320" si="3804">AV319</f>
        <v>0.17552507637474313</v>
      </c>
      <c r="BB320" s="93">
        <f t="shared" ref="BB320" si="3805">AR319</f>
        <v>-4.4000041406404697E-3</v>
      </c>
      <c r="BC320" s="93">
        <f t="shared" ref="BC320" si="3806">AS319</f>
        <v>-4.8680026239892827E-3</v>
      </c>
      <c r="BD320" s="39">
        <f t="shared" ref="BD320" si="3807">IF(AR319&lt;0,1,0)</f>
        <v>1</v>
      </c>
      <c r="BE320" s="92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92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92" t="str">
        <f t="shared" ref="BG320" si="3810">IF(B320=3,IF(AV319&lt;0.85,IF(AND(K320&gt;942,AT320&gt;0.9),0.25,1)*IF(AR319&lt;-0.004,1,0.5),0),"")</f>
        <v/>
      </c>
      <c r="BH320" s="92" t="str">
        <f t="shared" ref="BH320" si="3811">IF(B320=4,IF(AV319&lt;0.6,IF(AQ320&gt;=0,IF(K320&lt;1018,2,1),0),IF(AV319&gt;0.85,IF(AQ320&lt;=0,-0.5,0),0)),"")</f>
        <v/>
      </c>
      <c r="BI320" s="92">
        <f t="shared" ref="BI320" si="3812">IF(B320=5,IF(AV319&lt;0.4,IF(AQ320&gt; -0.004,1,0),IF(AV319&lt;0.95,IF(AND(AO320&lt;0.85,AT320&lt;0.95,AQ320&gt;0,K320&lt;1115),0.5,0),0)),"")</f>
        <v>1</v>
      </c>
      <c r="BJ320" s="93">
        <f t="shared" ref="BJ320" si="3813">IF(MAX(BE320:BI320)=0,"",MAX(BE320:BI320)*AR320)</f>
        <v>6.7322004549363627E-3</v>
      </c>
      <c r="BK320" s="50" t="s">
        <v>422</v>
      </c>
    </row>
    <row r="321" spans="1:62" x14ac:dyDescent="0.15">
      <c r="A321" s="90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95"/>
        <v>3272.01478</v>
      </c>
      <c r="T321" s="92" t="str">
        <f t="shared" ref="T321" si="3814">IF(AVERAGE(N320)&lt;S320,"熊",IF(AVERAGE(N320)&gt;S320,"牛",""))</f>
        <v>牛</v>
      </c>
      <c r="U321" s="92">
        <f t="shared" ref="U321" si="3815">MAX(H321,O321)</f>
        <v>3374.6493999999998</v>
      </c>
      <c r="V321" s="92">
        <f t="shared" ref="V321" si="3816">MIN(I321,P321)</f>
        <v>3336.1264000000001</v>
      </c>
      <c r="W321" s="40">
        <f t="shared" ref="W321" si="3817">LN(U321/V321)</f>
        <v>1.1481063980003141E-2</v>
      </c>
      <c r="X321" s="92">
        <f t="shared" ref="X321" si="3818">IF(U321=H321,J321,Q321)</f>
        <v>1036</v>
      </c>
      <c r="Y321" s="92">
        <f t="shared" ref="Y321" si="3819">IF(V321=I321,K321,R321)</f>
        <v>930</v>
      </c>
      <c r="Z321" s="93">
        <f t="shared" ref="Z321" si="3820">(U321-V321)/(C321)</f>
        <v>1.1547224349772744E-2</v>
      </c>
      <c r="AA321" s="93">
        <f t="shared" ref="AA321" si="3821">LN(C321/N320)</f>
        <v>1.3384645681893158E-3</v>
      </c>
      <c r="AB321" s="93">
        <f t="shared" ref="AB321" si="3822">LN(N321/U321)</f>
        <v>-3.512986872335869E-3</v>
      </c>
      <c r="AC321" s="93">
        <f t="shared" ref="AC321" si="3823">LN(N321/V321)</f>
        <v>7.9680771076672749E-3</v>
      </c>
      <c r="AD321" s="93">
        <f t="shared" ref="AD321" si="3824">LN(U321/C321)</f>
        <v>1.1481063980003141E-2</v>
      </c>
      <c r="AE321" s="93">
        <f t="shared" ref="AE321" si="3825">LN(V321/C321)</f>
        <v>0</v>
      </c>
      <c r="AF321" s="93">
        <f t="shared" ref="AF321" si="3826">LN(N321/C321)</f>
        <v>7.9680771076672749E-3</v>
      </c>
      <c r="AG321" s="93">
        <f t="shared" ref="AG321" si="3827">LN(N321/N320)</f>
        <v>9.3065416758566256E-3</v>
      </c>
      <c r="AH321" s="93">
        <f t="shared" ref="AH321" si="3828">LN(D321/C321)</f>
        <v>1.3083267765256134E-3</v>
      </c>
      <c r="AI321" s="93">
        <f t="shared" ref="AI321" si="3829">LN(E321/C321)</f>
        <v>2.0769607375294946E-3</v>
      </c>
      <c r="AJ321" s="93">
        <f t="shared" ref="AJ321" si="3830">LN(F321/C321)</f>
        <v>4.9416290763970886E-3</v>
      </c>
      <c r="AK321" s="93">
        <f t="shared" ref="AK321" si="3831">+LN(G321/C321)</f>
        <v>7.1804504561061985E-3</v>
      </c>
      <c r="AL321" s="93">
        <f t="shared" ref="AL321" si="3832">LN(H321/I321)</f>
        <v>1.1481063980003141E-2</v>
      </c>
      <c r="AM321" s="93">
        <f t="shared" ref="AM321" si="3833">LN(O321/P321)</f>
        <v>7.0673994961819907E-3</v>
      </c>
      <c r="AN321" s="93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93">
        <f t="shared" ref="AQ321" si="3837">LN(M321/L321)</f>
        <v>8.8090723935422405E-4</v>
      </c>
      <c r="AR321" s="93">
        <f t="shared" ref="AR321" si="3838">LN(N321/L321)</f>
        <v>7.8762665156124293E-4</v>
      </c>
      <c r="AS321" s="93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93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93">
        <f t="shared" ref="AY321" si="3845">LN(G321/I321)</f>
        <v>7.1804504561061985E-3</v>
      </c>
      <c r="AZ321" s="93">
        <f t="shared" ref="AZ321" si="3846">LN(N321/P321)</f>
        <v>3.7486146148268847E-3</v>
      </c>
      <c r="BA321" s="93">
        <f t="shared" ref="BA321" si="3847">AV320</f>
        <v>1</v>
      </c>
      <c r="BB321" s="93">
        <f t="shared" ref="BB321" si="3848">AR320</f>
        <v>6.7322004549363627E-3</v>
      </c>
      <c r="BC321" s="93">
        <f t="shared" ref="BC321" si="3849">AS320</f>
        <v>1.8235295914025396E-2</v>
      </c>
      <c r="BD321" s="39">
        <f t="shared" ref="BD321" si="3850">IF(AR320&lt;0,1,0)</f>
        <v>0</v>
      </c>
      <c r="BE321" s="92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92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92" t="str">
        <f t="shared" ref="BG321" si="3853">IF(B321=3,IF(AV320&lt;0.85,IF(AND(K321&gt;942,AT321&gt;0.9),0.25,1)*IF(AR320&lt;-0.004,1,0.5),0),"")</f>
        <v/>
      </c>
      <c r="BH321" s="92" t="str">
        <f t="shared" ref="BH321" si="3854">IF(B321=4,IF(AV320&lt;0.6,IF(AQ321&gt;=0,IF(K321&lt;1018,2,1),0),IF(AV320&gt;0.85,IF(AQ321&lt;=0,-0.5,0),0)),"")</f>
        <v/>
      </c>
      <c r="BI321" s="92" t="str">
        <f t="shared" ref="BI321" si="3855">IF(B321=5,IF(AV320&lt;0.4,IF(AQ321&gt; -0.004,1,0),IF(AV320&lt;0.95,IF(AND(AO321&lt;0.85,AT321&lt;0.95,AQ321&gt;0,K321&lt;1115),0.5,0),0)),"")</f>
        <v/>
      </c>
      <c r="BJ321" s="93" t="str">
        <f t="shared" ref="BJ321" si="3856">IF(MAX(BE321:BI321)=0,"",MAX(BE321:BI321)*AR321)</f>
        <v/>
      </c>
    </row>
    <row r="322" spans="1:62" x14ac:dyDescent="0.15">
      <c r="A322" s="90">
        <v>42976</v>
      </c>
      <c r="B322" s="41">
        <f t="shared" si="2996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95"/>
        <v>3276.4488949999995</v>
      </c>
      <c r="T322" s="92" t="str">
        <f t="shared" ref="T322" si="3857">IF(AVERAGE(N321)&lt;S321,"熊",IF(AVERAGE(N321)&gt;S321,"牛",""))</f>
        <v>牛</v>
      </c>
      <c r="U322" s="92">
        <f t="shared" ref="U322" si="3858">MAX(H322,O322)</f>
        <v>3374.5947000000001</v>
      </c>
      <c r="V322" s="92">
        <f t="shared" ref="V322" si="3859">MIN(I322,P322)</f>
        <v>3354.4627</v>
      </c>
      <c r="W322" s="40">
        <f t="shared" ref="W322" si="3860">LN(U322/V322)</f>
        <v>5.9836196572333137E-3</v>
      </c>
      <c r="X322" s="92">
        <f t="shared" ref="X322" si="3861">IF(U322=H322,J322,Q322)</f>
        <v>1022</v>
      </c>
      <c r="Y322" s="92">
        <f t="shared" ref="Y322" si="3862">IF(V322=I322,K322,R322)</f>
        <v>932</v>
      </c>
      <c r="Z322" s="93">
        <f t="shared" ref="Z322" si="3863">(U322-V322)/(C322)</f>
        <v>5.9879947427476507E-3</v>
      </c>
      <c r="AA322" s="93">
        <f t="shared" ref="AA322" si="3864">LN(C322/N321)</f>
        <v>-2.2445025284657742E-4</v>
      </c>
      <c r="AB322" s="93">
        <f t="shared" ref="AB322" si="3865">LN(N322/U322)</f>
        <v>-2.6606852093721514E-3</v>
      </c>
      <c r="AC322" s="93">
        <f t="shared" ref="AC322" si="3866">LN(N322/V322)</f>
        <v>3.3229344478611167E-3</v>
      </c>
      <c r="AD322" s="93">
        <f t="shared" ref="AD322" si="3867">LN(U322/C322)</f>
        <v>3.7212279025820669E-3</v>
      </c>
      <c r="AE322" s="93">
        <f t="shared" ref="AE322" si="3868">LN(V322/C322)</f>
        <v>-2.2623917546511865E-3</v>
      </c>
      <c r="AF322" s="93">
        <f t="shared" ref="AF322" si="3869">LN(N322/C322)</f>
        <v>1.0605426932097828E-3</v>
      </c>
      <c r="AG322" s="93">
        <f t="shared" ref="AG322" si="3870">LN(N322/N321)</f>
        <v>8.3609244036338137E-4</v>
      </c>
      <c r="AH322" s="93">
        <f t="shared" ref="AH322" si="3871">LN(D322/C322)</f>
        <v>-1.8963196534951576E-3</v>
      </c>
      <c r="AI322" s="93">
        <f t="shared" ref="AI322" si="3872">LN(E322/C322)</f>
        <v>-8.3144305499706069E-4</v>
      </c>
      <c r="AJ322" s="93">
        <f t="shared" ref="AJ322" si="3873">LN(F322/C322)</f>
        <v>9.6349814243473027E-4</v>
      </c>
      <c r="AK322" s="93">
        <f t="shared" ref="AK322" si="3874">+LN(G322/C322)</f>
        <v>7.9051204188684495E-4</v>
      </c>
      <c r="AL322" s="93">
        <f t="shared" ref="AL322" si="3875">LN(H322/I322)</f>
        <v>5.9836196572333137E-3</v>
      </c>
      <c r="AM322" s="93">
        <f t="shared" ref="AM322" si="3876">LN(O322/P322)</f>
        <v>3.5627814282189999E-3</v>
      </c>
      <c r="AN322" s="93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93">
        <f t="shared" ref="AQ322" si="3880">LN(M322/L322)</f>
        <v>4.6055643994222071E-4</v>
      </c>
      <c r="AR322" s="93">
        <f t="shared" ref="AR322" si="3881">LN(N322/L322)</f>
        <v>2.7003065132307895E-4</v>
      </c>
      <c r="AS322" s="93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93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93">
        <f t="shared" ref="AY322" si="3888">LN(G322/I322)</f>
        <v>3.0529037965379363E-3</v>
      </c>
      <c r="AZ322" s="93">
        <f t="shared" ref="AZ322" si="3889">LN(N322/P322)</f>
        <v>2.4406786694330411E-3</v>
      </c>
      <c r="BA322" s="93">
        <f t="shared" ref="BA322" si="3890">AV321</f>
        <v>0.69279910702696879</v>
      </c>
      <c r="BB322" s="93">
        <f t="shared" ref="BB322" si="3891">AR321</f>
        <v>7.8762665156124293E-4</v>
      </c>
      <c r="BC322" s="93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15">
      <c r="A323" s="90">
        <v>42977</v>
      </c>
      <c r="B323" s="41">
        <f t="shared" ref="B323" si="3894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95"/>
        <v>3280.116055</v>
      </c>
      <c r="T323" s="92" t="str">
        <f t="shared" ref="T323" si="3895">IF(AVERAGE(N322)&lt;S322,"熊",IF(AVERAGE(N322)&gt;S322,"牛",""))</f>
        <v>牛</v>
      </c>
      <c r="U323" s="92">
        <f t="shared" ref="U323" si="3896">MAX(H323,O323)</f>
        <v>3376.6471999999999</v>
      </c>
      <c r="V323" s="92">
        <f t="shared" ref="V323" si="3897">MIN(I323,P323)</f>
        <v>3357.2460000000001</v>
      </c>
      <c r="W323" s="40">
        <f t="shared" ref="W323" si="3898">LN(U323/V323)</f>
        <v>5.7622694944689072E-3</v>
      </c>
      <c r="X323" s="92">
        <f t="shared" ref="X323" si="3899">IF(U323=H323,J323,Q323)</f>
        <v>938</v>
      </c>
      <c r="Y323" s="92">
        <f t="shared" ref="Y323" si="3900">IF(V323=I323,K323,R323)</f>
        <v>1455</v>
      </c>
      <c r="Z323" s="93">
        <f t="shared" ref="Z323" si="3901">(U323-V323)/(C323)</f>
        <v>5.7710394846458611E-3</v>
      </c>
      <c r="AA323" s="93">
        <f t="shared" ref="AA323" si="3902">LN(C323/N322)</f>
        <v>-1.1318408011139836E-3</v>
      </c>
      <c r="AB323" s="93">
        <f t="shared" ref="AB323" si="3903">LN(N323/U323)</f>
        <v>-4.0514077385122547E-3</v>
      </c>
      <c r="AC323" s="93">
        <f t="shared" ref="AC323" si="3904">LN(N323/V323)</f>
        <v>1.7108617559566158E-3</v>
      </c>
      <c r="AD323" s="93">
        <f t="shared" ref="AD323" si="3905">LN(U323/C323)</f>
        <v>4.4005623076998415E-3</v>
      </c>
      <c r="AE323" s="93">
        <f t="shared" ref="AE323" si="3906">LN(V323/C323)</f>
        <v>-1.3617071867690746E-3</v>
      </c>
      <c r="AF323" s="93">
        <f t="shared" ref="AF323" si="3907">LN(N323/C323)</f>
        <v>3.4915456918757935E-4</v>
      </c>
      <c r="AG323" s="93">
        <f t="shared" ref="AG323" si="3908">LN(N323/N322)</f>
        <v>-7.8268623192632005E-4</v>
      </c>
      <c r="AH323" s="93">
        <f t="shared" ref="AH323" si="3909">LN(D323/C323)</f>
        <v>7.0659941881223438E-4</v>
      </c>
      <c r="AI323" s="93">
        <f t="shared" ref="AI323" si="3910">LN(E323/C323)</f>
        <v>3.1828462868162821E-3</v>
      </c>
      <c r="AJ323" s="93">
        <f t="shared" ref="AJ323" si="3911">LN(F323/C323)</f>
        <v>3.831907742194782E-3</v>
      </c>
      <c r="AK323" s="93">
        <f t="shared" ref="AK323" si="3912">+LN(G323/C323)</f>
        <v>7.4345746095871228E-4</v>
      </c>
      <c r="AL323" s="93">
        <f t="shared" ref="AL323" si="3913">LN(H323/I323)</f>
        <v>4.4005623076998415E-3</v>
      </c>
      <c r="AM323" s="93">
        <f t="shared" ref="AM323" si="3914">LN(O323/P323)</f>
        <v>5.1286001608986786E-3</v>
      </c>
      <c r="AN323" s="93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93">
        <f t="shared" ref="AQ323" si="3918">LN(M323/L323)</f>
        <v>9.6501878538569289E-4</v>
      </c>
      <c r="AR323" s="93">
        <f t="shared" ref="AR323" si="3919">LN(N323/L323)</f>
        <v>-3.9430289177106906E-4</v>
      </c>
      <c r="AS323" s="93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93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93">
        <f t="shared" ref="AY323" si="3926">LN(G323/I323)</f>
        <v>7.4345746095871228E-4</v>
      </c>
      <c r="AZ323" s="93">
        <f t="shared" ref="AZ323" si="3927">LN(N323/P323)</f>
        <v>1.7108617559566158E-3</v>
      </c>
      <c r="BA323" s="93">
        <f t="shared" ref="BA323" si="3928">AV322</f>
        <v>0.55459964236041526</v>
      </c>
      <c r="BB323" s="93">
        <f t="shared" ref="BB323" si="3929">AR322</f>
        <v>2.7003065132307895E-4</v>
      </c>
      <c r="BC323" s="93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15">
      <c r="A324" s="90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95"/>
        <v>3283.9650199999996</v>
      </c>
      <c r="T324" s="92" t="str">
        <f t="shared" ref="T324" si="3932">IF(AVERAGE(N323)&lt;S323,"熊",IF(AVERAGE(N323)&gt;S323,"牛",""))</f>
        <v>牛</v>
      </c>
      <c r="U324" s="92">
        <f t="shared" ref="U324" si="3933">MAX(H324,O324)</f>
        <v>3367.3580999999999</v>
      </c>
      <c r="V324" s="92">
        <f t="shared" ref="V324" si="3934">MIN(I324,P324)</f>
        <v>3340.8438999999998</v>
      </c>
      <c r="W324" s="40">
        <f t="shared" ref="W324" si="3935">LN(U324/V324)</f>
        <v>7.9050505849900324E-3</v>
      </c>
      <c r="X324" s="92">
        <f t="shared" ref="X324" si="3936">IF(U324=H324,J324,Q324)</f>
        <v>940</v>
      </c>
      <c r="Y324" s="92">
        <f t="shared" ref="Y324" si="3937">IF(V324=I324,K324,R324)</f>
        <v>1128</v>
      </c>
      <c r="Z324" s="93">
        <f t="shared" ref="Z324" si="3938">(U324-V324)/(C324)</f>
        <v>7.8876986297123711E-3</v>
      </c>
      <c r="AA324" s="93">
        <f t="shared" ref="AA324" si="3939">LN(C324/N323)</f>
        <v>-4.5582864820755455E-4</v>
      </c>
      <c r="AB324" s="93">
        <f t="shared" ref="AB324" si="3940">LN(N324/U324)</f>
        <v>-1.8911614627280635E-3</v>
      </c>
      <c r="AC324" s="93">
        <f t="shared" ref="AC324" si="3941">LN(N324/V324)</f>
        <v>6.0138891222619459E-3</v>
      </c>
      <c r="AD324" s="93">
        <f t="shared" ref="AD324" si="3942">LN(U324/C324)</f>
        <v>1.7524621950651589E-3</v>
      </c>
      <c r="AE324" s="93">
        <f t="shared" ref="AE324" si="3943">LN(V324/C324)</f>
        <v>-6.1525883899249765E-3</v>
      </c>
      <c r="AF324" s="93">
        <f t="shared" ref="AF324" si="3944">LN(N324/C324)</f>
        <v>-1.3869926766299053E-4</v>
      </c>
      <c r="AG324" s="93">
        <f t="shared" ref="AG324" si="3945">LN(N324/N323)</f>
        <v>-5.9452791587055363E-4</v>
      </c>
      <c r="AH324" s="93">
        <f t="shared" ref="AH324" si="3946">LN(D324/C324)</f>
        <v>8.2519306170212236E-4</v>
      </c>
      <c r="AI324" s="93">
        <f t="shared" ref="AI324" si="3947">LN(E324/C324)</f>
        <v>3.3705867427558908E-4</v>
      </c>
      <c r="AJ324" s="93">
        <f t="shared" ref="AJ324" si="3948">LN(F324/C324)</f>
        <v>1.6345289654204924E-3</v>
      </c>
      <c r="AK324" s="93">
        <f t="shared" ref="AK324" si="3949">+LN(G324/C324)</f>
        <v>-5.85722760955509E-3</v>
      </c>
      <c r="AL324" s="93">
        <f t="shared" ref="AL324" si="3950">LN(H324/I324)</f>
        <v>7.9050505849900324E-3</v>
      </c>
      <c r="AM324" s="93">
        <f t="shared" ref="AM324" si="3951">LN(O324/P324)</f>
        <v>6.104521407665842E-3</v>
      </c>
      <c r="AN324" s="93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93">
        <f t="shared" ref="AQ324" si="3955">LN(M324/L324)</f>
        <v>1.4598695958562286E-3</v>
      </c>
      <c r="AR324" s="93">
        <f t="shared" ref="AR324" si="3956">LN(N324/L324)</f>
        <v>5.7185283418920768E-3</v>
      </c>
      <c r="AS324" s="93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93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93">
        <f t="shared" ref="AY324" si="3963">LN(G324/I324)</f>
        <v>2.9536078036977264E-4</v>
      </c>
      <c r="AZ324" s="93">
        <f t="shared" ref="AZ324" si="3964">LN(N324/P324)</f>
        <v>5.7562329364527773E-3</v>
      </c>
      <c r="BA324" s="93">
        <f t="shared" ref="BA324" si="3965">AV323</f>
        <v>0.29630641403625352</v>
      </c>
      <c r="BB324" s="93">
        <f t="shared" ref="BB324" si="3966">AR323</f>
        <v>-3.9430289177106906E-4</v>
      </c>
      <c r="BC324" s="93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15">
      <c r="A325" s="90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95"/>
        <v>3288.3443750000006</v>
      </c>
      <c r="T325" s="92" t="str">
        <f t="shared" ref="T325" si="3969">IF(AVERAGE(N324)&lt;S324,"熊",IF(AVERAGE(N324)&gt;S324,"牛",""))</f>
        <v>牛</v>
      </c>
      <c r="U325" s="92">
        <f t="shared" ref="U325" si="3970">MAX(H325,O325)</f>
        <v>3381.9252000000001</v>
      </c>
      <c r="V325" s="92">
        <f t="shared" ref="V325" si="3971">MIN(I325,P325)</f>
        <v>3358.6810999999998</v>
      </c>
      <c r="W325" s="40">
        <f t="shared" ref="W325" si="3972">LN(U325/V325)</f>
        <v>6.8967659880882692E-3</v>
      </c>
      <c r="X325" s="92">
        <f t="shared" ref="X325" si="3973">IF(U325=H325,J325,Q325)</f>
        <v>1301</v>
      </c>
      <c r="Y325" s="92">
        <f t="shared" ref="Y325" si="3974">IF(V325=I325,K325,R325)</f>
        <v>1427</v>
      </c>
      <c r="Z325" s="93">
        <f t="shared" ref="Z325" si="3975">(U325-V325)/(C325)</f>
        <v>6.9055734041856684E-3</v>
      </c>
      <c r="AA325" s="93">
        <f t="shared" ref="AA325" si="3976">LN(C325/N324)</f>
        <v>1.4851822278550077E-3</v>
      </c>
      <c r="AB325" s="93">
        <f t="shared" ref="AB325" si="3977">LN(N325/U325)</f>
        <v>-4.3337780529351675E-3</v>
      </c>
      <c r="AC325" s="93">
        <f t="shared" ref="AC325" si="3978">LN(N325/V325)</f>
        <v>2.5629879351530441E-3</v>
      </c>
      <c r="AD325" s="93">
        <f t="shared" ref="AD325" si="3979">LN(U325/C325)</f>
        <v>4.7226220462808638E-3</v>
      </c>
      <c r="AE325" s="93">
        <f t="shared" ref="AE325" si="3980">LN(V325/C325)</f>
        <v>-2.1741439418075073E-3</v>
      </c>
      <c r="AF325" s="93">
        <f t="shared" ref="AF325" si="3981">LN(N325/C325)</f>
        <v>3.8884399334555939E-4</v>
      </c>
      <c r="AG325" s="93">
        <f t="shared" ref="AG325" si="3982">LN(N325/N324)</f>
        <v>1.8740262212006843E-3</v>
      </c>
      <c r="AH325" s="93">
        <f t="shared" ref="AH325" si="3983">LN(D325/C325)</f>
        <v>5.1009104570673598E-4</v>
      </c>
      <c r="AI325" s="93">
        <f t="shared" ref="AI325" si="3984">LN(E325/C325)</f>
        <v>1.87017981995774E-3</v>
      </c>
      <c r="AJ325" s="93">
        <f t="shared" ref="AJ325" si="3985">LN(F325/C325)</f>
        <v>2.744158832441038E-3</v>
      </c>
      <c r="AK325" s="93">
        <f t="shared" ref="AK325" si="3986">+LN(G325/C325)</f>
        <v>4.1357426262321169E-3</v>
      </c>
      <c r="AL325" s="93">
        <f t="shared" ref="AL325" si="3987">LN(H325/I325)</f>
        <v>4.137902424914199E-3</v>
      </c>
      <c r="AM325" s="93">
        <f t="shared" ref="AM325" si="3988">LN(O325/P325)</f>
        <v>6.8967659880882692E-3</v>
      </c>
      <c r="AN325" s="93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93">
        <f t="shared" ref="AQ325" si="3992">LN(M325/L325)</f>
        <v>-1.7769342467000438E-3</v>
      </c>
      <c r="AR325" s="93">
        <f t="shared" ref="AR325" si="3993">LN(N325/L325)</f>
        <v>-3.7468986328865251E-3</v>
      </c>
      <c r="AS325" s="93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93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93">
        <f t="shared" ref="AY325" si="4000">LN(G325/I325)</f>
        <v>4.1357426262321169E-3</v>
      </c>
      <c r="AZ325" s="93">
        <f t="shared" ref="AZ325" si="4001">LN(N325/P325)</f>
        <v>2.5629879351530441E-3</v>
      </c>
      <c r="BA325" s="93">
        <f t="shared" ref="BA325" si="4002">AV324</f>
        <v>0.76004556049211325</v>
      </c>
      <c r="BB325" s="93">
        <f t="shared" ref="BB325" si="4003">AR324</f>
        <v>5.7185283418920768E-3</v>
      </c>
      <c r="BC325" s="93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15">
      <c r="A326" s="90">
        <v>42982</v>
      </c>
      <c r="B326" s="41">
        <f t="shared" si="2996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95"/>
        <v>3293.6435450000004</v>
      </c>
      <c r="T326" s="92" t="str">
        <f t="shared" ref="T326" si="4006">IF(AVERAGE(N325)&lt;S325,"熊",IF(AVERAGE(N325)&gt;S325,"牛",""))</f>
        <v>牛</v>
      </c>
      <c r="U326" s="92">
        <f t="shared" ref="U326" si="4007">MAX(H326,O326)</f>
        <v>3381.15</v>
      </c>
      <c r="V326" s="92">
        <f t="shared" ref="V326" si="4008">MIN(I326,P326)</f>
        <v>3359.13</v>
      </c>
      <c r="W326" s="40">
        <f t="shared" ref="W326" si="4009">LN(U326/V326)</f>
        <v>6.5338764380477934E-3</v>
      </c>
      <c r="X326" s="92">
        <f t="shared" ref="X326" si="4010">IF(U326=H326,J326,Q326)</f>
        <v>1343</v>
      </c>
      <c r="Y326" s="92">
        <f t="shared" ref="Y326" si="4011">IF(V326=I326,K326,R326)</f>
        <v>938</v>
      </c>
      <c r="Z326" s="93">
        <f t="shared" ref="Z326" si="4012">(U326-V326)/(C326)</f>
        <v>6.5346675688187691E-3</v>
      </c>
      <c r="AA326" s="93">
        <f t="shared" ref="AA326" si="4013">LN(C326/N325)</f>
        <v>7.1829977063253136E-4</v>
      </c>
      <c r="AB326" s="93">
        <f t="shared" ref="AB326" si="4014">LN(N326/U326)</f>
        <v>-4.6444689500169356E-4</v>
      </c>
      <c r="AC326" s="93">
        <f t="shared" ref="AC326" si="4015">LN(N326/V326)</f>
        <v>6.0694295430461388E-3</v>
      </c>
      <c r="AD326" s="93">
        <f t="shared" ref="AD326" si="4016">LN(U326/C326)</f>
        <v>3.3862334549213751E-3</v>
      </c>
      <c r="AE326" s="93">
        <f t="shared" ref="AE326" si="4017">LN(V326/C326)</f>
        <v>-3.1476429831264023E-3</v>
      </c>
      <c r="AF326" s="93">
        <f t="shared" ref="AF326" si="4018">LN(N326/C326)</f>
        <v>2.9217865599197972E-3</v>
      </c>
      <c r="AG326" s="93">
        <f t="shared" ref="AG326" si="4019">LN(N326/N325)</f>
        <v>3.640086330552321E-3</v>
      </c>
      <c r="AH326" s="93">
        <f t="shared" ref="AH326" si="4020">LN(D326/C326)</f>
        <v>-8.6064266318119434E-5</v>
      </c>
      <c r="AI326" s="93">
        <f t="shared" ref="AI326" si="4021">LN(E326/C326)</f>
        <v>-1.6216267932190967E-3</v>
      </c>
      <c r="AJ326" s="93">
        <f t="shared" ref="AJ326" si="4022">LN(F326/C326)</f>
        <v>-1.8326910184680667E-3</v>
      </c>
      <c r="AK326" s="93">
        <f t="shared" ref="AK326" si="4023">+LN(G326/C326)</f>
        <v>4.4207550716770697E-4</v>
      </c>
      <c r="AL326" s="93">
        <f t="shared" ref="AL326" si="4024">LN(H326/I326)</f>
        <v>5.379756991759614E-3</v>
      </c>
      <c r="AM326" s="93">
        <f t="shared" ref="AM326" si="4025">LN(O326/P326)</f>
        <v>4.3095849596604492E-3</v>
      </c>
      <c r="AN326" s="93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93">
        <f t="shared" ref="AQ326" si="4029">LN(M326/L326)</f>
        <v>7.5584785269635832E-4</v>
      </c>
      <c r="AR326" s="93">
        <f t="shared" ref="AR326" si="4030">LN(N326/L326)</f>
        <v>2.1208538755388968E-3</v>
      </c>
      <c r="AS326" s="93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93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93">
        <f t="shared" ref="AY326" si="4037">LN(G326/I326)</f>
        <v>3.589718490294195E-3</v>
      </c>
      <c r="AZ326" s="93">
        <f t="shared" ref="AZ326" si="4038">LN(N326/P326)</f>
        <v>3.8451380646588136E-3</v>
      </c>
      <c r="BA326" s="93">
        <f t="shared" ref="BA326" si="4039">AV325</f>
        <v>0.37081668036190546</v>
      </c>
      <c r="BB326" s="93">
        <f t="shared" ref="BB326" si="4040">AR325</f>
        <v>-3.7468986328865251E-3</v>
      </c>
      <c r="BC326" s="93">
        <f t="shared" ref="BC326" si="4041">AS325</f>
        <v>3.8884399334555939E-4</v>
      </c>
      <c r="BD326" s="39">
        <f t="shared" ref="BD326:BD328" si="4042">IF(AR325&lt;0,1,0)</f>
        <v>1</v>
      </c>
      <c r="BE326" s="92"/>
      <c r="BF326" s="92"/>
      <c r="BG326" s="92"/>
      <c r="BH326" s="92"/>
      <c r="BI326" s="92"/>
      <c r="BJ326" s="92"/>
    </row>
    <row r="327" spans="1:62" x14ac:dyDescent="0.15">
      <c r="A327" s="90">
        <v>42983</v>
      </c>
      <c r="B327" s="41">
        <f t="shared" ref="B327" si="4043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95"/>
        <v>3298.6453400000005</v>
      </c>
      <c r="T327" s="92" t="str">
        <f t="shared" ref="T327" si="4044">IF(AVERAGE(N326)&lt;S326,"熊",IF(AVERAGE(N326)&gt;S326,"牛",""))</f>
        <v>牛</v>
      </c>
      <c r="U327" s="92">
        <f t="shared" ref="U327" si="4045">MAX(H327,O327)</f>
        <v>3390.7864</v>
      </c>
      <c r="V327" s="92">
        <f t="shared" ref="V327" si="4046">MIN(I327,P327)</f>
        <v>3371.8227000000002</v>
      </c>
      <c r="W327" s="40">
        <f t="shared" ref="W327" si="4047">LN(U327/V327)</f>
        <v>5.6084122051195734E-3</v>
      </c>
      <c r="X327" s="92">
        <f t="shared" ref="X327" si="4048">IF(U327=H327,J327,Q327)</f>
        <v>1318</v>
      </c>
      <c r="Y327" s="92">
        <f t="shared" ref="Y327" si="4049">IF(V327=I327,K327,R327)</f>
        <v>945</v>
      </c>
      <c r="Z327" s="93">
        <f t="shared" ref="Z327" si="4050">(U327-V327)/(C327)</f>
        <v>5.6152191071600528E-3</v>
      </c>
      <c r="AA327" s="93">
        <f t="shared" ref="AA327" si="4051">LN(C327/N326)</f>
        <v>-7.0542513667994121E-4</v>
      </c>
      <c r="AB327" s="93">
        <f t="shared" ref="AB327" si="4052">LN(N327/U327)</f>
        <v>-1.6697673244047808E-3</v>
      </c>
      <c r="AC327" s="93">
        <f t="shared" ref="AC327" si="4053">LN(N327/V327)</f>
        <v>3.9386448807147683E-3</v>
      </c>
      <c r="AD327" s="93">
        <f t="shared" ref="AD327" si="4054">LN(U327/C327)</f>
        <v>4.0158546089136523E-3</v>
      </c>
      <c r="AE327" s="93">
        <f t="shared" ref="AE327" si="4055">LN(V327/C327)</f>
        <v>-1.5925575962059805E-3</v>
      </c>
      <c r="AF327" s="93">
        <f t="shared" ref="AF327" si="4056">LN(N327/C327)</f>
        <v>2.3460872845086703E-3</v>
      </c>
      <c r="AG327" s="93">
        <f t="shared" ref="AG327" si="4057">LN(N327/N326)</f>
        <v>1.6406621478288041E-3</v>
      </c>
      <c r="AH327" s="93">
        <f t="shared" ref="AH327" si="4058">LN(D327/C327)</f>
        <v>-2.9463683439792242E-4</v>
      </c>
      <c r="AI327" s="93">
        <f t="shared" ref="AI327" si="4059">LN(E327/C327)</f>
        <v>1.8673508008925892E-4</v>
      </c>
      <c r="AJ327" s="93">
        <f t="shared" ref="AJ327" si="4060">LN(F327/C327)</f>
        <v>-5.298400013997274E-4</v>
      </c>
      <c r="AK327" s="93">
        <f t="shared" ref="AK327" si="4061">+LN(G327/C327)</f>
        <v>2.6605014670985968E-3</v>
      </c>
      <c r="AL327" s="93">
        <f t="shared" ref="AL327" si="4062">LN(H327/I327)</f>
        <v>4.6650592764022067E-3</v>
      </c>
      <c r="AM327" s="93">
        <f t="shared" ref="AM327" si="4063">LN(O327/P327)</f>
        <v>2.9130921741647078E-3</v>
      </c>
      <c r="AN327" s="93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93">
        <f t="shared" ref="AQ327" si="4067">LN(M327/L327)</f>
        <v>2.3545791342882515E-4</v>
      </c>
      <c r="AR327" s="93">
        <f t="shared" ref="AR327" si="4068">LN(N327/L327)</f>
        <v>-3.1441418258985892E-4</v>
      </c>
      <c r="AS327" s="93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93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93">
        <f t="shared" ref="AY327" si="4075">LN(G327/I327)</f>
        <v>4.2530590633047208E-3</v>
      </c>
      <c r="AZ327" s="93">
        <f t="shared" ref="AZ327" si="4076">LN(N327/P327)</f>
        <v>1.2433248497599268E-3</v>
      </c>
      <c r="BA327" s="93">
        <f t="shared" ref="BA327" si="4077">AV326</f>
        <v>0.92870118074476993</v>
      </c>
      <c r="BB327" s="93">
        <f t="shared" ref="BB327" si="4078">AR326</f>
        <v>2.1208538755388968E-3</v>
      </c>
      <c r="BC327" s="93">
        <f t="shared" ref="BC327" si="4079">AS326</f>
        <v>2.9217865599197972E-3</v>
      </c>
      <c r="BD327" s="39">
        <f t="shared" si="4042"/>
        <v>0</v>
      </c>
      <c r="BE327" s="92"/>
      <c r="BF327" s="92"/>
      <c r="BG327" s="92"/>
      <c r="BH327" s="92"/>
      <c r="BI327" s="92"/>
      <c r="BJ327" s="92"/>
    </row>
    <row r="328" spans="1:62" x14ac:dyDescent="0.15">
      <c r="A328" s="90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95"/>
        <v>3303.7544750000002</v>
      </c>
      <c r="T328" s="92" t="str">
        <f t="shared" ref="T328" si="4080">IF(AVERAGE(N327)&lt;S327,"熊",IF(AVERAGE(N327)&gt;S327,"牛",""))</f>
        <v>牛</v>
      </c>
      <c r="U328" s="92">
        <f t="shared" ref="U328" si="4081">MAX(H328,O328)</f>
        <v>3390.91</v>
      </c>
      <c r="V328" s="92">
        <f t="shared" ref="V328" si="4082">MIN(I328,P328)</f>
        <v>3364.86</v>
      </c>
      <c r="W328" s="40">
        <f t="shared" ref="W328" si="4083">LN(U328/V328)</f>
        <v>7.7119644715178959E-3</v>
      </c>
      <c r="X328" s="92">
        <f t="shared" ref="X328" si="4084">IF(U328=H328,J328,Q328)</f>
        <v>1349</v>
      </c>
      <c r="Y328" s="92">
        <f t="shared" ref="Y328" si="4085">IF(V328=I328,K328,R328)</f>
        <v>1044</v>
      </c>
      <c r="Z328" s="93">
        <f t="shared" ref="Z328" si="4086">(U328-V328)/(C328)</f>
        <v>7.7244234110815753E-3</v>
      </c>
      <c r="AA328" s="93">
        <f t="shared" ref="AA328" si="4087">LN(C328/N327)</f>
        <v>-3.7615160233675899E-3</v>
      </c>
      <c r="AB328" s="93">
        <f t="shared" ref="AB328" si="4088">LN(N328/U328)</f>
        <v>-1.6321619138608223E-3</v>
      </c>
      <c r="AC328" s="93">
        <f t="shared" ref="AC328" si="4089">LN(N328/V328)</f>
        <v>6.0798025576570148E-3</v>
      </c>
      <c r="AD328" s="93">
        <f t="shared" ref="AD328" si="4090">LN(U328/C328)</f>
        <v>5.4677344044765618E-3</v>
      </c>
      <c r="AE328" s="93">
        <f t="shared" ref="AE328" si="4091">LN(V328/C328)</f>
        <v>-2.2442300670413111E-3</v>
      </c>
      <c r="AF328" s="93">
        <f t="shared" ref="AF328" si="4092">LN(N328/C328)</f>
        <v>3.835572490615757E-3</v>
      </c>
      <c r="AG328" s="93">
        <f t="shared" ref="AG328" si="4093">LN(N328/N327)</f>
        <v>7.4056467248238389E-5</v>
      </c>
      <c r="AH328" s="93">
        <f t="shared" ref="AH328" si="4094">LN(D328/C328)</f>
        <v>-7.1190847864058293E-4</v>
      </c>
      <c r="AI328" s="93">
        <f t="shared" ref="AI328" si="4095">LN(E328/C328)</f>
        <v>3.350148342102243E-4</v>
      </c>
      <c r="AJ328" s="93">
        <f t="shared" ref="AJ328" si="4096">LN(F328/C328)</f>
        <v>7.7955148616822045E-4</v>
      </c>
      <c r="AK328" s="93">
        <f t="shared" ref="AK328" si="4097">+LN(G328/C328)</f>
        <v>5.8101620179572592E-4</v>
      </c>
      <c r="AL328" s="93">
        <f t="shared" ref="AL328" si="4098">LN(H328/I328)</f>
        <v>3.5362352251353574E-3</v>
      </c>
      <c r="AM328" s="93">
        <f t="shared" ref="AM328" si="4099">LN(O328/P328)</f>
        <v>4.6289262926596016E-3</v>
      </c>
      <c r="AN328" s="93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93">
        <f t="shared" ref="AQ328" si="4103">LN(M328/L328)</f>
        <v>1.4329110079927027E-3</v>
      </c>
      <c r="AR328" s="93">
        <f t="shared" ref="AR328" si="4104">LN(N328/L328)</f>
        <v>2.9760253893497618E-3</v>
      </c>
      <c r="AS328" s="93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93">
        <f t="shared" ref="AW328" si="4109">LN(N328/C328)</f>
        <v>3.835572490615757E-3</v>
      </c>
      <c r="AX328" s="28">
        <f t="shared" ref="AX328" si="4110">(N328-L328)/(U328-V328)</f>
        <v>0.3861804222648772</v>
      </c>
      <c r="AY328" s="93">
        <f t="shared" ref="AY328" si="4111">LN(G328/I328)</f>
        <v>2.8252462688371834E-3</v>
      </c>
      <c r="AZ328" s="93">
        <f t="shared" ref="AZ328" si="4112">LN(N328/P328)</f>
        <v>2.9967643787989127E-3</v>
      </c>
      <c r="BA328" s="93">
        <f t="shared" ref="BA328" si="4113">AV327</f>
        <v>0.70168796173742665</v>
      </c>
      <c r="BB328" s="93">
        <f t="shared" ref="BB328" si="4114">AR327</f>
        <v>-3.1441418258985892E-4</v>
      </c>
      <c r="BC328" s="93">
        <f t="shared" ref="BC328" si="4115">AS327</f>
        <v>2.3460872845086703E-3</v>
      </c>
      <c r="BD328" s="39">
        <f t="shared" si="4042"/>
        <v>1</v>
      </c>
      <c r="BE328" s="92"/>
      <c r="BF328" s="92"/>
      <c r="BG328" s="92"/>
      <c r="BH328" s="92"/>
      <c r="BI328" s="92"/>
      <c r="BJ328" s="92"/>
    </row>
    <row r="329" spans="1:62" x14ac:dyDescent="0.15">
      <c r="A329" s="90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95"/>
        <v>3309.1893850000001</v>
      </c>
      <c r="T329" s="92" t="str">
        <f t="shared" ref="T329" si="4116">IF(AVERAGE(N328)&lt;S328,"熊",IF(AVERAGE(N328)&gt;S328,"牛",""))</f>
        <v>牛</v>
      </c>
      <c r="U329" s="92">
        <f t="shared" ref="U329" si="4117">MAX(H329,O329)</f>
        <v>3387.76</v>
      </c>
      <c r="V329" s="92">
        <f t="shared" ref="V329" si="4118">MIN(I329,P329)</f>
        <v>3363.19</v>
      </c>
      <c r="W329" s="40">
        <f t="shared" ref="W329" si="4119">LN(U329/V329)</f>
        <v>7.2790076906354764E-3</v>
      </c>
      <c r="X329" s="92">
        <f t="shared" ref="X329" si="4120">IF(U329=H329,J329,Q329)</f>
        <v>1000</v>
      </c>
      <c r="Y329" s="92">
        <f t="shared" ref="Y329" si="4121">IF(V329=I329,K329,R329)</f>
        <v>1453</v>
      </c>
      <c r="Z329" s="93">
        <f t="shared" ref="Z329" si="4122">(U329-V329)/(C329)</f>
        <v>7.2614537093409317E-3</v>
      </c>
      <c r="AA329" s="93">
        <f t="shared" ref="AA329" si="4123">LN(C329/N328)</f>
        <v>-5.2001773959570196E-4</v>
      </c>
      <c r="AB329" s="93">
        <f t="shared" ref="AB329" si="4124">LN(N329/U329)</f>
        <v>-6.595366890485151E-3</v>
      </c>
      <c r="AC329" s="93">
        <f t="shared" ref="AC329" si="4125">LN(N329/V329)</f>
        <v>6.836408001503724E-4</v>
      </c>
      <c r="AD329" s="93">
        <f t="shared" ref="AD329" si="4126">LN(U329/C329)</f>
        <v>1.2227937335824841E-3</v>
      </c>
      <c r="AE329" s="93">
        <f t="shared" ref="AE329" si="4127">LN(V329/C329)</f>
        <v>-6.0562139570530865E-3</v>
      </c>
      <c r="AF329" s="93">
        <f t="shared" ref="AF329" si="4128">LN(N329/C329)</f>
        <v>-5.3725731569027402E-3</v>
      </c>
      <c r="AG329" s="93">
        <f t="shared" ref="AG329" si="4129">LN(N329/N328)</f>
        <v>-5.8925908964983847E-3</v>
      </c>
      <c r="AH329" s="93">
        <f t="shared" ref="AH329" si="4130">LN(D329/C329)</f>
        <v>-2.9558514249598198E-4</v>
      </c>
      <c r="AI329" s="93">
        <f t="shared" ref="AI329" si="4131">LN(E329/C329)</f>
        <v>-1.064005864857059E-4</v>
      </c>
      <c r="AJ329" s="93">
        <f t="shared" ref="AJ329" si="4132">LN(F329/C329)</f>
        <v>-1.845881310984824E-3</v>
      </c>
      <c r="AK329" s="93">
        <f t="shared" ref="AK329" si="4133">+LN(G329/C329)</f>
        <v>-6.7406166077197121E-4</v>
      </c>
      <c r="AL329" s="93">
        <f t="shared" ref="AL329" si="4134">LN(H329/I329)</f>
        <v>5.1998134310575605E-3</v>
      </c>
      <c r="AM329" s="93">
        <f t="shared" ref="AM329" si="4135">LN(O329/P329)</f>
        <v>6.2955738920024689E-3</v>
      </c>
      <c r="AN329" s="93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93">
        <f t="shared" ref="AQ329" si="4139">LN(M329/L329)</f>
        <v>-1.4198410985026783E-4</v>
      </c>
      <c r="AR329" s="93">
        <f t="shared" ref="AR329" si="4140">LN(N329/L329)</f>
        <v>-4.5683771026099572E-3</v>
      </c>
      <c r="AS329" s="93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93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93">
        <f t="shared" ref="AY329" si="4147">LN(G329/I329)</f>
        <v>3.3029580367032484E-3</v>
      </c>
      <c r="AZ329" s="93">
        <f t="shared" ref="AZ329" si="4148">LN(N329/P329)</f>
        <v>6.836408001503724E-4</v>
      </c>
      <c r="BA329" s="93">
        <f t="shared" ref="BA329" si="4149">AV328</f>
        <v>0.78771593090211889</v>
      </c>
      <c r="BB329" s="93">
        <f t="shared" ref="BB329" si="4150">AR328</f>
        <v>2.9760253893497618E-3</v>
      </c>
      <c r="BC329" s="93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15">
      <c r="A330" s="90">
        <v>42986</v>
      </c>
      <c r="B330" s="41">
        <f t="shared" ref="B330:B375" si="4153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95"/>
        <v>3314.3737900000001</v>
      </c>
      <c r="T330" s="92" t="str">
        <f t="shared" ref="T330" si="4154">IF(AVERAGE(N329)&lt;S329,"熊",IF(AVERAGE(N329)&gt;S329,"牛",""))</f>
        <v>牛</v>
      </c>
      <c r="U330" s="92">
        <f t="shared" ref="U330" si="4155">MAX(H330,O330)</f>
        <v>3380.66</v>
      </c>
      <c r="V330" s="92">
        <f t="shared" ref="V330" si="4156">MIN(I330,P330)</f>
        <v>3353.68</v>
      </c>
      <c r="W330" s="40">
        <f t="shared" ref="W330" si="4157">LN(U330/V330)</f>
        <v>8.0127063233012691E-3</v>
      </c>
      <c r="X330" s="92">
        <f t="shared" ref="X330" si="4158">IF(U330=H330,J330,Q330)</f>
        <v>1101</v>
      </c>
      <c r="Y330" s="92">
        <f t="shared" ref="Y330" si="4159">IF(V330=I330,K330,R330)</f>
        <v>1414</v>
      </c>
      <c r="Z330" s="93">
        <f t="shared" ref="Z330" si="4160">(U330-V330)/(C330)</f>
        <v>8.0192128212292213E-3</v>
      </c>
      <c r="AA330" s="93">
        <f t="shared" ref="AA330" si="4161">LN(C330/N329)</f>
        <v>-3.179834526808901E-4</v>
      </c>
      <c r="AB330" s="93">
        <f t="shared" ref="AB330" si="4162">LN(N330/U330)</f>
        <v>-4.5716737149227027E-3</v>
      </c>
      <c r="AC330" s="93">
        <f t="shared" ref="AC330" si="4163">LN(N330/V330)</f>
        <v>3.4410326083787698E-3</v>
      </c>
      <c r="AD330" s="93">
        <f t="shared" ref="AD330" si="4164">LN(U330/C330)</f>
        <v>4.8153710203015961E-3</v>
      </c>
      <c r="AE330" s="93">
        <f t="shared" ref="AE330" si="4165">LN(V330/C330)</f>
        <v>-3.1973353029998604E-3</v>
      </c>
      <c r="AF330" s="93">
        <f t="shared" ref="AF330" si="4166">LN(N330/C330)</f>
        <v>2.4369730537889637E-4</v>
      </c>
      <c r="AG330" s="93">
        <f t="shared" ref="AG330" si="4167">LN(N330/N329)</f>
        <v>-7.4286147302034773E-5</v>
      </c>
      <c r="AH330" s="93">
        <f t="shared" ref="AH330" si="4168">LN(D330/C330)</f>
        <v>1.4701975831175936E-3</v>
      </c>
      <c r="AI330" s="93">
        <f t="shared" ref="AI330" si="4169">LN(E330/C330)</f>
        <v>1.3336642242441875E-3</v>
      </c>
      <c r="AJ330" s="93">
        <f t="shared" ref="AJ330" si="4170">LN(F330/C330)</f>
        <v>1.2772645703449496E-3</v>
      </c>
      <c r="AK330" s="93">
        <f t="shared" ref="AK330" si="4171">+LN(G330/C330)</f>
        <v>2.7811558380075262E-3</v>
      </c>
      <c r="AL330" s="93">
        <f t="shared" ref="AL330" si="4172">LN(H330/I330)</f>
        <v>5.3386292661250466E-3</v>
      </c>
      <c r="AM330" s="93">
        <f t="shared" ref="AM330" si="4173">LN(O330/P330)</f>
        <v>6.5503845236685159E-3</v>
      </c>
      <c r="AN330" s="93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93">
        <f t="shared" ref="AQ330" si="4177">LN(M330/L330)</f>
        <v>-3.1117334829105023E-4</v>
      </c>
      <c r="AR330" s="93">
        <f t="shared" ref="AR330" si="4178">LN(N330/L330)</f>
        <v>-2.8515959021482079E-3</v>
      </c>
      <c r="AS330" s="93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93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93">
        <f t="shared" ref="AY330" si="4185">LN(G330/I330)</f>
        <v>3.304414083831083E-3</v>
      </c>
      <c r="AZ330" s="93">
        <f t="shared" ref="AZ330" si="4186">LN(N330/P330)</f>
        <v>3.4410326083787698E-3</v>
      </c>
      <c r="BA330" s="93">
        <f t="shared" ref="BA330" si="4187">AV329</f>
        <v>9.3610093610081879E-2</v>
      </c>
      <c r="BB330" s="93">
        <f t="shared" ref="BB330" si="4188">AR329</f>
        <v>-4.5683771026099572E-3</v>
      </c>
      <c r="BC330" s="93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15">
      <c r="A331" s="90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95"/>
        <v>3322.1455550000001</v>
      </c>
      <c r="T331" s="92" t="str">
        <f t="shared" ref="T331" si="4191">IF(AVERAGE(N330)&lt;S330,"熊",IF(AVERAGE(N330)&gt;S330,"牛",""))</f>
        <v>牛</v>
      </c>
      <c r="U331" s="92">
        <f t="shared" ref="U331" si="4192">MAX(H331,O331)</f>
        <v>3384.63</v>
      </c>
      <c r="V331" s="92">
        <f t="shared" ref="V331" si="4193">MIN(I331,P331)</f>
        <v>3360.0848000000001</v>
      </c>
      <c r="W331" s="40">
        <f t="shared" ref="W331" si="4194">LN(U331/V331)</f>
        <v>7.2783828773437679E-3</v>
      </c>
      <c r="X331" s="92">
        <f t="shared" ref="X331" si="4195">IF(U331=H331,J331,Q331)</f>
        <v>1026</v>
      </c>
      <c r="Y331" s="92">
        <f t="shared" ref="Y331" si="4196">IF(V331=I331,K331,R331)</f>
        <v>938</v>
      </c>
      <c r="Z331" s="93">
        <f t="shared" ref="Z331" si="4197">(U331-V331)/(C331)</f>
        <v>7.2935045757193976E-3</v>
      </c>
      <c r="AA331" s="93">
        <f t="shared" ref="AA331" si="4198">LN(C331/N330)</f>
        <v>3.2864872218045513E-5</v>
      </c>
      <c r="AB331" s="93">
        <f t="shared" ref="AB331" si="4199">LN(N331/U331)</f>
        <v>-2.0584719570671791E-3</v>
      </c>
      <c r="AC331" s="93">
        <f t="shared" ref="AC331" si="4200">LN(N331/V331)</f>
        <v>5.2199109202764916E-3</v>
      </c>
      <c r="AD331" s="93">
        <f t="shared" ref="AD331" si="4201">LN(U331/C331)</f>
        <v>5.7124467667844566E-3</v>
      </c>
      <c r="AE331" s="93">
        <f t="shared" ref="AE331" si="4202">LN(V331/C331)</f>
        <v>-1.5659361105592685E-3</v>
      </c>
      <c r="AF331" s="93">
        <f t="shared" ref="AF331" si="4203">LN(N331/C331)</f>
        <v>3.65397480971715E-3</v>
      </c>
      <c r="AG331" s="93">
        <f t="shared" ref="AG331" si="4204">LN(N331/N330)</f>
        <v>3.6868396819351892E-3</v>
      </c>
      <c r="AH331" s="93">
        <f t="shared" ref="AH331" si="4205">LN(D331/C331)</f>
        <v>1.2568480033599454E-4</v>
      </c>
      <c r="AI331" s="93">
        <f t="shared" ref="AI331" si="4206">LN(E331/C331)</f>
        <v>-6.9389688703577637E-4</v>
      </c>
      <c r="AJ331" s="93">
        <f t="shared" ref="AJ331" si="4207">LN(F331/C331)</f>
        <v>-7.0796284257260231E-4</v>
      </c>
      <c r="AK331" s="93">
        <f t="shared" ref="AK331" si="4208">+LN(G331/C331)</f>
        <v>1.4885135272483176E-3</v>
      </c>
      <c r="AL331" s="93">
        <f t="shared" ref="AL331" si="4209">LN(H331/I331)</f>
        <v>7.2783828773437679E-3</v>
      </c>
      <c r="AM331" s="93">
        <f t="shared" ref="AM331" si="4210">LN(O331/P331)</f>
        <v>3.8978445719147262E-3</v>
      </c>
      <c r="AN331" s="93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93">
        <f t="shared" ref="AQ331" si="4214">LN(M331/L331)</f>
        <v>2.5264213539287299E-4</v>
      </c>
      <c r="AR331" s="93">
        <f t="shared" ref="AR331" si="4215">LN(N331/L331)</f>
        <v>2.4043957923746587E-3</v>
      </c>
      <c r="AS331" s="93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93">
        <f t="shared" ref="AW331" si="4220">LN(N331/C331)</f>
        <v>3.65397480971715E-3</v>
      </c>
      <c r="AX331" s="28">
        <f t="shared" ref="AX331" si="4221">(N331-L331)/(U331-V331)</f>
        <v>0.3304719456349906</v>
      </c>
      <c r="AY331" s="93">
        <f t="shared" ref="AY331" si="4222">LN(G331/I331)</f>
        <v>3.0544496378077596E-3</v>
      </c>
      <c r="AZ331" s="93">
        <f t="shared" ref="AZ331" si="4223">LN(N331/P331)</f>
        <v>3.8299006331872993E-3</v>
      </c>
      <c r="BA331" s="93">
        <f t="shared" ref="BA331" si="4224">AV330</f>
        <v>0.42846553002223636</v>
      </c>
      <c r="BB331" s="93">
        <f t="shared" ref="BB331" si="4225">AR330</f>
        <v>-2.8515959021482079E-3</v>
      </c>
      <c r="BC331" s="93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15">
      <c r="A332" s="90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95"/>
        <v>3329.1825550000003</v>
      </c>
      <c r="T332" s="92" t="str">
        <f t="shared" ref="T332" si="4228">IF(AVERAGE(N331)&lt;S331,"熊",IF(AVERAGE(N331)&gt;S331,"牛",""))</f>
        <v>牛</v>
      </c>
      <c r="U332" s="92">
        <f t="shared" ref="U332" si="4229">MAX(H332,O332)</f>
        <v>3391.06</v>
      </c>
      <c r="V332" s="92">
        <f t="shared" ref="V332" si="4230">MIN(I332,P332)</f>
        <v>3371.08</v>
      </c>
      <c r="W332" s="40">
        <f t="shared" ref="W332" si="4231">LN(U332/V332)</f>
        <v>5.9093890819268413E-3</v>
      </c>
      <c r="X332" s="92">
        <f t="shared" ref="X332" si="4232">IF(U332=H332,J332,Q332)</f>
        <v>1333</v>
      </c>
      <c r="Y332" s="92">
        <f t="shared" ref="Y332" si="4233">IF(V332=I332,K332,R332)</f>
        <v>1439</v>
      </c>
      <c r="Z332" s="93">
        <f t="shared" ref="Z332" si="4234">(U332-V332)/(C332)</f>
        <v>5.9086553816672044E-3</v>
      </c>
      <c r="AA332" s="93">
        <f t="shared" ref="AA332" si="4235">LN(C332/N331)</f>
        <v>1.1273608082448944E-3</v>
      </c>
      <c r="AB332" s="93">
        <f t="shared" ref="AB332" si="4236">LN(N332/U332)</f>
        <v>-3.4207053770246515E-3</v>
      </c>
      <c r="AC332" s="93">
        <f t="shared" ref="AC332" si="4237">LN(N332/V332)</f>
        <v>2.4886837049021291E-3</v>
      </c>
      <c r="AD332" s="93">
        <f t="shared" ref="AD332" si="4238">LN(U332/C332)</f>
        <v>2.8290734021754588E-3</v>
      </c>
      <c r="AE332" s="93">
        <f t="shared" ref="AE332" si="4239">LN(V332/C332)</f>
        <v>-3.0803156797513205E-3</v>
      </c>
      <c r="AF332" s="93">
        <f t="shared" ref="AF332" si="4240">LN(N332/C332)</f>
        <v>-5.9163197484910337E-4</v>
      </c>
      <c r="AG332" s="93">
        <f t="shared" ref="AG332" si="4241">LN(N332/N331)</f>
        <v>5.3572883339574116E-4</v>
      </c>
      <c r="AH332" s="93">
        <f t="shared" ref="AH332" si="4242">LN(D332/C332)</f>
        <v>1.5081016134215389E-4</v>
      </c>
      <c r="AI332" s="93">
        <f t="shared" ref="AI332" si="4243">LN(E332/C332)</f>
        <v>1.0640562825614929E-3</v>
      </c>
      <c r="AJ332" s="93">
        <f t="shared" ref="AJ332" si="4244">LN(F332/C332)</f>
        <v>-1.597061410405626E-4</v>
      </c>
      <c r="AK332" s="93">
        <f t="shared" ref="AK332" si="4245">+LN(G332/C332)</f>
        <v>-1.0533480276840959E-3</v>
      </c>
      <c r="AL332" s="93">
        <f t="shared" ref="AL332" si="4246">LN(H332/I332)</f>
        <v>3.4261604931901668E-3</v>
      </c>
      <c r="AM332" s="93">
        <f t="shared" ref="AM332" si="4247">LN(O332/P332)</f>
        <v>5.9093890819268413E-3</v>
      </c>
      <c r="AN332" s="93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93">
        <f t="shared" ref="AQ332" si="4251">LN(M332/L332)</f>
        <v>4.0822122607291886E-4</v>
      </c>
      <c r="AR332" s="93">
        <f t="shared" ref="AR332" si="4252">LN(N332/L332)</f>
        <v>-1.0356086651230889E-4</v>
      </c>
      <c r="AS332" s="93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93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93">
        <f t="shared" ref="AY332" si="4259">LN(G332/I332)</f>
        <v>1.134477114453257E-3</v>
      </c>
      <c r="AZ332" s="93">
        <f t="shared" ref="AZ332" si="4260">LN(N332/P332)</f>
        <v>2.4886837049021291E-3</v>
      </c>
      <c r="BA332" s="93">
        <f t="shared" ref="BA332" si="4261">AV331</f>
        <v>0.71644150383781635</v>
      </c>
      <c r="BB332" s="93">
        <f t="shared" ref="BB332" si="4262">AR331</f>
        <v>2.4043957923746587E-3</v>
      </c>
      <c r="BC332" s="93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15">
      <c r="A333" s="90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95"/>
        <v>3335.5935550000004</v>
      </c>
      <c r="T333" s="92" t="str">
        <f t="shared" ref="T333" si="4265">IF(AVERAGE(N332)&lt;S332,"熊",IF(AVERAGE(N332)&gt;S332,"牛",""))</f>
        <v>牛</v>
      </c>
      <c r="U333" s="92">
        <f t="shared" ref="U333" si="4266">MAX(H333,O333)</f>
        <v>3387.0641999999998</v>
      </c>
      <c r="V333" s="92">
        <f t="shared" ref="V333" si="4267">MIN(I333,P333)</f>
        <v>3366.7757999999999</v>
      </c>
      <c r="W333" s="40">
        <f t="shared" ref="W333" si="4268">LN(U333/V333)</f>
        <v>6.0079779879686837E-3</v>
      </c>
      <c r="X333" s="92">
        <f t="shared" ref="X333" si="4269">IF(U333=H333,J333,Q333)</f>
        <v>1412</v>
      </c>
      <c r="Y333" s="92">
        <f t="shared" ref="Y333" si="4270">IF(V333=I333,K333,R333)</f>
        <v>1020</v>
      </c>
      <c r="Z333" s="93">
        <f t="shared" ref="Z333" si="4271">(U333-V333)/(C333)</f>
        <v>6.0118792130365575E-3</v>
      </c>
      <c r="AA333" s="93">
        <f t="shared" ref="AA333" si="4272">LN(C333/N332)</f>
        <v>-1.409938067053348E-3</v>
      </c>
      <c r="AB333" s="93">
        <f t="shared" ref="AB333" si="4273">LN(N333/U333)</f>
        <v>-4.5084595063658742E-4</v>
      </c>
      <c r="AC333" s="93">
        <f t="shared" ref="AC333" si="4274">LN(N333/V333)</f>
        <v>5.5571320373320934E-3</v>
      </c>
      <c r="AD333" s="93">
        <f t="shared" ref="AD333" si="4275">LN(U333/C333)</f>
        <v>3.6516150447803574E-3</v>
      </c>
      <c r="AE333" s="93">
        <f t="shared" ref="AE333" si="4276">LN(V333/C333)</f>
        <v>-2.3563629431883068E-3</v>
      </c>
      <c r="AF333" s="93">
        <f t="shared" ref="AF333" si="4277">LN(N333/C333)</f>
        <v>3.2007690941437952E-3</v>
      </c>
      <c r="AG333" s="93">
        <f t="shared" ref="AG333" si="4278">LN(N333/N332)</f>
        <v>1.7908310270903446E-3</v>
      </c>
      <c r="AH333" s="93">
        <f t="shared" ref="AH333" si="4279">LN(D333/C333)</f>
        <v>-3.0152245059205019E-4</v>
      </c>
      <c r="AI333" s="93">
        <f t="shared" ref="AI333" si="4280">LN(E333/C333)</f>
        <v>4.575932715860817E-4</v>
      </c>
      <c r="AJ333" s="93">
        <f t="shared" ref="AJ333" si="4281">LN(F333/C333)</f>
        <v>-4.9216213178298869E-4</v>
      </c>
      <c r="AK333" s="93">
        <f t="shared" ref="AK333" si="4282">+LN(G333/C333)</f>
        <v>4.957999160266289E-4</v>
      </c>
      <c r="AL333" s="93">
        <f t="shared" ref="AL333" si="4283">LN(H333/I333)</f>
        <v>4.2050296627243917E-3</v>
      </c>
      <c r="AM333" s="93">
        <f t="shared" ref="AM333" si="4284">LN(O333/P333)</f>
        <v>3.1558151287537912E-3</v>
      </c>
      <c r="AN333" s="93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93">
        <f t="shared" ref="AQ333" si="4288">LN(M333/L333)</f>
        <v>6.8200449545170239E-4</v>
      </c>
      <c r="AR333" s="93">
        <f t="shared" ref="AR333" si="4289">LN(N333/L333)</f>
        <v>2.7049691781171619E-3</v>
      </c>
      <c r="AS333" s="93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93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93">
        <f t="shared" ref="AY333" si="4296">LN(G333/I333)</f>
        <v>2.8521628592149645E-3</v>
      </c>
      <c r="AZ333" s="93">
        <f t="shared" ref="AZ333" si="4297">LN(N333/P333)</f>
        <v>2.7049691781171619E-3</v>
      </c>
      <c r="BA333" s="93">
        <f t="shared" ref="BA333" si="4298">AV332</f>
        <v>0.4204204204204246</v>
      </c>
      <c r="BB333" s="93">
        <f t="shared" ref="BB333" si="4299">AR332</f>
        <v>-1.0356086651230889E-4</v>
      </c>
      <c r="BC333" s="93">
        <f t="shared" ref="BC333" si="4300">AS332</f>
        <v>-5.9163197484910337E-4</v>
      </c>
      <c r="BD333" s="39">
        <f t="shared" ref="BD333" si="4301">IF(AR332&lt;0,1,0)</f>
        <v>1</v>
      </c>
    </row>
    <row r="334" spans="1:62" x14ac:dyDescent="0.15">
      <c r="A334" s="90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95"/>
        <v>3342.539205</v>
      </c>
      <c r="T334" s="92" t="str">
        <f t="shared" ref="T334" si="4302">IF(AVERAGE(N333)&lt;S333,"熊",IF(AVERAGE(N333)&gt;S333,"牛",""))</f>
        <v>牛</v>
      </c>
      <c r="U334" s="92">
        <f t="shared" ref="U334" si="4303">MAX(H334,O334)</f>
        <v>3391.64</v>
      </c>
      <c r="V334" s="92">
        <f t="shared" ref="V334" si="4304">MIN(I334,P334)</f>
        <v>3361.33</v>
      </c>
      <c r="W334" s="40">
        <f t="shared" ref="W334" si="4305">LN(U334/V334)</f>
        <v>8.9768512346779811E-3</v>
      </c>
      <c r="X334" s="92">
        <f t="shared" ref="X334" si="4306">IF(U334=H334,J334,Q334)</f>
        <v>956</v>
      </c>
      <c r="Y334" s="92">
        <f t="shared" ref="Y334" si="4307">IF(V334=I334,K334,R334)</f>
        <v>1402</v>
      </c>
      <c r="Z334" s="93">
        <f t="shared" ref="Z334" si="4308">(U334-V334)/(C334)</f>
        <v>8.9582588289536923E-3</v>
      </c>
      <c r="AA334" s="93">
        <f t="shared" ref="AA334" si="4309">LN(C334/N333)</f>
        <v>-6.1087244010094792E-4</v>
      </c>
      <c r="AB334" s="93">
        <f t="shared" ref="AB334" si="4310">LN(N334/U334)</f>
        <v>-5.9765935168028866E-3</v>
      </c>
      <c r="AC334" s="93">
        <f t="shared" ref="AC334" si="4311">LN(N334/V334)</f>
        <v>3.0002577178749679E-3</v>
      </c>
      <c r="AD334" s="93">
        <f t="shared" ref="AD334" si="4312">LN(U334/C334)</f>
        <v>2.4117701292404431E-3</v>
      </c>
      <c r="AE334" s="93">
        <f t="shared" ref="AE334" si="4313">LN(V334/C334)</f>
        <v>-6.5650811054375185E-3</v>
      </c>
      <c r="AF334" s="93">
        <f t="shared" ref="AF334" si="4314">LN(N334/C334)</f>
        <v>-3.5648233875624612E-3</v>
      </c>
      <c r="AG334" s="93">
        <f t="shared" ref="AG334" si="4315">LN(N334/N333)</f>
        <v>-4.1756958276635038E-3</v>
      </c>
      <c r="AH334" s="93">
        <f t="shared" ref="AH334" si="4316">LN(D334/C334)</f>
        <v>4.6982137310370417E-4</v>
      </c>
      <c r="AI334" s="93">
        <f t="shared" ref="AI334" si="4317">LN(E334/C334)</f>
        <v>-2.8377264090103066E-4</v>
      </c>
      <c r="AJ334" s="93">
        <f t="shared" ref="AJ334" si="4318">LN(F334/C334)</f>
        <v>-5.6156943894658942E-5</v>
      </c>
      <c r="AK334" s="93">
        <f t="shared" ref="AK334" si="4319">+LN(G334/C334)</f>
        <v>-1.4581465787569835E-3</v>
      </c>
      <c r="AL334" s="93">
        <f t="shared" ref="AL334" si="4320">LN(H334/I334)</f>
        <v>4.8412218274474905E-3</v>
      </c>
      <c r="AM334" s="93">
        <f t="shared" ref="AM334" si="4321">LN(O334/P334)</f>
        <v>5.5478562080835793E-3</v>
      </c>
      <c r="AN334" s="93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93">
        <f t="shared" ref="AQ334" si="4325">LN(M334/L334)</f>
        <v>-6.5116692094940702E-5</v>
      </c>
      <c r="AR334" s="93">
        <f t="shared" ref="AR334" si="4326">LN(N334/L334)</f>
        <v>-2.1421944788501458E-3</v>
      </c>
      <c r="AS334" s="93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93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93">
        <f t="shared" ref="AY334" si="4333">LN(G334/I334)</f>
        <v>9.713051194502212E-4</v>
      </c>
      <c r="AZ334" s="93">
        <f t="shared" ref="AZ334" si="4334">LN(N334/P334)</f>
        <v>3.0002577178749679E-3</v>
      </c>
      <c r="BA334" s="93">
        <f t="shared" ref="BA334" si="4335">AV333</f>
        <v>0.92475010350742792</v>
      </c>
      <c r="BB334" s="93">
        <f t="shared" ref="BB334" si="4336">AR333</f>
        <v>2.7049691781171619E-3</v>
      </c>
      <c r="BC334" s="93">
        <f t="shared" ref="BC334" si="4337">AS333</f>
        <v>3.2007690941437952E-3</v>
      </c>
      <c r="BD334" s="39">
        <f t="shared" ref="BD334" si="4338">IF(AR333&lt;0,1,0)</f>
        <v>0</v>
      </c>
    </row>
    <row r="335" spans="1:62" x14ac:dyDescent="0.15">
      <c r="A335" s="90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95"/>
        <v>3347.6797949999991</v>
      </c>
      <c r="T335" s="92" t="str">
        <f t="shared" ref="T335" si="4339">IF(AVERAGE(N334)&lt;S334,"熊",IF(AVERAGE(N334)&gt;S334,"牛",""))</f>
        <v>牛</v>
      </c>
      <c r="U335" s="92">
        <f t="shared" ref="U335" si="4340">MAX(H335,O335)</f>
        <v>3365.4398000000001</v>
      </c>
      <c r="V335" s="92">
        <f t="shared" ref="V335" si="4341">MIN(I335,P335)</f>
        <v>3345.3283000000001</v>
      </c>
      <c r="W335" s="40">
        <f t="shared" ref="W335" si="4342">LN(U335/V335)</f>
        <v>5.9938176704963774E-3</v>
      </c>
      <c r="X335" s="92">
        <f t="shared" ref="X335" si="4343">IF(U335=H335,J335,Q335)</f>
        <v>930</v>
      </c>
      <c r="Y335" s="92">
        <f t="shared" ref="Y335" si="4344">IF(V335=I335,K335,R335)</f>
        <v>1028</v>
      </c>
      <c r="Z335" s="93">
        <f t="shared" ref="Z335" si="4345">(U335-V335)/(C335)</f>
        <v>5.9764133817219248E-3</v>
      </c>
      <c r="AA335" s="93">
        <f t="shared" ref="AA335" si="4346">LN(C335/N334)</f>
        <v>-1.8658150321294617E-3</v>
      </c>
      <c r="AB335" s="93">
        <f t="shared" ref="AB335" si="4347">LN(N335/U335)</f>
        <v>-3.5038017968426591E-3</v>
      </c>
      <c r="AC335" s="93">
        <f t="shared" ref="AC335" si="4348">LN(N335/V335)</f>
        <v>2.4900158736539165E-3</v>
      </c>
      <c r="AD335" s="93">
        <f t="shared" ref="AD335" si="4349">LN(U335/C335)</f>
        <v>8.7481249085959322E-5</v>
      </c>
      <c r="AE335" s="93">
        <f t="shared" ref="AE335" si="4350">LN(V335/C335)</f>
        <v>-5.9063364214104359E-3</v>
      </c>
      <c r="AF335" s="93">
        <f t="shared" ref="AF335" si="4351">LN(N335/C335)</f>
        <v>-3.4163205477566599E-3</v>
      </c>
      <c r="AG335" s="93">
        <f t="shared" ref="AG335" si="4352">LN(N335/N334)</f>
        <v>-5.2821355798860648E-3</v>
      </c>
      <c r="AH335" s="93">
        <f t="shared" ref="AH335" si="4353">LN(D335/C335)</f>
        <v>-6.1814350753668101E-4</v>
      </c>
      <c r="AI335" s="93">
        <f t="shared" ref="AI335" si="4354">LN(E335/C335)</f>
        <v>-1.4048473092708024E-3</v>
      </c>
      <c r="AJ335" s="93">
        <f t="shared" ref="AJ335" si="4355">LN(F335/C335)</f>
        <v>-2.0651026386376246E-3</v>
      </c>
      <c r="AK335" s="93">
        <f t="shared" ref="AK335" si="4356">+LN(G335/C335)</f>
        <v>-1.3416440465180673E-3</v>
      </c>
      <c r="AL335" s="93">
        <f t="shared" ref="AL335" si="4357">LN(H335/I335)</f>
        <v>5.9938176704963774E-3</v>
      </c>
      <c r="AM335" s="93">
        <f t="shared" ref="AM335" si="4358">LN(O335/P335)</f>
        <v>4.8014282049350081E-3</v>
      </c>
      <c r="AN335" s="93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93">
        <f t="shared" ref="AQ335" si="4362">LN(M335/L335)</f>
        <v>7.4774770051335725E-5</v>
      </c>
      <c r="AR335" s="93">
        <f t="shared" ref="AR335" si="4363">LN(N335/L335)</f>
        <v>-2.074676501238651E-3</v>
      </c>
      <c r="AS335" s="93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93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93">
        <f t="shared" ref="AY335" si="4370">LN(G335/I335)</f>
        <v>4.5646923748924803E-3</v>
      </c>
      <c r="AZ335" s="93">
        <f t="shared" ref="AZ335" si="4371">LN(N335/P335)</f>
        <v>2.1159820417814565E-3</v>
      </c>
      <c r="BA335" s="93">
        <f t="shared" ref="BA335" si="4372">AV334</f>
        <v>0.33322335862751329</v>
      </c>
      <c r="BB335" s="93">
        <f t="shared" ref="BB335" si="4373">AR334</f>
        <v>-2.1421944788501458E-3</v>
      </c>
      <c r="BC335" s="93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15">
      <c r="A336" s="90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95"/>
        <v>3351.9011500000001</v>
      </c>
      <c r="T336" s="92" t="str">
        <f t="shared" ref="T336" si="4376">IF(AVERAGE(N335)&lt;S335,"熊",IF(AVERAGE(N335)&gt;S335,"牛",""))</f>
        <v>牛</v>
      </c>
      <c r="U336" s="92">
        <f t="shared" ref="U336" si="4377">MAX(H336,O336)</f>
        <v>3371.7485999999999</v>
      </c>
      <c r="V336" s="92">
        <f t="shared" ref="V336" si="4378">MIN(I336,P336)</f>
        <v>3352.5133999999998</v>
      </c>
      <c r="W336" s="40">
        <f t="shared" ref="W336" si="4379">LN(U336/V336)</f>
        <v>5.721149017232724E-3</v>
      </c>
      <c r="X336" s="92">
        <f t="shared" ref="X336" si="4380">IF(U336=H336,J336,Q336)</f>
        <v>1022</v>
      </c>
      <c r="Y336" s="92">
        <f t="shared" ref="Y336" si="4381">IF(V336=I336,K336,R336)</f>
        <v>930</v>
      </c>
      <c r="Z336" s="93">
        <f t="shared" ref="Z336" si="4382">(U336-V336)/(C336)</f>
        <v>5.7375460453044213E-3</v>
      </c>
      <c r="AA336" s="93">
        <f t="shared" ref="AA336" si="4383">LN(C336/N335)</f>
        <v>-3.4451794222890863E-4</v>
      </c>
      <c r="AB336" s="93">
        <f t="shared" ref="AB336" si="4384">LN(N336/U336)</f>
        <v>-2.532871667177466E-3</v>
      </c>
      <c r="AC336" s="93">
        <f t="shared" ref="AC336" si="4385">LN(N336/V336)</f>
        <v>3.1882773500552216E-3</v>
      </c>
      <c r="AD336" s="93">
        <f t="shared" ref="AD336" si="4386">LN(U336/C336)</f>
        <v>5.721149017232724E-3</v>
      </c>
      <c r="AE336" s="93">
        <f t="shared" ref="AE336" si="4387">LN(V336/C336)</f>
        <v>0</v>
      </c>
      <c r="AF336" s="93">
        <f t="shared" ref="AF336" si="4388">LN(N336/C336)</f>
        <v>3.1882773500552216E-3</v>
      </c>
      <c r="AG336" s="93">
        <f t="shared" ref="AG336" si="4389">LN(N336/N335)</f>
        <v>2.8437594078262844E-3</v>
      </c>
      <c r="AH336" s="93">
        <f t="shared" ref="AH336" si="4390">LN(D336/C336)</f>
        <v>9.4442706914675436E-4</v>
      </c>
      <c r="AI336" s="93">
        <f t="shared" ref="AI336" si="4391">LN(E336/C336)</f>
        <v>2.8425980188102277E-3</v>
      </c>
      <c r="AJ336" s="93">
        <f t="shared" ref="AJ336" si="4392">LN(F336/C336)</f>
        <v>3.4967139832432926E-3</v>
      </c>
      <c r="AK336" s="93">
        <f t="shared" ref="AK336" si="4393">+LN(G336/C336)</f>
        <v>2.8115434641918183E-3</v>
      </c>
      <c r="AL336" s="93">
        <f t="shared" ref="AL336" si="4394">LN(H336/I336)</f>
        <v>5.721149017232724E-3</v>
      </c>
      <c r="AM336" s="93">
        <f t="shared" ref="AM336" si="4395">LN(O336/P336)</f>
        <v>3.8104804347227849E-3</v>
      </c>
      <c r="AN336" s="93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93">
        <f t="shared" ref="AQ336" si="4399">LN(M336/L336)</f>
        <v>6.7120002497233588E-4</v>
      </c>
      <c r="AR336" s="93">
        <f t="shared" ref="AR336" si="4400">LN(N336/L336)</f>
        <v>3.7673388586329816E-4</v>
      </c>
      <c r="AS336" s="93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93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93">
        <f t="shared" ref="AY336" si="4407">LN(G336/I336)</f>
        <v>2.8115434641918183E-3</v>
      </c>
      <c r="AZ336" s="93">
        <f t="shared" ref="AZ336" si="4408">LN(N336/P336)</f>
        <v>2.1228687486512343E-3</v>
      </c>
      <c r="BA336" s="93">
        <f t="shared" ref="BA336" si="4409">AV335</f>
        <v>0.41470303060437319</v>
      </c>
      <c r="BB336" s="93">
        <f t="shared" ref="BB336" si="4410">AR335</f>
        <v>-2.074676501238651E-3</v>
      </c>
      <c r="BC336" s="93">
        <f t="shared" ref="BC336" si="4411">AS335</f>
        <v>-3.4163205477566599E-3</v>
      </c>
      <c r="BD336" s="39">
        <f t="shared" ref="BD336" si="4412">IF(AR335&lt;0,1,0)</f>
        <v>1</v>
      </c>
    </row>
    <row r="337" spans="1:62" x14ac:dyDescent="0.15">
      <c r="A337" s="90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95"/>
        <v>3355.6960099999997</v>
      </c>
      <c r="T337" s="92" t="str">
        <f t="shared" ref="T337" si="4413">IF(AVERAGE(N336)&lt;S336,"熊",IF(AVERAGE(N336)&gt;S336,"牛",""))</f>
        <v>牛</v>
      </c>
      <c r="U337" s="92">
        <f t="shared" ref="U337" si="4414">MAX(H337,O337)</f>
        <v>3370.4009000000001</v>
      </c>
      <c r="V337" s="92">
        <f t="shared" ref="V337" si="4415">MIN(I337,P337)</f>
        <v>3344.7433999999998</v>
      </c>
      <c r="W337" s="40">
        <f t="shared" ref="W337" si="4416">LN(U337/V337)</f>
        <v>7.6417195852561751E-3</v>
      </c>
      <c r="X337" s="92">
        <f t="shared" ref="X337" si="4417">IF(U337=H337,J337,Q337)</f>
        <v>948</v>
      </c>
      <c r="Y337" s="92">
        <f t="shared" ref="Y337" si="4418">IF(V337=I337,K337,R337)</f>
        <v>1436</v>
      </c>
      <c r="Z337" s="93">
        <f t="shared" ref="Z337" si="4419">(U337-V337)/(C337)</f>
        <v>7.6236101192338427E-3</v>
      </c>
      <c r="AA337" s="93">
        <f t="shared" ref="AA337" si="4420">LN(C337/N336)</f>
        <v>6.8728957101099294E-4</v>
      </c>
      <c r="AB337" s="93">
        <f t="shared" ref="AB337" si="4421">LN(N337/U337)</f>
        <v>-4.0868754935007839E-3</v>
      </c>
      <c r="AC337" s="93">
        <f t="shared" ref="AC337" si="4422">LN(N337/V337)</f>
        <v>3.5548440917554658E-3</v>
      </c>
      <c r="AD337" s="93">
        <f t="shared" ref="AD337" si="4423">LN(U337/C337)</f>
        <v>1.4457986093275668E-3</v>
      </c>
      <c r="AE337" s="93">
        <f t="shared" ref="AE337" si="4424">LN(V337/C337)</f>
        <v>-6.195920975928553E-3</v>
      </c>
      <c r="AF337" s="93">
        <f t="shared" ref="AF337" si="4425">LN(N337/C337)</f>
        <v>-2.6410768841732099E-3</v>
      </c>
      <c r="AG337" s="93">
        <f t="shared" ref="AG337" si="4426">LN(N337/N336)</f>
        <v>-1.9537873131622633E-3</v>
      </c>
      <c r="AH337" s="93">
        <f t="shared" ref="AH337" si="4427">LN(D337/C337)</f>
        <v>1.3768051202527545E-4</v>
      </c>
      <c r="AI337" s="93">
        <f t="shared" ref="AI337" si="4428">LN(E337/C337)</f>
        <v>1.1982298243498049E-3</v>
      </c>
      <c r="AJ337" s="93">
        <f t="shared" ref="AJ337" si="4429">LN(F337/C337)</f>
        <v>8.2950992763201079E-4</v>
      </c>
      <c r="AK337" s="93">
        <f t="shared" ref="AK337" si="4430">+LN(G337/C337)</f>
        <v>-3.7174294237321878E-3</v>
      </c>
      <c r="AL337" s="93">
        <f t="shared" ref="AL337" si="4431">LN(H337/I337)</f>
        <v>5.1774241914006106E-3</v>
      </c>
      <c r="AM337" s="93">
        <f t="shared" ref="AM337" si="4432">LN(O337/P337)</f>
        <v>6.5261560266064575E-3</v>
      </c>
      <c r="AN337" s="93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93">
        <f t="shared" ref="AQ337" si="4436">LN(M337/L337)</f>
        <v>4.7545471206176311E-4</v>
      </c>
      <c r="AR337" s="93">
        <f t="shared" ref="AR337" si="4437">LN(N337/L337)</f>
        <v>5.7442719484273295E-4</v>
      </c>
      <c r="AS337" s="93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93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93">
        <f t="shared" ref="AY337" si="4444">LN(G337/I337)</f>
        <v>1.4196158340769766E-5</v>
      </c>
      <c r="AZ337" s="93">
        <f t="shared" ref="AZ337" si="4445">LN(N337/P337)</f>
        <v>3.5548440917554658E-3</v>
      </c>
      <c r="BA337" s="93">
        <f t="shared" ref="BA337" si="4446">AV336</f>
        <v>0.55657336549659675</v>
      </c>
      <c r="BB337" s="93">
        <f t="shared" ref="BB337" si="4447">AR336</f>
        <v>3.7673388586329816E-4</v>
      </c>
      <c r="BC337" s="93">
        <f t="shared" ref="BC337" si="4448">AS336</f>
        <v>3.1882773500552216E-3</v>
      </c>
      <c r="BD337" s="39">
        <f t="shared" ref="BD337" si="4449">IF(AR336&lt;0,1,0)</f>
        <v>0</v>
      </c>
    </row>
    <row r="338" spans="1:62" x14ac:dyDescent="0.15">
      <c r="A338" s="90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95"/>
        <v>3358.9774699999994</v>
      </c>
      <c r="T338" s="92" t="str">
        <f t="shared" ref="T338" si="4450">IF(AVERAGE(N337)&lt;S337,"熊",IF(AVERAGE(N337)&gt;S337,"牛",""))</f>
        <v>牛</v>
      </c>
      <c r="U338" s="92">
        <f t="shared" ref="U338" si="4451">MAX(H338,O338)</f>
        <v>3370.0562</v>
      </c>
      <c r="V338" s="92">
        <f t="shared" ref="V338" si="4452">MIN(I338,P338)</f>
        <v>3346.5432000000001</v>
      </c>
      <c r="W338" s="40">
        <f t="shared" ref="W338" si="4453">LN(U338/V338)</f>
        <v>7.0014882984295018E-3</v>
      </c>
      <c r="X338" s="92">
        <f t="shared" ref="X338" si="4454">IF(U338=H338,J338,Q338)</f>
        <v>1401</v>
      </c>
      <c r="Y338" s="92">
        <f t="shared" ref="Y338" si="4455">IF(V338=I338,K338,R338)</f>
        <v>1038</v>
      </c>
      <c r="Z338" s="93">
        <f t="shared" ref="Z338" si="4456">(U338-V338)/(C338)</f>
        <v>7.0142314349733699E-3</v>
      </c>
      <c r="AA338" s="93">
        <f t="shared" ref="AA338" si="4457">LN(C338/N337)</f>
        <v>-1.3325108546720543E-3</v>
      </c>
      <c r="AB338" s="93">
        <f t="shared" ref="AB338" si="4458">LN(N338/U338)</f>
        <v>-1.0955371115273767E-3</v>
      </c>
      <c r="AC338" s="93">
        <f t="shared" ref="AC338" si="4459">LN(N338/V338)</f>
        <v>5.9059511869021947E-3</v>
      </c>
      <c r="AD338" s="93">
        <f t="shared" ref="AD338" si="4460">LN(U338/C338)</f>
        <v>5.3171084180008042E-3</v>
      </c>
      <c r="AE338" s="93">
        <f t="shared" ref="AE338" si="4461">LN(V338/C338)</f>
        <v>-1.684379880428559E-3</v>
      </c>
      <c r="AF338" s="93">
        <f t="shared" ref="AF338" si="4462">LN(N338/C338)</f>
        <v>4.2215713064734425E-3</v>
      </c>
      <c r="AG338" s="93">
        <f t="shared" ref="AG338" si="4463">LN(N338/N337)</f>
        <v>2.8890604518014723E-3</v>
      </c>
      <c r="AH338" s="93">
        <f t="shared" ref="AH338" si="4464">LN(D338/C338)</f>
        <v>-4.3789988976470002E-4</v>
      </c>
      <c r="AI338" s="93">
        <f t="shared" ref="AI338" si="4465">LN(E338/C338)</f>
        <v>5.5125187020435974E-5</v>
      </c>
      <c r="AJ338" s="93">
        <f t="shared" ref="AJ338" si="4466">LN(F338/C338)</f>
        <v>1.3790054922412895E-4</v>
      </c>
      <c r="AK338" s="93">
        <f t="shared" ref="AK338" si="4467">+LN(G338/C338)</f>
        <v>3.6184247459542401E-3</v>
      </c>
      <c r="AL338" s="93">
        <f t="shared" ref="AL338" si="4468">LN(H338/I338)</f>
        <v>5.3028046263827863E-3</v>
      </c>
      <c r="AM338" s="93">
        <f t="shared" ref="AM338" si="4469">LN(O338/P338)</f>
        <v>2.4539765673989894E-3</v>
      </c>
      <c r="AN338" s="93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93">
        <f t="shared" ref="AQ338" si="4473">LN(M338/L338)</f>
        <v>1.4394076216070852E-4</v>
      </c>
      <c r="AR338" s="93">
        <f t="shared" ref="AR338" si="4474">LN(N338/L338)</f>
        <v>6.0314656051929899E-4</v>
      </c>
      <c r="AS338" s="93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93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93">
        <f t="shared" ref="AY338" si="4481">LN(G338/I338)</f>
        <v>5.3028046263827863E-3</v>
      </c>
      <c r="AZ338" s="93">
        <f t="shared" ref="AZ338" si="4482">LN(N338/P338)</f>
        <v>1.3584394558717292E-3</v>
      </c>
      <c r="BA338" s="93">
        <f t="shared" ref="BA338" si="4483">AV337</f>
        <v>0.46423852674656102</v>
      </c>
      <c r="BB338" s="93">
        <f t="shared" ref="BB338" si="4484">AR337</f>
        <v>5.7442719484273295E-4</v>
      </c>
      <c r="BC338" s="93">
        <f t="shared" ref="BC338" si="4485">AS337</f>
        <v>-2.6410768841732099E-3</v>
      </c>
      <c r="BD338" s="39">
        <f t="shared" ref="BD338" si="4486">IF(AR337&lt;0,1,0)</f>
        <v>0</v>
      </c>
    </row>
    <row r="339" spans="1:62" x14ac:dyDescent="0.15">
      <c r="A339" s="90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95"/>
        <v>3362.9117999999994</v>
      </c>
      <c r="T339" s="92" t="str">
        <f t="shared" ref="T339" si="4487">IF(AVERAGE(N338)&lt;S338,"熊",IF(AVERAGE(N338)&gt;S338,"牛",""))</f>
        <v>牛</v>
      </c>
      <c r="U339" s="92">
        <f t="shared" ref="U339" si="4488">MAX(H339,O339)</f>
        <v>3377.7089000000001</v>
      </c>
      <c r="V339" s="92">
        <f t="shared" ref="V339" si="4489">MIN(I339,P339)</f>
        <v>3357.0583999999999</v>
      </c>
      <c r="W339" s="40">
        <f t="shared" ref="W339" si="4490">LN(U339/V339)</f>
        <v>6.1325250891422689E-3</v>
      </c>
      <c r="X339" s="92">
        <f t="shared" ref="X339" si="4491">IF(U339=H339,J339,Q339)</f>
        <v>1120</v>
      </c>
      <c r="Y339" s="92">
        <f t="shared" ref="Y339" si="4492">IF(V339=I339,K339,R339)</f>
        <v>1458</v>
      </c>
      <c r="Z339" s="93">
        <f t="shared" ref="Z339" si="4493">(U339-V339)/(C339)</f>
        <v>6.1374012886804639E-3</v>
      </c>
      <c r="AA339" s="93">
        <f t="shared" ref="AA339" si="4494">LN(C339/N338)</f>
        <v>-4.957611631567668E-4</v>
      </c>
      <c r="AB339" s="93">
        <f t="shared" ref="AB339" si="4495">LN(N339/U339)</f>
        <v>-5.7949352867889764E-3</v>
      </c>
      <c r="AC339" s="93">
        <f t="shared" ref="AC339" si="4496">LN(N339/V339)</f>
        <v>3.3758980235339511E-4</v>
      </c>
      <c r="AD339" s="93">
        <f t="shared" ref="AD339" si="4497">LN(U339/C339)</f>
        <v>3.859516912282437E-3</v>
      </c>
      <c r="AE339" s="93">
        <f t="shared" ref="AE339" si="4498">LN(V339/C339)</f>
        <v>-2.2730081768599542E-3</v>
      </c>
      <c r="AF339" s="93">
        <f t="shared" ref="AF339" si="4499">LN(N339/C339)</f>
        <v>-1.9354183745065726E-3</v>
      </c>
      <c r="AG339" s="93">
        <f t="shared" ref="AG339" si="4500">LN(N339/N338)</f>
        <v>-2.4311795376633443E-3</v>
      </c>
      <c r="AH339" s="93">
        <f t="shared" ref="AH339" si="4501">LN(D339/C339)</f>
        <v>-6.4734042394247492E-4</v>
      </c>
      <c r="AI339" s="93">
        <f t="shared" ref="AI339" si="4502">LN(E339/C339)</f>
        <v>-4.4602265148617655E-4</v>
      </c>
      <c r="AJ339" s="93">
        <f t="shared" ref="AJ339" si="4503">LN(F339/C339)</f>
        <v>-7.4271986130556721E-4</v>
      </c>
      <c r="AK339" s="93">
        <f t="shared" ref="AK339" si="4504">+LN(G339/C339)</f>
        <v>2.4464079120639368E-3</v>
      </c>
      <c r="AL339" s="93">
        <f t="shared" ref="AL339" si="4505">LN(H339/I339)</f>
        <v>5.522802047246993E-3</v>
      </c>
      <c r="AM339" s="93">
        <f t="shared" ref="AM339" si="4506">LN(O339/P339)</f>
        <v>5.2453175008010944E-3</v>
      </c>
      <c r="AN339" s="93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93">
        <f t="shared" ref="AQ339" si="4510">LN(M339/L339)</f>
        <v>1.3385055500295148E-4</v>
      </c>
      <c r="AR339" s="93">
        <f t="shared" ref="AR339" si="4511">LN(N339/L339)</f>
        <v>-4.3818262865704966E-3</v>
      </c>
      <c r="AS339" s="93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93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93">
        <f t="shared" ref="AY339" si="4518">LN(G339/I339)</f>
        <v>4.1096930470285462E-3</v>
      </c>
      <c r="AZ339" s="93">
        <f t="shared" ref="AZ339" si="4519">LN(N339/P339)</f>
        <v>3.3758980235339511E-4</v>
      </c>
      <c r="BA339" s="93">
        <f t="shared" ref="BA339" si="4520">AV338</f>
        <v>0.84306553821290064</v>
      </c>
      <c r="BB339" s="93">
        <f t="shared" ref="BB339" si="4521">AR338</f>
        <v>6.0314656051929899E-4</v>
      </c>
      <c r="BC339" s="93">
        <f t="shared" ref="BC339" si="4522">AS338</f>
        <v>4.2215713064734425E-3</v>
      </c>
      <c r="BD339" s="39">
        <f t="shared" ref="BD339" si="4523">IF(AR338&lt;0,1,0)</f>
        <v>0</v>
      </c>
    </row>
    <row r="340" spans="1:62" x14ac:dyDescent="0.15">
      <c r="A340" s="90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95"/>
        <v>3367.2217700000001</v>
      </c>
      <c r="T340" s="92" t="str">
        <f t="shared" ref="T340" si="4524">IF(AVERAGE(N339)&lt;S339,"熊",IF(AVERAGE(N339)&gt;S339,"牛",""))</f>
        <v>熊</v>
      </c>
      <c r="U340" s="92">
        <f t="shared" ref="U340" si="4525">MAX(H340,O340)</f>
        <v>3356.1190999999999</v>
      </c>
      <c r="V340" s="92">
        <f t="shared" ref="V340" si="4526">MIN(I340,P340)</f>
        <v>3335.2334000000001</v>
      </c>
      <c r="W340" s="40">
        <f t="shared" ref="W340" si="4527">LN(U340/V340)</f>
        <v>6.2426147260009101E-3</v>
      </c>
      <c r="X340" s="92">
        <f t="shared" ref="X340" si="4528">IF(U340=H340,J340,Q340)</f>
        <v>943</v>
      </c>
      <c r="Y340" s="92">
        <f t="shared" ref="Y340" si="4529">IF(V340=I340,K340,R340)</f>
        <v>1010</v>
      </c>
      <c r="Z340" s="93">
        <f t="shared" ref="Z340" si="4530">(U340-V340)/(C340)</f>
        <v>6.2398329758607419E-3</v>
      </c>
      <c r="AA340" s="93">
        <f t="shared" ref="AA340" si="4531">LN(C340/N339)</f>
        <v>-3.2914052024153101E-3</v>
      </c>
      <c r="AB340" s="93">
        <f t="shared" ref="AB340" si="4532">LN(N340/U340)</f>
        <v>-9.6807414122940694E-4</v>
      </c>
      <c r="AC340" s="93">
        <f t="shared" ref="AC340" si="4533">LN(N340/V340)</f>
        <v>5.2745405847716836E-3</v>
      </c>
      <c r="AD340" s="93">
        <f t="shared" ref="AD340" si="4534">LN(U340/C340)</f>
        <v>2.6739777207723733E-3</v>
      </c>
      <c r="AE340" s="93">
        <f t="shared" ref="AE340" si="4535">LN(V340/C340)</f>
        <v>-3.5686370052286157E-3</v>
      </c>
      <c r="AF340" s="93">
        <f t="shared" ref="AF340" si="4536">LN(N340/C340)</f>
        <v>1.7059035795430307E-3</v>
      </c>
      <c r="AG340" s="93">
        <f t="shared" ref="AG340" si="4537">LN(N340/N339)</f>
        <v>-1.5855016228723297E-3</v>
      </c>
      <c r="AH340" s="93">
        <f t="shared" ref="AH340" si="4538">LN(D340/C340)</f>
        <v>-1.1843588044971895E-4</v>
      </c>
      <c r="AI340" s="93">
        <f t="shared" ref="AI340" si="4539">LN(E340/C340)</f>
        <v>9.0271807435290887E-4</v>
      </c>
      <c r="AJ340" s="93">
        <f t="shared" ref="AJ340" si="4540">LN(F340/C340)</f>
        <v>2.1462648558478151E-3</v>
      </c>
      <c r="AK340" s="93">
        <f t="shared" ref="AK340" si="4541">+LN(G340/C340)</f>
        <v>-1.6256245098538583E-3</v>
      </c>
      <c r="AL340" s="93">
        <f t="shared" ref="AL340" si="4542">LN(H340/I340)</f>
        <v>6.2426147260009101E-3</v>
      </c>
      <c r="AM340" s="93">
        <f t="shared" ref="AM340" si="4543">LN(O340/P340)</f>
        <v>4.207165854928926E-3</v>
      </c>
      <c r="AN340" s="93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93">
        <f t="shared" ref="AQ340" si="4547">LN(M340/L340)</f>
        <v>-8.4992355804764047E-4</v>
      </c>
      <c r="AR340" s="93">
        <f t="shared" ref="AR340" si="4548">LN(N340/L340)</f>
        <v>3.3315280893967637E-3</v>
      </c>
      <c r="AS340" s="93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93">
        <f t="shared" ref="AW340" si="4553">LN(N340/C340)</f>
        <v>1.7059035795430307E-3</v>
      </c>
      <c r="AX340" s="28">
        <f t="shared" ref="AX340" si="4554">(N340-L340)/(U340-V340)</f>
        <v>0.5339347017337337</v>
      </c>
      <c r="AY340" s="93">
        <f t="shared" ref="AY340" si="4555">LN(G340/I340)</f>
        <v>1.9430124953747584E-3</v>
      </c>
      <c r="AZ340" s="93">
        <f t="shared" ref="AZ340" si="4556">LN(N340/P340)</f>
        <v>4.1969060458428827E-3</v>
      </c>
      <c r="BA340" s="93">
        <f t="shared" ref="BA340" si="4557">AV339</f>
        <v>5.4889712113503408E-2</v>
      </c>
      <c r="BB340" s="93">
        <f t="shared" ref="BB340" si="4558">AR339</f>
        <v>-4.3818262865704966E-3</v>
      </c>
      <c r="BC340" s="93">
        <f t="shared" ref="BC340" si="4559">AS339</f>
        <v>-1.9354183745065726E-3</v>
      </c>
      <c r="BD340" s="39">
        <f t="shared" ref="BD340" si="4560">IF(AR339&lt;0,1,0)</f>
        <v>1</v>
      </c>
    </row>
    <row r="341" spans="1:62" x14ac:dyDescent="0.15">
      <c r="A341" s="90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95"/>
        <v>3368.28215</v>
      </c>
      <c r="T341" s="92" t="str">
        <f t="shared" ref="T341" si="4561">IF(AVERAGE(N340)&lt;S340,"熊",IF(AVERAGE(N340)&gt;S340,"牛",""))</f>
        <v>熊</v>
      </c>
      <c r="U341" s="92">
        <f t="shared" ref="U341" si="4562">MAX(H341,O341)</f>
        <v>3350.6316000000002</v>
      </c>
      <c r="V341" s="92">
        <f t="shared" ref="V341" si="4563">MIN(I341,P341)</f>
        <v>3334.9596999999999</v>
      </c>
      <c r="W341" s="40">
        <f t="shared" ref="W341" si="4564">LN(U341/V341)</f>
        <v>4.6882700429278952E-3</v>
      </c>
      <c r="X341" s="92">
        <f t="shared" ref="X341" si="4565">IF(U341=H341,J341,Q341)</f>
        <v>1008</v>
      </c>
      <c r="Y341" s="92">
        <f t="shared" ref="Y341" si="4566">IF(V341=I341,K341,R341)</f>
        <v>1123</v>
      </c>
      <c r="Z341" s="93">
        <f t="shared" ref="Z341" si="4567">(U341-V341)/(C341)</f>
        <v>4.6857481963552342E-3</v>
      </c>
      <c r="AA341" s="93">
        <f t="shared" ref="AA341" si="4568">LN(C341/N340)</f>
        <v>-2.4735060312818845E-3</v>
      </c>
      <c r="AB341" s="93">
        <f t="shared" ref="AB341" si="4569">LN(N341/U341)</f>
        <v>-2.93584221859683E-3</v>
      </c>
      <c r="AC341" s="93">
        <f t="shared" ref="AC341" si="4570">LN(N341/V341)</f>
        <v>1.7524278243309756E-3</v>
      </c>
      <c r="AD341" s="93">
        <f t="shared" ref="AD341" si="4571">LN(U341/C341)</f>
        <v>1.8051688997456298E-3</v>
      </c>
      <c r="AE341" s="93">
        <f t="shared" ref="AE341" si="4572">LN(V341/C341)</f>
        <v>-2.8831011431822758E-3</v>
      </c>
      <c r="AF341" s="93">
        <f t="shared" ref="AF341" si="4573">LN(N341/C341)</f>
        <v>-1.1306733188512297E-3</v>
      </c>
      <c r="AG341" s="93">
        <f t="shared" ref="AG341" si="4574">LN(N341/N340)</f>
        <v>-3.6041793501331324E-3</v>
      </c>
      <c r="AH341" s="93">
        <f t="shared" ref="AH341" si="4575">LN(D341/C341)</f>
        <v>3.5728718689446315E-5</v>
      </c>
      <c r="AI341" s="93">
        <f t="shared" ref="AI341" si="4576">LN(E341/C341)</f>
        <v>6.1713466884778464E-4</v>
      </c>
      <c r="AJ341" s="93">
        <f t="shared" ref="AJ341" si="4577">LN(F341/C341)</f>
        <v>-1.3825601965713923E-3</v>
      </c>
      <c r="AK341" s="93">
        <f t="shared" ref="AK341" si="4578">+LN(G341/C341)</f>
        <v>-1.1726101471768952E-3</v>
      </c>
      <c r="AL341" s="93">
        <f t="shared" ref="AL341" si="4579">LN(H341/I341)</f>
        <v>4.6882700429278952E-3</v>
      </c>
      <c r="AM341" s="93">
        <f t="shared" ref="AM341" si="4580">LN(O341/P341)</f>
        <v>2.7260972052719915E-3</v>
      </c>
      <c r="AN341" s="93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93">
        <f t="shared" ref="AQ341" si="4584">LN(M341/L341)</f>
        <v>-1.6689666762556915E-4</v>
      </c>
      <c r="AR341" s="93">
        <f t="shared" ref="AR341" si="4585">LN(N341/L341)</f>
        <v>4.1936828325712444E-5</v>
      </c>
      <c r="AS341" s="93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93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93">
        <f t="shared" ref="AY341" si="4592">LN(G341/I341)</f>
        <v>1.7104909960054216E-3</v>
      </c>
      <c r="AZ341" s="93">
        <f t="shared" ref="AZ341" si="4593">LN(N341/P341)</f>
        <v>1.6456256405236933E-3</v>
      </c>
      <c r="BA341" s="93">
        <f t="shared" ref="BA341" si="4594">AV340</f>
        <v>0.84451562552369464</v>
      </c>
      <c r="BB341" s="93">
        <f t="shared" ref="BB341" si="4595">AR340</f>
        <v>3.3315280893967637E-3</v>
      </c>
      <c r="BC341" s="93">
        <f t="shared" ref="BC341" si="4596">AS340</f>
        <v>1.7059035795430307E-3</v>
      </c>
      <c r="BD341" s="39">
        <f t="shared" ref="BD341" si="4597">IF(AR340&lt;0,1,0)</f>
        <v>0</v>
      </c>
    </row>
    <row r="342" spans="1:62" x14ac:dyDescent="0.15">
      <c r="A342" s="90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95"/>
        <v>3367.1818499999999</v>
      </c>
      <c r="T342" s="92" t="str">
        <f t="shared" ref="T342" si="4598">IF(AVERAGE(N341)&lt;S341,"熊",IF(AVERAGE(N341)&gt;S341,"牛",""))</f>
        <v>熊</v>
      </c>
      <c r="U342" s="92">
        <f t="shared" ref="U342" si="4599">MAX(H342,O342)</f>
        <v>3347.0832</v>
      </c>
      <c r="V342" s="92">
        <f t="shared" ref="V342" si="4600">MIN(I342,P342)</f>
        <v>3332.6149</v>
      </c>
      <c r="W342" s="40">
        <f t="shared" ref="W342" si="4601">LN(U342/V342)</f>
        <v>4.3320289060892808E-3</v>
      </c>
      <c r="X342" s="92">
        <f t="shared" ref="X342" si="4602">IF(U342=H342,J342,Q342)</f>
        <v>942</v>
      </c>
      <c r="Y342" s="92">
        <f t="shared" ref="Y342" si="4603">IF(V342=I342,K342,R342)</f>
        <v>1434</v>
      </c>
      <c r="Z342" s="93">
        <f t="shared" ref="Z342" si="4604">(U342-V342)/(C342)</f>
        <v>4.3365657982435109E-3</v>
      </c>
      <c r="AA342" s="93">
        <f t="shared" ref="AA342" si="4605">LN(C342/N341)</f>
        <v>-1.3357180191721685E-3</v>
      </c>
      <c r="AB342" s="93">
        <f t="shared" ref="AB342" si="4606">LN(N342/U342)</f>
        <v>-9.7320094426893845E-4</v>
      </c>
      <c r="AC342" s="93">
        <f t="shared" ref="AC342" si="4607">LN(N342/V342)</f>
        <v>3.3588279618203903E-3</v>
      </c>
      <c r="AD342" s="93">
        <f t="shared" ref="AD342" si="4608">LN(U342/C342)</f>
        <v>3.211974860383578E-3</v>
      </c>
      <c r="AE342" s="93">
        <f t="shared" ref="AE342" si="4609">LN(V342/C342)</f>
        <v>-1.1200540457056618E-3</v>
      </c>
      <c r="AF342" s="93">
        <f t="shared" ref="AF342" si="4610">LN(N342/C342)</f>
        <v>2.2387739161146814E-3</v>
      </c>
      <c r="AG342" s="93">
        <f t="shared" ref="AG342" si="4611">LN(N342/N341)</f>
        <v>9.0305589694268835E-4</v>
      </c>
      <c r="AH342" s="93">
        <f t="shared" ref="AH342" si="4612">LN(D342/C342)</f>
        <v>1.4982402885228246E-3</v>
      </c>
      <c r="AI342" s="93">
        <f t="shared" ref="AI342" si="4613">LN(E342/C342)</f>
        <v>2.3903568409428815E-3</v>
      </c>
      <c r="AJ342" s="93">
        <f t="shared" ref="AJ342" si="4614">LN(F342/C342)</f>
        <v>2.9512362670938747E-3</v>
      </c>
      <c r="AK342" s="93">
        <f t="shared" ref="AK342" si="4615">+LN(G342/C342)</f>
        <v>2.2616217243528768E-3</v>
      </c>
      <c r="AL342" s="93">
        <f t="shared" ref="AL342" si="4616">LN(H342/I342)</f>
        <v>3.5270094455214862E-3</v>
      </c>
      <c r="AM342" s="93">
        <f t="shared" ref="AM342" si="4617">LN(O342/P342)</f>
        <v>3.7851047936177354E-3</v>
      </c>
      <c r="AN342" s="93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93">
        <f t="shared" ref="AQ342" si="4621">LN(M342/L342)</f>
        <v>1.4757110767508395E-4</v>
      </c>
      <c r="AR342" s="93">
        <f t="shared" ref="AR342" si="4622">LN(N342/L342)</f>
        <v>-2.2847808238215186E-5</v>
      </c>
      <c r="AS342" s="93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93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93">
        <f t="shared" ref="AY342" si="4629">LN(G342/I342)</f>
        <v>2.5766563094908636E-3</v>
      </c>
      <c r="AZ342" s="93">
        <f t="shared" ref="AZ342" si="4630">LN(N342/P342)</f>
        <v>3.3588279618203903E-3</v>
      </c>
      <c r="BA342" s="93">
        <f t="shared" ref="BA342" si="4631">AV341</f>
        <v>0.37324127897701975</v>
      </c>
      <c r="BB342" s="93">
        <f t="shared" ref="BB342" si="4632">AR341</f>
        <v>4.1936828325712444E-5</v>
      </c>
      <c r="BC342" s="93">
        <f t="shared" ref="BC342" si="4633">AS341</f>
        <v>-1.1306733188512297E-3</v>
      </c>
      <c r="BD342" s="39">
        <f t="shared" ref="BD342" si="4634">IF(AR341&lt;0,1,0)</f>
        <v>0</v>
      </c>
      <c r="BJ342" t="s">
        <v>452</v>
      </c>
    </row>
    <row r="343" spans="1:62" x14ac:dyDescent="0.15">
      <c r="A343" s="90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95"/>
        <v>3366.0918249999995</v>
      </c>
      <c r="T343" s="92" t="str">
        <f t="shared" ref="T343" si="4635">IF(AVERAGE(N342)&lt;S342,"熊",IF(AVERAGE(N342)&gt;S342,"牛",""))</f>
        <v>熊</v>
      </c>
      <c r="U343" s="92">
        <f t="shared" ref="U343" si="4636">MAX(H343,O343)</f>
        <v>3349.6473000000001</v>
      </c>
      <c r="V343" s="92">
        <f t="shared" ref="V343" si="4637">MIN(I343,P343)</f>
        <v>3340.4283999999998</v>
      </c>
      <c r="W343" s="40">
        <f t="shared" ref="W343" si="4638">LN(U343/V343)</f>
        <v>2.7559944755733128E-3</v>
      </c>
      <c r="X343" s="92">
        <f t="shared" ref="X343" si="4639">IF(U343=H343,J343,Q343)</f>
        <v>1354</v>
      </c>
      <c r="Y343" s="92">
        <f t="shared" ref="Y343" si="4640">IF(V343=I343,K343,R343)</f>
        <v>941</v>
      </c>
      <c r="Z343" s="93">
        <f t="shared" ref="Z343" si="4641">(U343-V343)/(C343)</f>
        <v>2.759470656008422E-3</v>
      </c>
      <c r="AA343" s="93">
        <f t="shared" ref="AA343" si="4642">LN(C343/N342)</f>
        <v>-8.9922449709429163E-4</v>
      </c>
      <c r="AB343" s="93">
        <f t="shared" ref="AB343" si="4643">LN(N343/U343)</f>
        <v>-1.2498674912633327E-3</v>
      </c>
      <c r="AC343" s="93">
        <f t="shared" ref="AC343" si="4644">LN(N343/V343)</f>
        <v>1.5061269843099825E-3</v>
      </c>
      <c r="AD343" s="93">
        <f t="shared" ref="AD343" si="4645">LN(U343/C343)</f>
        <v>2.6382021514462931E-3</v>
      </c>
      <c r="AE343" s="93">
        <f t="shared" ref="AE343" si="4646">LN(V343/C343)</f>
        <v>-1.1779232412687534E-4</v>
      </c>
      <c r="AF343" s="93">
        <f t="shared" ref="AF343" si="4647">LN(N343/C343)</f>
        <v>1.3883346601830464E-3</v>
      </c>
      <c r="AG343" s="93">
        <f t="shared" ref="AG343" si="4648">LN(N343/N342)</f>
        <v>4.8911016308878777E-4</v>
      </c>
      <c r="AH343" s="93">
        <f t="shared" ref="AH343" si="4649">LN(D343/C343)</f>
        <v>2.3772760536030691E-4</v>
      </c>
      <c r="AI343" s="93">
        <f t="shared" ref="AI343" si="4650">LN(E343/C343)</f>
        <v>5.215629014570847E-4</v>
      </c>
      <c r="AJ343" s="93">
        <f t="shared" ref="AJ343" si="4651">LN(F343/C343)</f>
        <v>-7.4233505383099936E-6</v>
      </c>
      <c r="AK343" s="93">
        <f t="shared" ref="AK343" si="4652">+LN(G343/C343)</f>
        <v>1.1539898819804097E-3</v>
      </c>
      <c r="AL343" s="93">
        <f t="shared" ref="AL343" si="4653">LN(H343/I343)</f>
        <v>1.8407929275859711E-3</v>
      </c>
      <c r="AM343" s="93">
        <f t="shared" ref="AM343" si="4654">LN(O343/P343)</f>
        <v>2.1378517011856031E-3</v>
      </c>
      <c r="AN343" s="93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93">
        <f t="shared" ref="AQ343" si="4658">LN(M343/L343)</f>
        <v>1.6167656721721433E-4</v>
      </c>
      <c r="AR343" s="93">
        <f t="shared" ref="AR343" si="4659">LN(N343/L343)</f>
        <v>2.3434477820258046E-4</v>
      </c>
      <c r="AS343" s="93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93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93">
        <f t="shared" ref="AY343" si="4666">LN(G343/I343)</f>
        <v>1.2717822061074158E-3</v>
      </c>
      <c r="AZ343" s="93">
        <f t="shared" ref="AZ343" si="4667">LN(N343/P343)</f>
        <v>8.8798420992224926E-4</v>
      </c>
      <c r="BA343" s="93">
        <f t="shared" ref="BA343" si="4668">AV342</f>
        <v>0.77497010706165148</v>
      </c>
      <c r="BB343" s="93">
        <f t="shared" ref="BB343" si="4669">AR342</f>
        <v>-2.2847808238215186E-5</v>
      </c>
      <c r="BC343" s="93">
        <f t="shared" ref="BC343" si="4670">AS342</f>
        <v>2.2387739161146814E-3</v>
      </c>
      <c r="BD343" s="39">
        <f t="shared" ref="BD343" si="4671">IF(AR342&lt;0,1,0)</f>
        <v>1</v>
      </c>
    </row>
    <row r="344" spans="1:62" x14ac:dyDescent="0.15">
      <c r="A344" s="90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95"/>
        <v>3365.2152550000001</v>
      </c>
      <c r="T344" s="92" t="str">
        <f t="shared" ref="T344" si="4672">IF(AVERAGE(N343)&lt;S343,"熊",IF(AVERAGE(N343)&gt;S343,"牛",""))</f>
        <v>熊</v>
      </c>
      <c r="U344" s="92">
        <f t="shared" ref="U344" si="4673">MAX(H344,O344)</f>
        <v>3344.5376000000001</v>
      </c>
      <c r="V344" s="92">
        <f t="shared" ref="V344" si="4674">MIN(I344,P344)</f>
        <v>3336.4654</v>
      </c>
      <c r="W344" s="40">
        <f t="shared" ref="W344" si="4675">LN(U344/V344)</f>
        <v>2.4164646919034457E-3</v>
      </c>
      <c r="X344" s="92">
        <f t="shared" ref="X344" si="4676">IF(U344=H344,J344,Q344)</f>
        <v>934</v>
      </c>
      <c r="Y344" s="92">
        <f t="shared" ref="Y344" si="4677">IF(V344=I344,K344,R344)</f>
        <v>1106</v>
      </c>
      <c r="Z344" s="93">
        <f t="shared" ref="Z344" si="4678">(U344-V344)/(C344)</f>
        <v>2.4140475906087463E-3</v>
      </c>
      <c r="AA344" s="93">
        <f t="shared" ref="AA344" si="4679">LN(C344/N343)</f>
        <v>-4.8396637015166372E-4</v>
      </c>
      <c r="AB344" s="93">
        <f t="shared" ref="AB344" si="4680">LN(N344/U344)</f>
        <v>-1.3230606222692626E-3</v>
      </c>
      <c r="AC344" s="93">
        <f t="shared" ref="AC344" si="4681">LN(N344/V344)</f>
        <v>1.0934040696341878E-3</v>
      </c>
      <c r="AD344" s="93">
        <f t="shared" ref="AD344" si="4682">LN(U344/C344)</f>
        <v>2.0722500053303516E-4</v>
      </c>
      <c r="AE344" s="93">
        <f t="shared" ref="AE344" si="4683">LN(V344/C344)</f>
        <v>-2.2092396913703841E-3</v>
      </c>
      <c r="AF344" s="93">
        <f t="shared" ref="AF344" si="4684">LN(N344/C344)</f>
        <v>-1.1158356217361939E-3</v>
      </c>
      <c r="AG344" s="93">
        <f t="shared" ref="AG344" si="4685">LN(N344/N343)</f>
        <v>-1.5998019918878588E-3</v>
      </c>
      <c r="AH344" s="93">
        <f t="shared" ref="AH344" si="4686">LN(D344/C344)</f>
        <v>-4.290892544101472E-4</v>
      </c>
      <c r="AI344" s="93">
        <f t="shared" ref="AI344" si="4687">LN(E344/C344)</f>
        <v>-2.5312435367162207E-4</v>
      </c>
      <c r="AJ344" s="93">
        <f t="shared" ref="AJ344" si="4688">LN(F344/C344)</f>
        <v>-7.4008089938650207E-4</v>
      </c>
      <c r="AK344" s="93">
        <f t="shared" ref="AK344" si="4689">+LN(G344/C344)</f>
        <v>-4.9610900949544859E-4</v>
      </c>
      <c r="AL344" s="93">
        <f t="shared" ref="AL344" si="4690">LN(H344/I344)</f>
        <v>2.4164646919034457E-3</v>
      </c>
      <c r="AM344" s="93">
        <f t="shared" ref="AM344" si="4691">LN(O344/P344)</f>
        <v>1.9851629811592792E-3</v>
      </c>
      <c r="AN344" s="93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93">
        <f t="shared" ref="AQ344" si="4695">LN(M344/L344)</f>
        <v>1.5201468932174626E-4</v>
      </c>
      <c r="AR344" s="93">
        <f t="shared" ref="AR344" si="4696">LN(N344/L344)</f>
        <v>-6.1972661224084008E-4</v>
      </c>
      <c r="AS344" s="93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93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93">
        <f t="shared" ref="AY344" si="4703">LN(G344/I344)</f>
        <v>1.7131306818750512E-3</v>
      </c>
      <c r="AZ344" s="93">
        <f t="shared" ref="AZ344" si="4704">LN(N344/P344)</f>
        <v>1.0038522279892422E-3</v>
      </c>
      <c r="BA344" s="93">
        <f t="shared" ref="BA344" si="4705">AV343</f>
        <v>0.54614975756326034</v>
      </c>
      <c r="BB344" s="93">
        <f t="shared" ref="BB344" si="4706">AR343</f>
        <v>2.3434477820258046E-4</v>
      </c>
      <c r="BC344" s="93">
        <f t="shared" ref="BC344" si="4707">AS343</f>
        <v>1.3883346601830464E-3</v>
      </c>
      <c r="BD344" s="39">
        <f t="shared" ref="BD344" si="4708">IF(AR343&lt;0,1,0)</f>
        <v>0</v>
      </c>
    </row>
    <row r="345" spans="1:62" x14ac:dyDescent="0.15">
      <c r="A345" s="90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95"/>
        <v>3364.1712349999993</v>
      </c>
      <c r="T345" s="92" t="str">
        <f t="shared" ref="T345" si="4709">IF(AVERAGE(N344)&lt;S344,"熊",IF(AVERAGE(N344)&gt;S344,"牛",""))</f>
        <v>熊</v>
      </c>
      <c r="U345" s="92">
        <f t="shared" ref="U345" si="4710">MAX(H345,O345)</f>
        <v>3356.91</v>
      </c>
      <c r="V345" s="92">
        <f t="shared" ref="V345" si="4711">MIN(I345,P345)</f>
        <v>3340.31</v>
      </c>
      <c r="W345" s="40">
        <f t="shared" ref="W345" si="4712">LN(U345/V345)</f>
        <v>4.9572909341589625E-3</v>
      </c>
      <c r="X345" s="92">
        <f t="shared" ref="X345" si="4713">IF(U345=H345,J345,Q345)</f>
        <v>1009</v>
      </c>
      <c r="Y345" s="92">
        <f t="shared" ref="Y345" si="4714">IF(V345=I345,K345,R345)</f>
        <v>930</v>
      </c>
      <c r="Z345" s="93">
        <f t="shared" ref="Z345" si="4715">(U345-V345)/(C345)</f>
        <v>4.9695986300672419E-3</v>
      </c>
      <c r="AA345" s="93">
        <f t="shared" ref="AA345" si="4716">LN(C345/N344)</f>
        <v>5.822982385034885E-5</v>
      </c>
      <c r="AB345" s="93">
        <f t="shared" ref="AB345" si="4717">LN(N345/U345)</f>
        <v>-2.3770301312203081E-3</v>
      </c>
      <c r="AC345" s="93">
        <f t="shared" ref="AC345" si="4718">LN(N345/V345)</f>
        <v>2.5802608029386609E-3</v>
      </c>
      <c r="AD345" s="93">
        <f t="shared" ref="AD345" si="4719">LN(U345/C345)</f>
        <v>4.9572909341589625E-3</v>
      </c>
      <c r="AE345" s="93">
        <f t="shared" ref="AE345" si="4720">LN(V345/C345)</f>
        <v>0</v>
      </c>
      <c r="AF345" s="93">
        <f t="shared" ref="AF345" si="4721">LN(N345/C345)</f>
        <v>2.5802608029386609E-3</v>
      </c>
      <c r="AG345" s="93">
        <f t="shared" ref="AG345" si="4722">LN(N345/N344)</f>
        <v>2.6384906267888394E-3</v>
      </c>
      <c r="AH345" s="93">
        <f t="shared" ref="AH345" si="4723">LN(D345/C345)</f>
        <v>7.4516209226481933E-4</v>
      </c>
      <c r="AI345" s="93">
        <f t="shared" ref="AI345" si="4724">LN(E345/C345)</f>
        <v>1.3253455541712643E-3</v>
      </c>
      <c r="AJ345" s="93">
        <f t="shared" ref="AJ345" si="4725">LN(F345/C345)</f>
        <v>2.1083584003220024E-3</v>
      </c>
      <c r="AK345" s="93">
        <f t="shared" ref="AK345" si="4726">+LN(G345/C345)</f>
        <v>2.4428944735989172E-3</v>
      </c>
      <c r="AL345" s="93">
        <f t="shared" ref="AL345" si="4727">LN(H345/I345)</f>
        <v>4.9572909341589625E-3</v>
      </c>
      <c r="AM345" s="93">
        <f t="shared" ref="AM345" si="4728">LN(O345/P345)</f>
        <v>2.6344494694179113E-3</v>
      </c>
      <c r="AN345" s="93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93">
        <f t="shared" ref="AQ345" si="4732">LN(M345/L345)</f>
        <v>6.4488586859810435E-4</v>
      </c>
      <c r="AR345" s="93">
        <f t="shared" ref="AR345" si="4733">LN(N345/L345)</f>
        <v>1.7619066862154916E-4</v>
      </c>
      <c r="AS345" s="93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93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93">
        <f t="shared" ref="AY345" si="4740">LN(G345/I345)</f>
        <v>2.4428944735989172E-3</v>
      </c>
      <c r="AZ345" s="93">
        <f t="shared" ref="AZ345" si="4741">LN(N345/P345)</f>
        <v>1.6137519041932548E-3</v>
      </c>
      <c r="BA345" s="93">
        <f t="shared" ref="BA345" si="4742">AV344</f>
        <v>0.45218156140826649</v>
      </c>
      <c r="BB345" s="93">
        <f t="shared" ref="BB345" si="4743">AR344</f>
        <v>-6.1972661224084008E-4</v>
      </c>
      <c r="BC345" s="93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15">
      <c r="A346" s="90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95"/>
        <v>3363.2532149999997</v>
      </c>
      <c r="T346" s="92" t="str">
        <f t="shared" ref="T346" si="4746">IF(AVERAGE(N345)&lt;S345,"熊",IF(AVERAGE(N345)&gt;S345,"牛",""))</f>
        <v>熊</v>
      </c>
      <c r="U346" s="92">
        <f t="shared" ref="U346" si="4747">MAX(H346,O346)</f>
        <v>3410.1704</v>
      </c>
      <c r="V346" s="92">
        <f t="shared" ref="V346" si="4748">MIN(I346,P346)</f>
        <v>3367.4742999999999</v>
      </c>
      <c r="W346" s="40">
        <f t="shared" ref="W346" si="4749">LN(U346/V346)</f>
        <v>1.2599263222473124E-2</v>
      </c>
      <c r="X346" s="92">
        <f t="shared" ref="X346" si="4750">IF(U346=H346,J346,Q346)</f>
        <v>930</v>
      </c>
      <c r="Y346" s="92">
        <f t="shared" ref="Y346" si="4751">IF(V346=I346,K346,R346)</f>
        <v>1424</v>
      </c>
      <c r="Z346" s="93">
        <f t="shared" ref="Z346" si="4752">(U346-V346)/(C346)</f>
        <v>1.2545699755216069E-2</v>
      </c>
      <c r="AA346" s="93">
        <f t="shared" ref="AA346" si="4753">LN(C346/N345)</f>
        <v>1.608574543941664E-2</v>
      </c>
      <c r="AB346" s="93">
        <f t="shared" ref="AB346" si="4754">LN(N346/U346)</f>
        <v>-1.0404240796430646E-2</v>
      </c>
      <c r="AC346" s="93">
        <f t="shared" ref="AC346" si="4755">LN(N346/V346)</f>
        <v>2.1950224260423893E-3</v>
      </c>
      <c r="AD346" s="93">
        <f t="shared" ref="AD346" si="4756">LN(U346/C346)</f>
        <v>2.0326374261850993E-3</v>
      </c>
      <c r="AE346" s="93">
        <f t="shared" ref="AE346" si="4757">LN(V346/C346)</f>
        <v>-1.056662579628798E-2</v>
      </c>
      <c r="AF346" s="93">
        <f t="shared" ref="AF346" si="4758">LN(N346/C346)</f>
        <v>-8.3716033702455044E-3</v>
      </c>
      <c r="AG346" s="93">
        <f t="shared" ref="AG346" si="4759">LN(N346/N345)</f>
        <v>7.7141420691710771E-3</v>
      </c>
      <c r="AH346" s="93">
        <f t="shared" ref="AH346" si="4760">LN(D346/C346)</f>
        <v>-8.264057204444246E-4</v>
      </c>
      <c r="AI346" s="93">
        <f t="shared" ref="AI346" si="4761">LN(E346/C346)</f>
        <v>-2.3795305154928233E-3</v>
      </c>
      <c r="AJ346" s="93">
        <f t="shared" ref="AJ346" si="4762">LN(F346/C346)</f>
        <v>-3.8234216264492055E-3</v>
      </c>
      <c r="AK346" s="93">
        <f t="shared" ref="AK346" si="4763">+LN(G346/C346)</f>
        <v>-3.7484154121505608E-3</v>
      </c>
      <c r="AL346" s="93">
        <f t="shared" ref="AL346" si="4764">LN(H346/I346)</f>
        <v>7.8179212315383825E-3</v>
      </c>
      <c r="AM346" s="93">
        <f t="shared" ref="AM346" si="4765">LN(O346/P346)</f>
        <v>7.0122624872639384E-3</v>
      </c>
      <c r="AN346" s="93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93">
        <f t="shared" ref="AQ346" si="4769">LN(M346/L346)</f>
        <v>-1.117387234088403E-3</v>
      </c>
      <c r="AR346" s="93">
        <f t="shared" ref="AR346" si="4770">LN(N346/L346)</f>
        <v>-4.6231879580948968E-3</v>
      </c>
      <c r="AS346" s="93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93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93">
        <f t="shared" ref="AY346" si="4777">LN(G346/I346)</f>
        <v>2.0368683932025103E-3</v>
      </c>
      <c r="AZ346" s="93">
        <f t="shared" ref="AZ346" si="4778">LN(N346/P346)</f>
        <v>2.1950224260423893E-3</v>
      </c>
      <c r="BA346" s="93">
        <f t="shared" ref="BA346" si="4779">AV345</f>
        <v>0.5198795180722986</v>
      </c>
      <c r="BB346" s="93">
        <f t="shared" ref="BB346" si="4780">AR345</f>
        <v>1.7619066862154916E-4</v>
      </c>
      <c r="BC346" s="93">
        <f t="shared" ref="BC346" si="4781">AS345</f>
        <v>2.5802608029386609E-3</v>
      </c>
      <c r="BD346" s="39">
        <f t="shared" ref="BD346" si="4782">IF(AR345&lt;0,1,0)</f>
        <v>0</v>
      </c>
    </row>
    <row r="347" spans="1:62" x14ac:dyDescent="0.15">
      <c r="A347" s="90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95"/>
        <v>3363.0179199999998</v>
      </c>
      <c r="T347" s="92" t="str">
        <f t="shared" ref="T347" si="4783">IF(AVERAGE(N346)&lt;S346,"熊",IF(AVERAGE(N346)&gt;S346,"牛",""))</f>
        <v>牛</v>
      </c>
      <c r="U347" s="92">
        <f t="shared" ref="U347" si="4784">MAX(H347,O347)</f>
        <v>3383.8809000000001</v>
      </c>
      <c r="V347" s="92">
        <f t="shared" ref="V347" si="4785">MIN(I347,P347)</f>
        <v>3358.8422999999998</v>
      </c>
      <c r="W347" s="40">
        <f t="shared" ref="W347" si="4786">LN(U347/V347)</f>
        <v>7.4268850576920536E-3</v>
      </c>
      <c r="X347" s="92">
        <f t="shared" ref="X347" si="4787">IF(U347=H347,J347,Q347)</f>
        <v>941</v>
      </c>
      <c r="Y347" s="92">
        <f t="shared" ref="Y347" si="4788">IF(V347=I347,K347,R347)</f>
        <v>1046</v>
      </c>
      <c r="Z347" s="93">
        <f t="shared" ref="Z347" si="4789">(U347-V347)/(C347)</f>
        <v>7.4224850909095728E-3</v>
      </c>
      <c r="AA347" s="93">
        <f t="shared" ref="AA347" si="4790">LN(C347/N346)</f>
        <v>-4.5330481840810872E-4</v>
      </c>
      <c r="AB347" s="93">
        <f t="shared" ref="AB347" si="4791">LN(N347/U347)</f>
        <v>-1.0071783631845154E-4</v>
      </c>
      <c r="AC347" s="93">
        <f t="shared" ref="AC347" si="4792">LN(N347/V347)</f>
        <v>7.3261672213735867E-3</v>
      </c>
      <c r="AD347" s="93">
        <f t="shared" ref="AD347" si="4793">LN(U347/C347)</f>
        <v>3.1185309825751554E-3</v>
      </c>
      <c r="AE347" s="93">
        <f t="shared" ref="AE347" si="4794">LN(V347/C347)</f>
        <v>-4.3083540751167361E-3</v>
      </c>
      <c r="AF347" s="93">
        <f t="shared" ref="AF347" si="4795">LN(N347/C347)</f>
        <v>3.017813146256744E-3</v>
      </c>
      <c r="AG347" s="93">
        <f t="shared" ref="AG347" si="4796">LN(N347/N346)</f>
        <v>2.5645083278486246E-3</v>
      </c>
      <c r="AH347" s="93">
        <f t="shared" ref="AH347" si="4797">LN(D347/C347)</f>
        <v>3.791417437859364E-5</v>
      </c>
      <c r="AI347" s="93">
        <f t="shared" ref="AI347" si="4798">LN(E347/C347)</f>
        <v>1.5218106802113143E-3</v>
      </c>
      <c r="AJ347" s="93">
        <f t="shared" ref="AJ347" si="4799">LN(F347/C347)</f>
        <v>2.9340807675990134E-3</v>
      </c>
      <c r="AK347" s="93">
        <f t="shared" ref="AK347" si="4800">+LN(G347/C347)</f>
        <v>-3.0367601967977247E-3</v>
      </c>
      <c r="AL347" s="93">
        <f t="shared" ref="AL347" si="4801">LN(H347/I347)</f>
        <v>7.4268850576920536E-3</v>
      </c>
      <c r="AM347" s="93">
        <f t="shared" ref="AM347" si="4802">LN(O347/P347)</f>
        <v>6.0952104279288089E-3</v>
      </c>
      <c r="AN347" s="93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93">
        <f t="shared" ref="AQ347" si="4806">LN(M347/L347)</f>
        <v>5.3929474801776042E-4</v>
      </c>
      <c r="AR347" s="93">
        <f t="shared" ref="AR347" si="4807">LN(N347/L347)</f>
        <v>6.0545733430546027E-3</v>
      </c>
      <c r="AS347" s="93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93">
        <f t="shared" ref="AW347" si="4812">LN(N347/C347)</f>
        <v>3.017813146256744E-3</v>
      </c>
      <c r="AX347" s="28">
        <f t="shared" ref="AX347" si="4813">(N347-L347)/(U347-V347)</f>
        <v>0.8157005583379151</v>
      </c>
      <c r="AY347" s="93">
        <f t="shared" ref="AY347" si="4814">LN(G347/I347)</f>
        <v>1.271593878318958E-3</v>
      </c>
      <c r="AZ347" s="93">
        <f t="shared" ref="AZ347" si="4815">LN(N347/P347)</f>
        <v>6.0545733430546027E-3</v>
      </c>
      <c r="BA347" s="93">
        <f t="shared" ref="BA347" si="4816">AV346</f>
        <v>0.1733132534353283</v>
      </c>
      <c r="BB347" s="93">
        <f t="shared" ref="BB347" si="4817">AR346</f>
        <v>-4.6231879580948968E-3</v>
      </c>
      <c r="BC347" s="93">
        <f t="shared" ref="BC347" si="4818">AS346</f>
        <v>-8.3716033702455044E-3</v>
      </c>
      <c r="BD347" s="39">
        <f t="shared" ref="BD347" si="4819">IF(AR346&lt;0,1,0)</f>
        <v>1</v>
      </c>
    </row>
    <row r="348" spans="1:62" x14ac:dyDescent="0.15">
      <c r="A348" s="90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95"/>
        <v>3362.9384600000003</v>
      </c>
      <c r="T348" s="92" t="str">
        <f t="shared" ref="T348" si="4820">IF(AVERAGE(N347)&lt;S347,"熊",IF(AVERAGE(N347)&gt;S347,"牛",""))</f>
        <v>牛</v>
      </c>
      <c r="U348" s="92">
        <f t="shared" ref="U348" si="4821">MAX(H348,O348)</f>
        <v>3395.52</v>
      </c>
      <c r="V348" s="92">
        <f t="shared" ref="V348" si="4822">MIN(I348,P348)</f>
        <v>3379.23</v>
      </c>
      <c r="W348" s="40">
        <f t="shared" ref="W348" si="4823">LN(U348/V348)</f>
        <v>4.8090428118364387E-3</v>
      </c>
      <c r="X348" s="92">
        <f t="shared" ref="X348" si="4824">IF(U348=H348,J348,Q348)</f>
        <v>1301</v>
      </c>
      <c r="Y348" s="92">
        <f t="shared" ref="Y348" si="4825">IF(V348=I348,K348,R348)</f>
        <v>939</v>
      </c>
      <c r="Z348" s="93">
        <f t="shared" ref="Z348" si="4826">(U348-V348)/(C348)</f>
        <v>4.8174172255935161E-3</v>
      </c>
      <c r="AA348" s="93">
        <f t="shared" ref="AA348" si="4827">LN(C348/N347)</f>
        <v>-6.090447724406711E-4</v>
      </c>
      <c r="AB348" s="93">
        <f t="shared" ref="AB348" si="4828">LN(N348/U348)</f>
        <v>-2.1344977000604041E-3</v>
      </c>
      <c r="AC348" s="93">
        <f t="shared" ref="AC348" si="4829">LN(N348/V348)</f>
        <v>2.6745451117761521E-3</v>
      </c>
      <c r="AD348" s="93">
        <f t="shared" ref="AD348" si="4830">LN(U348/C348)</f>
        <v>4.1434322226913782E-3</v>
      </c>
      <c r="AE348" s="93">
        <f t="shared" ref="AE348" si="4831">LN(V348/C348)</f>
        <v>-6.6561058914512284E-4</v>
      </c>
      <c r="AF348" s="93">
        <f t="shared" ref="AF348" si="4832">LN(N348/C348)</f>
        <v>2.0089345226310638E-3</v>
      </c>
      <c r="AG348" s="93">
        <f t="shared" ref="AG348" si="4833">LN(N348/N347)</f>
        <v>1.3998897501904927E-3</v>
      </c>
      <c r="AH348" s="93">
        <f t="shared" ref="AH348" si="4834">LN(D348/C348)</f>
        <v>5.0272580901516955E-5</v>
      </c>
      <c r="AI348" s="93">
        <f t="shared" ref="AI348" si="4835">LN(E348/C348)</f>
        <v>-2.6615918982768804E-5</v>
      </c>
      <c r="AJ348" s="93">
        <f t="shared" ref="AJ348" si="4836">LN(F348/C348)</f>
        <v>-3.1943779220678926E-4</v>
      </c>
      <c r="AK348" s="93">
        <f t="shared" ref="AK348" si="4837">+LN(G348/C348)</f>
        <v>3.604341505415247E-3</v>
      </c>
      <c r="AL348" s="93">
        <f t="shared" ref="AL348" si="4838">LN(H348/I348)</f>
        <v>4.2699520945604563E-3</v>
      </c>
      <c r="AM348" s="93">
        <f t="shared" ref="AM348" si="4839">LN(O348/P348)</f>
        <v>3.3009609831599332E-3</v>
      </c>
      <c r="AN348" s="93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93">
        <f t="shared" ref="AQ348" si="4843">LN(M348/L348)</f>
        <v>-7.6897131048059265E-4</v>
      </c>
      <c r="AR348" s="93">
        <f t="shared" ref="AR348" si="4844">LN(N348/L348)</f>
        <v>-2.1138820884459551E-3</v>
      </c>
      <c r="AS348" s="93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93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93">
        <f t="shared" ref="AY348" si="4851">LN(G348/I348)</f>
        <v>4.2699520945604563E-3</v>
      </c>
      <c r="AZ348" s="93">
        <f t="shared" ref="AZ348" si="4852">LN(N348/P348)</f>
        <v>1.1664632830994763E-3</v>
      </c>
      <c r="BA348" s="93">
        <f t="shared" ref="BA348" si="4853">AV347</f>
        <v>0.98638901536028611</v>
      </c>
      <c r="BB348" s="93">
        <f t="shared" ref="BB348" si="4854">AR347</f>
        <v>6.0545733430546027E-3</v>
      </c>
      <c r="BC348" s="93">
        <f t="shared" ref="BC348" si="4855">AS347</f>
        <v>3.017813146256744E-3</v>
      </c>
      <c r="BD348" s="39">
        <f t="shared" ref="BD348" si="4856">IF(AR347&lt;0,1,0)</f>
        <v>0</v>
      </c>
      <c r="BE348" s="92"/>
    </row>
    <row r="349" spans="1:62" x14ac:dyDescent="0.15">
      <c r="A349" s="90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95"/>
        <v>3363.0834600000003</v>
      </c>
      <c r="T349" s="92" t="str">
        <f t="shared" ref="T349" si="4857">IF(AVERAGE(N348)&lt;S348,"熊",IF(AVERAGE(N348)&gt;S348,"牛",""))</f>
        <v>牛</v>
      </c>
      <c r="U349" s="92">
        <f t="shared" ref="U349" si="4858">MAX(H349,O349)</f>
        <v>3390.2</v>
      </c>
      <c r="V349" s="92">
        <f t="shared" ref="V349" si="4859">MIN(I349,P349)</f>
        <v>3372.69</v>
      </c>
      <c r="W349" s="40">
        <f t="shared" ref="W349" si="4860">LN(U349/V349)</f>
        <v>5.1782711612330173E-3</v>
      </c>
      <c r="X349" s="92">
        <f t="shared" ref="X349" si="4861">IF(U349=H349,J349,Q349)</f>
        <v>1451</v>
      </c>
      <c r="Y349" s="92">
        <f t="shared" ref="Y349" si="4862">IF(V349=I349,K349,R349)</f>
        <v>1419</v>
      </c>
      <c r="Z349" s="93">
        <f t="shared" ref="Z349" si="4863">(U349-V349)/(C349)</f>
        <v>5.1720114723543325E-3</v>
      </c>
      <c r="AA349" s="93">
        <f t="shared" ref="AA349" si="4864">LN(C349/N348)</f>
        <v>-8.1195077838949205E-4</v>
      </c>
      <c r="AB349" s="93">
        <f t="shared" ref="AB349" si="4865">LN(N349/U349)</f>
        <v>-1.210100054695613E-3</v>
      </c>
      <c r="AC349" s="93">
        <f t="shared" ref="AC349" si="4866">LN(N349/V349)</f>
        <v>3.9681711065374728E-3</v>
      </c>
      <c r="AD349" s="93">
        <f t="shared" ref="AD349" si="4867">LN(U349/C349)</f>
        <v>1.3784494776102926E-3</v>
      </c>
      <c r="AE349" s="93">
        <f t="shared" ref="AE349" si="4868">LN(V349/C349)</f>
        <v>-3.7998216836227254E-3</v>
      </c>
      <c r="AF349" s="93">
        <f t="shared" ref="AF349" si="4869">LN(N349/C349)</f>
        <v>1.6834942291468562E-4</v>
      </c>
      <c r="AG349" s="93">
        <f t="shared" ref="AG349" si="4870">LN(N349/N348)</f>
        <v>-6.4360135547479993E-4</v>
      </c>
      <c r="AH349" s="93">
        <f t="shared" ref="AH349" si="4871">LN(D349/C349)</f>
        <v>-1.1224869596529282E-4</v>
      </c>
      <c r="AI349" s="93">
        <f t="shared" ref="AI349" si="4872">LN(E349/C349)</f>
        <v>-1.7722640674036478E-5</v>
      </c>
      <c r="AJ349" s="93">
        <f t="shared" ref="AJ349" si="4873">LN(F349/C349)</f>
        <v>8.8868293303657944E-4</v>
      </c>
      <c r="AK349" s="93">
        <f t="shared" ref="AK349" si="4874">+LN(G349/C349)</f>
        <v>-9.2495053085706839E-4</v>
      </c>
      <c r="AL349" s="93">
        <f t="shared" ref="AL349" si="4875">LN(H349/I349)</f>
        <v>3.2036721828615977E-3</v>
      </c>
      <c r="AM349" s="93">
        <f t="shared" ref="AM349" si="4876">LN(O349/P349)</f>
        <v>5.1782711612330173E-3</v>
      </c>
      <c r="AN349" s="93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93">
        <f t="shared" ref="AQ349" si="4880">LN(M349/L349)</f>
        <v>-7.6850546415735532E-5</v>
      </c>
      <c r="AR349" s="93">
        <f t="shared" ref="AR349" si="4881">LN(N349/L349)</f>
        <v>8.2134072233147842E-4</v>
      </c>
      <c r="AS349" s="93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93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93">
        <f t="shared" ref="AY349" si="4888">LN(G349/I349)</f>
        <v>1.2424934296739246E-3</v>
      </c>
      <c r="AZ349" s="93">
        <f t="shared" ref="AZ349" si="4889">LN(N349/P349)</f>
        <v>3.9681711065374728E-3</v>
      </c>
      <c r="BA349" s="93">
        <f t="shared" ref="BA349" si="4890">AV348</f>
        <v>0.55555555555556801</v>
      </c>
      <c r="BB349" s="93">
        <f t="shared" ref="BB349" si="4891">AR348</f>
        <v>-2.1138820884459551E-3</v>
      </c>
      <c r="BC349" s="93">
        <f t="shared" ref="BC349" si="4892">AS348</f>
        <v>2.0089345226310638E-3</v>
      </c>
      <c r="BD349" s="39">
        <f t="shared" ref="BD349" si="4893">IF(AR348&lt;0,1,0)</f>
        <v>1</v>
      </c>
    </row>
    <row r="350" spans="1:62" x14ac:dyDescent="0.15">
      <c r="A350" s="90">
        <v>43021</v>
      </c>
      <c r="B350" s="41">
        <f t="shared" si="4153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95"/>
        <v>3364.1139600000001</v>
      </c>
      <c r="T350" s="92" t="str">
        <f t="shared" ref="T350" si="4894">IF(AVERAGE(N349)&lt;S349,"熊",IF(AVERAGE(N349)&gt;S349,"牛",""))</f>
        <v>牛</v>
      </c>
      <c r="U350" s="92">
        <f t="shared" ref="U350" si="4895">MAX(H350,O350)</f>
        <v>3395.35</v>
      </c>
      <c r="V350" s="92">
        <f t="shared" ref="V350" si="4896">MIN(I350,P350)</f>
        <v>3383.45</v>
      </c>
      <c r="W350" s="40">
        <f t="shared" ref="W350" si="4897">LN(U350/V350)</f>
        <v>3.5109494966781311E-3</v>
      </c>
      <c r="X350" s="92">
        <f t="shared" ref="X350" si="4898">IF(U350=H350,J350,Q350)</f>
        <v>1436</v>
      </c>
      <c r="Y350" s="92">
        <f t="shared" ref="Y350" si="4899">IF(V350=I350,K350,R350)</f>
        <v>1012</v>
      </c>
      <c r="Z350" s="93">
        <f t="shared" ref="Z350" si="4900">(U350-V350)/(C350)</f>
        <v>3.5160497328984336E-3</v>
      </c>
      <c r="AA350" s="93">
        <f t="shared" ref="AA350" si="4901">LN(C350/N349)</f>
        <v>-4.7854099085020132E-4</v>
      </c>
      <c r="AB350" s="93">
        <f t="shared" ref="AB350" si="4902">LN(N350/U350)</f>
        <v>-1.4235465211270245E-3</v>
      </c>
      <c r="AC350" s="93">
        <f t="shared" ref="AC350" si="4903">LN(N350/V350)</f>
        <v>2.0874029755511745E-3</v>
      </c>
      <c r="AD350" s="93">
        <f t="shared" ref="AD350" si="4904">LN(U350/C350)</f>
        <v>3.2065728237656997E-3</v>
      </c>
      <c r="AE350" s="93">
        <f t="shared" ref="AE350" si="4905">LN(V350/C350)</f>
        <v>-3.0437667291243836E-4</v>
      </c>
      <c r="AF350" s="93">
        <f t="shared" ref="AF350" si="4906">LN(N350/C350)</f>
        <v>1.7830263026387188E-3</v>
      </c>
      <c r="AG350" s="93">
        <f t="shared" ref="AG350" si="4907">LN(N350/N349)</f>
        <v>1.3044853117886114E-3</v>
      </c>
      <c r="AH350" s="93">
        <f t="shared" ref="AH350" si="4908">LN(D350/C350)</f>
        <v>-9.4553706575799159E-5</v>
      </c>
      <c r="AI350" s="93">
        <f t="shared" ref="AI350" si="4909">LN(E350/C350)</f>
        <v>1.7727824707702908E-5</v>
      </c>
      <c r="AJ350" s="93">
        <f t="shared" ref="AJ350" si="4910">LN(F350/C350)</f>
        <v>4.5786802680425207E-4</v>
      </c>
      <c r="AK350" s="93">
        <f t="shared" ref="AK350" si="4911">+LN(G350/C350)</f>
        <v>2.0071555907869008E-3</v>
      </c>
      <c r="AL350" s="93">
        <f t="shared" ref="AL350" si="4912">LN(H350/I350)</f>
        <v>2.4058874639201868E-3</v>
      </c>
      <c r="AM350" s="93">
        <f t="shared" ref="AM350" si="4913">LN(O350/P350)</f>
        <v>2.7073592962320249E-3</v>
      </c>
      <c r="AN350" s="93">
        <f t="shared" ref="AN350" si="4914">LN(L350/G350)</f>
        <v>1.7396047602884302E-4</v>
      </c>
      <c r="AO350" s="40">
        <f t="shared" ref="AO350" si="4915">(C350-I350)/(H350-I350)</f>
        <v>0.12638036809818265</v>
      </c>
      <c r="AP350" s="40">
        <f t="shared" ref="AP350" si="4916">(N349-I350)/(H350-I350)</f>
        <v>0.32515337423313634</v>
      </c>
      <c r="AQ350" s="93">
        <f t="shared" ref="AQ350" si="4917">LN(M350/L350)</f>
        <v>-5.6326981080302013E-4</v>
      </c>
      <c r="AR350" s="93">
        <f t="shared" ref="AR350" si="4918">LN(N350/L350)</f>
        <v>-3.9808976417706594E-4</v>
      </c>
      <c r="AS350" s="93">
        <f t="shared" ref="AS350" si="4919">LN(N350/C350)</f>
        <v>1.7830263026387188E-3</v>
      </c>
      <c r="AT350" s="28">
        <f t="shared" ref="AT350" si="4920">+(G350-I350)/(H350-I350)</f>
        <v>0.9607361963190546</v>
      </c>
      <c r="AU350" s="28">
        <f t="shared" ref="AU350" si="4921">+(N350-P350)/(O350-P350)</f>
        <v>0.47385620915032534</v>
      </c>
      <c r="AV350" s="40">
        <f t="shared" ref="AV350" si="4922">+(N350-V350)/(U350-V350)</f>
        <v>0.59411764705883274</v>
      </c>
      <c r="AW350" s="93">
        <f t="shared" ref="AW350" si="4923">LN(N350/C350)</f>
        <v>1.7830263026387188E-3</v>
      </c>
      <c r="AX350" s="28">
        <f t="shared" ref="AX350" si="4924">(N350-L350)/(U350-V350)</f>
        <v>-0.113445378151252</v>
      </c>
      <c r="AY350" s="93">
        <f t="shared" ref="AY350" si="4925">LN(G350/I350)</f>
        <v>2.3115322636993885E-3</v>
      </c>
      <c r="AZ350" s="93">
        <f t="shared" ref="AZ350" si="4926">LN(N350/P350)</f>
        <v>1.2838127751050486E-3</v>
      </c>
      <c r="BA350" s="93">
        <f t="shared" ref="BA350" si="4927">AV349</f>
        <v>0.76584808680754057</v>
      </c>
      <c r="BB350" s="93">
        <f t="shared" ref="BB350" si="4928">AR349</f>
        <v>8.2134072233147842E-4</v>
      </c>
      <c r="BC350" s="93">
        <f t="shared" ref="BC350" si="4929">AS349</f>
        <v>1.6834942291468562E-4</v>
      </c>
      <c r="BD350" s="39">
        <f t="shared" ref="BD350" si="4930">IF(AR349&lt;0,1,0)</f>
        <v>0</v>
      </c>
      <c r="BE350" s="92"/>
    </row>
    <row r="351" spans="1:62" x14ac:dyDescent="0.15">
      <c r="A351" s="90">
        <v>43024</v>
      </c>
      <c r="B351" s="41">
        <f t="shared" si="4153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95"/>
        <v>3365.3779600000003</v>
      </c>
      <c r="T351" s="92" t="str">
        <f t="shared" ref="T351" si="4931">IF(AVERAGE(N350)&lt;S350,"熊",IF(AVERAGE(N350)&gt;S350,"牛",""))</f>
        <v>牛</v>
      </c>
      <c r="U351" s="92">
        <f t="shared" ref="U351" si="4932">MAX(H351,O351)</f>
        <v>3400.49</v>
      </c>
      <c r="V351" s="92">
        <f t="shared" ref="V351" si="4933">MIN(I351,P351)</f>
        <v>3374.83</v>
      </c>
      <c r="W351" s="40">
        <f t="shared" ref="W351" si="4934">LN(U351/V351)</f>
        <v>7.5745861997309812E-3</v>
      </c>
      <c r="X351" s="92">
        <f t="shared" ref="X351" si="4935">IF(U351=H351,J351,Q351)</f>
        <v>1046</v>
      </c>
      <c r="Y351" s="92">
        <f t="shared" ref="Y351" si="4936">IF(V351=I351,K351,R351)</f>
        <v>1332</v>
      </c>
      <c r="Z351" s="93">
        <f t="shared" ref="Z351" si="4937">(U351-V351)/(C351)</f>
        <v>7.5621831899091874E-3</v>
      </c>
      <c r="AA351" s="93">
        <f t="shared" ref="AA351" si="4938">LN(C351/N350)</f>
        <v>7.9012699210073256E-4</v>
      </c>
      <c r="AB351" s="93">
        <f t="shared" ref="AB351" si="4939">LN(N351/U351)</f>
        <v>-6.4965945948879137E-3</v>
      </c>
      <c r="AC351" s="93">
        <f t="shared" ref="AC351" si="4940">LN(N351/V351)</f>
        <v>1.0779916048430486E-3</v>
      </c>
      <c r="AD351" s="93">
        <f t="shared" ref="AD351" si="4941">LN(U351/C351)</f>
        <v>2.146109933781505E-3</v>
      </c>
      <c r="AE351" s="93">
        <f t="shared" ref="AE351" si="4942">LN(V351/C351)</f>
        <v>-5.4284762659494888E-3</v>
      </c>
      <c r="AF351" s="93">
        <f t="shared" ref="AF351" si="4943">LN(N351/C351)</f>
        <v>-4.3504846611065002E-3</v>
      </c>
      <c r="AG351" s="93">
        <f t="shared" ref="AG351" si="4944">LN(N351/N350)</f>
        <v>-3.5603576690057216E-3</v>
      </c>
      <c r="AH351" s="93">
        <f t="shared" ref="AH351" si="4945">LN(D351/C351)</f>
        <v>-1.011356468438477E-3</v>
      </c>
      <c r="AI351" s="93">
        <f t="shared" ref="AI351" si="4946">LN(E351/C351)</f>
        <v>-1.3418169622386592E-3</v>
      </c>
      <c r="AJ351" s="93">
        <f t="shared" ref="AJ351" si="4947">LN(F351/C351)</f>
        <v>-6.6331082965341299E-4</v>
      </c>
      <c r="AK351" s="93">
        <f t="shared" ref="AK351" si="4948">+LN(G351/C351)</f>
        <v>-1.6517228861356969E-3</v>
      </c>
      <c r="AL351" s="93">
        <f t="shared" ref="AL351" si="4949">LN(H351/I351)</f>
        <v>3.8745862672176857E-3</v>
      </c>
      <c r="AM351" s="93">
        <f t="shared" ref="AM351" si="4950">LN(O351/P351)</f>
        <v>3.8387422484039628E-3</v>
      </c>
      <c r="AN351" s="93">
        <f t="shared" ref="AN351" si="4951">LN(L351/G351)</f>
        <v>-1.0455339820595541E-3</v>
      </c>
      <c r="AO351" s="40">
        <f t="shared" ref="AO351" si="4952">(C351-I351)/(H351-I351)</f>
        <v>0.44562737642584294</v>
      </c>
      <c r="AP351" s="40">
        <f t="shared" ref="AP351" si="4953">(N350-I351)/(H351-I351)</f>
        <v>0.24182509505702846</v>
      </c>
      <c r="AQ351" s="93">
        <f t="shared" ref="AQ351" si="4954">LN(M351/L351)</f>
        <v>-3.5171045430258007E-4</v>
      </c>
      <c r="AR351" s="93">
        <f t="shared" ref="AR351" si="4955">LN(N351/L351)</f>
        <v>-1.6532277929112616E-3</v>
      </c>
      <c r="AS351" s="93">
        <f t="shared" ref="AS351" si="4956">LN(N351/C351)</f>
        <v>-4.3504846611065002E-3</v>
      </c>
      <c r="AT351" s="28">
        <f t="shared" ref="AT351" si="4957">+(G351-I351)/(H351-I351)</f>
        <v>1.9771863117853287E-2</v>
      </c>
      <c r="AU351" s="28">
        <f t="shared" ref="AU351" si="4958">+(N351-P351)/(O351-P351)</f>
        <v>0.28043143297379564</v>
      </c>
      <c r="AV351" s="40">
        <f t="shared" ref="AV351" si="4959">+(N351-V351)/(U351-V351)</f>
        <v>0.14185502727980878</v>
      </c>
      <c r="AW351" s="93">
        <f t="shared" ref="AW351" si="4960">LN(N351/C351)</f>
        <v>-4.3504846611065002E-3</v>
      </c>
      <c r="AX351" s="28">
        <f t="shared" ref="AX351" si="4961">(N351-L351)/(U351-V351)</f>
        <v>-0.21784879189400536</v>
      </c>
      <c r="AY351" s="93">
        <f t="shared" ref="AY351" si="4962">LN(G351/I351)</f>
        <v>7.675344730061937E-5</v>
      </c>
      <c r="AZ351" s="93">
        <f t="shared" ref="AZ351" si="4963">LN(N351/P351)</f>
        <v>1.0779916048430486E-3</v>
      </c>
      <c r="BA351" s="93">
        <f t="shared" ref="BA351" si="4964">AV350</f>
        <v>0.59411764705883274</v>
      </c>
      <c r="BB351" s="93">
        <f t="shared" ref="BB351" si="4965">AR350</f>
        <v>-3.9808976417706594E-4</v>
      </c>
      <c r="BC351" s="93">
        <f t="shared" ref="BC351" si="4966">AS350</f>
        <v>1.7830263026387188E-3</v>
      </c>
      <c r="BD351" s="39">
        <f t="shared" ref="BD351" si="4967">IF(AR350&lt;0,1,0)</f>
        <v>1</v>
      </c>
    </row>
    <row r="352" spans="1:62" x14ac:dyDescent="0.15">
      <c r="A352" s="90">
        <v>43025</v>
      </c>
      <c r="B352" s="41">
        <f t="shared" si="4153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95"/>
        <v>3365.4179600000002</v>
      </c>
      <c r="T352" s="92" t="str">
        <f t="shared" ref="T352" si="4968">IF(AVERAGE(N351)&lt;S351,"熊",IF(AVERAGE(N351)&gt;S351,"牛",""))</f>
        <v>牛</v>
      </c>
      <c r="U352" s="92">
        <f t="shared" ref="U352" si="4969">MAX(H352,O352)</f>
        <v>3382.35</v>
      </c>
      <c r="V352" s="92">
        <f t="shared" ref="V352" si="4970">MIN(I352,P352)</f>
        <v>3365.71</v>
      </c>
      <c r="W352" s="40">
        <f t="shared" ref="W352" si="4971">LN(U352/V352)</f>
        <v>4.9317977988832858E-3</v>
      </c>
      <c r="X352" s="92">
        <f t="shared" ref="X352" si="4972">IF(U352=H352,J352,Q352)</f>
        <v>1335</v>
      </c>
      <c r="Y352" s="92">
        <f t="shared" ref="Y352" si="4973">IF(V352=I352,K352,R352)</f>
        <v>1026</v>
      </c>
      <c r="Z352" s="93">
        <f t="shared" ref="Z352" si="4974">(U352-V352)/(C352)</f>
        <v>4.9329574324904835E-3</v>
      </c>
      <c r="AA352" s="93">
        <f t="shared" ref="AA352" si="4975">LN(C352/N351)</f>
        <v>-1.5522019793753788E-3</v>
      </c>
      <c r="AB352" s="93">
        <f t="shared" ref="AB352" si="4976">LN(N352/U352)</f>
        <v>-3.0528317160377926E-3</v>
      </c>
      <c r="AC352" s="93">
        <f t="shared" ref="AC352" si="4977">LN(N352/V352)</f>
        <v>1.8789660828453822E-3</v>
      </c>
      <c r="AD352" s="93">
        <f t="shared" ref="AD352" si="4978">LN(U352/C352)</f>
        <v>2.6999918705324349E-3</v>
      </c>
      <c r="AE352" s="93">
        <f t="shared" ref="AE352" si="4979">LN(V352/C352)</f>
        <v>-2.2318059283507096E-3</v>
      </c>
      <c r="AF352" s="93">
        <f t="shared" ref="AF352" si="4980">LN(N352/C352)</f>
        <v>-3.5283984550538763E-4</v>
      </c>
      <c r="AG352" s="93">
        <f t="shared" ref="AG352" si="4981">LN(N352/N351)</f>
        <v>-1.9050418248806437E-3</v>
      </c>
      <c r="AH352" s="93">
        <f t="shared" ref="AH352" si="4982">LN(D352/C352)</f>
        <v>-2.4015476755925717E-4</v>
      </c>
      <c r="AI352" s="93">
        <f t="shared" ref="AI352" si="4983">LN(E352/C352)</f>
        <v>7.2308082985732139E-4</v>
      </c>
      <c r="AJ352" s="93">
        <f t="shared" ref="AJ352" si="4984">LN(F352/C352)</f>
        <v>6.2531768026549434E-4</v>
      </c>
      <c r="AK352" s="93">
        <f t="shared" ref="AK352" si="4985">+LN(G352/C352)</f>
        <v>2.2978237055930142E-3</v>
      </c>
      <c r="AL352" s="93">
        <f t="shared" ref="AL352" si="4986">LN(H352/I352)</f>
        <v>4.6065272300446405E-3</v>
      </c>
      <c r="AM352" s="93">
        <f t="shared" ref="AM352" si="4987">LN(O352/P352)</f>
        <v>3.6579898172228753E-3</v>
      </c>
      <c r="AN352" s="93">
        <f t="shared" ref="AN352" si="4988">LN(L352/G352)</f>
        <v>1.3308825397514111E-4</v>
      </c>
      <c r="AO352" s="40">
        <f t="shared" ref="AO352" si="4989">(C352-I352)/(H352-I352)</f>
        <v>0.48391248391248387</v>
      </c>
      <c r="AP352" s="40">
        <f t="shared" ref="AP352" si="4990">(N351-I352)/(H352-I352)</f>
        <v>0.82110682110680777</v>
      </c>
      <c r="AQ352" s="93">
        <f t="shared" ref="AQ352" si="4991">LN(M352/L352)</f>
        <v>-5.235826781210042E-4</v>
      </c>
      <c r="AR352" s="93">
        <f t="shared" ref="AR352" si="4992">LN(N352/L352)</f>
        <v>-2.7837518050735674E-3</v>
      </c>
      <c r="AS352" s="93">
        <f t="shared" ref="AS352" si="4993">LN(N352/C352)</f>
        <v>-3.5283984550538763E-4</v>
      </c>
      <c r="AT352" s="28">
        <f t="shared" ref="AT352" si="4994">+(G352-I352)/(H352-I352)</f>
        <v>0.98326898326896917</v>
      </c>
      <c r="AU352" s="28">
        <f t="shared" ref="AU352" si="4995">+(N352-P352)/(O352-P352)</f>
        <v>0.16518218623481609</v>
      </c>
      <c r="AV352" s="40">
        <f t="shared" ref="AV352" si="4996">+(N352-V352)/(U352-V352)</f>
        <v>0.38040865384615241</v>
      </c>
      <c r="AW352" s="93">
        <f t="shared" ref="AW352" si="4997">LN(N352/C352)</f>
        <v>-3.5283984550538763E-4</v>
      </c>
      <c r="AX352" s="28">
        <f t="shared" ref="AX352" si="4998">(N352-L352)/(U352-V352)</f>
        <v>-0.56490384615385592</v>
      </c>
      <c r="AY352" s="93">
        <f t="shared" ref="AY352" si="4999">LN(G352/I352)</f>
        <v>4.5296296339437242E-3</v>
      </c>
      <c r="AZ352" s="93">
        <f t="shared" ref="AZ352" si="5000">LN(N352/P352)</f>
        <v>6.0515810118498049E-4</v>
      </c>
      <c r="BA352" s="93">
        <f t="shared" ref="BA352" si="5001">AV351</f>
        <v>0.14185502727980878</v>
      </c>
      <c r="BB352" s="93">
        <f t="shared" ref="BB352" si="5002">AR351</f>
        <v>-1.6532277929112616E-3</v>
      </c>
      <c r="BC352" s="93">
        <f t="shared" ref="BC352" si="5003">AS351</f>
        <v>-4.3504846611065002E-3</v>
      </c>
      <c r="BD352" s="39">
        <f t="shared" ref="BD352" si="5004">IF(AR351&lt;0,1,0)</f>
        <v>1</v>
      </c>
      <c r="BE352" s="92" t="s">
        <v>500</v>
      </c>
    </row>
    <row r="353" spans="1:58" x14ac:dyDescent="0.15">
      <c r="A353" s="90">
        <v>43026</v>
      </c>
      <c r="B353" s="41">
        <f t="shared" si="4153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95"/>
        <v>3365.0459599999995</v>
      </c>
      <c r="T353" s="92" t="str">
        <f t="shared" ref="T353" si="5005">IF(AVERAGE(N352)&lt;S352,"熊",IF(AVERAGE(N352)&gt;S352,"牛",""))</f>
        <v>牛</v>
      </c>
      <c r="U353" s="92">
        <f t="shared" ref="U353" si="5006">MAX(H353,O353)</f>
        <v>3382.61</v>
      </c>
      <c r="V353" s="92">
        <f t="shared" ref="V353" si="5007">MIN(I353,P353)</f>
        <v>3372</v>
      </c>
      <c r="W353" s="40">
        <f t="shared" ref="W353" si="5008">LN(U353/V353)</f>
        <v>3.1415607196260973E-3</v>
      </c>
      <c r="X353" s="92">
        <f t="shared" ref="X353" si="5009">IF(U353=H353,J353,Q353)</f>
        <v>1458</v>
      </c>
      <c r="Y353" s="92">
        <f t="shared" ref="Y353" si="5010">IF(V353=I353,K353,R353)</f>
        <v>1431</v>
      </c>
      <c r="Z353" s="93">
        <f t="shared" ref="Z353" si="5011">(U353-V353)/(C353)</f>
        <v>3.1450735579645435E-3</v>
      </c>
      <c r="AA353" s="93">
        <f t="shared" ref="AA353" si="5012">LN(C353/N352)</f>
        <v>4.4177142160939988E-4</v>
      </c>
      <c r="AB353" s="93">
        <f t="shared" ref="AB353" si="5013">LN(N353/U353)</f>
        <v>-2.4244574656049036E-4</v>
      </c>
      <c r="AC353" s="93">
        <f t="shared" ref="AC353" si="5014">LN(N353/V353)</f>
        <v>2.8991149730655088E-3</v>
      </c>
      <c r="AD353" s="93">
        <f t="shared" ref="AD353" si="5015">LN(U353/C353)</f>
        <v>2.6879269721703349E-3</v>
      </c>
      <c r="AE353" s="93">
        <f t="shared" ref="AE353" si="5016">LN(V353/C353)</f>
        <v>-4.5363374745580097E-4</v>
      </c>
      <c r="AF353" s="93">
        <f t="shared" ref="AF353" si="5017">LN(N353/C353)</f>
        <v>2.4454812256098956E-3</v>
      </c>
      <c r="AG353" s="93">
        <f t="shared" ref="AG353" si="5018">LN(N353/N352)</f>
        <v>2.8872526472191198E-3</v>
      </c>
      <c r="AH353" s="93">
        <f t="shared" ref="AH353" si="5019">LN(D353/C353)</f>
        <v>8.918426622267306E-4</v>
      </c>
      <c r="AI353" s="93">
        <f t="shared" ref="AI353" si="5020">LN(E353/C353)</f>
        <v>1.1109779080466897E-3</v>
      </c>
      <c r="AJ353" s="93">
        <f t="shared" ref="AJ353" si="5021">LN(F353/C353)</f>
        <v>8.5334097036865572E-4</v>
      </c>
      <c r="AK353" s="93">
        <f t="shared" ref="AK353" si="5022">+LN(G353/C353)</f>
        <v>2.3035344849712935E-3</v>
      </c>
      <c r="AL353" s="93">
        <f t="shared" ref="AL353" si="5023">LN(H353/I353)</f>
        <v>2.4898354502831204E-3</v>
      </c>
      <c r="AM353" s="93">
        <f t="shared" ref="AM353" si="5024">LN(O353/P353)</f>
        <v>3.1415607196260973E-3</v>
      </c>
      <c r="AN353" s="93">
        <f t="shared" ref="AN353" si="5025">LN(L353/G353)</f>
        <v>-2.6617257152433851E-5</v>
      </c>
      <c r="AO353" s="40">
        <f t="shared" ref="AO353" si="5026">(C353-I353)/(H353-I353)</f>
        <v>0</v>
      </c>
      <c r="AP353" s="40">
        <f t="shared" ref="AP353" si="5027">(N352-I353)/(H353-I353)</f>
        <v>-0.17717003567185044</v>
      </c>
      <c r="AQ353" s="93">
        <f t="shared" ref="AQ353" si="5028">LN(M353/L353)</f>
        <v>-1.3901274355159726E-4</v>
      </c>
      <c r="AR353" s="93">
        <f t="shared" ref="AR353" si="5029">LN(N353/L353)</f>
        <v>1.6856399779090252E-4</v>
      </c>
      <c r="AS353" s="93">
        <f t="shared" ref="AS353" si="5030">LN(N353/C353)</f>
        <v>2.4454812256098956E-3</v>
      </c>
      <c r="AT353" s="28">
        <f t="shared" ref="AT353" si="5031">+(G353-I353)/(H353-I353)</f>
        <v>0.92508917954814274</v>
      </c>
      <c r="AU353" s="28">
        <f t="shared" ref="AU353" si="5032">+(N353-P353)/(O353-P353)</f>
        <v>0.92271442035813822</v>
      </c>
      <c r="AV353" s="40">
        <f t="shared" ref="AV353" si="5033">+(N353-V353)/(U353-V353)</f>
        <v>0.92271442035813822</v>
      </c>
      <c r="AW353" s="93">
        <f t="shared" ref="AW353" si="5034">LN(N353/C353)</f>
        <v>2.4454812256098956E-3</v>
      </c>
      <c r="AX353" s="28">
        <f t="shared" ref="AX353" si="5035">(N353-L353)/(U353-V353)</f>
        <v>5.3722902921786699E-2</v>
      </c>
      <c r="AY353" s="93">
        <f t="shared" ref="AY353" si="5036">LN(G353/I353)</f>
        <v>2.3035344849712935E-3</v>
      </c>
      <c r="AZ353" s="93">
        <f t="shared" ref="AZ353" si="5037">LN(N353/P353)</f>
        <v>2.8991149730655088E-3</v>
      </c>
      <c r="BA353" s="93">
        <f t="shared" ref="BA353" si="5038">AV352</f>
        <v>0.38040865384615241</v>
      </c>
      <c r="BB353" s="93">
        <f t="shared" ref="BB353" si="5039">AR352</f>
        <v>-2.7837518050735674E-3</v>
      </c>
      <c r="BC353" s="93">
        <f t="shared" ref="BC353" si="5040">AS352</f>
        <v>-3.5283984550538763E-4</v>
      </c>
      <c r="BD353" s="39">
        <f t="shared" ref="BD353" si="5041">IF(AR352&lt;0,1,0)</f>
        <v>1</v>
      </c>
      <c r="BE353" t="s">
        <v>503</v>
      </c>
    </row>
    <row r="354" spans="1:58" x14ac:dyDescent="0.15">
      <c r="A354" s="90">
        <v>43027</v>
      </c>
      <c r="B354" s="41">
        <f t="shared" si="4153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95"/>
        <v>3364.8585849999995</v>
      </c>
      <c r="T354" s="92" t="str">
        <f t="shared" ref="T354" si="5042">IF(AVERAGE(N353)&lt;S353,"熊",IF(AVERAGE(N353)&gt;S353,"牛",""))</f>
        <v>牛</v>
      </c>
      <c r="U354" s="92">
        <f t="shared" ref="U354" si="5043">MAX(H354,O354)</f>
        <v>3378.58</v>
      </c>
      <c r="V354" s="92">
        <f t="shared" ref="V354" si="5044">MIN(I354,P354)</f>
        <v>3359.76</v>
      </c>
      <c r="W354" s="40">
        <f t="shared" ref="W354" si="5045">LN(U354/V354)</f>
        <v>5.5859600247538119E-3</v>
      </c>
      <c r="X354" s="92">
        <f t="shared" ref="X354" si="5046">IF(U354=H354,J354,Q354)</f>
        <v>935</v>
      </c>
      <c r="Y354" s="92">
        <f t="shared" ref="Y354" si="5047">IF(V354=I354,K354,R354)</f>
        <v>1421</v>
      </c>
      <c r="Z354" s="93">
        <f t="shared" ref="Z354" si="5048">(U354-V354)/(C354)</f>
        <v>5.5768911646871099E-3</v>
      </c>
      <c r="AA354" s="93">
        <f t="shared" ref="AA354" si="5049">LN(C354/N353)</f>
        <v>-2.1165031441416219E-3</v>
      </c>
      <c r="AB354" s="93">
        <f t="shared" ref="AB354" si="5050">LN(N354/U354)</f>
        <v>-2.4923146814797795E-3</v>
      </c>
      <c r="AC354" s="93">
        <f t="shared" ref="AC354" si="5051">LN(N354/V354)</f>
        <v>3.0936453432739886E-3</v>
      </c>
      <c r="AD354" s="93">
        <f t="shared" ref="AD354" si="5052">LN(U354/C354)</f>
        <v>1.1668509087634025E-3</v>
      </c>
      <c r="AE354" s="93">
        <f t="shared" ref="AE354" si="5053">LN(V354/C354)</f>
        <v>-4.4191091159905089E-3</v>
      </c>
      <c r="AF354" s="93">
        <f t="shared" ref="AF354" si="5054">LN(N354/C354)</f>
        <v>-1.3254637727164844E-3</v>
      </c>
      <c r="AG354" s="93">
        <f t="shared" ref="AG354" si="5055">LN(N354/N353)</f>
        <v>-3.4419669168581279E-3</v>
      </c>
      <c r="AH354" s="93">
        <f t="shared" ref="AH354" si="5056">LN(D354/C354)</f>
        <v>-2.8155114117872279E-4</v>
      </c>
      <c r="AI354" s="93">
        <f t="shared" ref="AI354" si="5057">LN(E354/C354)</f>
        <v>1.1668509087634025E-3</v>
      </c>
      <c r="AJ354" s="93">
        <f t="shared" ref="AJ354" si="5058">LN(F354/C354)</f>
        <v>-5.9267337195107435E-5</v>
      </c>
      <c r="AK354" s="93">
        <f t="shared" ref="AK354" si="5059">+LN(G354/C354)</f>
        <v>-1.3195293715866174E-3</v>
      </c>
      <c r="AL354" s="93">
        <f t="shared" ref="AL354" si="5060">LN(H354/I354)</f>
        <v>4.7618360560534156E-3</v>
      </c>
      <c r="AM354" s="93">
        <f t="shared" ref="AM354" si="5061">LN(O354/P354)</f>
        <v>3.8203475267379354E-3</v>
      </c>
      <c r="AN354" s="93">
        <f t="shared" ref="AN354" si="5062">LN(L354/G354)</f>
        <v>-1.6024119301213388E-4</v>
      </c>
      <c r="AO354" s="40">
        <f t="shared" ref="AO354" si="5063">(C354-I354)/(H354-I354)</f>
        <v>0.75451713395637876</v>
      </c>
      <c r="AP354" s="40">
        <f t="shared" ref="AP354" si="5064">(N353-I354)/(H354-I354)</f>
        <v>1.2000000000000057</v>
      </c>
      <c r="AQ354" s="93">
        <f t="shared" ref="AQ354" si="5065">LN(M354/L354)</f>
        <v>-1.0540772233810388E-3</v>
      </c>
      <c r="AR354" s="93">
        <f t="shared" ref="AR354" si="5066">LN(N354/L354)</f>
        <v>1.5430679188231314E-4</v>
      </c>
      <c r="AS354" s="93">
        <f t="shared" ref="AS354" si="5067">LN(N354/C354)</f>
        <v>-1.3254637727164844E-3</v>
      </c>
      <c r="AT354" s="28">
        <f t="shared" ref="AT354" si="5068">+(G354-I354)/(H354-I354)</f>
        <v>0.47725856697819219</v>
      </c>
      <c r="AU354" s="28">
        <f t="shared" ref="AU354" si="5069">+(N354-P354)/(O354-P354)</f>
        <v>0.80948678071540592</v>
      </c>
      <c r="AV354" s="40">
        <f t="shared" ref="AV354" si="5070">+(N354-V354)/(U354-V354)</f>
        <v>0.55313496280552688</v>
      </c>
      <c r="AW354" s="93">
        <f t="shared" ref="AW354" si="5071">LN(N354/C354)</f>
        <v>-1.3254637727164844E-3</v>
      </c>
      <c r="AX354" s="28">
        <f t="shared" ref="AX354" si="5072">(N354-L354)/(U354-V354)</f>
        <v>2.7630180658872999E-2</v>
      </c>
      <c r="AY354" s="93">
        <f t="shared" ref="AY354" si="5073">LN(G354/I354)</f>
        <v>2.2754557757035132E-3</v>
      </c>
      <c r="AZ354" s="93">
        <f t="shared" ref="AZ354" si="5074">LN(N354/P354)</f>
        <v>3.0936453432739886E-3</v>
      </c>
      <c r="BA354" s="93">
        <f t="shared" ref="BA354" si="5075">AV353</f>
        <v>0.92271442035813822</v>
      </c>
      <c r="BB354" s="93">
        <f t="shared" ref="BB354" si="5076">AR353</f>
        <v>1.6856399779090252E-4</v>
      </c>
      <c r="BC354" s="93">
        <f t="shared" ref="BC354" si="5077">AS353</f>
        <v>2.4454812256098956E-3</v>
      </c>
      <c r="BD354" s="39">
        <f t="shared" ref="BD354" si="5078">IF(AR353&lt;0,1,0)</f>
        <v>0</v>
      </c>
      <c r="BE354" s="92"/>
      <c r="BF354" s="92"/>
    </row>
    <row r="355" spans="1:58" x14ac:dyDescent="0.15">
      <c r="A355" s="90">
        <v>43028</v>
      </c>
      <c r="B355" s="41">
        <f t="shared" si="4153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95"/>
        <v>3364.7955849999998</v>
      </c>
      <c r="T355" s="92" t="str">
        <f t="shared" ref="T355" si="5079">IF(AVERAGE(N354)&lt;S354,"熊",IF(AVERAGE(N354)&gt;S354,"牛",""))</f>
        <v>牛</v>
      </c>
      <c r="U355" s="92">
        <f t="shared" ref="U355" si="5080">MAX(H355,O355)</f>
        <v>3379.49</v>
      </c>
      <c r="V355" s="92">
        <f t="shared" ref="V355" si="5081">MIN(I355,P355)</f>
        <v>3360.56</v>
      </c>
      <c r="W355" s="40">
        <f t="shared" ref="W355" si="5082">LN(U355/V355)</f>
        <v>5.6171837818540828E-3</v>
      </c>
      <c r="X355" s="92">
        <f t="shared" ref="X355" si="5083">IF(U355=H355,J355,Q355)</f>
        <v>1459</v>
      </c>
      <c r="Y355" s="92">
        <f t="shared" ref="Y355" si="5084">IF(V355=I355,K355,R355)</f>
        <v>945</v>
      </c>
      <c r="Z355" s="93">
        <f t="shared" ref="Z355" si="5085">(U355-V355)/(C355)</f>
        <v>5.6280492699590113E-3</v>
      </c>
      <c r="AA355" s="93">
        <f t="shared" ref="AA355" si="5086">LN(C355/N354)</f>
        <v>-1.9781166232087973E-3</v>
      </c>
      <c r="AB355" s="93">
        <f t="shared" ref="AB355" si="5087">LN(N355/U355)</f>
        <v>-2.5154887653304714E-4</v>
      </c>
      <c r="AC355" s="93">
        <f t="shared" ref="AC355" si="5088">LN(N355/V355)</f>
        <v>5.3656349053209052E-3</v>
      </c>
      <c r="AD355" s="93">
        <f t="shared" ref="AD355" si="5089">LN(U355/C355)</f>
        <v>4.7397389636799209E-3</v>
      </c>
      <c r="AE355" s="93">
        <f t="shared" ref="AE355" si="5090">LN(V355/C355)</f>
        <v>-8.7744481817403634E-4</v>
      </c>
      <c r="AF355" s="93">
        <f t="shared" ref="AF355" si="5091">LN(N355/C355)</f>
        <v>4.4881900871470625E-3</v>
      </c>
      <c r="AG355" s="93">
        <f t="shared" ref="AG355" si="5092">LN(N355/N354)</f>
        <v>2.5100734639381867E-3</v>
      </c>
      <c r="AH355" s="93">
        <f t="shared" ref="AH355" si="5093">LN(D355/C355)</f>
        <v>5.9459925514110799E-5</v>
      </c>
      <c r="AI355" s="93">
        <f t="shared" ref="AI355" si="5094">LN(E355/C355)</f>
        <v>1.0222184812171394E-3</v>
      </c>
      <c r="AJ355" s="93">
        <f t="shared" ref="AJ355" si="5095">LN(F355/C355)</f>
        <v>2.7943091401132843E-4</v>
      </c>
      <c r="AK355" s="93">
        <f t="shared" ref="AK355" si="5096">+LN(G355/C355)</f>
        <v>2.1650333434535306E-3</v>
      </c>
      <c r="AL355" s="93">
        <f t="shared" ref="AL355" si="5097">LN(H355/I355)</f>
        <v>3.1492720317608338E-3</v>
      </c>
      <c r="AM355" s="93">
        <f t="shared" ref="AM355" si="5098">LN(O355/P355)</f>
        <v>3.0108989943325899E-3</v>
      </c>
      <c r="AN355" s="93">
        <f t="shared" ref="AN355" si="5099">LN(L355/G355)</f>
        <v>6.7913328598672828E-4</v>
      </c>
      <c r="AO355" s="40">
        <f t="shared" ref="AO355" si="5100">(C355-I355)/(H355-I355)</f>
        <v>0.27830188679248097</v>
      </c>
      <c r="AP355" s="40">
        <f t="shared" ref="AP355" si="5101">(N354-I355)/(H355-I355)</f>
        <v>0.9066037735849255</v>
      </c>
      <c r="AQ355" s="93">
        <f t="shared" ref="AQ355" si="5102">LN(M355/L355)</f>
        <v>2.0453929078384679E-4</v>
      </c>
      <c r="AR355" s="93">
        <f t="shared" ref="AR355" si="5103">LN(N355/L355)</f>
        <v>1.6440234577067248E-3</v>
      </c>
      <c r="AS355" s="93">
        <f t="shared" ref="AS355" si="5104">LN(N355/C355)</f>
        <v>4.4881900871470625E-3</v>
      </c>
      <c r="AT355" s="28">
        <f t="shared" ref="AT355" si="5105">+(G355-I355)/(H355-I355)</f>
        <v>0.96603773584908725</v>
      </c>
      <c r="AU355" s="28">
        <f t="shared" ref="AU355" si="5106">+(N355-P355)/(O355-P355)</f>
        <v>0.91633858267717305</v>
      </c>
      <c r="AV355" s="40">
        <f t="shared" ref="AV355" si="5107">+(N355-V355)/(U355-V355)</f>
        <v>0.95509772847332719</v>
      </c>
      <c r="AW355" s="93">
        <f t="shared" ref="AW355" si="5108">LN(N355/C355)</f>
        <v>4.4881900871470625E-3</v>
      </c>
      <c r="AX355" s="28">
        <f t="shared" ref="AX355" si="5109">(N355-L355)/(U355-V355)</f>
        <v>0.29318541996829239</v>
      </c>
      <c r="AY355" s="93">
        <f t="shared" ref="AY355" si="5110">LN(G355/I355)</f>
        <v>3.0424781616275646E-3</v>
      </c>
      <c r="AZ355" s="93">
        <f t="shared" ref="AZ355" si="5111">LN(N355/P355)</f>
        <v>2.7593501177997325E-3</v>
      </c>
      <c r="BA355" s="93">
        <f t="shared" ref="BA355" si="5112">AV354</f>
        <v>0.55313496280552688</v>
      </c>
      <c r="BB355" s="93">
        <f t="shared" ref="BB355" si="5113">AR354</f>
        <v>1.5430679188231314E-4</v>
      </c>
      <c r="BC355" s="93">
        <f t="shared" ref="BC355" si="5114">AS354</f>
        <v>-1.3254637727164844E-3</v>
      </c>
      <c r="BD355" s="39">
        <f t="shared" ref="BD355" si="5115">IF(AR354&lt;0,1,0)</f>
        <v>0</v>
      </c>
      <c r="BE355" s="92"/>
    </row>
    <row r="356" spans="1:58" x14ac:dyDescent="0.15">
      <c r="A356" s="90">
        <v>43031</v>
      </c>
      <c r="B356" s="41">
        <f t="shared" si="4153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95"/>
        <v>3366.0441549999996</v>
      </c>
      <c r="T356" s="92" t="str">
        <f t="shared" ref="T356" si="5116">IF(AVERAGE(N355)&lt;S355,"熊",IF(AVERAGE(N355)&gt;S355,"牛",""))</f>
        <v>牛</v>
      </c>
      <c r="U356" s="92">
        <f t="shared" ref="U356" si="5117">MAX(H356,O356)</f>
        <v>3384.93</v>
      </c>
      <c r="V356" s="92">
        <f t="shared" ref="V356" si="5118">MIN(I356,P356)</f>
        <v>3374.77</v>
      </c>
      <c r="W356" s="40">
        <f t="shared" ref="W356" si="5119">LN(U356/V356)</f>
        <v>3.0060528280183639E-3</v>
      </c>
      <c r="X356" s="92">
        <f t="shared" ref="X356" si="5120">IF(U356=H356,J356,Q356)</f>
        <v>937</v>
      </c>
      <c r="Y356" s="92">
        <f t="shared" ref="Y356" si="5121">IF(V356=I356,K356,R356)</f>
        <v>1014</v>
      </c>
      <c r="Z356" s="93">
        <f t="shared" ref="Z356" si="5122">(U356-V356)/(C356)</f>
        <v>3.0038908665160347E-3</v>
      </c>
      <c r="AA356" s="93">
        <f t="shared" ref="AA356" si="5123">LN(C356/N355)</f>
        <v>1.076776637410047E-3</v>
      </c>
      <c r="AB356" s="93">
        <f t="shared" ref="AB356" si="5124">LN(N356/U356)</f>
        <v>-1.2533960095562531E-3</v>
      </c>
      <c r="AC356" s="93">
        <f t="shared" ref="AC356" si="5125">LN(N356/V356)</f>
        <v>1.7526568184622151E-3</v>
      </c>
      <c r="AD356" s="93">
        <f t="shared" ref="AD356" si="5126">LN(U356/C356)</f>
        <v>7.8318838500808399E-4</v>
      </c>
      <c r="AE356" s="93">
        <f t="shared" ref="AE356" si="5127">LN(V356/C356)</f>
        <v>-2.2228644430102897E-3</v>
      </c>
      <c r="AF356" s="93">
        <f t="shared" ref="AF356" si="5128">LN(N356/C356)</f>
        <v>-4.7020762454817104E-4</v>
      </c>
      <c r="AG356" s="93">
        <f t="shared" ref="AG356" si="5129">LN(N356/N355)</f>
        <v>6.065690128619519E-4</v>
      </c>
      <c r="AH356" s="93">
        <f t="shared" ref="AH356" si="5130">LN(D356/C356)</f>
        <v>-2.6021337643575092E-4</v>
      </c>
      <c r="AI356" s="93">
        <f t="shared" ref="AI356" si="5131">LN(E356/C356)</f>
        <v>1.9215959356766354E-4</v>
      </c>
      <c r="AJ356" s="93">
        <f t="shared" ref="AJ356" si="5132">LN(F356/C356)</f>
        <v>-8.5744655425694889E-5</v>
      </c>
      <c r="AK356" s="93">
        <f t="shared" ref="AK356" si="5133">+LN(G356/C356)</f>
        <v>-9.7023056501190129E-4</v>
      </c>
      <c r="AL356" s="93">
        <f t="shared" ref="AL356" si="5134">LN(H356/I356)</f>
        <v>3.0060528280183639E-3</v>
      </c>
      <c r="AM356" s="93">
        <f t="shared" ref="AM356" si="5135">LN(O356/P356)</f>
        <v>2.3312309570601951E-3</v>
      </c>
      <c r="AN356" s="93">
        <f t="shared" ref="AN356" si="5136">LN(L356/G356)</f>
        <v>7.3983649647208139E-5</v>
      </c>
      <c r="AO356" s="40">
        <f t="shared" ref="AO356" si="5137">(C356-I356)/(H356-I356)</f>
        <v>0.7391732283464888</v>
      </c>
      <c r="AP356" s="40">
        <f t="shared" ref="AP356" si="5138">(N355-I356)/(H356-I356)</f>
        <v>0.38090551181101834</v>
      </c>
      <c r="AQ356" s="93">
        <f t="shared" ref="AQ356" si="5139">LN(M356/L356)</f>
        <v>7.1019154487636759E-5</v>
      </c>
      <c r="AR356" s="93">
        <f t="shared" ref="AR356" si="5140">LN(N356/L356)</f>
        <v>4.2603929081654605E-4</v>
      </c>
      <c r="AS356" s="93">
        <f t="shared" ref="AS356" si="5141">LN(N356/C356)</f>
        <v>-4.7020762454817104E-4</v>
      </c>
      <c r="AT356" s="28">
        <f t="shared" ref="AT356" si="5142">+(G356-I356)/(H356-I356)</f>
        <v>0.41633858267717311</v>
      </c>
      <c r="AU356" s="28">
        <f t="shared" ref="AU356" si="5143">+(N356-P356)/(O356-P356)</f>
        <v>0.56345177664974533</v>
      </c>
      <c r="AV356" s="40">
        <f t="shared" ref="AV356" si="5144">+(N356-V356)/(U356-V356)</f>
        <v>0.58267716535434622</v>
      </c>
      <c r="AW356" s="93">
        <f t="shared" ref="AW356" si="5145">LN(N356/C356)</f>
        <v>-4.7020762454817104E-4</v>
      </c>
      <c r="AX356" s="28">
        <f t="shared" ref="AX356" si="5146">(N356-L356)/(U356-V356)</f>
        <v>0.14173228346457434</v>
      </c>
      <c r="AY356" s="93">
        <f t="shared" ref="AY356" si="5147">LN(G356/I356)</f>
        <v>1.2526338779984354E-3</v>
      </c>
      <c r="AZ356" s="93">
        <f t="shared" ref="AZ356" si="5148">LN(N356/P356)</f>
        <v>1.3142045479283028E-3</v>
      </c>
      <c r="BA356" s="93">
        <f t="shared" ref="BA356" si="5149">AV355</f>
        <v>0.95509772847332719</v>
      </c>
      <c r="BB356" s="93">
        <f t="shared" ref="BB356" si="5150">AR355</f>
        <v>1.6440234577067248E-3</v>
      </c>
      <c r="BC356" s="93">
        <f t="shared" ref="BC356" si="5151">AS355</f>
        <v>4.4881900871470625E-3</v>
      </c>
      <c r="BD356" s="39">
        <f t="shared" ref="BD356" si="5152">IF(AR355&lt;0,1,0)</f>
        <v>0</v>
      </c>
    </row>
    <row r="357" spans="1:58" x14ac:dyDescent="0.15">
      <c r="A357" s="90">
        <v>43032</v>
      </c>
      <c r="B357" s="41">
        <f t="shared" si="4153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95"/>
        <v>3366.9176949999992</v>
      </c>
      <c r="T357" s="92" t="str">
        <f t="shared" ref="T357" si="5153">IF(AVERAGE(N356)&lt;S356,"熊",IF(AVERAGE(N356)&gt;S356,"牛",""))</f>
        <v>牛</v>
      </c>
      <c r="U357" s="92">
        <f t="shared" ref="U357" si="5154">MAX(H357,O357)</f>
        <v>3388.64</v>
      </c>
      <c r="V357" s="92">
        <f t="shared" ref="V357" si="5155">MIN(I357,P357)</f>
        <v>3374.19</v>
      </c>
      <c r="W357" s="40">
        <f t="shared" ref="W357" si="5156">LN(U357/V357)</f>
        <v>4.273365437269909E-3</v>
      </c>
      <c r="X357" s="92">
        <f t="shared" ref="X357" si="5157">IF(U357=H357,J357,Q357)</f>
        <v>1459</v>
      </c>
      <c r="Y357" s="92">
        <f t="shared" ref="Y357" si="5158">IF(V357=I357,K357,R357)</f>
        <v>932</v>
      </c>
      <c r="Z357" s="93">
        <f t="shared" ref="Z357" si="5159">(U357-V357)/(C357)</f>
        <v>4.2794653777923344E-3</v>
      </c>
      <c r="AA357" s="93">
        <f t="shared" ref="AA357" si="5160">LN(C357/N356)</f>
        <v>-1.2135061750104346E-3</v>
      </c>
      <c r="AB357" s="93">
        <f t="shared" ref="AB357" si="5161">LN(N357/U357)</f>
        <v>-1.1804842360044615E-4</v>
      </c>
      <c r="AC357" s="93">
        <f t="shared" ref="AC357" si="5162">LN(N357/V357)</f>
        <v>4.1553170136694852E-3</v>
      </c>
      <c r="AD357" s="93">
        <f t="shared" ref="AD357" si="5163">LN(U357/C357)</f>
        <v>3.5623364595480538E-3</v>
      </c>
      <c r="AE357" s="93">
        <f t="shared" ref="AE357" si="5164">LN(V357/C357)</f>
        <v>-7.1102897772182835E-4</v>
      </c>
      <c r="AF357" s="93">
        <f t="shared" ref="AF357" si="5165">LN(N357/C357)</f>
        <v>3.4442880359475672E-3</v>
      </c>
      <c r="AG357" s="93">
        <f t="shared" ref="AG357" si="5166">LN(N357/N356)</f>
        <v>2.230781860937192E-3</v>
      </c>
      <c r="AH357" s="93">
        <f t="shared" ref="AH357" si="5167">LN(D357/C357)</f>
        <v>-5.2433492871910292E-4</v>
      </c>
      <c r="AI357" s="93">
        <f t="shared" ref="AI357" si="5168">LN(E357/C357)</f>
        <v>4.3525571960271564E-4</v>
      </c>
      <c r="AJ357" s="93">
        <f t="shared" ref="AJ357" si="5169">LN(F357/C357)</f>
        <v>1.036011861758086E-3</v>
      </c>
      <c r="AK357" s="93">
        <f t="shared" ref="AK357" si="5170">+LN(G357/C357)</f>
        <v>2.1034608342375954E-3</v>
      </c>
      <c r="AL357" s="93">
        <f t="shared" ref="AL357" si="5171">LN(H357/I357)</f>
        <v>3.8542304431028042E-3</v>
      </c>
      <c r="AM357" s="93">
        <f t="shared" ref="AM357" si="5172">LN(O357/P357)</f>
        <v>2.7541551342807513E-3</v>
      </c>
      <c r="AN357" s="93">
        <f t="shared" ref="AN357" si="5173">LN(L357/G357)</f>
        <v>-3.1035935428344488E-4</v>
      </c>
      <c r="AO357" s="40">
        <f t="shared" ref="AO357" si="5174">(C357-I357)/(H357-I357)</f>
        <v>0.18419033000768517</v>
      </c>
      <c r="AP357" s="40">
        <f t="shared" ref="AP357" si="5175">(N356-I357)/(H357-I357)</f>
        <v>0.49884881043746176</v>
      </c>
      <c r="AQ357" s="93">
        <f t="shared" ref="AQ357" si="5176">LN(M357/L357)</f>
        <v>-2.5722788314669933E-4</v>
      </c>
      <c r="AR357" s="93">
        <f t="shared" ref="AR357" si="5177">LN(N357/L357)</f>
        <v>1.6511865559935481E-3</v>
      </c>
      <c r="AS357" s="93">
        <f t="shared" ref="AS357" si="5178">LN(N357/C357)</f>
        <v>3.4442880359475672E-3</v>
      </c>
      <c r="AT357" s="28">
        <f t="shared" ref="AT357" si="5179">+(G357-I357)/(H357-I357)</f>
        <v>0.72985418265540669</v>
      </c>
      <c r="AU357" s="28">
        <f t="shared" ref="AU357" si="5180">+(N357-P357)/(O357-P357)</f>
        <v>0.9570815450643666</v>
      </c>
      <c r="AV357" s="40">
        <f t="shared" ref="AV357" si="5181">+(N357-V357)/(U357-V357)</f>
        <v>0.97231833910033938</v>
      </c>
      <c r="AW357" s="93">
        <f t="shared" ref="AW357" si="5182">LN(N357/C357)</f>
        <v>3.4442880359475672E-3</v>
      </c>
      <c r="AX357" s="28">
        <f t="shared" ref="AX357" si="5183">(N357-L357)/(U357-V357)</f>
        <v>0.3868512110726478</v>
      </c>
      <c r="AY357" s="93">
        <f t="shared" ref="AY357" si="5184">LN(G357/I357)</f>
        <v>2.8144898119593299E-3</v>
      </c>
      <c r="AZ357" s="93">
        <f t="shared" ref="AZ357" si="5185">LN(N357/P357)</f>
        <v>2.6361067106802256E-3</v>
      </c>
      <c r="BA357" s="93">
        <f t="shared" ref="BA357" si="5186">AV356</f>
        <v>0.58267716535434622</v>
      </c>
      <c r="BB357" s="93">
        <f t="shared" ref="BB357" si="5187">AR356</f>
        <v>4.2603929081654605E-4</v>
      </c>
      <c r="BC357" s="93">
        <f t="shared" ref="BC357" si="5188">AS356</f>
        <v>-4.7020762454817104E-4</v>
      </c>
      <c r="BD357" s="39">
        <f t="shared" ref="BD357" si="5189">IF(AR356&lt;0,1,0)</f>
        <v>0</v>
      </c>
    </row>
    <row r="358" spans="1:58" x14ac:dyDescent="0.15">
      <c r="A358" s="90">
        <v>43033</v>
      </c>
      <c r="B358" s="41">
        <f t="shared" si="4153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95"/>
        <v>3368.4969649999998</v>
      </c>
      <c r="T358" s="92" t="str">
        <f t="shared" ref="T358" si="5190">IF(AVERAGE(N357)&lt;S357,"熊",IF(AVERAGE(N357)&gt;S357,"牛",""))</f>
        <v>牛</v>
      </c>
      <c r="U358" s="92">
        <f t="shared" ref="U358" si="5191">MAX(H358,O358)</f>
        <v>3398.3</v>
      </c>
      <c r="V358" s="92">
        <f t="shared" ref="V358" si="5192">MIN(I358,P358)</f>
        <v>3382.13</v>
      </c>
      <c r="W358" s="40">
        <f t="shared" ref="W358" si="5193">LN(U358/V358)</f>
        <v>4.7696180491832024E-3</v>
      </c>
      <c r="X358" s="92">
        <f t="shared" ref="X358" si="5194">IF(U358=H358,J358,Q358)</f>
        <v>1459</v>
      </c>
      <c r="Y358" s="92">
        <f t="shared" ref="Y358" si="5195">IF(V358=I358,K358,R358)</f>
        <v>942</v>
      </c>
      <c r="Z358" s="93">
        <f t="shared" ref="Z358" si="5196">(U358-V358)/(C358)</f>
        <v>4.7771688553407306E-3</v>
      </c>
      <c r="AA358" s="93">
        <f t="shared" ref="AA358" si="5197">LN(C358/N357)</f>
        <v>-1.0010202974053261E-3</v>
      </c>
      <c r="AB358" s="93">
        <f t="shared" ref="AB358" si="5198">LN(N358/U358)</f>
        <v>-4.149994393789463E-4</v>
      </c>
      <c r="AC358" s="93">
        <f t="shared" ref="AC358" si="5199">LN(N358/V358)</f>
        <v>4.3546186098042707E-3</v>
      </c>
      <c r="AD358" s="93">
        <f t="shared" ref="AD358" si="5200">LN(U358/C358)</f>
        <v>3.9657143442849456E-3</v>
      </c>
      <c r="AE358" s="93">
        <f t="shared" ref="AE358" si="5201">LN(V358/C358)</f>
        <v>-8.0390370489807699E-4</v>
      </c>
      <c r="AF358" s="93">
        <f t="shared" ref="AF358" si="5202">LN(N358/C358)</f>
        <v>3.5507149049060454E-3</v>
      </c>
      <c r="AG358" s="93">
        <f t="shared" ref="AG358" si="5203">LN(N358/N357)</f>
        <v>2.5496946075007983E-3</v>
      </c>
      <c r="AH358" s="93">
        <f t="shared" ref="AH358" si="5204">LN(D358/C358)</f>
        <v>-4.0187106980548121E-4</v>
      </c>
      <c r="AI358" s="93">
        <f t="shared" ref="AI358" si="5205">LN(E358/C358)</f>
        <v>1.9201370741462001E-4</v>
      </c>
      <c r="AJ358" s="93">
        <f t="shared" ref="AJ358" si="5206">LN(F358/C358)</f>
        <v>-2.3342015290113294E-4</v>
      </c>
      <c r="AK358" s="93">
        <f t="shared" ref="AK358" si="5207">+LN(G358/C358)</f>
        <v>2.2811016423253325E-3</v>
      </c>
      <c r="AL358" s="93">
        <f t="shared" ref="AL358" si="5208">LN(H358/I358)</f>
        <v>4.2103586118210218E-3</v>
      </c>
      <c r="AM358" s="93">
        <f t="shared" ref="AM358" si="5209">LN(O358/P358)</f>
        <v>3.6555566783195909E-3</v>
      </c>
      <c r="AN358" s="93">
        <f t="shared" ref="AN358" si="5210">LN(L358/G358)</f>
        <v>2.0925835672966594E-4</v>
      </c>
      <c r="AO358" s="40">
        <f t="shared" ref="AO358" si="5211">(C358-I358)/(H358-I358)</f>
        <v>0.19060967063768769</v>
      </c>
      <c r="AP358" s="40">
        <f t="shared" ref="AP358" si="5212">(N357-I358)/(H358-I358)</f>
        <v>0.42817098808687321</v>
      </c>
      <c r="AQ358" s="93">
        <f t="shared" ref="AQ358" si="5213">LN(M358/L358)</f>
        <v>1.2965926153651238E-4</v>
      </c>
      <c r="AR358" s="93">
        <f t="shared" ref="AR358" si="5214">LN(N358/L358)</f>
        <v>1.0603549058508929E-3</v>
      </c>
      <c r="AS358" s="93">
        <f t="shared" ref="AS358" si="5215">LN(N358/C358)</f>
        <v>3.5507149049060454E-3</v>
      </c>
      <c r="AT358" s="28">
        <f t="shared" ref="AT358" si="5216">+(G358-I358)/(H358-I358)</f>
        <v>0.73230553608968685</v>
      </c>
      <c r="AU358" s="28">
        <f t="shared" ref="AU358" si="5217">+(N358-P358)/(O358-P358)</f>
        <v>0.88629032258062102</v>
      </c>
      <c r="AV358" s="40">
        <f t="shared" ref="AV358" si="5218">+(N358-V358)/(U358-V358)</f>
        <v>0.91280148423003693</v>
      </c>
      <c r="AW358" s="93">
        <f t="shared" ref="AW358" si="5219">LN(N358/C358)</f>
        <v>3.5507149049060454E-3</v>
      </c>
      <c r="AX358" s="28">
        <f t="shared" ref="AX358" si="5220">(N358-L358)/(U358-V358)</f>
        <v>0.22263450834878742</v>
      </c>
      <c r="AY358" s="93">
        <f t="shared" ref="AY358" si="5221">LN(G358/I358)</f>
        <v>3.0850053472233213E-3</v>
      </c>
      <c r="AZ358" s="93">
        <f t="shared" ref="AZ358" si="5222">LN(N358/P358)</f>
        <v>3.2405572389407979E-3</v>
      </c>
      <c r="BA358" s="93">
        <f t="shared" ref="BA358" si="5223">AV357</f>
        <v>0.97231833910033938</v>
      </c>
      <c r="BB358" s="93">
        <f t="shared" ref="BB358" si="5224">AR357</f>
        <v>1.6511865559935481E-3</v>
      </c>
      <c r="BC358" s="93">
        <f t="shared" ref="BC358" si="5225">AS357</f>
        <v>3.4442880359475672E-3</v>
      </c>
      <c r="BD358" s="39">
        <f t="shared" ref="BD358" si="5226">IF(AR357&lt;0,1,0)</f>
        <v>0</v>
      </c>
    </row>
    <row r="359" spans="1:58" x14ac:dyDescent="0.15">
      <c r="A359" s="90">
        <v>43034</v>
      </c>
      <c r="B359" s="41">
        <f t="shared" si="4153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95"/>
        <v>3370.0231549999999</v>
      </c>
      <c r="T359" s="92" t="str">
        <f t="shared" ref="T359" si="5227">IF(AVERAGE(N358)&lt;S358,"熊",IF(AVERAGE(N358)&gt;S358,"牛",""))</f>
        <v>牛</v>
      </c>
      <c r="U359" s="92">
        <f t="shared" ref="U359" si="5228">MAX(H359,O359)</f>
        <v>3414.14</v>
      </c>
      <c r="V359" s="92">
        <f t="shared" ref="V359" si="5229">MIN(I359,P359)</f>
        <v>3391.59</v>
      </c>
      <c r="W359" s="40">
        <f t="shared" ref="W359" si="5230">LN(U359/V359)</f>
        <v>6.6267931646987995E-3</v>
      </c>
      <c r="X359" s="92">
        <f t="shared" ref="X359" si="5231">IF(U359=H359,J359,Q359)</f>
        <v>1301</v>
      </c>
      <c r="Y359" s="92">
        <f t="shared" ref="Y359" si="5232">IF(V359=I359,K359,R359)</f>
        <v>932</v>
      </c>
      <c r="Z359" s="93">
        <f t="shared" ref="Z359" si="5233">(U359-V359)/(C359)</f>
        <v>6.6372137241685015E-3</v>
      </c>
      <c r="AA359" s="93">
        <f t="shared" ref="AA359" si="5234">LN(C359/N358)</f>
        <v>1.8250323846742906E-4</v>
      </c>
      <c r="AB359" s="93">
        <f t="shared" ref="AB359" si="5235">LN(N359/U359)</f>
        <v>-1.9291384964638127E-3</v>
      </c>
      <c r="AC359" s="93">
        <f t="shared" ref="AC359" si="5236">LN(N359/V359)</f>
        <v>4.6976546682349655E-3</v>
      </c>
      <c r="AD359" s="93">
        <f t="shared" ref="AD359" si="5237">LN(U359/C359)</f>
        <v>4.8828207676378469E-3</v>
      </c>
      <c r="AE359" s="93">
        <f t="shared" ref="AE359" si="5238">LN(V359/C359)</f>
        <v>-1.7439723970610406E-3</v>
      </c>
      <c r="AF359" s="93">
        <f t="shared" ref="AF359" si="5239">LN(N359/C359)</f>
        <v>2.9536822711738776E-3</v>
      </c>
      <c r="AG359" s="93">
        <f t="shared" ref="AG359" si="5240">LN(N359/N358)</f>
        <v>3.1361855096413383E-3</v>
      </c>
      <c r="AH359" s="93">
        <f t="shared" ref="AH359" si="5241">LN(D359/C359)</f>
        <v>-1.4963316164346625E-3</v>
      </c>
      <c r="AI359" s="93">
        <f t="shared" ref="AI359" si="5242">LN(E359/C359)</f>
        <v>-1.5464444440023983E-3</v>
      </c>
      <c r="AJ359" s="93">
        <f t="shared" ref="AJ359" si="5243">LN(F359/C359)</f>
        <v>-1.2693814280792428E-3</v>
      </c>
      <c r="AK359" s="93">
        <f t="shared" ref="AK359" si="5244">+LN(G359/C359)</f>
        <v>4.024256685214723E-3</v>
      </c>
      <c r="AL359" s="93">
        <f t="shared" ref="AL359" si="5245">LN(H359/I359)</f>
        <v>5.8708267076703893E-3</v>
      </c>
      <c r="AM359" s="93">
        <f t="shared" ref="AM359" si="5246">LN(O359/P359)</f>
        <v>3.6914812229617419E-3</v>
      </c>
      <c r="AN359" s="93">
        <f t="shared" ref="AN359" si="5247">LN(L359/G359)</f>
        <v>6.4179493778310042E-4</v>
      </c>
      <c r="AO359" s="40">
        <f t="shared" ref="AO359" si="5248">(C359-I359)/(H359-I359)</f>
        <v>0.29644466700050737</v>
      </c>
      <c r="AP359" s="40">
        <f t="shared" ref="AP359" si="5249">(N358-I359)/(H359-I359)</f>
        <v>0.26539809714570756</v>
      </c>
      <c r="AQ359" s="93">
        <f t="shared" ref="AQ359" si="5250">LN(M359/L359)</f>
        <v>-3.1938069717739803E-4</v>
      </c>
      <c r="AR359" s="93">
        <f t="shared" ref="AR359" si="5251">LN(N359/L359)</f>
        <v>-1.7123693518238596E-3</v>
      </c>
      <c r="AS359" s="93">
        <f t="shared" ref="AS359" si="5252">LN(N359/C359)</f>
        <v>2.9536822711738776E-3</v>
      </c>
      <c r="AT359" s="28">
        <f t="shared" ref="AT359" si="5253">+(G359-I359)/(H359-I359)</f>
        <v>0.9824737105658532</v>
      </c>
      <c r="AU359" s="28">
        <f t="shared" ref="AU359" si="5254">+(N359-P359)/(O359-P359)</f>
        <v>0.47694753577106797</v>
      </c>
      <c r="AV359" s="40">
        <f t="shared" ref="AV359" si="5255">+(N359-V359)/(U359-V359)</f>
        <v>0.70820399113082011</v>
      </c>
      <c r="AW359" s="93">
        <f t="shared" ref="AW359" si="5256">LN(N359/C359)</f>
        <v>2.9536822711738776E-3</v>
      </c>
      <c r="AX359" s="28">
        <f t="shared" ref="AX359" si="5257">(N359-L359)/(U359-V359)</f>
        <v>-0.2589800443459076</v>
      </c>
      <c r="AY359" s="93">
        <f t="shared" ref="AY359" si="5258">LN(G359/I359)</f>
        <v>5.7682290822757025E-3</v>
      </c>
      <c r="AZ359" s="93">
        <f t="shared" ref="AZ359" si="5259">LN(N359/P359)</f>
        <v>1.7623427264979777E-3</v>
      </c>
      <c r="BA359" s="93">
        <f t="shared" ref="BA359" si="5260">AV358</f>
        <v>0.91280148423003693</v>
      </c>
      <c r="BB359" s="93">
        <f t="shared" ref="BB359" si="5261">AR358</f>
        <v>1.0603549058508929E-3</v>
      </c>
      <c r="BC359" s="93">
        <f t="shared" ref="BC359" si="5262">AS358</f>
        <v>3.5507149049060454E-3</v>
      </c>
      <c r="BD359" s="39">
        <f t="shared" ref="BD359" si="5263">IF(AR358&lt;0,1,0)</f>
        <v>0</v>
      </c>
      <c r="BE359" t="s">
        <v>521</v>
      </c>
    </row>
    <row r="360" spans="1:58" x14ac:dyDescent="0.15">
      <c r="A360" s="90">
        <v>43035</v>
      </c>
      <c r="B360" s="41">
        <f t="shared" si="4153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95"/>
        <v>3372.4915599999999</v>
      </c>
      <c r="T360" s="92" t="str">
        <f t="shared" ref="T360" si="5264">IF(AVERAGE(N359)&lt;S359,"熊",IF(AVERAGE(N359)&gt;S359,"牛",""))</f>
        <v>牛</v>
      </c>
      <c r="U360" s="92">
        <f t="shared" ref="U360" si="5265">MAX(H360,O360)</f>
        <v>3420.77</v>
      </c>
      <c r="V360" s="92">
        <f t="shared" ref="V360" si="5266">MIN(I360,P360)</f>
        <v>3402.51</v>
      </c>
      <c r="W360" s="40">
        <f t="shared" ref="W360" si="5267">LN(U360/V360)</f>
        <v>5.3522773771473636E-3</v>
      </c>
      <c r="X360" s="92">
        <f t="shared" ref="X360" si="5268">IF(U360=H360,J360,Q360)</f>
        <v>1426</v>
      </c>
      <c r="Y360" s="92">
        <f t="shared" ref="Y360" si="5269">IF(V360=I360,K360,R360)</f>
        <v>930</v>
      </c>
      <c r="Z360" s="93">
        <f t="shared" ref="Z360" si="5270">(U360-V360)/(C360)</f>
        <v>5.3635052533565278E-3</v>
      </c>
      <c r="AA360" s="93">
        <f t="shared" ref="AA360" si="5271">LN(C360/N359)</f>
        <v>-9.0134400300774693E-4</v>
      </c>
      <c r="AB360" s="93">
        <f t="shared" ref="AB360" si="5272">LN(N360/U360)</f>
        <v>-1.1583046758505138E-3</v>
      </c>
      <c r="AC360" s="93">
        <f t="shared" ref="AC360" si="5273">LN(N360/V360)</f>
        <v>4.193972701296793E-3</v>
      </c>
      <c r="AD360" s="93">
        <f t="shared" ref="AD360" si="5274">LN(U360/C360)</f>
        <v>4.7705232840543569E-3</v>
      </c>
      <c r="AE360" s="93">
        <f t="shared" ref="AE360" si="5275">LN(V360/C360)</f>
        <v>-5.8175409309292885E-4</v>
      </c>
      <c r="AF360" s="93">
        <f t="shared" ref="AF360" si="5276">LN(N360/C360)</f>
        <v>3.6122186082038839E-3</v>
      </c>
      <c r="AG360" s="93">
        <f t="shared" ref="AG360" si="5277">LN(N360/N359)</f>
        <v>2.7108746051960697E-3</v>
      </c>
      <c r="AH360" s="93">
        <f t="shared" ref="AH360" si="5278">LN(D360/C360)</f>
        <v>1.9090611442156913E-4</v>
      </c>
      <c r="AI360" s="93">
        <f t="shared" ref="AI360" si="5279">LN(E360/C360)</f>
        <v>1.171295472068172E-3</v>
      </c>
      <c r="AJ360" s="93">
        <f t="shared" ref="AJ360" si="5280">LN(F360/C360)</f>
        <v>1.79308024898885E-3</v>
      </c>
      <c r="AK360" s="93">
        <f t="shared" ref="AK360" si="5281">+LN(G360/C360)</f>
        <v>3.6005117137209173E-3</v>
      </c>
      <c r="AL360" s="93">
        <f t="shared" ref="AL360" si="5282">LN(H360/I360)</f>
        <v>5.3084266392053646E-3</v>
      </c>
      <c r="AM360" s="93">
        <f t="shared" ref="AM360" si="5283">LN(O360/P360)</f>
        <v>3.8779832733637489E-3</v>
      </c>
      <c r="AN360" s="93">
        <f t="shared" ref="AN360" si="5284">LN(L360/G360)</f>
        <v>3.4237005269525342E-4</v>
      </c>
      <c r="AO360" s="40">
        <f t="shared" ref="AO360" si="5285">(C360-I360)/(H360-I360)</f>
        <v>0.10933186085033679</v>
      </c>
      <c r="AP360" s="40">
        <f t="shared" ref="AP360" si="5286">(N359-I360)/(H360-I360)</f>
        <v>0.27885146327994581</v>
      </c>
      <c r="AQ360" s="93">
        <f t="shared" ref="AQ360" si="5287">LN(M360/L360)</f>
        <v>-6.7900189334260642E-4</v>
      </c>
      <c r="AR360" s="93">
        <f t="shared" ref="AR360" si="5288">LN(N360/L360)</f>
        <v>-3.3066315821243775E-4</v>
      </c>
      <c r="AS360" s="93">
        <f t="shared" ref="AS360" si="5289">LN(N360/C360)</f>
        <v>3.6122186082038839E-3</v>
      </c>
      <c r="AT360" s="28">
        <f t="shared" ref="AT360" si="5290">+(G360-I360)/(H360-I360)</f>
        <v>0.78741027056874768</v>
      </c>
      <c r="AU360" s="28">
        <f t="shared" ref="AU360" si="5291">+(N360-P360)/(O360-P360)</f>
        <v>0.70090634441086841</v>
      </c>
      <c r="AV360" s="40">
        <f t="shared" ref="AV360" si="5292">+(N360-V360)/(U360-V360)</f>
        <v>0.78313253012047712</v>
      </c>
      <c r="AW360" s="93">
        <f t="shared" ref="AW360" si="5293">LN(N360/C360)</f>
        <v>3.6122186082038839E-3</v>
      </c>
      <c r="AX360" s="28">
        <f t="shared" ref="AX360" si="5294">(N360-L360)/(U360-V360)</f>
        <v>-6.1883899233303605E-2</v>
      </c>
      <c r="AY360" s="93">
        <f t="shared" ref="AY360" si="5295">LN(G360/I360)</f>
        <v>4.182265806813819E-3</v>
      </c>
      <c r="AZ360" s="93">
        <f t="shared" ref="AZ360" si="5296">LN(N360/P360)</f>
        <v>2.71967859751321E-3</v>
      </c>
      <c r="BA360" s="93">
        <f t="shared" ref="BA360" si="5297">AV359</f>
        <v>0.70820399113082011</v>
      </c>
      <c r="BB360" s="93">
        <f t="shared" ref="BB360" si="5298">AR359</f>
        <v>-1.7123693518238596E-3</v>
      </c>
      <c r="BC360" s="93">
        <f t="shared" ref="BC360" si="5299">AS359</f>
        <v>2.9536822711738776E-3</v>
      </c>
      <c r="BD360" s="39">
        <f t="shared" ref="BD360" si="5300">IF(AR359&lt;0,1,0)</f>
        <v>1</v>
      </c>
      <c r="BE360" s="92"/>
      <c r="BF360" s="92"/>
    </row>
    <row r="361" spans="1:58" x14ac:dyDescent="0.15">
      <c r="A361" s="90">
        <v>43038</v>
      </c>
      <c r="B361" s="41">
        <f t="shared" si="4153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95"/>
        <v>3375.6884749999999</v>
      </c>
      <c r="T361" s="92" t="str">
        <f t="shared" ref="T361" si="5301">IF(AVERAGE(N360)&lt;S360,"熊",IF(AVERAGE(N360)&gt;S360,"牛",""))</f>
        <v>牛</v>
      </c>
      <c r="U361" s="92">
        <f t="shared" ref="U361" si="5302">MAX(H361,O361)</f>
        <v>3419.59</v>
      </c>
      <c r="V361" s="92">
        <f t="shared" ref="V361" si="5303">MIN(I361,P361)</f>
        <v>3357.52</v>
      </c>
      <c r="W361" s="40">
        <f t="shared" ref="W361" si="5304">LN(U361/V361)</f>
        <v>1.831805463641311E-2</v>
      </c>
      <c r="X361" s="92">
        <f t="shared" ref="X361" si="5305">IF(U361=H361,J361,Q361)</f>
        <v>937</v>
      </c>
      <c r="Y361" s="92">
        <f t="shared" ref="Y361" si="5306">IF(V361=I361,K361,R361)</f>
        <v>1007</v>
      </c>
      <c r="Z361" s="93">
        <f t="shared" ref="Z361" si="5307">(U361-V361)/(C361)</f>
        <v>1.8181764922990444E-2</v>
      </c>
      <c r="AA361" s="93">
        <f t="shared" ref="AA361" si="5308">LN(C361/N360)</f>
        <v>-8.6375134017827753E-4</v>
      </c>
      <c r="AB361" s="93">
        <f t="shared" ref="AB361" si="5309">LN(N361/U361)</f>
        <v>-8.5933990596597318E-3</v>
      </c>
      <c r="AC361" s="93">
        <f t="shared" ref="AC361" si="5310">LN(N361/V361)</f>
        <v>9.7246555767534371E-3</v>
      </c>
      <c r="AD361" s="93">
        <f t="shared" ref="AD361" si="5311">LN(U361/C361)</f>
        <v>1.6770449313184095E-3</v>
      </c>
      <c r="AE361" s="93">
        <f t="shared" ref="AE361" si="5312">LN(V361/C361)</f>
        <v>-1.6641009705094745E-2</v>
      </c>
      <c r="AF361" s="93">
        <f t="shared" ref="AF361" si="5313">LN(N361/C361)</f>
        <v>-6.9163541283413761E-3</v>
      </c>
      <c r="AG361" s="93">
        <f t="shared" ref="AG361" si="5314">LN(N361/N360)</f>
        <v>-7.7801054685196595E-3</v>
      </c>
      <c r="AH361" s="93">
        <f t="shared" ref="AH361" si="5315">LN(D361/C361)</f>
        <v>-8.5863453088309079E-4</v>
      </c>
      <c r="AI361" s="93">
        <f t="shared" ref="AI361" si="5316">LN(E361/C361)</f>
        <v>1.2324483807331786E-3</v>
      </c>
      <c r="AJ361" s="93">
        <f t="shared" ref="AJ361" si="5317">LN(F361/C361)</f>
        <v>-7.4430274872183341E-4</v>
      </c>
      <c r="AK361" s="93">
        <f t="shared" ref="AK361" si="5318">+LN(G361/C361)</f>
        <v>-6.5359325635826531E-3</v>
      </c>
      <c r="AL361" s="93">
        <f t="shared" ref="AL361" si="5319">LN(H361/I361)</f>
        <v>1.831805463641311E-2</v>
      </c>
      <c r="AM361" s="93">
        <f t="shared" ref="AM361" si="5320">LN(O361/P361)</f>
        <v>5.1632532066528706E-3</v>
      </c>
      <c r="AN361" s="93">
        <f t="shared" ref="AN361" si="5321">LN(L361/G361)</f>
        <v>-2.1820862600393861E-4</v>
      </c>
      <c r="AO361" s="40">
        <f t="shared" ref="AO361" si="5322">(C361-I361)/(H361-I361)</f>
        <v>0.90768487191880132</v>
      </c>
      <c r="AP361" s="40">
        <f t="shared" ref="AP361" si="5323">(N360-I361)/(H361-I361)</f>
        <v>0.95521185758014837</v>
      </c>
      <c r="AQ361" s="93">
        <f t="shared" ref="AQ361" si="5324">LN(M361/L361)</f>
        <v>7.988833745686927E-4</v>
      </c>
      <c r="AR361" s="93">
        <f t="shared" ref="AR361" si="5325">LN(N361/L361)</f>
        <v>-1.6221293875468481E-4</v>
      </c>
      <c r="AS361" s="93">
        <f t="shared" ref="AS361" si="5326">LN(N361/C361)</f>
        <v>-6.9163541283413761E-3</v>
      </c>
      <c r="AT361" s="28">
        <f t="shared" ref="AT361" si="5327">+(G361-I361)/(H361-I361)</f>
        <v>0.54937973256000994</v>
      </c>
      <c r="AU361" s="28">
        <f t="shared" ref="AU361" si="5328">+(N361-P361)/(O361-P361)</f>
        <v>0.77803203661326625</v>
      </c>
      <c r="AV361" s="40">
        <f t="shared" ref="AV361" si="5329">+(N361-V361)/(U361-V361)</f>
        <v>0.52859674560979308</v>
      </c>
      <c r="AW361" s="93">
        <f t="shared" ref="AW361" si="5330">LN(N361/C361)</f>
        <v>-6.9163541283413761E-3</v>
      </c>
      <c r="AX361" s="28">
        <f t="shared" ref="AX361" si="5331">(N361-L361)/(U361-V361)</f>
        <v>-8.8609634283902117E-3</v>
      </c>
      <c r="AY361" s="93">
        <f t="shared" ref="AY361" si="5332">LN(G361/I361)</f>
        <v>1.0105077141512106E-2</v>
      </c>
      <c r="AZ361" s="93">
        <f t="shared" ref="AZ361" si="5333">LN(N361/P361)</f>
        <v>4.01947620099202E-3</v>
      </c>
      <c r="BA361" s="93">
        <f t="shared" ref="BA361" si="5334">AV360</f>
        <v>0.78313253012047712</v>
      </c>
      <c r="BB361" s="93">
        <f t="shared" ref="BB361" si="5335">AR360</f>
        <v>-3.3066315821243775E-4</v>
      </c>
      <c r="BC361" s="93">
        <f t="shared" ref="BC361" si="5336">AS360</f>
        <v>3.6122186082038839E-3</v>
      </c>
      <c r="BD361" s="39">
        <f t="shared" ref="BD361" si="5337">IF(AR360&lt;0,1,0)</f>
        <v>1</v>
      </c>
      <c r="BE361" s="92"/>
    </row>
    <row r="362" spans="1:58" x14ac:dyDescent="0.15">
      <c r="A362" s="90">
        <v>43039</v>
      </c>
      <c r="B362" s="41">
        <f t="shared" si="4153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95"/>
        <v>3378.1645199999994</v>
      </c>
      <c r="T362" s="92" t="str">
        <f t="shared" ref="T362" si="5338">IF(AVERAGE(N361)&lt;S361,"熊",IF(AVERAGE(N361)&gt;S361,"牛",""))</f>
        <v>牛</v>
      </c>
      <c r="U362" s="92">
        <f t="shared" ref="U362" si="5339">MAX(H362,O362)</f>
        <v>3397.09</v>
      </c>
      <c r="V362" s="92">
        <f t="shared" ref="V362" si="5340">MIN(I362,P362)</f>
        <v>3376.19</v>
      </c>
      <c r="W362" s="40">
        <f t="shared" ref="W362" si="5341">LN(U362/V362)</f>
        <v>6.1713280218261618E-3</v>
      </c>
      <c r="X362" s="92">
        <f t="shared" ref="X362" si="5342">IF(U362=H362,J362,Q362)</f>
        <v>1438</v>
      </c>
      <c r="Y362" s="92">
        <f t="shared" ref="Y362" si="5343">IF(V362=I362,K362,R362)</f>
        <v>1043</v>
      </c>
      <c r="Z362" s="93">
        <f t="shared" ref="Z362" si="5344">(U362-V362)/(C362)</f>
        <v>6.1816213594243375E-3</v>
      </c>
      <c r="AA362" s="93">
        <f t="shared" ref="AA362" si="5345">LN(C362/N361)</f>
        <v>-2.7586957708184098E-3</v>
      </c>
      <c r="AB362" s="93">
        <f t="shared" ref="AB362" si="5346">LN(N362/U362)</f>
        <v>-1.1044957038720536E-3</v>
      </c>
      <c r="AC362" s="93">
        <f t="shared" ref="AC362" si="5347">LN(N362/V362)</f>
        <v>5.0668323179539568E-3</v>
      </c>
      <c r="AD362" s="93">
        <f t="shared" ref="AD362" si="5348">LN(U362/C362)</f>
        <v>4.7506167761975776E-3</v>
      </c>
      <c r="AE362" s="93">
        <f t="shared" ref="AE362" si="5349">LN(V362/C362)</f>
        <v>-1.4207112456284675E-3</v>
      </c>
      <c r="AF362" s="93">
        <f t="shared" ref="AF362" si="5350">LN(N362/C362)</f>
        <v>3.6461210723256064E-3</v>
      </c>
      <c r="AG362" s="93">
        <f t="shared" ref="AG362" si="5351">LN(N362/N361)</f>
        <v>8.8742530150702395E-4</v>
      </c>
      <c r="AH362" s="93">
        <f t="shared" ref="AH362" si="5352">LN(D362/C362)</f>
        <v>-3.757001897547092E-4</v>
      </c>
      <c r="AI362" s="93">
        <f t="shared" ref="AI362" si="5353">LN(E362/C362)</f>
        <v>7.3915514978925177E-4</v>
      </c>
      <c r="AJ362" s="93">
        <f t="shared" ref="AJ362" si="5354">LN(F362/C362)</f>
        <v>3.6668924384957732E-4</v>
      </c>
      <c r="AK362" s="93">
        <f t="shared" ref="AK362" si="5355">+LN(G362/C362)</f>
        <v>2.3954610563807762E-4</v>
      </c>
      <c r="AL362" s="93">
        <f t="shared" ref="AL362" si="5356">LN(H362/I362)</f>
        <v>3.0047904025273641E-3</v>
      </c>
      <c r="AM362" s="93">
        <f t="shared" ref="AM362" si="5357">LN(O362/P362)</f>
        <v>6.0439736314076243E-3</v>
      </c>
      <c r="AN362" s="93">
        <f t="shared" ref="AN362" si="5358">LN(L362/G362)</f>
        <v>3.8138092877673831E-4</v>
      </c>
      <c r="AO362" s="40">
        <f t="shared" ref="AO362" si="5359">(C362-I362)/(H362-I362)</f>
        <v>0.47244094488186966</v>
      </c>
      <c r="AP362" s="40">
        <f t="shared" ref="AP362" si="5360">(N361-I362)/(H362-I362)</f>
        <v>1.3917322834645742</v>
      </c>
      <c r="AQ362" s="93">
        <f t="shared" ref="AQ362" si="5361">LN(M362/L362)</f>
        <v>-5.0854023442166755E-4</v>
      </c>
      <c r="AR362" s="93">
        <f t="shared" ref="AR362" si="5362">LN(N362/L362)</f>
        <v>3.0251940379109866E-3</v>
      </c>
      <c r="AS362" s="93">
        <f t="shared" ref="AS362" si="5363">LN(N362/C362)</f>
        <v>3.6461210723256064E-3</v>
      </c>
      <c r="AT362" s="28">
        <f t="shared" ref="AT362" si="5364">+(G362-I362)/(H362-I362)</f>
        <v>0.55216535433072911</v>
      </c>
      <c r="AU362" s="28">
        <f t="shared" ref="AU362" si="5365">+(N362-P362)/(O362-P362)</f>
        <v>0.81680508060576684</v>
      </c>
      <c r="AV362" s="40">
        <f t="shared" ref="AV362" si="5366">+(N362-V362)/(U362-V362)</f>
        <v>0.82057416267942662</v>
      </c>
      <c r="AW362" s="93">
        <f t="shared" ref="AW362" si="5367">LN(N362/C362)</f>
        <v>3.6461210723256064E-3</v>
      </c>
      <c r="AX362" s="28">
        <f t="shared" ref="AX362" si="5368">(N362-L362)/(U362-V362)</f>
        <v>0.49043062200956722</v>
      </c>
      <c r="AY362" s="93">
        <f t="shared" ref="AY362" si="5369">LN(G362/I362)</f>
        <v>1.660257351266486E-3</v>
      </c>
      <c r="AZ362" s="93">
        <f t="shared" ref="AZ362" si="5370">LN(N362/P362)</f>
        <v>4.9394779275355981E-3</v>
      </c>
      <c r="BA362" s="93">
        <f t="shared" ref="BA362" si="5371">AV361</f>
        <v>0.52859674560979308</v>
      </c>
      <c r="BB362" s="93">
        <f t="shared" ref="BB362" si="5372">AR361</f>
        <v>-1.6221293875468481E-4</v>
      </c>
      <c r="BC362" s="93">
        <f t="shared" ref="BC362" si="5373">AS361</f>
        <v>-6.9163541283413761E-3</v>
      </c>
      <c r="BD362" s="39">
        <f t="shared" ref="BD362" si="5374">IF(AR361&lt;0,1,0)</f>
        <v>1</v>
      </c>
      <c r="BE362" s="92"/>
    </row>
    <row r="363" spans="1:58" x14ac:dyDescent="0.15">
      <c r="A363" s="90">
        <v>43040</v>
      </c>
      <c r="B363" s="41">
        <f t="shared" si="4153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95"/>
        <v>3380.6401499999993</v>
      </c>
      <c r="T363" s="92" t="str">
        <f t="shared" ref="T363" si="5375">IF(AVERAGE(N362)&lt;S362,"熊",IF(AVERAGE(N362)&gt;S362,"牛",""))</f>
        <v>牛</v>
      </c>
      <c r="U363" s="92">
        <f t="shared" ref="U363" si="5376">MAX(H363,O363)</f>
        <v>3410.23</v>
      </c>
      <c r="V363" s="92">
        <f t="shared" ref="V363" si="5377">MIN(I363,P363)</f>
        <v>3388.87</v>
      </c>
      <c r="W363" s="40">
        <f t="shared" ref="W363" si="5378">LN(U363/V363)</f>
        <v>6.2832052100961541E-3</v>
      </c>
      <c r="X363" s="92">
        <f t="shared" ref="X363" si="5379">IF(U363=H363,J363,Q363)</f>
        <v>1017</v>
      </c>
      <c r="Y363" s="92">
        <f t="shared" ref="Y363" si="5380">IF(V363=I363,K363,R363)</f>
        <v>1337</v>
      </c>
      <c r="Z363" s="93">
        <f t="shared" ref="Z363" si="5381">(U363-V363)/(C363)</f>
        <v>6.2935332178340724E-3</v>
      </c>
      <c r="AA363" s="93">
        <f t="shared" ref="AA363" si="5382">LN(C363/N362)</f>
        <v>1.8269414987531144E-4</v>
      </c>
      <c r="AB363" s="93">
        <f t="shared" ref="AB363" si="5383">LN(N363/U363)</f>
        <v>-4.2079713700789601E-3</v>
      </c>
      <c r="AC363" s="93">
        <f t="shared" ref="AC363" si="5384">LN(N363/V363)</f>
        <v>2.0752338400172382E-3</v>
      </c>
      <c r="AD363" s="93">
        <f t="shared" ref="AD363" si="5385">LN(U363/C363)</f>
        <v>4.7823564624626044E-3</v>
      </c>
      <c r="AE363" s="93">
        <f t="shared" ref="AE363" si="5386">LN(V363/C363)</f>
        <v>-1.5008487476334794E-3</v>
      </c>
      <c r="AF363" s="93">
        <f t="shared" ref="AF363" si="5387">LN(N363/C363)</f>
        <v>5.7438509238364496E-4</v>
      </c>
      <c r="AG363" s="93">
        <f t="shared" ref="AG363" si="5388">LN(N363/N362)</f>
        <v>7.5707924225887379E-4</v>
      </c>
      <c r="AH363" s="93">
        <f t="shared" ref="AH363" si="5389">LN(D363/C363)</f>
        <v>-2.5931776000478178E-4</v>
      </c>
      <c r="AI363" s="93">
        <f t="shared" ref="AI363" si="5390">LN(E363/C363)</f>
        <v>7.7166179125935078E-4</v>
      </c>
      <c r="AJ363" s="93">
        <f t="shared" ref="AJ363" si="5391">LN(F363/C363)</f>
        <v>8.1876688862839294E-4</v>
      </c>
      <c r="AK363" s="93">
        <f t="shared" ref="AK363" si="5392">+LN(G363/C363)</f>
        <v>1.76628560827392E-3</v>
      </c>
      <c r="AL363" s="93">
        <f t="shared" ref="AL363" si="5393">LN(H363/I363)</f>
        <v>5.905569500152287E-3</v>
      </c>
      <c r="AM363" s="93">
        <f t="shared" ref="AM363" si="5394">LN(O363/P363)</f>
        <v>5.144804305529267E-3</v>
      </c>
      <c r="AN363" s="93">
        <f t="shared" ref="AN363" si="5395">LN(L363/G363)</f>
        <v>-5.9430119873913202E-4</v>
      </c>
      <c r="AO363" s="40">
        <f t="shared" ref="AO363" si="5396">(C363-I363)/(H363-I363)</f>
        <v>0.18974103585657168</v>
      </c>
      <c r="AP363" s="40">
        <f t="shared" ref="AP363" si="5397">(N362-I363)/(H363-I363)</f>
        <v>0.15886454183267262</v>
      </c>
      <c r="AQ363" s="93">
        <f t="shared" ref="AQ363" si="5398">LN(M363/L363)</f>
        <v>-1.0158368350291858E-3</v>
      </c>
      <c r="AR363" s="93">
        <f t="shared" ref="AR363" si="5399">LN(N363/L363)</f>
        <v>-5.9759931715124741E-4</v>
      </c>
      <c r="AS363" s="93">
        <f t="shared" ref="AS363" si="5400">LN(N363/C363)</f>
        <v>5.7438509238364496E-4</v>
      </c>
      <c r="AT363" s="28">
        <f t="shared" ref="AT363" si="5401">+(G363-I363)/(H363-I363)</f>
        <v>0.4885458167330668</v>
      </c>
      <c r="AU363" s="28">
        <f t="shared" ref="AU363" si="5402">+(N363-P363)/(O363-P363)</f>
        <v>0.40274599542333844</v>
      </c>
      <c r="AV363" s="40">
        <f t="shared" ref="AV363" si="5403">+(N363-V363)/(U363-V363)</f>
        <v>0.32958801498126972</v>
      </c>
      <c r="AW363" s="93">
        <f t="shared" ref="AW363" si="5404">LN(N363/C363)</f>
        <v>5.7438509238364496E-4</v>
      </c>
      <c r="AX363" s="28">
        <f t="shared" ref="AX363" si="5405">(N363-L363)/(U363-V363)</f>
        <v>-9.5037453183529394E-2</v>
      </c>
      <c r="AY363" s="93">
        <f t="shared" ref="AY363" si="5406">LN(G363/I363)</f>
        <v>2.8894986459635694E-3</v>
      </c>
      <c r="AZ363" s="93">
        <f t="shared" ref="AZ363" si="5407">LN(N363/P363)</f>
        <v>2.0752338400172382E-3</v>
      </c>
      <c r="BA363" s="93">
        <f t="shared" ref="BA363" si="5408">AV362</f>
        <v>0.82057416267942662</v>
      </c>
      <c r="BB363" s="93">
        <f t="shared" ref="BB363" si="5409">AR362</f>
        <v>3.0251940379109866E-3</v>
      </c>
      <c r="BC363" s="93">
        <f t="shared" ref="BC363" si="5410">AS362</f>
        <v>3.6461210723256064E-3</v>
      </c>
      <c r="BD363" s="39">
        <f t="shared" ref="BD363" si="5411">IF(AR362&lt;0,1,0)</f>
        <v>0</v>
      </c>
    </row>
    <row r="364" spans="1:58" x14ac:dyDescent="0.15">
      <c r="A364" s="90">
        <v>43041</v>
      </c>
      <c r="B364" s="41">
        <f t="shared" si="4153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95"/>
        <v>3383.1624849999998</v>
      </c>
      <c r="T364" s="92" t="str">
        <f t="shared" ref="T364" si="5412">IF(AVERAGE(N363)&lt;S363,"熊",IF(AVERAGE(N363)&gt;S363,"牛",""))</f>
        <v>牛</v>
      </c>
      <c r="U364" s="92">
        <f t="shared" ref="U364" si="5413">MAX(H364,O364)</f>
        <v>3391.65</v>
      </c>
      <c r="V364" s="92">
        <f t="shared" ref="V364" si="5414">MIN(I364,P364)</f>
        <v>3372.4</v>
      </c>
      <c r="W364" s="40">
        <f t="shared" ref="W364" si="5415">LN(U364/V364)</f>
        <v>5.6918715771777893E-3</v>
      </c>
      <c r="X364" s="92">
        <f t="shared" ref="X364" si="5416">IF(U364=H364,J364,Q364)</f>
        <v>930</v>
      </c>
      <c r="Y364" s="92">
        <f t="shared" ref="Y364" si="5417">IF(V364=I364,K364,R364)</f>
        <v>1348</v>
      </c>
      <c r="Z364" s="93">
        <f t="shared" ref="Z364" si="5418">(U364-V364)/(C364)</f>
        <v>5.6757035661108898E-3</v>
      </c>
      <c r="AA364" s="93">
        <f t="shared" ref="AA364" si="5419">LN(C364/N363)</f>
        <v>-1.2552376875770829E-3</v>
      </c>
      <c r="AB364" s="93">
        <f t="shared" ref="AB364" si="5420">LN(N364/U364)</f>
        <v>-2.4620083993801183E-3</v>
      </c>
      <c r="AC364" s="93">
        <f t="shared" ref="AC364" si="5421">LN(N364/V364)</f>
        <v>3.2298631777975366E-3</v>
      </c>
      <c r="AD364" s="93">
        <f t="shared" ref="AD364" si="5422">LN(U364/C364)</f>
        <v>0</v>
      </c>
      <c r="AE364" s="93">
        <f t="shared" ref="AE364" si="5423">LN(V364/C364)</f>
        <v>-5.6918715771777173E-3</v>
      </c>
      <c r="AF364" s="93">
        <f t="shared" ref="AF364" si="5424">LN(N364/C364)</f>
        <v>-2.4620083993801183E-3</v>
      </c>
      <c r="AG364" s="93">
        <f t="shared" ref="AG364" si="5425">LN(N364/N363)</f>
        <v>-3.7172460869571646E-3</v>
      </c>
      <c r="AH364" s="93">
        <f t="shared" ref="AH364" si="5426">LN(D364/C364)</f>
        <v>-1.0974132242228005E-3</v>
      </c>
      <c r="AI364" s="93">
        <f t="shared" ref="AI364" si="5427">LN(E364/C364)</f>
        <v>-2.3171903010023279E-3</v>
      </c>
      <c r="AJ364" s="93">
        <f t="shared" ref="AJ364" si="5428">LN(F364/C364)</f>
        <v>-1.8444608707014812E-3</v>
      </c>
      <c r="AK364" s="93">
        <f t="shared" ref="AK364" si="5429">+LN(G364/C364)</f>
        <v>-4.1688947822725413E-3</v>
      </c>
      <c r="AL364" s="93">
        <f t="shared" ref="AL364" si="5430">LN(H364/I364)</f>
        <v>5.1523421404674969E-3</v>
      </c>
      <c r="AM364" s="93">
        <f t="shared" ref="AM364" si="5431">LN(O364/P364)</f>
        <v>3.4130988844474582E-3</v>
      </c>
      <c r="AN364" s="93">
        <f t="shared" ref="AN364" si="5432">LN(L364/G364)</f>
        <v>-3.8200773660041745E-4</v>
      </c>
      <c r="AO364" s="40">
        <f t="shared" ref="AO364" si="5433">(C364-I364)/(H364-I364)</f>
        <v>1</v>
      </c>
      <c r="AP364" s="40">
        <f t="shared" ref="AP364" si="5434">(N363-I364)/(H364-I364)</f>
        <v>1.2444061962134074</v>
      </c>
      <c r="AQ364" s="93">
        <f t="shared" ref="AQ364" si="5435">LN(M364/L364)</f>
        <v>-5.5105887651201184E-4</v>
      </c>
      <c r="AR364" s="93">
        <f t="shared" ref="AR364" si="5436">LN(N364/L364)</f>
        <v>2.0888941194928835E-3</v>
      </c>
      <c r="AS364" s="93">
        <f t="shared" ref="AS364" si="5437">LN(N364/C364)</f>
        <v>-2.4620083993801183E-3</v>
      </c>
      <c r="AT364" s="28">
        <f t="shared" ref="AT364" si="5438">+(G364-I364)/(H364-I364)</f>
        <v>0.19047619047619668</v>
      </c>
      <c r="AU364" s="28">
        <f t="shared" ref="AU364" si="5439">+(N364-P364)/(O364-P364)</f>
        <v>0.94622723330443148</v>
      </c>
      <c r="AV364" s="40">
        <f t="shared" ref="AV364" si="5440">+(N364-V364)/(U364-V364)</f>
        <v>0.56675324675323924</v>
      </c>
      <c r="AW364" s="93">
        <f t="shared" ref="AW364" si="5441">LN(N364/C364)</f>
        <v>-2.4620083993801183E-3</v>
      </c>
      <c r="AX364" s="28">
        <f t="shared" ref="AX364" si="5442">(N364-L364)/(U364-V364)</f>
        <v>0.36675324675324394</v>
      </c>
      <c r="AY364" s="93">
        <f t="shared" ref="AY364" si="5443">LN(G364/I364)</f>
        <v>9.8344735819498336E-4</v>
      </c>
      <c r="AZ364" s="93">
        <f t="shared" ref="AZ364" si="5444">LN(N364/P364)</f>
        <v>3.2298631777975366E-3</v>
      </c>
      <c r="BA364" s="93">
        <f t="shared" ref="BA364" si="5445">AV363</f>
        <v>0.32958801498126972</v>
      </c>
      <c r="BB364" s="93">
        <f t="shared" ref="BB364" si="5446">AR363</f>
        <v>-5.9759931715124741E-4</v>
      </c>
      <c r="BC364" s="93">
        <f t="shared" ref="BC364" si="5447">AS363</f>
        <v>5.7438509238364496E-4</v>
      </c>
      <c r="BD364" s="39">
        <f t="shared" ref="BD364" si="5448">IF(AR363&lt;0,1,0)</f>
        <v>1</v>
      </c>
    </row>
    <row r="365" spans="1:58" x14ac:dyDescent="0.15">
      <c r="A365" s="90">
        <v>43042</v>
      </c>
      <c r="B365" s="41">
        <f t="shared" si="4153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95"/>
        <v>3385.3222099999998</v>
      </c>
      <c r="T365" s="92" t="str">
        <f t="shared" ref="T365" si="5449">IF(AVERAGE(N364)&lt;S364,"熊",IF(AVERAGE(N364)&gt;S364,"牛",""))</f>
        <v>牛</v>
      </c>
      <c r="U365" s="92">
        <f t="shared" ref="U365" si="5450">MAX(H365,O365)</f>
        <v>3380.09</v>
      </c>
      <c r="V365" s="92">
        <f t="shared" ref="V365" si="5451">MIN(I365,P365)</f>
        <v>3347.64</v>
      </c>
      <c r="W365" s="40">
        <f t="shared" ref="W365" si="5452">LN(U365/V365)</f>
        <v>9.6467163952855452E-3</v>
      </c>
      <c r="X365" s="92">
        <f t="shared" ref="X365" si="5453">IF(U365=H365,J365,Q365)</f>
        <v>935</v>
      </c>
      <c r="Y365" s="92">
        <f t="shared" ref="Y365" si="5454">IF(V365=I365,K365,R365)</f>
        <v>1435</v>
      </c>
      <c r="Z365" s="93">
        <f t="shared" ref="Z365" si="5455">(U365-V365)/(C365)</f>
        <v>9.6070437838430764E-3</v>
      </c>
      <c r="AA365" s="93">
        <f t="shared" ref="AA365" si="5456">LN(C365/N364)</f>
        <v>-1.6506340051043267E-3</v>
      </c>
      <c r="AB365" s="93">
        <f t="shared" ref="AB365" si="5457">LN(N365/U365)</f>
        <v>-2.4734047678692064E-3</v>
      </c>
      <c r="AC365" s="93">
        <f t="shared" ref="AC365" si="5458">LN(N365/V365)</f>
        <v>7.1733116274162109E-3</v>
      </c>
      <c r="AD365" s="93">
        <f t="shared" ref="AD365" si="5459">LN(U365/C365)</f>
        <v>6.9845012028745392E-4</v>
      </c>
      <c r="AE365" s="93">
        <f t="shared" ref="AE365" si="5460">LN(V365/C365)</f>
        <v>-8.9482662749979357E-3</v>
      </c>
      <c r="AF365" s="93">
        <f t="shared" ref="AF365" si="5461">LN(N365/C365)</f>
        <v>-1.7749546475817955E-3</v>
      </c>
      <c r="AG365" s="93">
        <f t="shared" ref="AG365" si="5462">LN(N365/N364)</f>
        <v>-3.4255886526861215E-3</v>
      </c>
      <c r="AH365" s="93">
        <f t="shared" ref="AH365" si="5463">LN(D365/C365)</f>
        <v>-4.8861310366365648E-4</v>
      </c>
      <c r="AI365" s="93">
        <f t="shared" ref="AI365" si="5464">LN(E365/C365)</f>
        <v>5.1796526647105714E-4</v>
      </c>
      <c r="AJ365" s="93">
        <f t="shared" ref="AJ365" si="5465">LN(F365/C365)</f>
        <v>-1.9245545085843082E-4</v>
      </c>
      <c r="AK365" s="93">
        <f t="shared" ref="AK365" si="5466">+LN(G365/C365)</f>
        <v>-5.5963011652015908E-3</v>
      </c>
      <c r="AL365" s="93">
        <f t="shared" ref="AL365" si="5467">LN(H365/I365)</f>
        <v>6.2977284727914811E-3</v>
      </c>
      <c r="AM365" s="93">
        <f t="shared" ref="AM365" si="5468">LN(O365/P365)</f>
        <v>7.5202532809448526E-3</v>
      </c>
      <c r="AN365" s="93">
        <f t="shared" ref="AN365" si="5469">LN(L365/G365)</f>
        <v>-8.0714220955186561E-4</v>
      </c>
      <c r="AO365" s="40">
        <f t="shared" ref="AO365" si="5470">(C365-I365)/(H365-I365)</f>
        <v>0.88878416588123943</v>
      </c>
      <c r="AP365" s="40">
        <f t="shared" ref="AP365" si="5471">(N364-I365)/(H365-I365)</f>
        <v>1.1517436380772743</v>
      </c>
      <c r="AQ365" s="93">
        <f t="shared" ref="AQ365" si="5472">LN(M365/L365)</f>
        <v>1.0780291575830504E-3</v>
      </c>
      <c r="AR365" s="93">
        <f t="shared" ref="AR365" si="5473">LN(N365/L365)</f>
        <v>4.6284887271716103E-3</v>
      </c>
      <c r="AS365" s="93">
        <f t="shared" ref="AS365" si="5474">LN(N365/C365)</f>
        <v>-1.7749546475817955E-3</v>
      </c>
      <c r="AT365" s="28">
        <f t="shared" ref="AT365" si="5475">+(G365-I365)/(H365-I365)</f>
        <v>4.7125353441178884E-4</v>
      </c>
      <c r="AU365" s="28">
        <f t="shared" ref="AU365" si="5476">+(N365-P365)/(O365-P365)</f>
        <v>0.95370003957261285</v>
      </c>
      <c r="AV365" s="40">
        <f t="shared" ref="AV365" si="5477">+(N365-V365)/(U365-V365)</f>
        <v>0.74268104776578447</v>
      </c>
      <c r="AW365" s="93">
        <f t="shared" ref="AW365" si="5478">LN(N365/C365)</f>
        <v>-1.7749546475817955E-3</v>
      </c>
      <c r="AX365" s="28">
        <f t="shared" ref="AX365" si="5479">(N365-L365)/(U365-V365)</f>
        <v>0.4798151001540702</v>
      </c>
      <c r="AY365" s="93">
        <f t="shared" ref="AY365" si="5480">LN(G365/I365)</f>
        <v>2.9771873024281878E-6</v>
      </c>
      <c r="AZ365" s="93">
        <f t="shared" ref="AZ365" si="5481">LN(N365/P365)</f>
        <v>7.1733116274162109E-3</v>
      </c>
      <c r="BA365" s="93">
        <f t="shared" ref="BA365" si="5482">AV364</f>
        <v>0.56675324675323924</v>
      </c>
      <c r="BB365" s="93">
        <f t="shared" ref="BB365" si="5483">AR364</f>
        <v>2.0888941194928835E-3</v>
      </c>
      <c r="BC365" s="93">
        <f t="shared" ref="BC365" si="5484">AS364</f>
        <v>-2.4620083993801183E-3</v>
      </c>
      <c r="BD365" s="39">
        <f t="shared" ref="BD365" si="5485">IF(AR364&lt;0,1,0)</f>
        <v>0</v>
      </c>
      <c r="BE365" s="92"/>
    </row>
    <row r="366" spans="1:58" x14ac:dyDescent="0.15">
      <c r="A366" s="90">
        <v>43045</v>
      </c>
      <c r="B366" s="41">
        <f t="shared" si="4153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95"/>
        <v>3386.4622100000001</v>
      </c>
      <c r="T366" s="92" t="str">
        <f t="shared" ref="T366" si="5486">IF(AVERAGE(N365)&lt;S365,"熊",IF(AVERAGE(N365)&gt;S365,"牛",""))</f>
        <v>熊</v>
      </c>
      <c r="U366" s="92">
        <f t="shared" ref="U366" si="5487">MAX(H366,O366)</f>
        <v>3389.36</v>
      </c>
      <c r="V366" s="92">
        <f t="shared" ref="V366" si="5488">MIN(I366,P366)</f>
        <v>3356.64</v>
      </c>
      <c r="W366" s="40">
        <f t="shared" ref="W366" si="5489">LN(U366/V366)</f>
        <v>9.7006393671766368E-3</v>
      </c>
      <c r="X366" s="92">
        <f t="shared" ref="X366" si="5490">IF(U366=H366,J366,Q366)</f>
        <v>1459</v>
      </c>
      <c r="Y366" s="92">
        <f t="shared" ref="Y366" si="5491">IF(V366=I366,K366,R366)</f>
        <v>1018</v>
      </c>
      <c r="Z366" s="93">
        <f t="shared" ref="Z366" si="5492">(U366-V366)/(C366)</f>
        <v>9.7101208423352528E-3</v>
      </c>
      <c r="AA366" s="93">
        <f t="shared" ref="AA366" si="5493">LN(C366/N365)</f>
        <v>-6.1114722539685139E-4</v>
      </c>
      <c r="AB366" s="93">
        <f t="shared" ref="AB366" si="5494">LN(N366/U366)</f>
        <v>-3.5116038209451883E-4</v>
      </c>
      <c r="AC366" s="93">
        <f t="shared" ref="AC366" si="5495">LN(N366/V366)</f>
        <v>9.3494789850820034E-3</v>
      </c>
      <c r="AD366" s="93">
        <f t="shared" ref="AD366" si="5496">LN(U366/C366)</f>
        <v>5.8233286426077682E-3</v>
      </c>
      <c r="AE366" s="93">
        <f t="shared" ref="AE366" si="5497">LN(V366/C366)</f>
        <v>-3.8773107245688638E-3</v>
      </c>
      <c r="AF366" s="93">
        <f t="shared" ref="AF366" si="5498">LN(N366/C366)</f>
        <v>5.4721682605130958E-3</v>
      </c>
      <c r="AG366" s="93">
        <f t="shared" ref="AG366" si="5499">LN(N366/N365)</f>
        <v>4.8610210351161844E-3</v>
      </c>
      <c r="AH366" s="93">
        <f t="shared" ref="AH366" si="5500">LN(D366/C366)</f>
        <v>2.551845502571448E-4</v>
      </c>
      <c r="AI366" s="93">
        <f t="shared" ref="AI366" si="5501">LN(E366/C366)</f>
        <v>-4.6009015610178641E-4</v>
      </c>
      <c r="AJ366" s="93">
        <f t="shared" ref="AJ366" si="5502">LN(F366/C366)</f>
        <v>4.4208075369340036E-4</v>
      </c>
      <c r="AK366" s="93">
        <f t="shared" ref="AK366" si="5503">+LN(G366/C366)</f>
        <v>-9.2633285723306522E-4</v>
      </c>
      <c r="AL366" s="93">
        <f t="shared" ref="AL366" si="5504">LN(H366/I366)</f>
        <v>4.4380376074230638E-3</v>
      </c>
      <c r="AM366" s="93">
        <f t="shared" ref="AM366" si="5505">LN(O366/P366)</f>
        <v>6.1943525690022266E-3</v>
      </c>
      <c r="AN366" s="93">
        <f t="shared" ref="AN366" si="5506">LN(L366/G366)</f>
        <v>8.2246003308993141E-4</v>
      </c>
      <c r="AO366" s="40">
        <f t="shared" ref="AO366" si="5507">(C366-I366)/(H366-I366)</f>
        <v>0.87340924313460877</v>
      </c>
      <c r="AP366" s="40">
        <f t="shared" ref="AP366" si="5508">(N365-I366)/(H366-I366)</f>
        <v>1.0113864701942139</v>
      </c>
      <c r="AQ366" s="93">
        <f t="shared" ref="AQ366" si="5509">LN(M366/L366)</f>
        <v>8.3364612250369486E-4</v>
      </c>
      <c r="AR366" s="93">
        <f t="shared" ref="AR366" si="5510">LN(N366/L366)</f>
        <v>5.5760410846563803E-3</v>
      </c>
      <c r="AS366" s="93">
        <f t="shared" ref="AS366" si="5511">LN(N366/C366)</f>
        <v>5.4721682605130958E-3</v>
      </c>
      <c r="AT366" s="28">
        <f t="shared" ref="AT366" si="5512">+(G366-I366)/(H366-I366)</f>
        <v>0.66443402545210173</v>
      </c>
      <c r="AU366" s="28">
        <f t="shared" ref="AU366" si="5513">+(N366-P366)/(O366-P366)</f>
        <v>0.94314381270902825</v>
      </c>
      <c r="AV366" s="40">
        <f t="shared" ref="AV366" si="5514">+(N366-V366)/(U366-V366)</f>
        <v>0.96363080684596436</v>
      </c>
      <c r="AW366" s="93">
        <f t="shared" ref="AW366" si="5515">LN(N366/C366)</f>
        <v>5.4721682605130958E-3</v>
      </c>
      <c r="AX366" s="28">
        <f t="shared" ref="AX366" si="5516">(N366-L366)/(U366-V366)</f>
        <v>0.57579462102689483</v>
      </c>
      <c r="AY366" s="93">
        <f t="shared" ref="AY366" si="5517">LN(G366/I366)</f>
        <v>2.9509778673357289E-3</v>
      </c>
      <c r="AZ366" s="93">
        <f t="shared" ref="AZ366" si="5518">LN(N366/P366)</f>
        <v>5.8431921869077684E-3</v>
      </c>
      <c r="BA366" s="93">
        <f t="shared" ref="BA366" si="5519">AV365</f>
        <v>0.74268104776578447</v>
      </c>
      <c r="BB366" s="93">
        <f t="shared" ref="BB366" si="5520">AR365</f>
        <v>4.6284887271716103E-3</v>
      </c>
      <c r="BC366" s="93">
        <f t="shared" ref="BC366" si="5521">AS365</f>
        <v>-1.7749546475817955E-3</v>
      </c>
      <c r="BD366" s="39">
        <f t="shared" ref="BD366" si="5522">IF(AR365&lt;0,1,0)</f>
        <v>0</v>
      </c>
    </row>
    <row r="367" spans="1:58" x14ac:dyDescent="0.15">
      <c r="A367" s="90">
        <v>43046</v>
      </c>
      <c r="B367" s="41">
        <f t="shared" si="4153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95"/>
        <v>3387.1270049999998</v>
      </c>
      <c r="T367" s="92" t="str">
        <f t="shared" ref="T367" si="5523">IF(AVERAGE(N366)&lt;S366,"熊",IF(AVERAGE(N366)&gt;S366,"牛",""))</f>
        <v>牛</v>
      </c>
      <c r="U367" s="92">
        <f t="shared" ref="U367" si="5524">MAX(H367,O367)</f>
        <v>3415.14</v>
      </c>
      <c r="V367" s="92">
        <f t="shared" ref="V367" si="5525">MIN(I367,P367)</f>
        <v>3387.96</v>
      </c>
      <c r="W367" s="40">
        <f t="shared" ref="W367" si="5526">LN(U367/V367)</f>
        <v>7.9905174454004257E-3</v>
      </c>
      <c r="X367" s="92">
        <f t="shared" ref="X367" si="5527">IF(U367=H367,J367,Q367)</f>
        <v>1459</v>
      </c>
      <c r="Y367" s="92">
        <f t="shared" ref="Y367" si="5528">IF(V367=I367,K367,R367)</f>
        <v>931</v>
      </c>
      <c r="Z367" s="93">
        <f t="shared" ref="Z367" si="5529">(U367-V367)/(C367)</f>
        <v>8.0189528156318947E-3</v>
      </c>
      <c r="AA367" s="93">
        <f t="shared" ref="AA367" si="5530">LN(C367/N366)</f>
        <v>3.8361436014368528E-4</v>
      </c>
      <c r="AB367" s="93">
        <f t="shared" ref="AB367" si="5531">LN(N367/U367)</f>
        <v>-4.5982331294275303E-4</v>
      </c>
      <c r="AC367" s="93">
        <f t="shared" ref="AC367" si="5532">LN(N367/V367)</f>
        <v>7.5306941324576066E-3</v>
      </c>
      <c r="AD367" s="93">
        <f t="shared" ref="AD367" si="5533">LN(U367/C367)</f>
        <v>7.5449208033149147E-3</v>
      </c>
      <c r="AE367" s="93">
        <f t="shared" ref="AE367" si="5534">LN(V367/C367)</f>
        <v>-4.4559664208553994E-4</v>
      </c>
      <c r="AF367" s="93">
        <f t="shared" ref="AF367" si="5535">LN(N367/C367)</f>
        <v>7.0850974903720852E-3</v>
      </c>
      <c r="AG367" s="93">
        <f t="shared" ref="AG367" si="5536">LN(N367/N366)</f>
        <v>7.468711850515862E-3</v>
      </c>
      <c r="AH367" s="93">
        <f t="shared" ref="AH367" si="5537">LN(D367/C367)</f>
        <v>-2.7146570994165844E-4</v>
      </c>
      <c r="AI367" s="93">
        <f t="shared" ref="AI367" si="5538">LN(E367/C367)</f>
        <v>2.2485594975917675E-3</v>
      </c>
      <c r="AJ367" s="93">
        <f t="shared" ref="AJ367" si="5539">LN(F367/C367)</f>
        <v>2.6399932833250247E-3</v>
      </c>
      <c r="AK367" s="93">
        <f t="shared" ref="AK367" si="5540">+LN(G367/C367)</f>
        <v>5.0881260056697009E-3</v>
      </c>
      <c r="AL367" s="93">
        <f t="shared" ref="AL367" si="5541">LN(H367/I367)</f>
        <v>7.8089564301514168E-3</v>
      </c>
      <c r="AM367" s="93">
        <f t="shared" ref="AM367" si="5542">LN(O367/P367)</f>
        <v>4.5754178685539033E-3</v>
      </c>
      <c r="AN367" s="93">
        <f t="shared" ref="AN367" si="5543">LN(L367/G367)</f>
        <v>9.2420499282363871E-4</v>
      </c>
      <c r="AO367" s="40">
        <f t="shared" ref="AO367" si="5544">(C367-I367)/(H367-I367)</f>
        <v>5.6852409638545431E-2</v>
      </c>
      <c r="AP367" s="40">
        <f t="shared" ref="AP367" si="5545">(N366-I367)/(H367-I367)</f>
        <v>7.9066265060254819E-3</v>
      </c>
      <c r="AQ367" s="93">
        <f t="shared" ref="AQ367" si="5546">LN(M367/L367)</f>
        <v>-1.2706351509781926E-3</v>
      </c>
      <c r="AR367" s="93">
        <f t="shared" ref="AR367" si="5547">LN(N367/L367)</f>
        <v>1.0727664918787974E-3</v>
      </c>
      <c r="AS367" s="93">
        <f t="shared" ref="AS367" si="5548">LN(N367/C367)</f>
        <v>7.0850974903720852E-3</v>
      </c>
      <c r="AT367" s="28">
        <f t="shared" ref="AT367" si="5549">+(G367-I367)/(H367-I367)</f>
        <v>0.70783132530121318</v>
      </c>
      <c r="AU367" s="28">
        <f t="shared" ref="AU367" si="5550">+(N367-P367)/(O367-P367)</f>
        <v>0.89929441949969591</v>
      </c>
      <c r="AV367" s="40">
        <f t="shared" ref="AV367" si="5551">+(N367-V367)/(U367-V367)</f>
        <v>0.94223693892569105</v>
      </c>
      <c r="AW367" s="93">
        <f t="shared" ref="AW367" si="5552">LN(N367/C367)</f>
        <v>7.0850974903720852E-3</v>
      </c>
      <c r="AX367" s="28">
        <f t="shared" ref="AX367" si="5553">(N367-L367)/(U367-V367)</f>
        <v>0.13465783664460379</v>
      </c>
      <c r="AY367" s="93">
        <f t="shared" ref="AY367" si="5554">LN(G367/I367)</f>
        <v>5.5337226477551382E-3</v>
      </c>
      <c r="AZ367" s="93">
        <f t="shared" ref="AZ367" si="5555">LN(N367/P367)</f>
        <v>4.1155945556110938E-3</v>
      </c>
      <c r="BA367" s="93">
        <f t="shared" ref="BA367" si="5556">AV366</f>
        <v>0.96363080684596436</v>
      </c>
      <c r="BB367" s="93">
        <f t="shared" ref="BB367" si="5557">AR366</f>
        <v>5.5760410846563803E-3</v>
      </c>
      <c r="BC367" s="93">
        <f t="shared" ref="BC367" si="5558">AS366</f>
        <v>5.4721682605130958E-3</v>
      </c>
      <c r="BD367" s="39">
        <f t="shared" ref="BD367" si="5559">IF(AR366&lt;0,1,0)</f>
        <v>0</v>
      </c>
    </row>
    <row r="368" spans="1:58" x14ac:dyDescent="0.15">
      <c r="A368" s="90">
        <v>43047</v>
      </c>
      <c r="B368" s="41">
        <f t="shared" si="4153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95"/>
        <v>3388.6284999999998</v>
      </c>
      <c r="T368" s="92" t="str">
        <f t="shared" ref="T368" si="5560">IF(AVERAGE(N367)&lt;S367,"熊",IF(AVERAGE(N367)&gt;S367,"牛",""))</f>
        <v>牛</v>
      </c>
      <c r="U368" s="92">
        <f t="shared" ref="U368" si="5561">MAX(H368,O368)</f>
        <v>3434.27</v>
      </c>
      <c r="V368" s="92">
        <f t="shared" ref="V368" si="5562">MIN(I368,P368)</f>
        <v>3404.88</v>
      </c>
      <c r="W368" s="40">
        <f t="shared" ref="W368" si="5563">LN(U368/V368)</f>
        <v>8.5946882043674792E-3</v>
      </c>
      <c r="X368" s="92">
        <f t="shared" ref="X368" si="5564">IF(U368=H368,J368,Q368)</f>
        <v>1301</v>
      </c>
      <c r="Y368" s="92">
        <f t="shared" ref="Y368" si="5565">IF(V368=I368,K368,R368)</f>
        <v>932</v>
      </c>
      <c r="Z368" s="93">
        <f t="shared" ref="Z368" si="5566">(U368-V368)/(C368)</f>
        <v>8.6209425250942679E-3</v>
      </c>
      <c r="AA368" s="93">
        <f t="shared" ref="AA368" si="5567">LN(C368/N367)</f>
        <v>-1.2986044028115806E-3</v>
      </c>
      <c r="AB368" s="93">
        <f t="shared" ref="AB368" si="5568">LN(N368/U368)</f>
        <v>-5.4922010889403659E-3</v>
      </c>
      <c r="AC368" s="93">
        <f t="shared" ref="AC368" si="5569">LN(N368/V368)</f>
        <v>3.1024871154270283E-3</v>
      </c>
      <c r="AD368" s="93">
        <f t="shared" ref="AD368" si="5570">LN(U368/C368)</f>
        <v>7.3443248197547044E-3</v>
      </c>
      <c r="AE368" s="93">
        <f t="shared" ref="AE368" si="5571">LN(V368/C368)</f>
        <v>-1.2503633846127882E-3</v>
      </c>
      <c r="AF368" s="93">
        <f t="shared" ref="AF368" si="5572">LN(N368/C368)</f>
        <v>1.8521237308143758E-3</v>
      </c>
      <c r="AG368" s="93">
        <f t="shared" ref="AG368" si="5573">LN(N368/N367)</f>
        <v>5.5351932800277038E-4</v>
      </c>
      <c r="AH368" s="93">
        <f t="shared" ref="AH368" si="5574">LN(D368/C368)</f>
        <v>-1.0653519530216587E-3</v>
      </c>
      <c r="AI368" s="93">
        <f t="shared" ref="AI368" si="5575">LN(E368/C368)</f>
        <v>3.2265681490637953E-5</v>
      </c>
      <c r="AJ368" s="93">
        <f t="shared" ref="AJ368" si="5576">LN(F368/C368)</f>
        <v>-3.4912257637417608E-4</v>
      </c>
      <c r="AK368" s="93">
        <f t="shared" ref="AK368" si="5577">+LN(G368/C368)</f>
        <v>6.6831215514001948E-3</v>
      </c>
      <c r="AL368" s="93">
        <f t="shared" ref="AL368" si="5578">LN(H368/I368)</f>
        <v>8.2219048774443085E-3</v>
      </c>
      <c r="AM368" s="93">
        <f t="shared" ref="AM368" si="5579">LN(O368/P368)</f>
        <v>7.3971254533745446E-3</v>
      </c>
      <c r="AN368" s="93">
        <f t="shared" ref="AN368" si="5580">LN(L368/G368)</f>
        <v>3.8162880216594918E-4</v>
      </c>
      <c r="AO368" s="40">
        <f t="shared" ref="AO368" si="5581">(C368-I368)/(H368-I368)</f>
        <v>0.1515474919957244</v>
      </c>
      <c r="AP368" s="40">
        <f t="shared" ref="AP368" si="5582">(N367-I368)/(H368-I368)</f>
        <v>0.30914265385984191</v>
      </c>
      <c r="AQ368" s="93">
        <f t="shared" ref="AQ368" si="5583">LN(M368/L368)</f>
        <v>-1.9066838816213709E-3</v>
      </c>
      <c r="AR368" s="93">
        <f t="shared" ref="AR368" si="5584">LN(N368/L368)</f>
        <v>-5.2126266227519921E-3</v>
      </c>
      <c r="AS368" s="93">
        <f t="shared" ref="AS368" si="5585">LN(N368/C368)</f>
        <v>1.8521237308143758E-3</v>
      </c>
      <c r="AT368" s="28">
        <f t="shared" ref="AT368" si="5586">+(G368-I368)/(H368-I368)</f>
        <v>0.96478121664888672</v>
      </c>
      <c r="AU368" s="28">
        <f t="shared" ref="AU368" si="5587">+(N368-P368)/(O368-P368)</f>
        <v>0.25681548794942766</v>
      </c>
      <c r="AV368" s="40">
        <f t="shared" ref="AV368" si="5588">+(N368-V368)/(U368-V368)</f>
        <v>0.3599863899285462</v>
      </c>
      <c r="AW368" s="93">
        <f t="shared" ref="AW368" si="5589">LN(N368/C368)</f>
        <v>1.8521237308143758E-3</v>
      </c>
      <c r="AX368" s="28">
        <f t="shared" ref="AX368" si="5590">(N368-L368)/(U368-V368)</f>
        <v>-0.60734943858455215</v>
      </c>
      <c r="AY368" s="93">
        <f t="shared" ref="AY368" si="5591">LN(G368/I368)</f>
        <v>7.9334849360132315E-3</v>
      </c>
      <c r="AZ368" s="93">
        <f t="shared" ref="AZ368" si="5592">LN(N368/P368)</f>
        <v>1.9049243644340085E-3</v>
      </c>
      <c r="BA368" s="93">
        <f t="shared" ref="BA368" si="5593">AV367</f>
        <v>0.94223693892569105</v>
      </c>
      <c r="BB368" s="93">
        <f t="shared" ref="BB368" si="5594">AR367</f>
        <v>1.0727664918787974E-3</v>
      </c>
      <c r="BC368" s="93">
        <f t="shared" ref="BC368" si="5595">AS367</f>
        <v>7.0850974903720852E-3</v>
      </c>
      <c r="BD368" s="39">
        <f t="shared" ref="BD368" si="5596">IF(AR367&lt;0,1,0)</f>
        <v>0</v>
      </c>
      <c r="BE368" t="s">
        <v>569</v>
      </c>
    </row>
    <row r="369" spans="1:57" x14ac:dyDescent="0.15">
      <c r="A369" s="90">
        <v>43048</v>
      </c>
      <c r="B369" s="41">
        <f t="shared" si="4153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95"/>
        <v>3389.9875000000002</v>
      </c>
      <c r="T369" s="92" t="str">
        <f t="shared" ref="T369" si="5597">IF(AVERAGE(N368)&lt;S368,"熊",IF(AVERAGE(N368)&gt;S368,"牛",""))</f>
        <v>牛</v>
      </c>
      <c r="U369" s="92">
        <f t="shared" ref="U369" si="5598">MAX(H369,O369)</f>
        <v>3428.47</v>
      </c>
      <c r="V369" s="92">
        <f t="shared" ref="V369" si="5599">MIN(I369,P369)</f>
        <v>3408.62</v>
      </c>
      <c r="W369" s="40">
        <f t="shared" ref="W369" si="5600">LN(U369/V369)</f>
        <v>5.8065802183297896E-3</v>
      </c>
      <c r="X369" s="92">
        <f t="shared" ref="X369" si="5601">IF(U369=H369,J369,Q369)</f>
        <v>1459</v>
      </c>
      <c r="Y369" s="92">
        <f t="shared" ref="Y369" si="5602">IF(V369=I369,K369,R369)</f>
        <v>1354</v>
      </c>
      <c r="Z369" s="93">
        <f t="shared" ref="Z369" si="5603">(U369-V369)/(C369)</f>
        <v>5.8199708561660641E-3</v>
      </c>
      <c r="AA369" s="93">
        <f t="shared" ref="AA369" si="5604">LN(C369/N368)</f>
        <v>-1.4034308711395021E-3</v>
      </c>
      <c r="AB369" s="93">
        <f t="shared" ref="AB369" si="5605">LN(N369/U369)</f>
        <v>-1.9835887268845298E-4</v>
      </c>
      <c r="AC369" s="93">
        <f t="shared" ref="AC369" si="5606">LN(N369/V369)</f>
        <v>5.6082213456413715E-3</v>
      </c>
      <c r="AD369" s="93">
        <f t="shared" ref="AD369" si="5607">LN(U369/C369)</f>
        <v>5.2053445877131357E-3</v>
      </c>
      <c r="AE369" s="93">
        <f t="shared" ref="AE369" si="5608">LN(V369/C369)</f>
        <v>-6.0123563061664613E-4</v>
      </c>
      <c r="AF369" s="93">
        <f t="shared" ref="AF369" si="5609">LN(N369/C369)</f>
        <v>5.0069857150247064E-3</v>
      </c>
      <c r="AG369" s="93">
        <f t="shared" ref="AG369" si="5610">LN(N369/N368)</f>
        <v>3.6035548438853164E-3</v>
      </c>
      <c r="AH369" s="93">
        <f t="shared" ref="AH369" si="5611">LN(D369/C369)</f>
        <v>6.7705702614978211E-4</v>
      </c>
      <c r="AI369" s="93">
        <f t="shared" ref="AI369" si="5612">LN(E369/C369)</f>
        <v>1.1926024905160077E-3</v>
      </c>
      <c r="AJ369" s="93">
        <f t="shared" ref="AJ369" si="5613">LN(F369/C369)</f>
        <v>5.7450208957798301E-4</v>
      </c>
      <c r="AK369" s="93">
        <f t="shared" ref="AK369" si="5614">+LN(G369/C369)</f>
        <v>1.8132477472795282E-3</v>
      </c>
      <c r="AL369" s="93">
        <f t="shared" ref="AL369" si="5615">LN(H369/I369)</f>
        <v>3.0247197819458665E-3</v>
      </c>
      <c r="AM369" s="93">
        <f t="shared" ref="AM369" si="5616">LN(O369/P369)</f>
        <v>5.8065802183297896E-3</v>
      </c>
      <c r="AN369" s="93">
        <f t="shared" ref="AN369" si="5617">LN(L369/G369)</f>
        <v>-1.4633425377911472E-5</v>
      </c>
      <c r="AO369" s="40">
        <f t="shared" ref="AO369" si="5618">(C369-I369)/(H369-I369)</f>
        <v>6.1955469506280461E-2</v>
      </c>
      <c r="AP369" s="40">
        <f t="shared" ref="AP369" si="5619">(N368-I369)/(H369-I369)</f>
        <v>0.52565343659243702</v>
      </c>
      <c r="AQ369" s="93">
        <f t="shared" ref="AQ369" si="5620">LN(M369/L369)</f>
        <v>-9.8385720925212722E-4</v>
      </c>
      <c r="AR369" s="93">
        <f t="shared" ref="AR369" si="5621">LN(N369/L369)</f>
        <v>3.208371393123115E-3</v>
      </c>
      <c r="AS369" s="93">
        <f t="shared" ref="AS369" si="5622">LN(N369/C369)</f>
        <v>5.0069857150247064E-3</v>
      </c>
      <c r="AT369" s="28">
        <f t="shared" ref="AT369" si="5623">+(G369-I369)/(H369-I369)</f>
        <v>0.66118102613746133</v>
      </c>
      <c r="AU369" s="28">
        <f t="shared" ref="AU369" si="5624">+(N369-P369)/(O369-P369)</f>
        <v>0.965743073047867</v>
      </c>
      <c r="AV369" s="40">
        <f t="shared" ref="AV369" si="5625">+(N369-V369)/(U369-V369)</f>
        <v>0.965743073047867</v>
      </c>
      <c r="AW369" s="93">
        <f t="shared" ref="AW369" si="5626">LN(N369/C369)</f>
        <v>5.0069857150247064E-3</v>
      </c>
      <c r="AX369" s="28">
        <f t="shared" ref="AX369" si="5627">(N369-L369)/(U369-V369)</f>
        <v>0.55314861460957521</v>
      </c>
      <c r="AY369" s="93">
        <f t="shared" ref="AY369" si="5628">LN(G369/I369)</f>
        <v>2.0009117705843955E-3</v>
      </c>
      <c r="AZ369" s="93">
        <f t="shared" ref="AZ369" si="5629">LN(N369/P369)</f>
        <v>5.6082213456413715E-3</v>
      </c>
      <c r="BA369" s="93">
        <f t="shared" ref="BA369" si="5630">AV368</f>
        <v>0.3599863899285462</v>
      </c>
      <c r="BB369" s="93">
        <f t="shared" ref="BB369" si="5631">AR368</f>
        <v>-5.2126266227519921E-3</v>
      </c>
      <c r="BC369" s="93">
        <f t="shared" ref="BC369" si="5632">AS368</f>
        <v>1.8521237308143758E-3</v>
      </c>
      <c r="BD369" s="39">
        <f t="shared" ref="BD369:BD370" si="5633">IF(AR368&lt;0,1,0)</f>
        <v>1</v>
      </c>
      <c r="BE369" s="92"/>
    </row>
    <row r="370" spans="1:57" x14ac:dyDescent="0.15">
      <c r="A370" s="90">
        <v>43049</v>
      </c>
      <c r="B370" s="41">
        <f t="shared" si="4153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95"/>
        <v>3392.0719999999992</v>
      </c>
      <c r="T370" s="92" t="str">
        <f t="shared" ref="T370" si="5634">IF(AVERAGE(N369)&lt;S369,"熊",IF(AVERAGE(N369)&gt;S369,"牛",""))</f>
        <v>牛</v>
      </c>
      <c r="U370" s="92">
        <f t="shared" ref="U370" si="5635">MAX(H370,O370)</f>
        <v>3438.51</v>
      </c>
      <c r="V370" s="92">
        <f t="shared" ref="V370" si="5636">MIN(I370,P370)</f>
        <v>3414.32</v>
      </c>
      <c r="W370" s="40">
        <f t="shared" ref="W370" si="5637">LN(U370/V370)</f>
        <v>7.0598863456621166E-3</v>
      </c>
      <c r="X370" s="92">
        <f t="shared" ref="X370" si="5638">IF(U370=H370,J370,Q370)</f>
        <v>1444</v>
      </c>
      <c r="Y370" s="92">
        <f t="shared" ref="Y370" si="5639">IF(V370=I370,K370,R370)</f>
        <v>949</v>
      </c>
      <c r="Z370" s="93">
        <f t="shared" ref="Z370" si="5640">(U370-V370)/(C370)</f>
        <v>7.0665287831782305E-3</v>
      </c>
      <c r="AA370" s="93">
        <f t="shared" ref="AA370" si="5641">LN(C370/N369)</f>
        <v>-1.3457950321747575E-3</v>
      </c>
      <c r="AB370" s="93">
        <f t="shared" ref="AB370" si="5642">LN(N370/U370)</f>
        <v>-1.6998540006884248E-3</v>
      </c>
      <c r="AC370" s="93">
        <f t="shared" ref="AC370" si="5643">LN(N370/V370)</f>
        <v>5.3600323449738158E-3</v>
      </c>
      <c r="AD370" s="93">
        <f t="shared" ref="AD370" si="5644">LN(U370/C370)</f>
        <v>4.4682944015588897E-3</v>
      </c>
      <c r="AE370" s="93">
        <f t="shared" ref="AE370" si="5645">LN(V370/C370)</f>
        <v>-2.5915919441033912E-3</v>
      </c>
      <c r="AF370" s="93">
        <f t="shared" ref="AF370" si="5646">LN(N370/C370)</f>
        <v>2.7684404008703144E-3</v>
      </c>
      <c r="AG370" s="93">
        <f t="shared" ref="AG370" si="5647">LN(N370/N369)</f>
        <v>1.4226453686955224E-3</v>
      </c>
      <c r="AH370" s="93">
        <f t="shared" ref="AH370" si="5648">LN(D370/C370)</f>
        <v>-5.1135127878214218E-4</v>
      </c>
      <c r="AI370" s="93">
        <f t="shared" ref="AI370" si="5649">LN(E370/C370)</f>
        <v>4.5561280709645069E-4</v>
      </c>
      <c r="AJ370" s="93">
        <f t="shared" ref="AJ370" si="5650">LN(F370/C370)</f>
        <v>-1.5483878537993657E-4</v>
      </c>
      <c r="AK370" s="93">
        <f t="shared" ref="AK370" si="5651">+LN(G370/C370)</f>
        <v>7.9426730100841305E-4</v>
      </c>
      <c r="AL370" s="93">
        <f t="shared" ref="AL370" si="5652">LN(H370/I370)</f>
        <v>3.7243990909822727E-3</v>
      </c>
      <c r="AM370" s="93">
        <f t="shared" ref="AM370" si="5653">LN(O370/P370)</f>
        <v>3.5601948803635594E-3</v>
      </c>
      <c r="AN370" s="93">
        <f t="shared" ref="AN370" si="5654">LN(L370/G370)</f>
        <v>5.6027968759326759E-4</v>
      </c>
      <c r="AO370" s="40">
        <f t="shared" ref="AO370" si="5655">(C370-I370)/(H370-I370)</f>
        <v>0.69544740973311026</v>
      </c>
      <c r="AP370" s="40">
        <f t="shared" ref="AP370" si="5656">(N369-I370)/(H370-I370)</f>
        <v>1.0572998430141312</v>
      </c>
      <c r="AQ370" s="93">
        <f t="shared" ref="AQ370" si="5657">LN(M370/L370)</f>
        <v>6.9699318805989353E-4</v>
      </c>
      <c r="AR370" s="93">
        <f t="shared" ref="AR370" si="5658">LN(N370/L370)</f>
        <v>1.4138934122686147E-3</v>
      </c>
      <c r="AS370" s="93">
        <f t="shared" ref="AS370" si="5659">LN(N370/C370)</f>
        <v>2.7684404008703144E-3</v>
      </c>
      <c r="AT370" s="28">
        <f t="shared" ref="AT370" si="5660">+(G370-I370)/(H370-I370)</f>
        <v>0.90894819466249022</v>
      </c>
      <c r="AU370" s="28">
        <f t="shared" ref="AU370" si="5661">+(N370-P370)/(O370-P370)</f>
        <v>0.52209492635024357</v>
      </c>
      <c r="AV370" s="40">
        <f t="shared" ref="AV370" si="5662">+(N370-V370)/(U370-V370)</f>
        <v>0.75857792476229302</v>
      </c>
      <c r="AW370" s="93">
        <f t="shared" ref="AW370" si="5663">LN(N370/C370)</f>
        <v>2.7684404008703144E-3</v>
      </c>
      <c r="AX370" s="28">
        <f t="shared" ref="AX370" si="5664">(N370-L370)/(U370-V370)</f>
        <v>0.20049607275733353</v>
      </c>
      <c r="AY370" s="93">
        <f t="shared" ref="AY370" si="5665">LN(G370/I370)</f>
        <v>3.3858592451118095E-3</v>
      </c>
      <c r="AZ370" s="93">
        <f t="shared" ref="AZ370" si="5666">LN(N370/P370)</f>
        <v>1.8603408796750696E-3</v>
      </c>
      <c r="BA370" s="93">
        <f t="shared" ref="BA370" si="5667">AV369</f>
        <v>0.965743073047867</v>
      </c>
      <c r="BB370" s="93">
        <f t="shared" ref="BB370" si="5668">AR369</f>
        <v>3.208371393123115E-3</v>
      </c>
      <c r="BC370" s="93">
        <f t="shared" ref="BC370" si="5669">AS369</f>
        <v>5.0069857150247064E-3</v>
      </c>
      <c r="BD370" s="39">
        <f t="shared" si="5633"/>
        <v>0</v>
      </c>
      <c r="BE370" t="s">
        <v>575</v>
      </c>
    </row>
    <row r="371" spans="1:57" x14ac:dyDescent="0.15">
      <c r="A371" s="90">
        <v>43052</v>
      </c>
      <c r="B371" s="41">
        <f t="shared" si="4153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95"/>
        <v>3394.1794999999997</v>
      </c>
      <c r="T371" s="92" t="str">
        <f t="shared" ref="T371" si="5670">IF(AVERAGE(N370)&lt;S370,"熊",IF(AVERAGE(N370)&gt;S370,"牛",""))</f>
        <v>牛</v>
      </c>
      <c r="U371" s="92">
        <f t="shared" ref="U371" si="5671">MAX(H371,O371)</f>
        <v>3449.16</v>
      </c>
      <c r="V371" s="92">
        <f t="shared" ref="V371" si="5672">MIN(I371,P371)</f>
        <v>3435.18</v>
      </c>
      <c r="W371" s="40">
        <f t="shared" ref="W371" si="5673">LN(U371/V371)</f>
        <v>4.0613970886410108E-3</v>
      </c>
      <c r="X371" s="92">
        <f t="shared" ref="X371" si="5674">IF(U371=H371,J371,Q371)</f>
        <v>1001</v>
      </c>
      <c r="Y371" s="92">
        <f t="shared" ref="Y371" si="5675">IF(V371=I371,K371,R371)</f>
        <v>930</v>
      </c>
      <c r="Z371" s="93">
        <f t="shared" ref="Z371" si="5676">(U371-V371)/(C371)</f>
        <v>4.0696557385639237E-3</v>
      </c>
      <c r="AA371" s="93">
        <f t="shared" ref="AA371" si="5677">LN(C371/N370)</f>
        <v>7.3094203040316517E-4</v>
      </c>
      <c r="AB371" s="93">
        <f t="shared" ref="AB371" si="5678">LN(N371/U371)</f>
        <v>-3.8567549510323476E-4</v>
      </c>
      <c r="AC371" s="93">
        <f t="shared" ref="AC371" si="5679">LN(N371/V371)</f>
        <v>3.6757215935376954E-3</v>
      </c>
      <c r="AD371" s="93">
        <f t="shared" ref="AD371" si="5680">LN(U371/C371)</f>
        <v>4.0613970886410108E-3</v>
      </c>
      <c r="AE371" s="93">
        <f t="shared" ref="AE371" si="5681">LN(V371/C371)</f>
        <v>0</v>
      </c>
      <c r="AF371" s="93">
        <f t="shared" ref="AF371" si="5682">LN(N371/C371)</f>
        <v>3.6757215935376954E-3</v>
      </c>
      <c r="AG371" s="93">
        <f t="shared" ref="AG371" si="5683">LN(N371/N370)</f>
        <v>4.4066636239410636E-3</v>
      </c>
      <c r="AH371" s="93">
        <f t="shared" ref="AH371" si="5684">LN(D371/C371)</f>
        <v>1.4835373736087397E-3</v>
      </c>
      <c r="AI371" s="93">
        <f t="shared" ref="AI371" si="5685">LN(E371/C371)</f>
        <v>2.9213396141835692E-3</v>
      </c>
      <c r="AJ371" s="93">
        <f t="shared" ref="AJ371" si="5686">LN(F371/C371)</f>
        <v>2.6252342681896464E-3</v>
      </c>
      <c r="AK371" s="93">
        <f t="shared" ref="AK371" si="5687">+LN(G371/C371)</f>
        <v>2.0995764941389955E-3</v>
      </c>
      <c r="AL371" s="93">
        <f t="shared" ref="AL371" si="5688">LN(H371/I371)</f>
        <v>4.0613970886410108E-3</v>
      </c>
      <c r="AM371" s="93">
        <f t="shared" ref="AM371" si="5689">LN(O371/P371)</f>
        <v>2.0928434451052708E-3</v>
      </c>
      <c r="AN371" s="93">
        <f t="shared" ref="AN371" si="5690">LN(L371/G371)</f>
        <v>5.4888489171166775E-4</v>
      </c>
      <c r="AO371" s="40">
        <f t="shared" ref="AO371" si="5691">(C371-I371)/(H371-I371)</f>
        <v>0</v>
      </c>
      <c r="AP371" s="40">
        <f t="shared" ref="AP371" si="5692">(N370-I371)/(H371-I371)</f>
        <v>-0.17954220314733621</v>
      </c>
      <c r="AQ371" s="93">
        <f t="shared" ref="AQ371" si="5693">LN(M371/L371)</f>
        <v>-5.8068805744199687E-5</v>
      </c>
      <c r="AR371" s="93">
        <f t="shared" ref="AR371" si="5694">LN(N371/L371)</f>
        <v>1.0272602076872959E-3</v>
      </c>
      <c r="AS371" s="93">
        <f t="shared" ref="AS371" si="5695">LN(N371/C371)</f>
        <v>3.6757215935376954E-3</v>
      </c>
      <c r="AT371" s="28">
        <f t="shared" ref="AT371" si="5696">+(G371-I371)/(H371-I371)</f>
        <v>0.51645207439200613</v>
      </c>
      <c r="AU371" s="28">
        <f t="shared" ref="AU371" si="5697">+(N371-P371)/(O371-P371)</f>
        <v>0.88210818307907013</v>
      </c>
      <c r="AV371" s="40">
        <f t="shared" ref="AV371" si="5698">+(N371-V371)/(U371-V371)</f>
        <v>0.90486409155937586</v>
      </c>
      <c r="AW371" s="93">
        <f t="shared" ref="AW371" si="5699">LN(N371/C371)</f>
        <v>3.6757215935376954E-3</v>
      </c>
      <c r="AX371" s="28">
        <f t="shared" ref="AX371" si="5700">(N371-L371)/(U371-V371)</f>
        <v>0.25321888412016874</v>
      </c>
      <c r="AY371" s="93">
        <f t="shared" ref="AY371" si="5701">LN(G371/I371)</f>
        <v>2.0995764941389955E-3</v>
      </c>
      <c r="AZ371" s="93">
        <f t="shared" ref="AZ371" si="5702">LN(N371/P371)</f>
        <v>1.8463419525230191E-3</v>
      </c>
      <c r="BA371" s="93">
        <f t="shared" ref="BA371" si="5703">AV370</f>
        <v>0.75857792476229302</v>
      </c>
      <c r="BB371" s="93">
        <f t="shared" ref="BB371" si="5704">AR370</f>
        <v>1.4138934122686147E-3</v>
      </c>
      <c r="BC371" s="93">
        <f t="shared" ref="BC371" si="5705">AS370</f>
        <v>2.7684404008703144E-3</v>
      </c>
      <c r="BD371" s="39">
        <f t="shared" ref="BD371" si="5706">IF(AR370&lt;0,1,0)</f>
        <v>0</v>
      </c>
    </row>
    <row r="372" spans="1:57" x14ac:dyDescent="0.15">
      <c r="A372" s="90">
        <v>43053</v>
      </c>
      <c r="B372" s="41">
        <f t="shared" si="4153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95"/>
        <v>3397.6475</v>
      </c>
      <c r="T372" s="92" t="str">
        <f t="shared" ref="T372" si="5707">IF(AVERAGE(N371)&lt;S371,"熊",IF(AVERAGE(N371)&gt;S371,"牛",""))</f>
        <v>牛</v>
      </c>
      <c r="U372" s="92">
        <f t="shared" ref="U372" si="5708">MAX(H372,O372)</f>
        <v>3450.33</v>
      </c>
      <c r="V372" s="92">
        <f t="shared" ref="V372" si="5709">MIN(I372,P372)</f>
        <v>3419.79</v>
      </c>
      <c r="W372" s="40">
        <f t="shared" ref="W372" si="5710">LN(U372/V372)</f>
        <v>8.8907329623347346E-3</v>
      </c>
      <c r="X372" s="92">
        <f t="shared" ref="X372" si="5711">IF(U372=H372,J372,Q372)</f>
        <v>939</v>
      </c>
      <c r="Y372" s="92">
        <f t="shared" ref="Y372" si="5712">IF(V372=I372,K372,R372)</f>
        <v>1414</v>
      </c>
      <c r="Z372" s="93">
        <f t="shared" ref="Z372" si="5713">(U372-V372)/(C372)</f>
        <v>8.8610606579351946E-3</v>
      </c>
      <c r="AA372" s="93">
        <f t="shared" ref="AA372" si="5714">LN(C372/N371)</f>
        <v>-3.742183883528296E-4</v>
      </c>
      <c r="AB372" s="93">
        <f t="shared" ref="AB372" si="5715">LN(N372/U372)</f>
        <v>-6.0437372457830983E-3</v>
      </c>
      <c r="AC372" s="93">
        <f t="shared" ref="AC372" si="5716">LN(N372/V372)</f>
        <v>2.8469957165516671E-3</v>
      </c>
      <c r="AD372" s="93">
        <f t="shared" ref="AD372" si="5717">LN(U372/C372)</f>
        <v>1.0990493895051264E-3</v>
      </c>
      <c r="AE372" s="93">
        <f t="shared" ref="AE372" si="5718">LN(V372/C372)</f>
        <v>-7.7916835728296151E-3</v>
      </c>
      <c r="AF372" s="93">
        <f t="shared" ref="AF372" si="5719">LN(N372/C372)</f>
        <v>-4.9446878562780577E-3</v>
      </c>
      <c r="AG372" s="93">
        <f t="shared" ref="AG372" si="5720">LN(N372/N371)</f>
        <v>-5.3189062446308824E-3</v>
      </c>
      <c r="AH372" s="93">
        <f t="shared" ref="AH372" si="5721">LN(D372/C372)</f>
        <v>-8.272583535047901E-4</v>
      </c>
      <c r="AI372" s="93">
        <f t="shared" ref="AI372" si="5722">LN(E372/C372)</f>
        <v>-2.3794807620992301E-4</v>
      </c>
      <c r="AJ372" s="93">
        <f t="shared" ref="AJ372" si="5723">LN(F372/C372)</f>
        <v>7.1930346684798217E-4</v>
      </c>
      <c r="AK372" s="93">
        <f t="shared" ref="AK372" si="5724">+LN(G372/C372)</f>
        <v>-4.3587751055337801E-3</v>
      </c>
      <c r="AL372" s="93">
        <f t="shared" ref="AL372" si="5725">LN(H372/I372)</f>
        <v>6.14288082034007E-3</v>
      </c>
      <c r="AM372" s="93">
        <f t="shared" ref="AM372" si="5726">LN(O372/P372)</f>
        <v>7.0544408850150495E-3</v>
      </c>
      <c r="AN372" s="93">
        <f t="shared" ref="AN372" si="5727">LN(L372/G372)</f>
        <v>6.5255328344610301E-4</v>
      </c>
      <c r="AO372" s="40">
        <f t="shared" ref="AO372" si="5728">(C372-I372)/(H372-I372)</f>
        <v>0.82063416942735712</v>
      </c>
      <c r="AP372" s="40">
        <f t="shared" ref="AP372" si="5729">(N371-I372)/(H372-I372)</f>
        <v>0.88168480832939011</v>
      </c>
      <c r="AQ372" s="93">
        <f t="shared" ref="AQ372" si="5730">LN(M372/L372)</f>
        <v>7.3652390263632798E-4</v>
      </c>
      <c r="AR372" s="93">
        <f t="shared" ref="AR372" si="5731">LN(N372/L372)</f>
        <v>-1.2384660341904362E-3</v>
      </c>
      <c r="AS372" s="93">
        <f t="shared" ref="AS372" si="5732">LN(N372/C372)</f>
        <v>-4.9446878562780577E-3</v>
      </c>
      <c r="AT372" s="28">
        <f t="shared" ref="AT372" si="5733">+(G372-I372)/(H372-I372)</f>
        <v>0.11121628017039052</v>
      </c>
      <c r="AU372" s="28">
        <f t="shared" ref="AU372" si="5734">+(N372-P372)/(O372-P372)</f>
        <v>0.4027261462205694</v>
      </c>
      <c r="AV372" s="40">
        <f t="shared" ref="AV372" si="5735">+(N372-V372)/(U372-V372)</f>
        <v>0.31925343811394929</v>
      </c>
      <c r="AW372" s="93">
        <f t="shared" ref="AW372" si="5736">LN(N372/C372)</f>
        <v>-4.9446878562780577E-3</v>
      </c>
      <c r="AX372" s="28">
        <f t="shared" ref="AX372" si="5737">(N372-L372)/(U372-V372)</f>
        <v>-0.13916175507531123</v>
      </c>
      <c r="AY372" s="93">
        <f t="shared" ref="AY372" si="5738">LN(G372/I372)</f>
        <v>6.8505632530127568E-4</v>
      </c>
      <c r="AZ372" s="93">
        <f t="shared" ref="AZ372" si="5739">LN(N372/P372)</f>
        <v>2.8469957165516671E-3</v>
      </c>
      <c r="BA372" s="93">
        <f t="shared" ref="BA372" si="5740">AV371</f>
        <v>0.90486409155937586</v>
      </c>
      <c r="BB372" s="93">
        <f t="shared" ref="BB372" si="5741">AR371</f>
        <v>1.0272602076872959E-3</v>
      </c>
      <c r="BC372" s="93">
        <f t="shared" ref="BC372" si="5742">AS371</f>
        <v>3.6757215935376954E-3</v>
      </c>
      <c r="BD372" s="39">
        <f t="shared" ref="BD372" si="5743">IF(AR371&lt;0,1,0)</f>
        <v>0</v>
      </c>
    </row>
    <row r="373" spans="1:57" x14ac:dyDescent="0.15">
      <c r="A373" s="90">
        <v>43054</v>
      </c>
      <c r="B373" s="41">
        <f t="shared" si="4153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95"/>
        <v>3400.5225</v>
      </c>
      <c r="T373" s="92" t="str">
        <f t="shared" ref="T373" si="5744">IF(AVERAGE(N372)&lt;S372,"熊",IF(AVERAGE(N372)&gt;S372,"牛",""))</f>
        <v>牛</v>
      </c>
      <c r="U373" s="92">
        <f t="shared" ref="U373" si="5745">MAX(H373,O373)</f>
        <v>3423.75</v>
      </c>
      <c r="V373" s="92">
        <f t="shared" ref="V373" si="5746">MIN(I373,P373)</f>
        <v>3396.38</v>
      </c>
      <c r="W373" s="40">
        <f t="shared" ref="W373" si="5747">LN(U373/V373)</f>
        <v>8.02628305733398E-3</v>
      </c>
      <c r="X373" s="92">
        <f t="shared" ref="X373" si="5748">IF(U373=H373,J373,Q373)</f>
        <v>949</v>
      </c>
      <c r="Y373" s="92">
        <f t="shared" ref="Y373" si="5749">IF(V373=I373,K373,R373)</f>
        <v>1324</v>
      </c>
      <c r="Z373" s="93">
        <f t="shared" ref="Z373" si="5750">(U373-V373)/(C373)</f>
        <v>8.0118025531217031E-3</v>
      </c>
      <c r="AA373" s="93">
        <f t="shared" ref="AA373" si="5751">LN(C373/N372)</f>
        <v>-3.8943919503968763E-3</v>
      </c>
      <c r="AB373" s="93">
        <f t="shared" ref="AB373" si="5752">LN(N373/U373)</f>
        <v>-6.2201080380827013E-3</v>
      </c>
      <c r="AC373" s="93">
        <f t="shared" ref="AC373" si="5753">LN(N373/V373)</f>
        <v>1.8061750192511635E-3</v>
      </c>
      <c r="AD373" s="93">
        <f t="shared" ref="AD373" si="5754">LN(U373/C373)</f>
        <v>2.2046921485268382E-3</v>
      </c>
      <c r="AE373" s="93">
        <f t="shared" ref="AE373" si="5755">LN(V373/C373)</f>
        <v>-5.8215909088070077E-3</v>
      </c>
      <c r="AF373" s="93">
        <f t="shared" ref="AF373" si="5756">LN(N373/C373)</f>
        <v>-4.0154158895557941E-3</v>
      </c>
      <c r="AG373" s="93">
        <f t="shared" ref="AG373" si="5757">LN(N373/N372)</f>
        <v>-7.9098078399526262E-3</v>
      </c>
      <c r="AH373" s="93">
        <f t="shared" ref="AH373" si="5758">LN(D373/C373)</f>
        <v>-1.3298419623879261E-3</v>
      </c>
      <c r="AI373" s="93">
        <f t="shared" ref="AI373" si="5759">LN(E373/C373)</f>
        <v>-1.4637173763525847E-4</v>
      </c>
      <c r="AJ373" s="93">
        <f t="shared" ref="AJ373" si="5760">LN(F373/C373)</f>
        <v>-3.2204610807490237E-4</v>
      </c>
      <c r="AK373" s="93">
        <f t="shared" ref="AK373" si="5761">+LN(G373/C373)</f>
        <v>-3.3367376700823245E-3</v>
      </c>
      <c r="AL373" s="93">
        <f t="shared" ref="AL373" si="5762">LN(H373/I373)</f>
        <v>6.6963391191028456E-3</v>
      </c>
      <c r="AM373" s="93">
        <f t="shared" ref="AM373" si="5763">LN(O373/P373)</f>
        <v>4.4213996916524544E-3</v>
      </c>
      <c r="AN373" s="93">
        <f t="shared" ref="AN373" si="5764">LN(L373/G373)</f>
        <v>-2.2323723454775987E-4</v>
      </c>
      <c r="AO373" s="40">
        <f t="shared" ref="AO373" si="5765">(C373-I373)/(H373-I373)</f>
        <v>0.67002188183807465</v>
      </c>
      <c r="AP373" s="40">
        <f t="shared" ref="AP373" si="5766">(N372-I373)/(H373-I373)</f>
        <v>1.2533916849015312</v>
      </c>
      <c r="AQ373" s="93">
        <f t="shared" ref="AQ373" si="5767">LN(M373/L373)</f>
        <v>-1.0639987365795159E-3</v>
      </c>
      <c r="AR373" s="93">
        <f t="shared" ref="AR373" si="5768">LN(N373/L373)</f>
        <v>-4.5544098492572062E-4</v>
      </c>
      <c r="AS373" s="93">
        <f t="shared" ref="AS373" si="5769">LN(N373/C373)</f>
        <v>-4.0154158895557941E-3</v>
      </c>
      <c r="AT373" s="28">
        <f t="shared" ref="AT373" si="5770">+(G373-I373)/(H373-I373)</f>
        <v>0.17199124726476375</v>
      </c>
      <c r="AU373" s="28">
        <f t="shared" ref="AU373" si="5771">+(N373-P373)/(O373-P373)</f>
        <v>0.40797342192690922</v>
      </c>
      <c r="AV373" s="40">
        <f t="shared" ref="AV373" si="5772">+(N373-V373)/(U373-V373)</f>
        <v>0.224333211545484</v>
      </c>
      <c r="AW373" s="93">
        <f t="shared" ref="AW373" si="5773">LN(N373/C373)</f>
        <v>-4.0154158895557941E-3</v>
      </c>
      <c r="AX373" s="28">
        <f t="shared" ref="AX373" si="5774">(N373-L373)/(U373-V373)</f>
        <v>-5.6631348191457362E-2</v>
      </c>
      <c r="AY373" s="93">
        <f t="shared" ref="AY373" si="5775">LN(G373/I373)</f>
        <v>1.1549093004936176E-3</v>
      </c>
      <c r="AZ373" s="93">
        <f t="shared" ref="AZ373" si="5776">LN(N373/P373)</f>
        <v>1.8061750192511635E-3</v>
      </c>
      <c r="BA373" s="93">
        <f t="shared" ref="BA373" si="5777">AV372</f>
        <v>0.31925343811394929</v>
      </c>
      <c r="BB373" s="93">
        <f t="shared" ref="BB373" si="5778">AR372</f>
        <v>-1.2384660341904362E-3</v>
      </c>
      <c r="BC373" s="93">
        <f t="shared" ref="BC373" si="5779">AS372</f>
        <v>-4.9446878562780577E-3</v>
      </c>
      <c r="BD373" s="39">
        <f t="shared" ref="BD373:BD374" si="5780">IF(AR372&lt;0,1,0)</f>
        <v>1</v>
      </c>
      <c r="BE373" t="s">
        <v>585</v>
      </c>
    </row>
    <row r="374" spans="1:57" x14ac:dyDescent="0.15">
      <c r="A374" s="90">
        <v>43055</v>
      </c>
      <c r="B374" s="41">
        <f t="shared" si="4153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95"/>
        <v>3401.5589999999997</v>
      </c>
      <c r="T374" s="92" t="str">
        <f t="shared" ref="T374" si="5781">IF(AVERAGE(N373)&lt;S373,"熊",IF(AVERAGE(N373)&gt;S373,"牛",""))</f>
        <v>牛</v>
      </c>
      <c r="U374" s="92">
        <f t="shared" ref="U374" si="5782">MAX(H374,O374)</f>
        <v>3409.42</v>
      </c>
      <c r="V374" s="92">
        <f t="shared" ref="V374" si="5783">MIN(I374,P374)</f>
        <v>3390.69</v>
      </c>
      <c r="W374" s="40">
        <f t="shared" ref="W374" si="5784">LN(U374/V374)</f>
        <v>5.5087483483371533E-3</v>
      </c>
      <c r="X374" s="92">
        <f t="shared" ref="X374" si="5785">IF(U374=H374,J374,Q374)</f>
        <v>1408</v>
      </c>
      <c r="Y374" s="92">
        <f t="shared" ref="Y374" si="5786">IF(V374=I374,K374,R374)</f>
        <v>951</v>
      </c>
      <c r="Z374" s="93">
        <f t="shared" ref="Z374" si="5787">(U374-V374)/(C374)</f>
        <v>5.5198795233983413E-3</v>
      </c>
      <c r="AA374" s="93">
        <f t="shared" ref="AA374" si="5788">LN(C374/N373)</f>
        <v>-2.7458516805799246E-3</v>
      </c>
      <c r="AB374" s="93">
        <f t="shared" ref="AB374" si="5789">LN(N374/U374)</f>
        <v>-2.9873697986271814E-3</v>
      </c>
      <c r="AC374" s="93">
        <f t="shared" ref="AC374" si="5790">LN(N374/V374)</f>
        <v>2.5213785497099615E-3</v>
      </c>
      <c r="AD374" s="93">
        <f t="shared" ref="AD374" si="5791">LN(U374/C374)</f>
        <v>4.7717069757973098E-3</v>
      </c>
      <c r="AE374" s="93">
        <f t="shared" ref="AE374" si="5792">LN(V374/C374)</f>
        <v>-7.3704137253984231E-4</v>
      </c>
      <c r="AF374" s="93">
        <f t="shared" ref="AF374" si="5793">LN(N374/C374)</f>
        <v>1.7843371771701284E-3</v>
      </c>
      <c r="AG374" s="93">
        <f t="shared" ref="AG374" si="5794">LN(N374/N373)</f>
        <v>-9.615145034098055E-4</v>
      </c>
      <c r="AH374" s="93">
        <f t="shared" ref="AH374" si="5795">LN(D374/C374)</f>
        <v>1.4734310932401447E-4</v>
      </c>
      <c r="AI374" s="93">
        <f t="shared" ref="AI374" si="5796">LN(E374/C374)</f>
        <v>1.0015052871188445E-3</v>
      </c>
      <c r="AJ374" s="93">
        <f t="shared" ref="AJ374" si="5797">LN(F374/C374)</f>
        <v>1.7975568010045726E-4</v>
      </c>
      <c r="AK374" s="93">
        <f t="shared" ref="AK374" si="5798">+LN(G374/C374)</f>
        <v>1.7813953474403075E-3</v>
      </c>
      <c r="AL374" s="93">
        <f t="shared" ref="AL374" si="5799">LN(H374/I374)</f>
        <v>4.6959632236266728E-3</v>
      </c>
      <c r="AM374" s="93">
        <f t="shared" ref="AM374" si="5800">LN(O374/P374)</f>
        <v>5.3023220005248275E-3</v>
      </c>
      <c r="AN374" s="93">
        <f t="shared" ref="AN374" si="5801">LN(L374/G374)</f>
        <v>1.5884642231855329E-4</v>
      </c>
      <c r="AO374" s="40">
        <f t="shared" ref="AO374" si="5802">(C374-I374)/(H374-I374)</f>
        <v>0.15664160401002469</v>
      </c>
      <c r="AP374" s="40">
        <f t="shared" ref="AP374" si="5803">(N373-I374)/(H374-I374)</f>
        <v>0.74122807017543235</v>
      </c>
      <c r="AQ374" s="93">
        <f t="shared" ref="AQ374" si="5804">LN(M374/L374)</f>
        <v>-9.2401594469225274E-4</v>
      </c>
      <c r="AR374" s="93">
        <f t="shared" ref="AR374" si="5805">LN(N374/L374)</f>
        <v>-1.5590459258861406E-4</v>
      </c>
      <c r="AS374" s="93">
        <f t="shared" ref="AS374" si="5806">LN(N374/C374)</f>
        <v>1.7843371771701284E-3</v>
      </c>
      <c r="AT374" s="28">
        <f t="shared" ref="AT374" si="5807">+(G374-I374)/(H374-I374)</f>
        <v>0.53571428571426738</v>
      </c>
      <c r="AU374" s="28">
        <f t="shared" ref="AU374" si="5808">+(N374-P374)/(O374-P374)</f>
        <v>0.43594009983361287</v>
      </c>
      <c r="AV374" s="40">
        <f t="shared" ref="AV374" si="5809">+(N374-V374)/(U374-V374)</f>
        <v>0.45702082221035434</v>
      </c>
      <c r="AW374" s="93">
        <f t="shared" ref="AW374" si="5810">LN(N374/C374)</f>
        <v>1.7843371771701284E-3</v>
      </c>
      <c r="AX374" s="28">
        <f t="shared" ref="AX374" si="5811">(N374-L374)/(U374-V374)</f>
        <v>-2.8296849973315514E-2</v>
      </c>
      <c r="AY374" s="93">
        <f t="shared" ref="AY374" si="5812">LN(G374/I374)</f>
        <v>2.5184367199801122E-3</v>
      </c>
      <c r="AZ374" s="93">
        <f t="shared" ref="AZ374" si="5813">LN(N374/P374)</f>
        <v>2.3149522018977037E-3</v>
      </c>
      <c r="BA374" s="93">
        <f t="shared" ref="BA374" si="5814">AV373</f>
        <v>0.224333211545484</v>
      </c>
      <c r="BB374" s="93">
        <f t="shared" ref="BB374" si="5815">AR373</f>
        <v>-4.5544098492572062E-4</v>
      </c>
      <c r="BC374" s="93">
        <f t="shared" ref="BC374" si="5816">AS373</f>
        <v>-4.0154158895557941E-3</v>
      </c>
      <c r="BD374" s="39">
        <f t="shared" si="5780"/>
        <v>1</v>
      </c>
    </row>
    <row r="375" spans="1:57" x14ac:dyDescent="0.15">
      <c r="A375" s="90">
        <v>43056</v>
      </c>
      <c r="B375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26"/>
  <sheetViews>
    <sheetView zoomScale="115" zoomScaleNormal="115" workbookViewId="0">
      <pane xSplit="1" ySplit="1" topLeftCell="B297" activePane="bottomRight" state="frozen"/>
      <selection pane="topRight" activeCell="B1" sqref="B1"/>
      <selection pane="bottomLeft" activeCell="A2" sqref="A2"/>
      <selection pane="bottomRight" activeCell="M325" sqref="M322:M325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25" si="15">LN(C220/C219)</f>
        <v>5.8655326653686257E-5</v>
      </c>
      <c r="H220">
        <v>6.8302350000000001</v>
      </c>
      <c r="I220" s="25">
        <f t="shared" ref="I220:I325" si="16">LN(H220/H219)</f>
        <v>1.1859738836099735E-4</v>
      </c>
      <c r="J220">
        <v>6.8346549999999997</v>
      </c>
      <c r="K220" s="25">
        <f t="shared" ref="K220:K325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15">
      <c r="A291" s="90">
        <v>43007</v>
      </c>
      <c r="B291" s="41">
        <f t="shared" ref="B291:B325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25" si="21">LN(L307/L306)</f>
        <v>2.1046376516050971E-3</v>
      </c>
    </row>
    <row r="308" spans="1:14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1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570</v>
      </c>
    </row>
    <row r="320" spans="1:14" x14ac:dyDescent="0.1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1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577</v>
      </c>
    </row>
    <row r="322" spans="1:14" x14ac:dyDescent="0.1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1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584</v>
      </c>
    </row>
    <row r="324" spans="1:14" x14ac:dyDescent="0.1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1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590</v>
      </c>
    </row>
    <row r="326" spans="1:14" x14ac:dyDescent="0.15">
      <c r="A326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63"/>
  <sheetViews>
    <sheetView zoomScale="115" zoomScaleNormal="115" workbookViewId="0">
      <pane xSplit="1" ySplit="2" topLeftCell="B442" activePane="bottomRight" state="frozen"/>
      <selection pane="topRight" activeCell="B1" sqref="B1"/>
      <selection pane="bottomLeft" activeCell="A3" sqref="A3"/>
      <selection pane="bottomRight" activeCell="M459" sqref="M459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61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4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93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D53" s="26">
        <f t="shared" si="13"/>
        <v>11.022946686881408</v>
      </c>
      <c r="F53">
        <v>10.965999999999999</v>
      </c>
      <c r="G53" s="93">
        <f t="shared" si="15"/>
        <v>-6.7400007274425189E-2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D54" s="26">
        <f>+F53*(1+L54)</f>
        <v>10.869939097352287</v>
      </c>
      <c r="F54">
        <v>10.887</v>
      </c>
      <c r="G54" s="93">
        <f t="shared" si="15"/>
        <v>-7.083196055255081E-2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 s="26">
        <f>+F54*(1+L55)</f>
        <v>10.909355630470785</v>
      </c>
      <c r="F55">
        <v>10.923999999999999</v>
      </c>
      <c r="G55" s="25">
        <f>+B55/D55-1</f>
        <v>-6.8689265970738766E-2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C56" s="93">
        <f t="shared" si="12"/>
        <v>-1.870078740157477E-2</v>
      </c>
      <c r="D56" s="26">
        <f>+F55*(1+L56)</f>
        <v>10.86745335314553</v>
      </c>
      <c r="F56" s="92">
        <v>10.923999999999999</v>
      </c>
      <c r="G56" s="93">
        <f t="shared" ref="G56:G58" si="16">+B56/D56-1</f>
        <v>-8.2581753423010218E-2</v>
      </c>
      <c r="J56" s="92">
        <v>9657.35</v>
      </c>
      <c r="K56" s="92">
        <v>9607.3599999999988</v>
      </c>
      <c r="L56" s="93">
        <f t="shared" si="10"/>
        <v>-5.1763682583733095E-3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D57" s="26">
        <f>+F56*(1+L57)</f>
        <v>10.913505075275623</v>
      </c>
      <c r="F57">
        <v>10.847</v>
      </c>
      <c r="G57" s="93">
        <f t="shared" si="16"/>
        <v>-8.6452983598561572E-2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 s="26">
        <f>+F57*(1+L58)</f>
        <v>10.908184478643237</v>
      </c>
      <c r="F58">
        <v>10.891999999999999</v>
      </c>
      <c r="G58" s="93">
        <f t="shared" si="16"/>
        <v>-8.3257161668042978E-2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si="13"/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3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3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ref="D62:D75" si="18">+F61*(1+L62)</f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8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8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8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8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9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8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9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8"/>
        <v>10.46704060943253</v>
      </c>
      <c r="E68" s="26"/>
      <c r="F68">
        <v>10.477</v>
      </c>
      <c r="G68" s="25">
        <f t="shared" ref="G68:G106" si="20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9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8"/>
        <v>10.471435331748165</v>
      </c>
      <c r="E69" s="26"/>
      <c r="F69">
        <v>10.454000000000001</v>
      </c>
      <c r="G69" s="25">
        <f t="shared" si="20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9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8"/>
        <v>10.491238033789349</v>
      </c>
      <c r="E70" s="26"/>
      <c r="F70">
        <v>10.47</v>
      </c>
      <c r="G70" s="25">
        <f t="shared" si="20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9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8"/>
        <v>10.506109820869817</v>
      </c>
      <c r="E71" s="26"/>
      <c r="F71">
        <v>10.544</v>
      </c>
      <c r="G71" s="25">
        <f t="shared" si="20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9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8"/>
        <v>10.508737891236745</v>
      </c>
      <c r="E72" s="26"/>
      <c r="F72">
        <v>10.464</v>
      </c>
      <c r="G72" s="25">
        <f t="shared" si="20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9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8"/>
        <v>10.488669055559955</v>
      </c>
      <c r="E73" s="26"/>
      <c r="F73">
        <v>10.473000000000001</v>
      </c>
      <c r="G73" s="25">
        <f t="shared" si="20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1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8"/>
        <v>10.444456150235943</v>
      </c>
      <c r="E74" s="26"/>
      <c r="F74">
        <v>10.468</v>
      </c>
      <c r="G74" s="25">
        <f t="shared" si="20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1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8"/>
        <v>10.492676526860503</v>
      </c>
      <c r="E75" s="26"/>
      <c r="F75">
        <v>10.493</v>
      </c>
      <c r="G75" s="25">
        <f t="shared" si="20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1"/>
        <v>3</v>
      </c>
    </row>
    <row r="76" spans="1:13" x14ac:dyDescent="0.15">
      <c r="A76" s="1">
        <v>42509</v>
      </c>
      <c r="B76">
        <v>9.43</v>
      </c>
      <c r="C76" s="25">
        <f t="shared" ref="C76:C92" si="22">B76/B75-1</f>
        <v>0</v>
      </c>
      <c r="D76" s="26">
        <f t="shared" ref="D76:D92" si="23">+F75*(1+L76)</f>
        <v>10.462262606820499</v>
      </c>
      <c r="E76" s="26"/>
      <c r="F76">
        <v>10.414099999999999</v>
      </c>
      <c r="G76" s="25">
        <f t="shared" si="20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1"/>
        <v>4</v>
      </c>
    </row>
    <row r="77" spans="1:13" x14ac:dyDescent="0.15">
      <c r="A77" s="1">
        <v>42510</v>
      </c>
      <c r="B77">
        <v>9.52</v>
      </c>
      <c r="C77" s="25">
        <f t="shared" si="22"/>
        <v>9.5440084835631822E-3</v>
      </c>
      <c r="D77" s="26">
        <f t="shared" si="23"/>
        <v>10.452121866377727</v>
      </c>
      <c r="E77" s="26"/>
      <c r="F77">
        <v>10.455</v>
      </c>
      <c r="G77" s="25">
        <f t="shared" si="20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1"/>
        <v>5</v>
      </c>
    </row>
    <row r="78" spans="1:13" x14ac:dyDescent="0.15">
      <c r="A78" s="1">
        <v>42513</v>
      </c>
      <c r="B78">
        <v>9.5</v>
      </c>
      <c r="C78" s="25">
        <f t="shared" si="22"/>
        <v>-2.1008403361344463E-3</v>
      </c>
      <c r="D78" s="26">
        <f t="shared" si="23"/>
        <v>10.449099968956721</v>
      </c>
      <c r="E78" s="26"/>
      <c r="F78">
        <v>10.457000000000001</v>
      </c>
      <c r="G78" s="25">
        <f t="shared" si="20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1"/>
        <v>1</v>
      </c>
    </row>
    <row r="79" spans="1:13" x14ac:dyDescent="0.15">
      <c r="A79" s="1">
        <v>42514</v>
      </c>
      <c r="B79">
        <v>9.51</v>
      </c>
      <c r="C79" s="25">
        <f t="shared" si="22"/>
        <v>1.0526315789474161E-3</v>
      </c>
      <c r="D79" s="26">
        <f t="shared" si="23"/>
        <v>10.390320541119813</v>
      </c>
      <c r="E79" s="26"/>
      <c r="F79">
        <v>10.388999999999999</v>
      </c>
      <c r="G79" s="25">
        <f t="shared" si="20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1"/>
        <v>2</v>
      </c>
    </row>
    <row r="80" spans="1:13" x14ac:dyDescent="0.15">
      <c r="A80" s="1">
        <v>42515</v>
      </c>
      <c r="B80">
        <v>9.5500000000000007</v>
      </c>
      <c r="C80" s="25">
        <f t="shared" si="22"/>
        <v>4.206098843323014E-3</v>
      </c>
      <c r="D80" s="26">
        <f t="shared" si="23"/>
        <v>10.420650303255567</v>
      </c>
      <c r="E80" s="26"/>
      <c r="F80">
        <v>10.381</v>
      </c>
      <c r="G80" s="25">
        <f t="shared" si="20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1"/>
        <v>3</v>
      </c>
    </row>
    <row r="81" spans="1:13" x14ac:dyDescent="0.15">
      <c r="A81" s="1">
        <v>42516</v>
      </c>
      <c r="B81">
        <v>9.57</v>
      </c>
      <c r="C81" s="25">
        <f t="shared" si="22"/>
        <v>2.0942408376962707E-3</v>
      </c>
      <c r="D81" s="26">
        <f t="shared" si="23"/>
        <v>10.399455427348689</v>
      </c>
      <c r="E81" s="26"/>
      <c r="F81">
        <v>10.42</v>
      </c>
      <c r="G81" s="25">
        <f t="shared" si="20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1"/>
        <v>4</v>
      </c>
    </row>
    <row r="82" spans="1:13" x14ac:dyDescent="0.15">
      <c r="A82" s="1">
        <v>42517</v>
      </c>
      <c r="B82">
        <v>9.67</v>
      </c>
      <c r="C82" s="25">
        <f t="shared" si="22"/>
        <v>1.0449320794148287E-2</v>
      </c>
      <c r="D82" s="26">
        <f t="shared" si="23"/>
        <v>10.413973427240286</v>
      </c>
      <c r="E82" s="26"/>
      <c r="F82">
        <v>10.423999999999999</v>
      </c>
      <c r="G82" s="25">
        <f t="shared" si="20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1"/>
        <v>5</v>
      </c>
    </row>
    <row r="83" spans="1:13" x14ac:dyDescent="0.15">
      <c r="A83" s="1">
        <v>42520</v>
      </c>
      <c r="B83">
        <v>9.68</v>
      </c>
      <c r="C83" s="25">
        <f t="shared" si="22"/>
        <v>1.0341261633919352E-3</v>
      </c>
      <c r="D83" s="26">
        <f t="shared" si="23"/>
        <v>10.509601744873256</v>
      </c>
      <c r="E83" s="26"/>
      <c r="F83">
        <v>10.465999999999999</v>
      </c>
      <c r="G83" s="25">
        <f t="shared" si="20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1"/>
        <v>1</v>
      </c>
    </row>
    <row r="84" spans="1:13" x14ac:dyDescent="0.15">
      <c r="A84" s="1">
        <v>42521</v>
      </c>
      <c r="B84">
        <v>10.02</v>
      </c>
      <c r="C84" s="25">
        <f t="shared" si="22"/>
        <v>3.512396694214881E-2</v>
      </c>
      <c r="D84" s="26">
        <f t="shared" si="23"/>
        <v>10.738773588108604</v>
      </c>
      <c r="E84" s="26"/>
      <c r="F84">
        <v>10.763</v>
      </c>
      <c r="G84" s="25">
        <f t="shared" si="20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1"/>
        <v>2</v>
      </c>
    </row>
    <row r="85" spans="1:13" x14ac:dyDescent="0.15">
      <c r="A85" s="1">
        <v>42522</v>
      </c>
      <c r="B85">
        <v>9.9499999999999993</v>
      </c>
      <c r="C85" s="25">
        <f t="shared" si="22"/>
        <v>-6.98602794411185E-3</v>
      </c>
      <c r="D85" s="26">
        <f t="shared" si="23"/>
        <v>10.695757334077831</v>
      </c>
      <c r="E85" s="26"/>
      <c r="F85">
        <v>10.68</v>
      </c>
      <c r="G85" s="25">
        <f t="shared" si="20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1"/>
        <v>3</v>
      </c>
    </row>
    <row r="86" spans="1:13" x14ac:dyDescent="0.15">
      <c r="A86" s="1">
        <v>42523</v>
      </c>
      <c r="B86">
        <v>9.9700000000000006</v>
      </c>
      <c r="C86" s="25">
        <f t="shared" si="22"/>
        <v>2.0100502512563345E-3</v>
      </c>
      <c r="D86" s="26">
        <f t="shared" si="23"/>
        <v>10.664931028777808</v>
      </c>
      <c r="E86" s="26"/>
      <c r="F86">
        <v>10.695</v>
      </c>
      <c r="G86" s="25">
        <f t="shared" si="20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1"/>
        <v>4</v>
      </c>
    </row>
    <row r="87" spans="1:13" x14ac:dyDescent="0.15">
      <c r="A87" s="1">
        <v>42524</v>
      </c>
      <c r="B87">
        <v>9.98</v>
      </c>
      <c r="C87" s="25">
        <f t="shared" si="22"/>
        <v>1.0030090270811698E-3</v>
      </c>
      <c r="D87" s="26">
        <f t="shared" si="23"/>
        <v>10.760226665291235</v>
      </c>
      <c r="E87" s="26"/>
      <c r="F87">
        <v>10.593999999999999</v>
      </c>
      <c r="G87" s="25">
        <f t="shared" si="20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1"/>
        <v>5</v>
      </c>
    </row>
    <row r="88" spans="1:13" x14ac:dyDescent="0.15">
      <c r="A88" s="1">
        <v>42527</v>
      </c>
      <c r="B88">
        <v>9.9600000000000009</v>
      </c>
      <c r="C88" s="25">
        <f t="shared" si="22"/>
        <v>-2.0040080160320661E-3</v>
      </c>
      <c r="D88" s="26">
        <f t="shared" si="23"/>
        <v>10.527290331935166</v>
      </c>
      <c r="E88" s="26"/>
      <c r="F88">
        <v>10.592000000000001</v>
      </c>
      <c r="G88" s="25">
        <f t="shared" si="20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1"/>
        <v>1</v>
      </c>
    </row>
    <row r="89" spans="1:13" x14ac:dyDescent="0.15">
      <c r="A89" s="1">
        <v>42528</v>
      </c>
      <c r="B89">
        <v>9.99</v>
      </c>
      <c r="C89" s="25">
        <f t="shared" si="22"/>
        <v>3.0120481927711218E-3</v>
      </c>
      <c r="D89" s="26">
        <f t="shared" si="23"/>
        <v>10.597089176316089</v>
      </c>
      <c r="E89" s="26"/>
      <c r="F89">
        <v>10.577999999999999</v>
      </c>
      <c r="G89" s="25">
        <f t="shared" si="20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1"/>
        <v>2</v>
      </c>
    </row>
    <row r="90" spans="1:13" x14ac:dyDescent="0.15">
      <c r="A90" s="1">
        <v>42529</v>
      </c>
      <c r="B90">
        <v>9.92</v>
      </c>
      <c r="C90" s="25">
        <f t="shared" si="22"/>
        <v>-7.0070070070070711E-3</v>
      </c>
      <c r="D90" s="26">
        <f t="shared" si="23"/>
        <v>10.550076480497035</v>
      </c>
      <c r="E90" s="26"/>
      <c r="F90">
        <v>10.554</v>
      </c>
      <c r="G90" s="25">
        <f t="shared" si="20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1"/>
        <v>3</v>
      </c>
    </row>
    <row r="91" spans="1:13" x14ac:dyDescent="0.15">
      <c r="A91" s="1">
        <v>42530</v>
      </c>
      <c r="B91">
        <v>9.92</v>
      </c>
      <c r="C91" s="25">
        <f t="shared" si="22"/>
        <v>0</v>
      </c>
      <c r="D91" s="26">
        <f t="shared" si="23"/>
        <v>10.554</v>
      </c>
      <c r="E91" s="26"/>
      <c r="F91">
        <v>10.554</v>
      </c>
      <c r="G91" s="25">
        <f t="shared" si="20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4">+K91/J91-1</f>
        <v>0</v>
      </c>
      <c r="M91">
        <f t="shared" si="21"/>
        <v>4</v>
      </c>
    </row>
    <row r="92" spans="1:13" x14ac:dyDescent="0.15">
      <c r="A92" s="1">
        <v>42531</v>
      </c>
      <c r="B92">
        <v>9.81</v>
      </c>
      <c r="C92" s="25">
        <f t="shared" si="22"/>
        <v>-1.1088709677419262E-2</v>
      </c>
      <c r="D92" s="26">
        <f t="shared" si="23"/>
        <v>10.554</v>
      </c>
      <c r="E92" s="26"/>
      <c r="F92">
        <v>10.535</v>
      </c>
      <c r="G92" s="25">
        <f t="shared" si="20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4"/>
        <v>0</v>
      </c>
      <c r="M92">
        <f t="shared" si="21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5">B93/B92-1</f>
        <v>-2.6503567787971472E-2</v>
      </c>
      <c r="D93" s="26">
        <f t="shared" ref="D93:D99" si="26">+F92*(1+L93)</f>
        <v>10.330626521704163</v>
      </c>
      <c r="E93" s="26"/>
      <c r="F93">
        <v>10.287000000000001</v>
      </c>
      <c r="G93" s="25">
        <f t="shared" si="20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4"/>
        <v>-1.9399475870511385E-2</v>
      </c>
      <c r="M93">
        <f t="shared" si="21"/>
        <v>1</v>
      </c>
    </row>
    <row r="94" spans="1:13" x14ac:dyDescent="0.15">
      <c r="A94" s="1">
        <v>42535</v>
      </c>
      <c r="B94">
        <v>9.6199999999999992</v>
      </c>
      <c r="C94" s="25">
        <f t="shared" si="25"/>
        <v>7.3298429319370584E-3</v>
      </c>
      <c r="D94" s="26">
        <f t="shared" si="26"/>
        <v>10.342257791662762</v>
      </c>
      <c r="E94" s="26"/>
      <c r="F94">
        <v>10.336</v>
      </c>
      <c r="G94" s="25">
        <f t="shared" si="20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4"/>
        <v>5.3716138488151266E-3</v>
      </c>
      <c r="M94">
        <f t="shared" si="21"/>
        <v>2</v>
      </c>
    </row>
    <row r="95" spans="1:13" x14ac:dyDescent="0.15">
      <c r="A95" s="1">
        <v>42536</v>
      </c>
      <c r="B95">
        <v>9.66</v>
      </c>
      <c r="C95" s="25">
        <f t="shared" si="25"/>
        <v>4.1580041580042693E-3</v>
      </c>
      <c r="D95" s="26">
        <f t="shared" si="26"/>
        <v>10.379299049548294</v>
      </c>
      <c r="E95" s="26"/>
      <c r="F95">
        <v>10.342000000000001</v>
      </c>
      <c r="G95" s="25">
        <f t="shared" si="20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4"/>
        <v>4.1891495306012327E-3</v>
      </c>
      <c r="M95">
        <f t="shared" si="21"/>
        <v>3</v>
      </c>
    </row>
    <row r="96" spans="1:13" x14ac:dyDescent="0.15">
      <c r="A96" s="1">
        <v>42537</v>
      </c>
      <c r="B96">
        <v>9.61</v>
      </c>
      <c r="C96" s="25">
        <f t="shared" si="25"/>
        <v>-5.1759834368531044E-3</v>
      </c>
      <c r="D96" s="26">
        <f t="shared" si="26"/>
        <v>10.286657668483819</v>
      </c>
      <c r="E96" s="26"/>
      <c r="F96">
        <v>10.319000000000001</v>
      </c>
      <c r="G96" s="25">
        <f t="shared" si="20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4"/>
        <v>-5.351221380408222E-3</v>
      </c>
      <c r="M96">
        <f t="shared" si="21"/>
        <v>4</v>
      </c>
    </row>
    <row r="97" spans="1:13" x14ac:dyDescent="0.15">
      <c r="A97" s="1">
        <v>42538</v>
      </c>
      <c r="B97">
        <v>9.6300000000000008</v>
      </c>
      <c r="C97" s="25">
        <f t="shared" si="25"/>
        <v>2.0811654526535772E-3</v>
      </c>
      <c r="D97" s="26">
        <f t="shared" si="26"/>
        <v>10.107475325882074</v>
      </c>
      <c r="E97" s="26"/>
      <c r="F97">
        <v>10.367000000000001</v>
      </c>
      <c r="G97" s="25">
        <f t="shared" si="20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4"/>
        <v>-2.0498563244299439E-2</v>
      </c>
      <c r="M97">
        <f t="shared" si="21"/>
        <v>5</v>
      </c>
    </row>
    <row r="98" spans="1:13" x14ac:dyDescent="0.15">
      <c r="A98" s="1">
        <v>42541</v>
      </c>
      <c r="B98">
        <v>9.7100000000000009</v>
      </c>
      <c r="C98" s="25">
        <f t="shared" si="25"/>
        <v>8.3073727933540287E-3</v>
      </c>
      <c r="D98" s="26">
        <f t="shared" si="26"/>
        <v>10.384210524092943</v>
      </c>
      <c r="E98" s="26"/>
      <c r="F98">
        <v>10.387</v>
      </c>
      <c r="G98" s="25">
        <f t="shared" si="20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4"/>
        <v>1.6601257927020274E-3</v>
      </c>
      <c r="M98">
        <f t="shared" si="21"/>
        <v>1</v>
      </c>
    </row>
    <row r="99" spans="1:13" x14ac:dyDescent="0.15">
      <c r="A99" s="1">
        <v>42542</v>
      </c>
      <c r="B99">
        <v>9.7799999999999994</v>
      </c>
      <c r="C99" s="25">
        <f t="shared" si="25"/>
        <v>7.2090628218330899E-3</v>
      </c>
      <c r="D99" s="26">
        <f t="shared" si="26"/>
        <v>10.386034244835166</v>
      </c>
      <c r="E99" s="26"/>
      <c r="F99">
        <v>10.395</v>
      </c>
      <c r="G99" s="25">
        <f t="shared" si="20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4"/>
        <v>-9.2977295160778795E-5</v>
      </c>
      <c r="M99">
        <f t="shared" si="21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7">B100/B99-1</f>
        <v>9.2024539877300082E-3</v>
      </c>
      <c r="D100" s="26">
        <f t="shared" ref="D100:D108" si="28">+F99*(1+L100)</f>
        <v>10.455085860622724</v>
      </c>
      <c r="E100" s="26"/>
      <c r="F100">
        <v>10.411</v>
      </c>
      <c r="G100" s="25">
        <f t="shared" si="20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4"/>
        <v>5.7802655721717056E-3</v>
      </c>
      <c r="M100">
        <f t="shared" si="21"/>
        <v>3</v>
      </c>
    </row>
    <row r="101" spans="1:13" x14ac:dyDescent="0.15">
      <c r="A101" s="1">
        <v>42544</v>
      </c>
      <c r="B101">
        <v>9.8000000000000007</v>
      </c>
      <c r="C101" s="25">
        <f t="shared" si="27"/>
        <v>-7.0921985815601829E-3</v>
      </c>
      <c r="D101" s="26">
        <f t="shared" si="28"/>
        <v>10.356282252420671</v>
      </c>
      <c r="E101" s="26"/>
      <c r="F101">
        <v>10.411</v>
      </c>
      <c r="G101" s="25">
        <f t="shared" si="20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4"/>
        <v>-5.2557629026345198E-3</v>
      </c>
      <c r="M101">
        <f t="shared" si="21"/>
        <v>4</v>
      </c>
    </row>
    <row r="102" spans="1:13" x14ac:dyDescent="0.15">
      <c r="A102" s="1">
        <v>42545</v>
      </c>
      <c r="B102">
        <v>9.6300000000000008</v>
      </c>
      <c r="C102" s="25">
        <f t="shared" si="27"/>
        <v>-1.734693877551019E-2</v>
      </c>
      <c r="D102" s="26">
        <f t="shared" si="28"/>
        <v>10.26960685400204</v>
      </c>
      <c r="E102" s="26"/>
      <c r="F102">
        <v>10.281000000000001</v>
      </c>
      <c r="G102" s="25">
        <f t="shared" si="20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4"/>
        <v>-1.3581130150606024E-2</v>
      </c>
      <c r="M102">
        <f t="shared" si="21"/>
        <v>5</v>
      </c>
    </row>
    <row r="103" spans="1:13" x14ac:dyDescent="0.15">
      <c r="A103" s="1">
        <v>42548</v>
      </c>
      <c r="B103">
        <v>9.65</v>
      </c>
      <c r="C103" s="25">
        <f t="shared" si="27"/>
        <v>2.0768431983384517E-3</v>
      </c>
      <c r="D103" s="26">
        <f t="shared" si="28"/>
        <v>10.374443054644097</v>
      </c>
      <c r="E103" s="26"/>
      <c r="F103">
        <v>10.268000000000001</v>
      </c>
      <c r="G103" s="25">
        <f t="shared" si="20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4"/>
        <v>9.0889071728523785E-3</v>
      </c>
      <c r="M103">
        <f t="shared" si="21"/>
        <v>1</v>
      </c>
    </row>
    <row r="104" spans="1:13" x14ac:dyDescent="0.15">
      <c r="A104" s="1">
        <v>42549</v>
      </c>
      <c r="B104">
        <v>9.65</v>
      </c>
      <c r="C104" s="25">
        <f t="shared" si="27"/>
        <v>0</v>
      </c>
      <c r="D104" s="26">
        <f t="shared" si="28"/>
        <v>10.296059670574136</v>
      </c>
      <c r="E104" s="26"/>
      <c r="F104">
        <v>10.269</v>
      </c>
      <c r="G104" s="25">
        <f t="shared" si="20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4"/>
        <v>2.7327298961954405E-3</v>
      </c>
      <c r="M104">
        <f t="shared" si="21"/>
        <v>2</v>
      </c>
    </row>
    <row r="105" spans="1:13" x14ac:dyDescent="0.15">
      <c r="A105" s="1">
        <v>42550</v>
      </c>
      <c r="B105">
        <v>9.77</v>
      </c>
      <c r="C105" s="25">
        <f t="shared" si="27"/>
        <v>1.2435233160621673E-2</v>
      </c>
      <c r="D105" s="26">
        <f t="shared" si="28"/>
        <v>10.367156435759345</v>
      </c>
      <c r="E105" s="26"/>
      <c r="F105">
        <v>10.382999999999999</v>
      </c>
      <c r="G105" s="25">
        <f t="shared" si="20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4"/>
        <v>9.5585194039677912E-3</v>
      </c>
      <c r="M105">
        <f t="shared" si="21"/>
        <v>3</v>
      </c>
    </row>
    <row r="106" spans="1:13" x14ac:dyDescent="0.15">
      <c r="A106" s="1">
        <v>42551</v>
      </c>
      <c r="B106">
        <v>9.85</v>
      </c>
      <c r="C106" s="25">
        <f t="shared" si="27"/>
        <v>8.1883316274309337E-3</v>
      </c>
      <c r="D106" s="26">
        <f t="shared" si="28"/>
        <v>10.374414333088087</v>
      </c>
      <c r="E106" s="26"/>
      <c r="F106">
        <v>10.398999999999999</v>
      </c>
      <c r="G106" s="25">
        <f t="shared" si="20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4"/>
        <v>-8.2689655320355993E-4</v>
      </c>
      <c r="M106">
        <f t="shared" ref="M106:M112" si="29">WEEKDAY(A106,2)</f>
        <v>4</v>
      </c>
    </row>
    <row r="107" spans="1:13" x14ac:dyDescent="0.15">
      <c r="A107" s="1">
        <v>42552</v>
      </c>
      <c r="B107">
        <v>9.85</v>
      </c>
      <c r="C107" s="25">
        <f t="shared" si="27"/>
        <v>0</v>
      </c>
      <c r="D107" s="26">
        <f t="shared" si="28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4"/>
        <v>2.9206842623314966E-3</v>
      </c>
      <c r="M107">
        <f t="shared" si="29"/>
        <v>5</v>
      </c>
    </row>
    <row r="108" spans="1:13" x14ac:dyDescent="0.15">
      <c r="A108" s="1">
        <v>42555</v>
      </c>
      <c r="B108">
        <v>10.039999999999999</v>
      </c>
      <c r="C108" s="25">
        <f t="shared" si="27"/>
        <v>1.9289340101522834E-2</v>
      </c>
      <c r="D108" s="26">
        <f t="shared" si="28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4"/>
        <v>1.5227665804750101E-2</v>
      </c>
      <c r="M108">
        <f t="shared" si="29"/>
        <v>1</v>
      </c>
    </row>
    <row r="109" spans="1:13" x14ac:dyDescent="0.15">
      <c r="A109" s="1">
        <v>42556</v>
      </c>
      <c r="B109">
        <v>9.9700000000000006</v>
      </c>
      <c r="C109" s="25">
        <f t="shared" si="27"/>
        <v>-6.9721115537847433E-3</v>
      </c>
      <c r="D109" s="26">
        <f t="shared" ref="D109:D128" si="30">+F108*(1+L109)</f>
        <v>10.587517468215648</v>
      </c>
      <c r="E109" s="26"/>
      <c r="F109">
        <v>10.574999999999999</v>
      </c>
      <c r="G109" s="25">
        <f t="shared" ref="G109:G123" si="31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4"/>
        <v>7.1053574817092624E-4</v>
      </c>
      <c r="M109">
        <f t="shared" si="29"/>
        <v>2</v>
      </c>
    </row>
    <row r="110" spans="1:13" x14ac:dyDescent="0.15">
      <c r="A110" s="1">
        <v>42557</v>
      </c>
      <c r="B110">
        <v>9.94</v>
      </c>
      <c r="C110" s="25">
        <f t="shared" si="27"/>
        <v>-3.0090270812438424E-3</v>
      </c>
      <c r="D110" s="26">
        <f t="shared" si="30"/>
        <v>10.576871574942004</v>
      </c>
      <c r="E110" s="26"/>
      <c r="F110">
        <v>10.6</v>
      </c>
      <c r="G110" s="25">
        <f t="shared" si="31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4"/>
        <v>1.769810819862716E-4</v>
      </c>
      <c r="M110">
        <f t="shared" si="29"/>
        <v>3</v>
      </c>
    </row>
    <row r="111" spans="1:13" x14ac:dyDescent="0.15">
      <c r="A111" s="1">
        <v>42558</v>
      </c>
      <c r="B111">
        <v>9.9499999999999993</v>
      </c>
      <c r="C111" s="25">
        <f t="shared" si="27"/>
        <v>1.006036217303885E-3</v>
      </c>
      <c r="D111" s="26">
        <f t="shared" si="30"/>
        <v>10.579468139562808</v>
      </c>
      <c r="E111" s="26"/>
      <c r="F111">
        <v>10.599</v>
      </c>
      <c r="G111" s="25">
        <f t="shared" si="31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4"/>
        <v>-1.9369679657728067E-3</v>
      </c>
      <c r="M111">
        <f t="shared" si="29"/>
        <v>4</v>
      </c>
    </row>
    <row r="112" spans="1:13" x14ac:dyDescent="0.15">
      <c r="A112" s="1">
        <v>42559</v>
      </c>
      <c r="B112">
        <v>9.8800000000000008</v>
      </c>
      <c r="C112" s="25">
        <f t="shared" si="27"/>
        <v>-7.0351758793968378E-3</v>
      </c>
      <c r="D112" s="26">
        <f t="shared" si="30"/>
        <v>10.514260168238559</v>
      </c>
      <c r="E112" s="26"/>
      <c r="F112">
        <v>10.535</v>
      </c>
      <c r="G112" s="25">
        <f t="shared" si="31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4"/>
        <v>-7.9950780037211233E-3</v>
      </c>
      <c r="M112">
        <f t="shared" si="29"/>
        <v>5</v>
      </c>
    </row>
    <row r="113" spans="1:13" x14ac:dyDescent="0.15">
      <c r="A113" s="1">
        <v>42562</v>
      </c>
      <c r="B113">
        <v>9.94</v>
      </c>
      <c r="C113" s="25">
        <f t="shared" si="27"/>
        <v>6.0728744939269053E-3</v>
      </c>
      <c r="D113" s="26">
        <f t="shared" si="30"/>
        <v>10.570224743007232</v>
      </c>
      <c r="E113" s="26"/>
      <c r="F113">
        <v>10.576000000000001</v>
      </c>
      <c r="G113" s="25">
        <f t="shared" si="31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4"/>
        <v>3.3435921221862674E-3</v>
      </c>
      <c r="M113">
        <f t="shared" ref="M113:M124" si="32">WEEKDAY(A113,2)</f>
        <v>1</v>
      </c>
    </row>
    <row r="114" spans="1:13" x14ac:dyDescent="0.15">
      <c r="A114" s="1">
        <v>42563</v>
      </c>
      <c r="B114">
        <v>10.18</v>
      </c>
      <c r="C114" s="25">
        <f t="shared" si="27"/>
        <v>2.4144869215291687E-2</v>
      </c>
      <c r="D114" s="26">
        <f t="shared" si="30"/>
        <v>10.775734625457245</v>
      </c>
      <c r="E114" s="26"/>
      <c r="F114">
        <v>10.763</v>
      </c>
      <c r="G114" s="25">
        <f t="shared" si="31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4"/>
        <v>1.8885649154429363E-2</v>
      </c>
      <c r="M114">
        <f t="shared" si="32"/>
        <v>2</v>
      </c>
    </row>
    <row r="115" spans="1:13" x14ac:dyDescent="0.15">
      <c r="A115" s="1">
        <v>42564</v>
      </c>
      <c r="B115">
        <v>10.14</v>
      </c>
      <c r="C115" s="25">
        <f t="shared" si="27"/>
        <v>-3.9292730844793233E-3</v>
      </c>
      <c r="D115" s="26">
        <f t="shared" si="30"/>
        <v>10.743993201604225</v>
      </c>
      <c r="E115" s="26"/>
      <c r="F115">
        <v>10.798999999999999</v>
      </c>
      <c r="G115" s="25">
        <f t="shared" si="31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4"/>
        <v>-1.7659387155788409E-3</v>
      </c>
      <c r="M115">
        <f t="shared" si="32"/>
        <v>3</v>
      </c>
    </row>
    <row r="116" spans="1:13" x14ac:dyDescent="0.15">
      <c r="A116" s="1">
        <v>42565</v>
      </c>
      <c r="B116">
        <v>10.14</v>
      </c>
      <c r="C116" s="25">
        <f t="shared" si="27"/>
        <v>0</v>
      </c>
      <c r="D116" s="26">
        <f t="shared" si="30"/>
        <v>10.776541133054996</v>
      </c>
      <c r="E116" s="26"/>
      <c r="F116">
        <v>10.781000000000001</v>
      </c>
      <c r="G116" s="25">
        <f t="shared" si="31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4"/>
        <v>-2.0797172835450572E-3</v>
      </c>
      <c r="M116">
        <f t="shared" si="32"/>
        <v>4</v>
      </c>
    </row>
    <row r="117" spans="1:13" x14ac:dyDescent="0.15">
      <c r="A117" s="1">
        <v>42566</v>
      </c>
      <c r="B117">
        <v>10.220000000000001</v>
      </c>
      <c r="C117" s="25">
        <f t="shared" si="27"/>
        <v>7.8895463510848529E-3</v>
      </c>
      <c r="D117" s="26">
        <f t="shared" si="30"/>
        <v>10.805596721927984</v>
      </c>
      <c r="E117" s="26"/>
      <c r="F117">
        <v>10.818</v>
      </c>
      <c r="G117" s="25">
        <f t="shared" si="31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4"/>
        <v>2.2814879814472278E-3</v>
      </c>
      <c r="M117">
        <f t="shared" si="32"/>
        <v>5</v>
      </c>
    </row>
    <row r="118" spans="1:13" x14ac:dyDescent="0.15">
      <c r="A118" s="1">
        <v>42569</v>
      </c>
      <c r="B118">
        <v>10.220000000000001</v>
      </c>
      <c r="C118" s="25">
        <f t="shared" si="27"/>
        <v>0</v>
      </c>
      <c r="D118" s="26">
        <f t="shared" si="30"/>
        <v>10.815102283173553</v>
      </c>
      <c r="E118" s="26"/>
      <c r="F118">
        <v>10.787000000000001</v>
      </c>
      <c r="G118" s="25">
        <f t="shared" si="31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2"/>
        <v>1</v>
      </c>
    </row>
    <row r="119" spans="1:13" x14ac:dyDescent="0.15">
      <c r="A119" s="1">
        <v>42570</v>
      </c>
      <c r="B119">
        <v>10.1</v>
      </c>
      <c r="C119" s="25">
        <f t="shared" si="27"/>
        <v>-1.1741682974559797E-2</v>
      </c>
      <c r="D119" s="26">
        <f t="shared" si="30"/>
        <v>10.713440796833185</v>
      </c>
      <c r="E119" s="26"/>
      <c r="F119">
        <v>10.72</v>
      </c>
      <c r="G119" s="25">
        <f t="shared" si="31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3">+K119/J119-1</f>
        <v>-6.8192456815440172E-3</v>
      </c>
      <c r="M119">
        <f t="shared" si="32"/>
        <v>2</v>
      </c>
    </row>
    <row r="120" spans="1:13" x14ac:dyDescent="0.15">
      <c r="A120" s="1">
        <v>42571</v>
      </c>
      <c r="B120">
        <v>10.08</v>
      </c>
      <c r="C120" s="25">
        <f t="shared" si="27"/>
        <v>-1.980198019801982E-3</v>
      </c>
      <c r="D120" s="26">
        <f t="shared" si="30"/>
        <v>10.67416754841202</v>
      </c>
      <c r="E120" s="26"/>
      <c r="F120">
        <v>10.675000000000001</v>
      </c>
      <c r="G120" s="25">
        <f t="shared" si="31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3"/>
        <v>-4.2754152600728013E-3</v>
      </c>
      <c r="M120">
        <f t="shared" si="32"/>
        <v>3</v>
      </c>
    </row>
    <row r="121" spans="1:13" x14ac:dyDescent="0.15">
      <c r="A121" s="1">
        <v>42572</v>
      </c>
      <c r="B121">
        <v>10.16</v>
      </c>
      <c r="C121" s="25">
        <f t="shared" si="27"/>
        <v>7.9365079365079083E-3</v>
      </c>
      <c r="D121" s="26">
        <f t="shared" si="30"/>
        <v>10.7382566417488</v>
      </c>
      <c r="E121" s="26"/>
      <c r="F121">
        <v>10.75</v>
      </c>
      <c r="G121" s="25">
        <f t="shared" si="31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3"/>
        <v>5.9256807258827315E-3</v>
      </c>
      <c r="M121">
        <f t="shared" si="32"/>
        <v>4</v>
      </c>
    </row>
    <row r="122" spans="1:13" x14ac:dyDescent="0.15">
      <c r="A122" s="1">
        <v>42573</v>
      </c>
      <c r="B122">
        <v>10.08</v>
      </c>
      <c r="C122" s="25">
        <f t="shared" si="27"/>
        <v>-7.8740157480314821E-3</v>
      </c>
      <c r="D122" s="26">
        <f t="shared" si="30"/>
        <v>10.646691378363537</v>
      </c>
      <c r="E122" s="26"/>
      <c r="F122">
        <v>10.679</v>
      </c>
      <c r="G122" s="25">
        <f t="shared" si="31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3"/>
        <v>-9.6101043382756934E-3</v>
      </c>
      <c r="M122">
        <f t="shared" si="32"/>
        <v>5</v>
      </c>
    </row>
    <row r="123" spans="1:13" x14ac:dyDescent="0.15">
      <c r="A123" s="1">
        <v>42576</v>
      </c>
      <c r="B123">
        <v>10.039999999999999</v>
      </c>
      <c r="C123" s="25">
        <f t="shared" si="27"/>
        <v>-3.9682539682540652E-3</v>
      </c>
      <c r="D123" s="26">
        <f t="shared" si="30"/>
        <v>10.675327460176037</v>
      </c>
      <c r="E123" s="26"/>
      <c r="F123">
        <v>10.648999999999999</v>
      </c>
      <c r="G123" s="25">
        <f t="shared" si="31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3"/>
        <v>-3.4390297068676023E-4</v>
      </c>
      <c r="M123">
        <f t="shared" si="32"/>
        <v>1</v>
      </c>
    </row>
    <row r="124" spans="1:13" x14ac:dyDescent="0.15">
      <c r="A124" s="1">
        <v>42577</v>
      </c>
      <c r="B124">
        <v>10.18</v>
      </c>
      <c r="C124" s="25">
        <f t="shared" si="27"/>
        <v>1.3944223107569709E-2</v>
      </c>
      <c r="D124" s="26">
        <f t="shared" si="30"/>
        <v>10.756221682020598</v>
      </c>
      <c r="E124" s="26"/>
      <c r="F124">
        <v>10.768000000000001</v>
      </c>
      <c r="G124" s="25">
        <f t="shared" ref="G124:G142" si="34">+B124/D124-1</f>
        <v>-5.3571012113275196E-2</v>
      </c>
      <c r="H124" s="25"/>
      <c r="I124" s="25">
        <f t="shared" ref="I124:I144" si="35">+B124/F124-1</f>
        <v>-5.4606240713224508E-2</v>
      </c>
      <c r="J124">
        <v>9447.09</v>
      </c>
      <c r="K124">
        <v>9542.2099999999991</v>
      </c>
      <c r="L124" s="25">
        <f t="shared" si="33"/>
        <v>1.006870898869372E-2</v>
      </c>
      <c r="M124">
        <f t="shared" si="32"/>
        <v>2</v>
      </c>
    </row>
    <row r="125" spans="1:13" x14ac:dyDescent="0.15">
      <c r="A125" s="1">
        <v>42578</v>
      </c>
      <c r="B125">
        <v>10.1</v>
      </c>
      <c r="C125" s="25">
        <f t="shared" si="27"/>
        <v>-7.8585461689587577E-3</v>
      </c>
      <c r="D125" s="26">
        <f t="shared" si="30"/>
        <v>10.738795461428747</v>
      </c>
      <c r="E125" s="26"/>
      <c r="F125">
        <v>10.757</v>
      </c>
      <c r="G125" s="25">
        <f t="shared" si="34"/>
        <v>-5.9484833631774814E-2</v>
      </c>
      <c r="H125" s="25"/>
      <c r="I125" s="25">
        <f t="shared" si="35"/>
        <v>-6.1076508320163647E-2</v>
      </c>
      <c r="J125">
        <v>9542.2099999999991</v>
      </c>
      <c r="K125">
        <v>9516.33</v>
      </c>
      <c r="L125" s="25">
        <f t="shared" si="33"/>
        <v>-2.7121599713273437E-3</v>
      </c>
      <c r="M125">
        <f t="shared" ref="M125:M133" si="36">WEEKDAY(A125,2)</f>
        <v>3</v>
      </c>
    </row>
    <row r="126" spans="1:13" x14ac:dyDescent="0.15">
      <c r="A126" s="1">
        <v>42579</v>
      </c>
      <c r="B126">
        <v>10.16</v>
      </c>
      <c r="C126" s="25">
        <f t="shared" si="27"/>
        <v>5.9405940594059459E-3</v>
      </c>
      <c r="D126" s="26">
        <f t="shared" si="30"/>
        <v>10.70525153604383</v>
      </c>
      <c r="E126" s="26"/>
      <c r="F126">
        <v>10.715</v>
      </c>
      <c r="G126" s="25">
        <f t="shared" si="34"/>
        <v>-5.0933089634373041E-2</v>
      </c>
      <c r="H126" s="25"/>
      <c r="I126" s="25">
        <f t="shared" si="35"/>
        <v>-5.1796546896873519E-2</v>
      </c>
      <c r="J126">
        <v>9516.33</v>
      </c>
      <c r="K126">
        <v>9470.5499999999993</v>
      </c>
      <c r="L126" s="25">
        <f t="shared" si="33"/>
        <v>-4.8106780660192028E-3</v>
      </c>
      <c r="M126">
        <f t="shared" si="36"/>
        <v>4</v>
      </c>
    </row>
    <row r="127" spans="1:13" x14ac:dyDescent="0.15">
      <c r="A127" s="1">
        <v>42580</v>
      </c>
      <c r="B127">
        <v>10.08</v>
      </c>
      <c r="C127" s="25">
        <f t="shared" si="27"/>
        <v>-7.8740157480314821E-3</v>
      </c>
      <c r="D127" s="26">
        <f t="shared" si="30"/>
        <v>10.699703443833782</v>
      </c>
      <c r="E127" s="26"/>
      <c r="F127">
        <v>10.712</v>
      </c>
      <c r="G127" s="25">
        <f t="shared" si="34"/>
        <v>-5.7917814927002986E-2</v>
      </c>
      <c r="H127" s="25"/>
      <c r="I127" s="25">
        <f t="shared" si="35"/>
        <v>-5.8999253174010446E-2</v>
      </c>
      <c r="J127">
        <v>9470.5499999999993</v>
      </c>
      <c r="K127">
        <v>9457.0300000000007</v>
      </c>
      <c r="L127" s="25">
        <f t="shared" si="33"/>
        <v>-1.4275834032868584E-3</v>
      </c>
      <c r="M127">
        <f t="shared" si="36"/>
        <v>5</v>
      </c>
    </row>
    <row r="128" spans="1:13" x14ac:dyDescent="0.15">
      <c r="A128" s="1">
        <v>42583</v>
      </c>
      <c r="B128">
        <v>10.1</v>
      </c>
      <c r="C128" s="25">
        <f t="shared" si="27"/>
        <v>1.9841269841269771E-3</v>
      </c>
      <c r="D128" s="26">
        <f t="shared" si="30"/>
        <v>10.689844342251211</v>
      </c>
      <c r="E128" s="26"/>
      <c r="F128">
        <v>10.73</v>
      </c>
      <c r="G128" s="25">
        <f t="shared" si="34"/>
        <v>-5.5178010396266797E-2</v>
      </c>
      <c r="H128" s="25"/>
      <c r="I128" s="25">
        <f t="shared" si="35"/>
        <v>-5.8713886300093221E-2</v>
      </c>
      <c r="J128">
        <v>9457.0300000000007</v>
      </c>
      <c r="K128">
        <v>9437.4699999999993</v>
      </c>
      <c r="L128" s="25">
        <f t="shared" si="33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7">B129/B128-1</f>
        <v>0</v>
      </c>
      <c r="D129" s="26">
        <f t="shared" ref="D129:D142" si="38">+F128*(1+L129)</f>
        <v>10.728794825308055</v>
      </c>
      <c r="E129" s="26"/>
      <c r="F129">
        <v>10.73</v>
      </c>
      <c r="G129" s="25">
        <f t="shared" si="34"/>
        <v>-5.8608150826483962E-2</v>
      </c>
      <c r="H129" s="25"/>
      <c r="I129" s="25">
        <f t="shared" si="35"/>
        <v>-5.8713886300093221E-2</v>
      </c>
      <c r="J129">
        <v>9437.4699999999993</v>
      </c>
      <c r="K129">
        <v>9436.41</v>
      </c>
      <c r="L129" s="25">
        <f t="shared" ref="L129:L142" si="39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7"/>
        <v>-1.980198019801982E-3</v>
      </c>
      <c r="D130" s="26">
        <f t="shared" si="38"/>
        <v>10.716855297724454</v>
      </c>
      <c r="E130" s="26"/>
      <c r="F130">
        <v>10.728</v>
      </c>
      <c r="G130" s="25">
        <f t="shared" si="34"/>
        <v>-5.9425575883223836E-2</v>
      </c>
      <c r="H130" s="25"/>
      <c r="I130" s="25">
        <f t="shared" si="35"/>
        <v>-6.0402684563758413E-2</v>
      </c>
      <c r="J130">
        <v>9436.41</v>
      </c>
      <c r="K130">
        <v>9424.85</v>
      </c>
      <c r="L130" s="25">
        <f t="shared" si="39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7"/>
        <v>0</v>
      </c>
      <c r="D131" s="26">
        <f t="shared" si="38"/>
        <v>10.709537301919923</v>
      </c>
      <c r="E131" s="26"/>
      <c r="F131">
        <v>10.667</v>
      </c>
      <c r="G131" s="25">
        <f t="shared" si="34"/>
        <v>-5.878286653962761E-2</v>
      </c>
      <c r="H131" s="25"/>
      <c r="I131" s="25">
        <f t="shared" si="35"/>
        <v>-5.5029530327177278E-2</v>
      </c>
      <c r="J131">
        <v>9424.85</v>
      </c>
      <c r="K131">
        <v>9408.6299999999992</v>
      </c>
      <c r="L131" s="25">
        <f t="shared" si="39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7"/>
        <v>3.9682539682539542E-3</v>
      </c>
      <c r="D132" s="26">
        <f t="shared" si="38"/>
        <v>10.696409380536805</v>
      </c>
      <c r="E132" s="26"/>
      <c r="F132">
        <v>10.707000000000001</v>
      </c>
      <c r="G132" s="25">
        <f t="shared" si="34"/>
        <v>-5.3888118903306026E-2</v>
      </c>
      <c r="H132" s="25"/>
      <c r="I132" s="25">
        <f t="shared" si="35"/>
        <v>-5.4823946950593228E-2</v>
      </c>
      <c r="J132">
        <v>9408.6299999999992</v>
      </c>
      <c r="K132">
        <v>9434.57</v>
      </c>
      <c r="L132" s="25">
        <f t="shared" si="39"/>
        <v>2.7570432677233025E-3</v>
      </c>
      <c r="M132">
        <f t="shared" si="36"/>
        <v>5</v>
      </c>
    </row>
    <row r="133" spans="1:13" x14ac:dyDescent="0.15">
      <c r="A133" s="1">
        <v>42590</v>
      </c>
      <c r="B133">
        <v>10.18</v>
      </c>
      <c r="C133" s="25">
        <f t="shared" si="37"/>
        <v>5.9288537549406772E-3</v>
      </c>
      <c r="D133" s="26">
        <f t="shared" si="38"/>
        <v>10.751940808113142</v>
      </c>
      <c r="E133" s="26"/>
      <c r="F133">
        <v>10.715999999999999</v>
      </c>
      <c r="G133" s="25">
        <f t="shared" si="34"/>
        <v>-5.3194192408645868E-2</v>
      </c>
      <c r="H133" s="25"/>
      <c r="I133" s="25">
        <f t="shared" si="35"/>
        <v>-5.0018663680477804E-2</v>
      </c>
      <c r="J133">
        <f>K133-39.6</f>
        <v>9434.57</v>
      </c>
      <c r="K133">
        <v>9474.17</v>
      </c>
      <c r="L133" s="25">
        <f t="shared" si="39"/>
        <v>4.1973296080266564E-3</v>
      </c>
      <c r="M133">
        <f t="shared" si="36"/>
        <v>1</v>
      </c>
    </row>
    <row r="134" spans="1:13" x14ac:dyDescent="0.15">
      <c r="A134" s="1">
        <v>42591</v>
      </c>
      <c r="B134">
        <v>10.24</v>
      </c>
      <c r="C134" s="25">
        <f t="shared" si="37"/>
        <v>5.893909626719207E-3</v>
      </c>
      <c r="D134" s="26">
        <f t="shared" si="38"/>
        <v>10.789870530083373</v>
      </c>
      <c r="E134" s="26"/>
      <c r="F134">
        <v>10.794</v>
      </c>
      <c r="G134" s="25">
        <f t="shared" si="34"/>
        <v>-5.0961735689994847E-2</v>
      </c>
      <c r="H134" s="25"/>
      <c r="I134" s="25">
        <f t="shared" si="35"/>
        <v>-5.1324810079673933E-2</v>
      </c>
      <c r="J134">
        <v>9474.17</v>
      </c>
      <c r="K134">
        <v>9539.48</v>
      </c>
      <c r="L134" s="25">
        <f t="shared" si="39"/>
        <v>6.8934798510054129E-3</v>
      </c>
      <c r="M134">
        <f t="shared" ref="M134:M142" si="40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7"/>
        <v>-1.953125E-3</v>
      </c>
      <c r="D135" s="26">
        <f t="shared" si="38"/>
        <v>10.772094000930871</v>
      </c>
      <c r="E135" s="26"/>
      <c r="F135">
        <v>10.781000000000001</v>
      </c>
      <c r="G135" s="25">
        <f t="shared" si="34"/>
        <v>-5.1252245002982755E-2</v>
      </c>
      <c r="H135" s="25"/>
      <c r="I135" s="25">
        <f t="shared" si="35"/>
        <v>-5.2035989240330149E-2</v>
      </c>
      <c r="J135">
        <v>9539.48</v>
      </c>
      <c r="K135">
        <v>9520.1200000000008</v>
      </c>
      <c r="L135" s="25">
        <f t="shared" si="39"/>
        <v>-2.0294607253223962E-3</v>
      </c>
      <c r="M135">
        <f t="shared" si="40"/>
        <v>3</v>
      </c>
    </row>
    <row r="136" spans="1:13" x14ac:dyDescent="0.15">
      <c r="A136" s="1">
        <v>42593</v>
      </c>
      <c r="B136">
        <v>10.28</v>
      </c>
      <c r="C136" s="25">
        <f t="shared" si="37"/>
        <v>5.8708414872796766E-3</v>
      </c>
      <c r="D136" s="26">
        <f t="shared" si="38"/>
        <v>10.838698006957896</v>
      </c>
      <c r="E136" s="26"/>
      <c r="F136">
        <v>10.891</v>
      </c>
      <c r="G136" s="25">
        <f t="shared" si="34"/>
        <v>-5.1546597810847916E-2</v>
      </c>
      <c r="H136" s="25"/>
      <c r="I136" s="25">
        <f t="shared" si="35"/>
        <v>-5.6101368102102755E-2</v>
      </c>
      <c r="J136">
        <v>9520.1200000000008</v>
      </c>
      <c r="K136">
        <v>9571.07</v>
      </c>
      <c r="L136" s="25">
        <f t="shared" si="39"/>
        <v>5.3518232963449819E-3</v>
      </c>
      <c r="M136">
        <f t="shared" si="40"/>
        <v>4</v>
      </c>
    </row>
    <row r="137" spans="1:13" x14ac:dyDescent="0.15">
      <c r="A137" s="1">
        <v>42594</v>
      </c>
      <c r="B137">
        <v>10.54</v>
      </c>
      <c r="C137" s="25">
        <f t="shared" si="37"/>
        <v>2.5291828793774229E-2</v>
      </c>
      <c r="D137" s="26">
        <f t="shared" si="38"/>
        <v>11.110502511213479</v>
      </c>
      <c r="E137" s="26"/>
      <c r="F137">
        <v>11.180999999999999</v>
      </c>
      <c r="G137" s="25">
        <f t="shared" si="34"/>
        <v>-5.1348038546203401E-2</v>
      </c>
      <c r="H137" s="25"/>
      <c r="I137" s="25">
        <f t="shared" si="35"/>
        <v>-5.7329398086038874E-2</v>
      </c>
      <c r="J137">
        <v>9571.07</v>
      </c>
      <c r="K137">
        <v>9763.9699999999993</v>
      </c>
      <c r="L137" s="25">
        <f t="shared" si="39"/>
        <v>2.01544863844898E-2</v>
      </c>
      <c r="M137">
        <f t="shared" si="40"/>
        <v>5</v>
      </c>
    </row>
    <row r="138" spans="1:13" x14ac:dyDescent="0.15">
      <c r="A138" s="1">
        <v>42597</v>
      </c>
      <c r="B138">
        <v>10.9</v>
      </c>
      <c r="C138" s="25">
        <f t="shared" si="37"/>
        <v>3.4155597722960174E-2</v>
      </c>
      <c r="D138" s="26">
        <f t="shared" si="38"/>
        <v>11.483302464059189</v>
      </c>
      <c r="E138" s="26"/>
      <c r="F138">
        <v>11.496</v>
      </c>
      <c r="G138" s="25">
        <f t="shared" si="34"/>
        <v>-5.0795706712840505E-2</v>
      </c>
      <c r="H138" s="25"/>
      <c r="I138" s="25">
        <f t="shared" si="35"/>
        <v>-5.1844119693806534E-2</v>
      </c>
      <c r="J138">
        <v>9763.9699999999993</v>
      </c>
      <c r="K138">
        <v>10027.959999999999</v>
      </c>
      <c r="L138" s="25">
        <f t="shared" si="39"/>
        <v>2.7037158041247622E-2</v>
      </c>
      <c r="M138">
        <f t="shared" si="40"/>
        <v>1</v>
      </c>
    </row>
    <row r="139" spans="1:13" x14ac:dyDescent="0.15">
      <c r="A139" s="1">
        <v>42598</v>
      </c>
      <c r="B139">
        <v>10.8</v>
      </c>
      <c r="C139" s="25">
        <f t="shared" si="37"/>
        <v>-9.1743119266054496E-3</v>
      </c>
      <c r="D139" s="26">
        <f t="shared" si="38"/>
        <v>11.341110614721241</v>
      </c>
      <c r="E139" s="26"/>
      <c r="F139">
        <v>11.363</v>
      </c>
      <c r="G139" s="25">
        <f t="shared" si="34"/>
        <v>-4.7712312585934558E-2</v>
      </c>
      <c r="H139" s="25"/>
      <c r="I139" s="25">
        <f t="shared" si="35"/>
        <v>-4.954677461937862E-2</v>
      </c>
      <c r="J139">
        <v>10027.959999999999</v>
      </c>
      <c r="K139">
        <v>9892.85</v>
      </c>
      <c r="L139" s="25">
        <f t="shared" si="39"/>
        <v>-1.3473328573308851E-2</v>
      </c>
      <c r="M139">
        <f t="shared" si="40"/>
        <v>2</v>
      </c>
    </row>
    <row r="140" spans="1:13" x14ac:dyDescent="0.15">
      <c r="A140" s="1">
        <v>42599</v>
      </c>
      <c r="B140">
        <v>10.76</v>
      </c>
      <c r="C140" s="25">
        <f t="shared" si="37"/>
        <v>-3.7037037037037646E-3</v>
      </c>
      <c r="D140" s="26">
        <f t="shared" si="38"/>
        <v>11.361070339689775</v>
      </c>
      <c r="E140" s="26"/>
      <c r="F140">
        <v>11.398999999999999</v>
      </c>
      <c r="G140" s="25">
        <f t="shared" si="34"/>
        <v>-5.2906136633090184E-2</v>
      </c>
      <c r="H140" s="25"/>
      <c r="I140" s="25">
        <f t="shared" si="35"/>
        <v>-5.6057548907798904E-2</v>
      </c>
      <c r="J140">
        <v>9892.85</v>
      </c>
      <c r="K140">
        <v>9891.17</v>
      </c>
      <c r="L140" s="25">
        <f t="shared" si="39"/>
        <v>-1.6981961719830796E-4</v>
      </c>
      <c r="M140">
        <f t="shared" si="40"/>
        <v>3</v>
      </c>
    </row>
    <row r="141" spans="1:13" x14ac:dyDescent="0.15">
      <c r="A141" s="1">
        <v>42600</v>
      </c>
      <c r="B141">
        <v>10.74</v>
      </c>
      <c r="C141" s="25">
        <f t="shared" si="37"/>
        <v>-1.8587360594795044E-3</v>
      </c>
      <c r="D141" s="26">
        <f t="shared" si="38"/>
        <v>11.34258796279914</v>
      </c>
      <c r="E141" s="26"/>
      <c r="F141">
        <v>11.305</v>
      </c>
      <c r="G141" s="25">
        <f t="shared" si="34"/>
        <v>-5.3126144119444163E-2</v>
      </c>
      <c r="H141" s="25"/>
      <c r="I141" s="25">
        <f t="shared" si="35"/>
        <v>-4.9977885891198559E-2</v>
      </c>
      <c r="J141">
        <v>9891.17</v>
      </c>
      <c r="K141">
        <v>9842.2199999999993</v>
      </c>
      <c r="L141" s="25">
        <f t="shared" si="39"/>
        <v>-4.9488584262530333E-3</v>
      </c>
      <c r="M141">
        <f t="shared" si="40"/>
        <v>4</v>
      </c>
    </row>
    <row r="142" spans="1:13" x14ac:dyDescent="0.15">
      <c r="A142" s="1">
        <v>42601</v>
      </c>
      <c r="B142">
        <v>10.7</v>
      </c>
      <c r="C142" s="25">
        <f t="shared" si="37"/>
        <v>-3.7243947858474069E-3</v>
      </c>
      <c r="D142" s="26">
        <f t="shared" si="38"/>
        <v>11.329867687371346</v>
      </c>
      <c r="E142" s="26"/>
      <c r="F142">
        <v>11.35</v>
      </c>
      <c r="G142" s="25">
        <f t="shared" si="34"/>
        <v>-5.5593560732701053E-2</v>
      </c>
      <c r="H142" s="25"/>
      <c r="I142" s="25">
        <f t="shared" si="35"/>
        <v>-5.7268722466960353E-2</v>
      </c>
      <c r="J142">
        <v>9842.2199999999993</v>
      </c>
      <c r="K142">
        <v>9863.8700000000008</v>
      </c>
      <c r="L142" s="25">
        <f t="shared" si="39"/>
        <v>2.1997069766781507E-3</v>
      </c>
      <c r="M142">
        <f t="shared" si="40"/>
        <v>5</v>
      </c>
    </row>
    <row r="143" spans="1:13" x14ac:dyDescent="0.15">
      <c r="A143" s="1">
        <v>42604</v>
      </c>
      <c r="B143">
        <v>10.6</v>
      </c>
      <c r="C143" s="25">
        <f t="shared" si="37"/>
        <v>-9.3457943925233655E-3</v>
      </c>
      <c r="D143" s="26">
        <f t="shared" ref="D143:D158" si="41">+F142*(1+L143)</f>
        <v>11.293157198949295</v>
      </c>
      <c r="E143" s="26"/>
      <c r="F143">
        <v>11.215999999999999</v>
      </c>
      <c r="G143" s="25">
        <f t="shared" ref="G143:G154" si="42">+B143/D143-1</f>
        <v>-6.1378513265872736E-2</v>
      </c>
      <c r="H143" s="25"/>
      <c r="I143" s="25">
        <f t="shared" si="35"/>
        <v>-5.4921540656205359E-2</v>
      </c>
      <c r="J143">
        <v>9863.8700000000008</v>
      </c>
      <c r="K143">
        <v>9814.4699999999993</v>
      </c>
      <c r="L143" s="25">
        <f t="shared" ref="L143:L185" si="43">+K143/J143-1</f>
        <v>-5.0081763040268346E-3</v>
      </c>
      <c r="M143">
        <f t="shared" ref="M143:M167" si="44">WEEKDAY(A143,2)</f>
        <v>1</v>
      </c>
    </row>
    <row r="144" spans="1:13" x14ac:dyDescent="0.15">
      <c r="A144" s="1">
        <v>42605</v>
      </c>
      <c r="B144">
        <v>10.72</v>
      </c>
      <c r="C144" s="25">
        <f t="shared" si="37"/>
        <v>1.132075471698113E-2</v>
      </c>
      <c r="D144" s="26">
        <f t="shared" si="41"/>
        <v>11.250044083888382</v>
      </c>
      <c r="E144" s="26"/>
      <c r="F144">
        <v>11.260999999999999</v>
      </c>
      <c r="G144" s="25">
        <f t="shared" si="42"/>
        <v>-4.7114845056249854E-2</v>
      </c>
      <c r="H144" s="25"/>
      <c r="I144" s="25">
        <f t="shared" si="35"/>
        <v>-4.804191457241791E-2</v>
      </c>
      <c r="J144">
        <v>9814.4699999999993</v>
      </c>
      <c r="K144">
        <v>9844.26</v>
      </c>
      <c r="L144" s="25">
        <f t="shared" si="43"/>
        <v>3.035314184056892E-3</v>
      </c>
      <c r="M144">
        <f t="shared" si="44"/>
        <v>2</v>
      </c>
    </row>
    <row r="145" spans="1:13" x14ac:dyDescent="0.15">
      <c r="A145" s="1">
        <v>42606</v>
      </c>
      <c r="B145">
        <v>10.64</v>
      </c>
      <c r="C145" s="25">
        <f t="shared" si="37"/>
        <v>-7.4626865671642006E-3</v>
      </c>
      <c r="D145" s="26">
        <f t="shared" si="41"/>
        <v>11.208162550562459</v>
      </c>
      <c r="E145" s="26"/>
      <c r="F145">
        <v>11.260999999999999</v>
      </c>
      <c r="G145" s="25">
        <f t="shared" si="42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3"/>
        <v>-4.692074366178911E-3</v>
      </c>
      <c r="M145">
        <f t="shared" si="44"/>
        <v>3</v>
      </c>
    </row>
    <row r="146" spans="1:13" x14ac:dyDescent="0.15">
      <c r="A146" s="1">
        <v>42607</v>
      </c>
      <c r="B146">
        <v>10.62</v>
      </c>
      <c r="C146" s="25">
        <f t="shared" si="37"/>
        <v>-1.8796992481204811E-3</v>
      </c>
      <c r="D146" s="26">
        <f t="shared" si="41"/>
        <v>11.218889355760879</v>
      </c>
      <c r="E146" s="26"/>
      <c r="F146">
        <v>11.17</v>
      </c>
      <c r="G146" s="25">
        <f t="shared" si="42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3"/>
        <v>-3.7395119651114639E-3</v>
      </c>
      <c r="M146">
        <f t="shared" si="44"/>
        <v>4</v>
      </c>
    </row>
    <row r="147" spans="1:13" x14ac:dyDescent="0.15">
      <c r="A147" s="1">
        <v>42608</v>
      </c>
      <c r="B147">
        <v>10.58</v>
      </c>
      <c r="C147" s="25">
        <f t="shared" si="37"/>
        <v>-3.7664783427494575E-3</v>
      </c>
      <c r="D147" s="26">
        <f t="shared" si="41"/>
        <v>11.149425494010611</v>
      </c>
      <c r="E147" s="26"/>
      <c r="F147">
        <v>11.169</v>
      </c>
      <c r="G147" s="25">
        <f t="shared" si="42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3"/>
        <v>-1.8419432398736335E-3</v>
      </c>
      <c r="M147">
        <f t="shared" si="44"/>
        <v>5</v>
      </c>
    </row>
    <row r="148" spans="1:13" x14ac:dyDescent="0.15">
      <c r="A148" s="1">
        <v>42611</v>
      </c>
      <c r="B148">
        <v>10.52</v>
      </c>
      <c r="C148" s="25">
        <f t="shared" si="37"/>
        <v>-5.6710775047259521E-3</v>
      </c>
      <c r="D148" s="26">
        <f t="shared" si="41"/>
        <v>11.153249720581517</v>
      </c>
      <c r="E148" s="26"/>
      <c r="F148">
        <v>11.090999999999999</v>
      </c>
      <c r="G148" s="25">
        <f t="shared" si="42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3"/>
        <v>-1.4101781196600438E-3</v>
      </c>
      <c r="M148">
        <f t="shared" si="44"/>
        <v>1</v>
      </c>
    </row>
    <row r="149" spans="1:13" x14ac:dyDescent="0.15">
      <c r="A149" s="1">
        <v>42612</v>
      </c>
      <c r="B149">
        <v>10.56</v>
      </c>
      <c r="C149" s="25">
        <f t="shared" si="37"/>
        <v>3.8022813688214363E-3</v>
      </c>
      <c r="D149" s="26">
        <f t="shared" si="41"/>
        <v>11.138693861379219</v>
      </c>
      <c r="E149" s="26"/>
      <c r="F149">
        <v>11.145</v>
      </c>
      <c r="G149" s="25">
        <f t="shared" si="42"/>
        <v>-5.1953475746891797E-2</v>
      </c>
      <c r="H149" s="25"/>
      <c r="I149" s="25">
        <f t="shared" ref="I149:I154" si="45">+B149/F149-1</f>
        <v>-5.2489905787348468E-2</v>
      </c>
      <c r="J149">
        <v>9729.7099999999991</v>
      </c>
      <c r="K149">
        <v>9771.5499999999993</v>
      </c>
      <c r="L149" s="25">
        <f t="shared" si="43"/>
        <v>4.3002309421349416E-3</v>
      </c>
      <c r="M149">
        <f t="shared" si="44"/>
        <v>2</v>
      </c>
    </row>
    <row r="150" spans="1:13" x14ac:dyDescent="0.15">
      <c r="A150" s="1">
        <v>42613</v>
      </c>
      <c r="B150">
        <v>10.56</v>
      </c>
      <c r="C150" s="25">
        <f t="shared" si="37"/>
        <v>0</v>
      </c>
      <c r="D150" s="26">
        <f t="shared" si="41"/>
        <v>11.190097584313646</v>
      </c>
      <c r="E150" s="26"/>
      <c r="F150">
        <v>11.175000000000001</v>
      </c>
      <c r="G150" s="25">
        <f t="shared" si="42"/>
        <v>-5.6308497720066408E-2</v>
      </c>
      <c r="H150" s="25"/>
      <c r="I150" s="25">
        <f t="shared" si="45"/>
        <v>-5.5033557046979875E-2</v>
      </c>
      <c r="J150">
        <v>9771.5499999999993</v>
      </c>
      <c r="K150">
        <v>9811.09</v>
      </c>
      <c r="L150" s="25">
        <f t="shared" si="43"/>
        <v>4.0464409433509374E-3</v>
      </c>
      <c r="M150">
        <f t="shared" si="44"/>
        <v>3</v>
      </c>
    </row>
    <row r="151" spans="1:13" x14ac:dyDescent="0.15">
      <c r="A151" s="1">
        <v>42614</v>
      </c>
      <c r="B151">
        <v>10.54</v>
      </c>
      <c r="C151" s="25">
        <f t="shared" si="37"/>
        <v>-1.8939393939395588E-3</v>
      </c>
      <c r="D151" s="26">
        <f t="shared" si="41"/>
        <v>11.12549831364303</v>
      </c>
      <c r="E151" s="26"/>
      <c r="F151">
        <v>11.145</v>
      </c>
      <c r="G151" s="25">
        <f t="shared" si="42"/>
        <v>-5.2626704632640409E-2</v>
      </c>
      <c r="H151" s="25"/>
      <c r="I151" s="25">
        <f t="shared" si="45"/>
        <v>-5.4284432480933176E-2</v>
      </c>
      <c r="J151">
        <v>9811.09</v>
      </c>
      <c r="K151">
        <v>9767.6299999999992</v>
      </c>
      <c r="L151" s="25">
        <f t="shared" si="43"/>
        <v>-4.4296811057691343E-3</v>
      </c>
      <c r="M151">
        <f t="shared" si="44"/>
        <v>4</v>
      </c>
    </row>
    <row r="152" spans="1:13" x14ac:dyDescent="0.15">
      <c r="A152" s="1">
        <v>42615</v>
      </c>
      <c r="B152">
        <v>10.6</v>
      </c>
      <c r="C152" s="25">
        <f t="shared" si="37"/>
        <v>5.6925996204935103E-3</v>
      </c>
      <c r="D152" s="26">
        <f t="shared" si="41"/>
        <v>11.187160457552139</v>
      </c>
      <c r="E152" s="26"/>
      <c r="F152">
        <v>11.196</v>
      </c>
      <c r="G152" s="25">
        <f t="shared" si="42"/>
        <v>-5.2485209252162268E-2</v>
      </c>
      <c r="H152" s="25"/>
      <c r="I152" s="25">
        <f t="shared" si="45"/>
        <v>-5.3233297606287922E-2</v>
      </c>
      <c r="J152">
        <v>9767.6299999999992</v>
      </c>
      <c r="K152">
        <v>9804.58</v>
      </c>
      <c r="L152" s="25">
        <f t="shared" si="43"/>
        <v>3.7829033245526666E-3</v>
      </c>
      <c r="M152">
        <f t="shared" si="44"/>
        <v>5</v>
      </c>
    </row>
    <row r="153" spans="1:13" x14ac:dyDescent="0.15">
      <c r="A153" s="1">
        <v>42618</v>
      </c>
      <c r="B153">
        <v>10.68</v>
      </c>
      <c r="C153" s="25">
        <f t="shared" si="37"/>
        <v>7.547169811320753E-3</v>
      </c>
      <c r="D153" s="26">
        <f t="shared" si="41"/>
        <v>11.214636057842355</v>
      </c>
      <c r="E153" s="26"/>
      <c r="F153">
        <v>11.191000000000001</v>
      </c>
      <c r="G153" s="25">
        <f t="shared" si="42"/>
        <v>-4.7673063582699737E-2</v>
      </c>
      <c r="H153" s="25"/>
      <c r="I153" s="25">
        <f t="shared" si="45"/>
        <v>-4.5661692431418155E-2</v>
      </c>
      <c r="J153">
        <v>9804.58</v>
      </c>
      <c r="K153">
        <v>9820.9</v>
      </c>
      <c r="L153" s="25">
        <f t="shared" si="43"/>
        <v>1.6645282102853987E-3</v>
      </c>
      <c r="M153">
        <f t="shared" si="44"/>
        <v>1</v>
      </c>
    </row>
    <row r="154" spans="1:13" x14ac:dyDescent="0.15">
      <c r="A154" s="1">
        <v>42619</v>
      </c>
      <c r="B154">
        <v>10.72</v>
      </c>
      <c r="C154" s="25">
        <f t="shared" si="37"/>
        <v>3.7453183520599342E-3</v>
      </c>
      <c r="D154" s="26">
        <f t="shared" si="41"/>
        <v>11.207408923825719</v>
      </c>
      <c r="E154" s="26"/>
      <c r="F154">
        <v>11.241</v>
      </c>
      <c r="G154" s="25">
        <f t="shared" si="42"/>
        <v>-4.3489884873348483E-2</v>
      </c>
      <c r="H154" s="25"/>
      <c r="I154" s="25">
        <f t="shared" si="45"/>
        <v>-4.6348189662841266E-2</v>
      </c>
      <c r="J154">
        <v>9820.9</v>
      </c>
      <c r="K154">
        <v>9835.2999999999993</v>
      </c>
      <c r="L154" s="25">
        <f t="shared" si="43"/>
        <v>1.4662607296682673E-3</v>
      </c>
      <c r="M154">
        <f t="shared" si="44"/>
        <v>2</v>
      </c>
    </row>
    <row r="155" spans="1:13" x14ac:dyDescent="0.15">
      <c r="A155" s="1">
        <v>42620</v>
      </c>
      <c r="B155">
        <v>10.78</v>
      </c>
      <c r="C155" s="25">
        <f t="shared" si="37"/>
        <v>5.5970149253730117E-3</v>
      </c>
      <c r="D155" s="26">
        <f t="shared" si="41"/>
        <v>11.25334357874188</v>
      </c>
      <c r="E155" s="26"/>
      <c r="F155">
        <v>11.273999999999999</v>
      </c>
      <c r="G155" s="25">
        <f t="shared" ref="G155:G185" si="46">+B155/D155-1</f>
        <v>-4.2062483512549154E-2</v>
      </c>
      <c r="H155" s="25"/>
      <c r="I155" s="25">
        <f t="shared" ref="I155:I200" si="47">+B155/F155-1</f>
        <v>-4.3817633492992725E-2</v>
      </c>
      <c r="J155">
        <v>9835.2999999999993</v>
      </c>
      <c r="K155">
        <v>9846.1</v>
      </c>
      <c r="L155" s="25">
        <f t="shared" si="43"/>
        <v>1.0980854676523322E-3</v>
      </c>
      <c r="M155">
        <f t="shared" si="44"/>
        <v>3</v>
      </c>
    </row>
    <row r="156" spans="1:13" x14ac:dyDescent="0.15">
      <c r="A156" s="1">
        <v>42621</v>
      </c>
      <c r="B156">
        <v>10.82</v>
      </c>
      <c r="C156" s="25">
        <f t="shared" si="37"/>
        <v>3.7105751391466324E-3</v>
      </c>
      <c r="D156" s="26">
        <f t="shared" si="41"/>
        <v>11.272328268045213</v>
      </c>
      <c r="E156" s="26"/>
      <c r="F156">
        <v>11.260999999999999</v>
      </c>
      <c r="G156" s="25">
        <f t="shared" si="46"/>
        <v>-4.0127315075402126E-2</v>
      </c>
      <c r="H156" s="25"/>
      <c r="I156" s="25">
        <f t="shared" si="47"/>
        <v>-3.9161708551638252E-2</v>
      </c>
      <c r="J156">
        <v>9846.1</v>
      </c>
      <c r="K156">
        <v>9844.64</v>
      </c>
      <c r="L156" s="25">
        <f t="shared" si="43"/>
        <v>-1.4828206091765939E-4</v>
      </c>
      <c r="M156">
        <f t="shared" si="44"/>
        <v>4</v>
      </c>
    </row>
    <row r="157" spans="1:13" x14ac:dyDescent="0.15">
      <c r="A157" s="1">
        <v>42622</v>
      </c>
      <c r="B157">
        <v>10.76</v>
      </c>
      <c r="C157" s="25">
        <f t="shared" si="37"/>
        <v>-5.5452865064695711E-3</v>
      </c>
      <c r="D157" s="26">
        <f t="shared" si="41"/>
        <v>11.223366638089356</v>
      </c>
      <c r="E157" s="26"/>
      <c r="F157">
        <v>11.214</v>
      </c>
      <c r="G157" s="25">
        <f t="shared" si="46"/>
        <v>-4.1285886225689516E-2</v>
      </c>
      <c r="H157" s="25"/>
      <c r="I157" s="25">
        <f t="shared" si="47"/>
        <v>-4.0485107900838257E-2</v>
      </c>
      <c r="J157">
        <v>9844.64</v>
      </c>
      <c r="K157">
        <v>9811.74</v>
      </c>
      <c r="L157" s="25">
        <f t="shared" si="43"/>
        <v>-3.3419200702107243E-3</v>
      </c>
      <c r="M157">
        <f t="shared" si="44"/>
        <v>5</v>
      </c>
    </row>
    <row r="158" spans="1:13" x14ac:dyDescent="0.15">
      <c r="A158" s="1">
        <v>42625</v>
      </c>
      <c r="B158">
        <v>10.44</v>
      </c>
      <c r="C158" s="25">
        <f t="shared" si="37"/>
        <v>-2.9739776951672847E-2</v>
      </c>
      <c r="D158" s="26">
        <f t="shared" si="41"/>
        <v>11.051557271187376</v>
      </c>
      <c r="E158" s="26"/>
      <c r="F158">
        <v>11.012</v>
      </c>
      <c r="G158" s="25">
        <f t="shared" si="46"/>
        <v>-5.5336750847029825E-2</v>
      </c>
      <c r="H158" s="25"/>
      <c r="I158" s="25">
        <f t="shared" si="47"/>
        <v>-5.1943334544133801E-2</v>
      </c>
      <c r="J158">
        <v>9811.74</v>
      </c>
      <c r="K158">
        <v>9669.61</v>
      </c>
      <c r="L158" s="25">
        <f t="shared" si="43"/>
        <v>-1.4485707937633818E-2</v>
      </c>
      <c r="M158">
        <f t="shared" si="44"/>
        <v>1</v>
      </c>
    </row>
    <row r="159" spans="1:13" x14ac:dyDescent="0.15">
      <c r="A159" s="1">
        <v>42626</v>
      </c>
      <c r="B159">
        <v>10.46</v>
      </c>
      <c r="C159" s="25">
        <f t="shared" ref="C159:C177" si="48">B159/B158-1</f>
        <v>1.9157088122607746E-3</v>
      </c>
      <c r="D159" s="26">
        <f t="shared" ref="D159:D177" si="49">+F158*(1+L159)</f>
        <v>10.982937169130917</v>
      </c>
      <c r="E159" s="26"/>
      <c r="F159">
        <v>11.013</v>
      </c>
      <c r="G159" s="25">
        <f t="shared" si="46"/>
        <v>-4.7613599265659445E-2</v>
      </c>
      <c r="H159" s="25"/>
      <c r="I159" s="25">
        <f t="shared" si="47"/>
        <v>-5.0213384182329901E-2</v>
      </c>
      <c r="J159">
        <f>K159+25.52</f>
        <v>9669.61</v>
      </c>
      <c r="K159">
        <v>9644.09</v>
      </c>
      <c r="L159" s="25">
        <f t="shared" si="43"/>
        <v>-2.6391964101964982E-3</v>
      </c>
      <c r="M159">
        <f t="shared" si="44"/>
        <v>2</v>
      </c>
    </row>
    <row r="160" spans="1:13" x14ac:dyDescent="0.15">
      <c r="A160" s="1">
        <v>42627</v>
      </c>
      <c r="B160">
        <v>10.38</v>
      </c>
      <c r="C160" s="25">
        <f t="shared" si="48"/>
        <v>-7.6481835564053968E-3</v>
      </c>
      <c r="D160" s="26">
        <f t="shared" si="49"/>
        <v>10.914062068064483</v>
      </c>
      <c r="E160" s="26"/>
      <c r="F160">
        <v>10.888999999999999</v>
      </c>
      <c r="G160" s="25">
        <f t="shared" si="46"/>
        <v>-4.893339113648576E-2</v>
      </c>
      <c r="H160" s="25"/>
      <c r="I160" s="25">
        <f t="shared" si="47"/>
        <v>-4.6744420975296075E-2</v>
      </c>
      <c r="J160">
        <v>9644.09</v>
      </c>
      <c r="K160">
        <v>9557.4500000000007</v>
      </c>
      <c r="L160" s="25">
        <f t="shared" si="43"/>
        <v>-8.9837403010547545E-3</v>
      </c>
      <c r="M160">
        <f t="shared" si="44"/>
        <v>3</v>
      </c>
    </row>
    <row r="161" spans="1:13" x14ac:dyDescent="0.15">
      <c r="A161" s="1">
        <v>42628</v>
      </c>
      <c r="B161">
        <v>10.4</v>
      </c>
      <c r="C161" s="25">
        <f t="shared" si="48"/>
        <v>1.9267822736031004E-3</v>
      </c>
      <c r="D161" s="26">
        <f t="shared" si="49"/>
        <v>10.888999999999999</v>
      </c>
      <c r="E161" s="26"/>
      <c r="F161">
        <v>10.887</v>
      </c>
      <c r="G161" s="25">
        <f t="shared" si="46"/>
        <v>-4.490770502341801E-2</v>
      </c>
      <c r="H161" s="25"/>
      <c r="I161" s="25">
        <f t="shared" si="47"/>
        <v>-4.4732249471847174E-2</v>
      </c>
      <c r="J161">
        <v>9557.4500000000007</v>
      </c>
      <c r="K161">
        <v>9557.4500000000007</v>
      </c>
      <c r="L161" s="25">
        <f t="shared" si="43"/>
        <v>0</v>
      </c>
      <c r="M161">
        <f t="shared" si="44"/>
        <v>4</v>
      </c>
    </row>
    <row r="162" spans="1:13" x14ac:dyDescent="0.15">
      <c r="A162" s="1">
        <v>42632</v>
      </c>
      <c r="B162">
        <v>10.44</v>
      </c>
      <c r="C162" s="25">
        <f t="shared" si="48"/>
        <v>3.8461538461538325E-3</v>
      </c>
      <c r="D162" s="26">
        <f t="shared" si="49"/>
        <v>10.960222079111059</v>
      </c>
      <c r="E162" s="26"/>
      <c r="F162">
        <v>10.975</v>
      </c>
      <c r="G162" s="25">
        <f t="shared" si="46"/>
        <v>-4.7464556407350922E-2</v>
      </c>
      <c r="H162" s="25"/>
      <c r="I162" s="25">
        <f t="shared" si="47"/>
        <v>-4.8747152619589951E-2</v>
      </c>
      <c r="J162">
        <v>9557.4500000000007</v>
      </c>
      <c r="K162">
        <v>9621.73</v>
      </c>
      <c r="L162" s="25">
        <f t="shared" si="43"/>
        <v>6.725643346289889E-3</v>
      </c>
      <c r="M162">
        <f t="shared" si="44"/>
        <v>1</v>
      </c>
    </row>
    <row r="163" spans="1:13" x14ac:dyDescent="0.15">
      <c r="A163" s="1">
        <v>42633</v>
      </c>
      <c r="B163">
        <v>10.48</v>
      </c>
      <c r="C163" s="25">
        <f t="shared" si="48"/>
        <v>3.8314176245211051E-3</v>
      </c>
      <c r="D163" s="26">
        <f t="shared" si="49"/>
        <v>10.945457235860911</v>
      </c>
      <c r="E163" s="26"/>
      <c r="F163">
        <v>10.975</v>
      </c>
      <c r="G163" s="25">
        <f t="shared" si="46"/>
        <v>-4.2525152292032131E-2</v>
      </c>
      <c r="H163" s="25"/>
      <c r="I163" s="25">
        <f t="shared" si="47"/>
        <v>-4.5102505694760708E-2</v>
      </c>
      <c r="J163">
        <v>9621.73</v>
      </c>
      <c r="K163">
        <v>9595.83</v>
      </c>
      <c r="L163" s="25">
        <f t="shared" si="43"/>
        <v>-2.691823611762123E-3</v>
      </c>
      <c r="M163">
        <f t="shared" si="44"/>
        <v>2</v>
      </c>
    </row>
    <row r="164" spans="1:13" x14ac:dyDescent="0.15">
      <c r="A164" s="1">
        <v>42634</v>
      </c>
      <c r="B164">
        <v>10.5</v>
      </c>
      <c r="C164" s="25">
        <f t="shared" si="48"/>
        <v>1.9083969465647499E-3</v>
      </c>
      <c r="D164" s="26">
        <f t="shared" si="49"/>
        <v>10.991549714824043</v>
      </c>
      <c r="E164" s="26"/>
      <c r="F164">
        <v>10.968</v>
      </c>
      <c r="G164" s="25">
        <f t="shared" si="46"/>
        <v>-4.4720692493534497E-2</v>
      </c>
      <c r="H164" s="25"/>
      <c r="I164" s="25">
        <f t="shared" si="47"/>
        <v>-4.2669584245076608E-2</v>
      </c>
      <c r="J164">
        <v>9595.83</v>
      </c>
      <c r="K164">
        <v>9610.2999999999993</v>
      </c>
      <c r="L164" s="25">
        <f t="shared" si="43"/>
        <v>1.5079466810061781E-3</v>
      </c>
      <c r="M164">
        <f t="shared" si="44"/>
        <v>3</v>
      </c>
    </row>
    <row r="165" spans="1:13" x14ac:dyDescent="0.15">
      <c r="A165" s="1">
        <v>42635</v>
      </c>
      <c r="B165">
        <v>10.58</v>
      </c>
      <c r="C165" s="25">
        <f t="shared" si="48"/>
        <v>7.6190476190476364E-3</v>
      </c>
      <c r="D165" s="26">
        <f t="shared" si="49"/>
        <v>11.04597194260325</v>
      </c>
      <c r="E165" s="26"/>
      <c r="F165">
        <v>11.083</v>
      </c>
      <c r="G165" s="25">
        <f t="shared" si="46"/>
        <v>-4.2184784193235347E-2</v>
      </c>
      <c r="H165" s="25"/>
      <c r="I165" s="25">
        <f t="shared" si="47"/>
        <v>-4.5384823603717428E-2</v>
      </c>
      <c r="J165">
        <v>9610.2999999999993</v>
      </c>
      <c r="K165">
        <v>9678.6200000000008</v>
      </c>
      <c r="L165" s="25">
        <f t="shared" si="43"/>
        <v>7.1090392599608698E-3</v>
      </c>
      <c r="M165">
        <f t="shared" si="44"/>
        <v>4</v>
      </c>
    </row>
    <row r="166" spans="1:13" x14ac:dyDescent="0.15">
      <c r="A166" s="1">
        <v>42636</v>
      </c>
      <c r="B166">
        <v>10.48</v>
      </c>
      <c r="C166" s="25">
        <f t="shared" si="48"/>
        <v>-9.4517958412098091E-3</v>
      </c>
      <c r="D166" s="26">
        <f t="shared" si="49"/>
        <v>11.060888094583731</v>
      </c>
      <c r="E166" s="26"/>
      <c r="F166">
        <v>11.034000000000001</v>
      </c>
      <c r="G166" s="25">
        <f t="shared" si="46"/>
        <v>-5.2517310510372006E-2</v>
      </c>
      <c r="H166" s="25"/>
      <c r="I166" s="25">
        <f t="shared" si="47"/>
        <v>-5.0208446619539604E-2</v>
      </c>
      <c r="J166">
        <v>9678.6200000000008</v>
      </c>
      <c r="K166">
        <v>9659.31</v>
      </c>
      <c r="L166" s="25">
        <f t="shared" si="43"/>
        <v>-1.9951191388856149E-3</v>
      </c>
      <c r="M166">
        <f t="shared" si="44"/>
        <v>5</v>
      </c>
    </row>
    <row r="167" spans="1:13" x14ac:dyDescent="0.15">
      <c r="A167" s="1">
        <v>42639</v>
      </c>
      <c r="B167">
        <v>10.34</v>
      </c>
      <c r="C167" s="25">
        <f t="shared" si="48"/>
        <v>-1.3358778625954248E-2</v>
      </c>
      <c r="D167" s="26">
        <f t="shared" si="49"/>
        <v>10.892466847010812</v>
      </c>
      <c r="E167" s="26"/>
      <c r="F167">
        <v>10.888</v>
      </c>
      <c r="G167" s="25">
        <f t="shared" si="46"/>
        <v>-5.0720085245191671E-2</v>
      </c>
      <c r="H167" s="25"/>
      <c r="I167" s="25">
        <f t="shared" si="47"/>
        <v>-5.0330639235856012E-2</v>
      </c>
      <c r="J167">
        <v>9659.31</v>
      </c>
      <c r="K167">
        <v>9535.41</v>
      </c>
      <c r="L167" s="25">
        <f t="shared" si="43"/>
        <v>-1.2827003171033913E-2</v>
      </c>
      <c r="M167">
        <f t="shared" si="44"/>
        <v>1</v>
      </c>
    </row>
    <row r="168" spans="1:13" x14ac:dyDescent="0.15">
      <c r="A168" s="1">
        <v>42640</v>
      </c>
      <c r="B168">
        <v>10.4</v>
      </c>
      <c r="C168" s="25">
        <f t="shared" si="48"/>
        <v>5.8027079303675233E-3</v>
      </c>
      <c r="D168" s="26">
        <f t="shared" si="49"/>
        <v>10.94021676257235</v>
      </c>
      <c r="E168" s="26"/>
      <c r="F168">
        <v>11.067</v>
      </c>
      <c r="G168" s="25">
        <f t="shared" si="46"/>
        <v>-4.9378981632291707E-2</v>
      </c>
      <c r="H168" s="25"/>
      <c r="I168" s="25">
        <f t="shared" si="47"/>
        <v>-6.0269268997921732E-2</v>
      </c>
      <c r="J168">
        <v>9535.41</v>
      </c>
      <c r="K168">
        <v>9581.14</v>
      </c>
      <c r="L168" s="25">
        <f t="shared" si="43"/>
        <v>4.7958084654986521E-3</v>
      </c>
      <c r="M168">
        <f t="shared" ref="M168:M178" si="50">WEEKDAY(A168,2)</f>
        <v>2</v>
      </c>
    </row>
    <row r="169" spans="1:13" x14ac:dyDescent="0.15">
      <c r="A169" s="1">
        <v>42641</v>
      </c>
      <c r="B169">
        <v>10.42</v>
      </c>
      <c r="C169" s="25">
        <f t="shared" si="48"/>
        <v>1.9230769230769162E-3</v>
      </c>
      <c r="D169" s="26">
        <f t="shared" si="49"/>
        <v>11.012653403457209</v>
      </c>
      <c r="E169" s="26"/>
      <c r="F169">
        <v>11.006</v>
      </c>
      <c r="G169" s="25">
        <f t="shared" si="46"/>
        <v>-5.3815677452552668E-2</v>
      </c>
      <c r="H169" s="25"/>
      <c r="I169" s="25">
        <f t="shared" si="47"/>
        <v>-5.3243685262584051E-2</v>
      </c>
      <c r="J169">
        <v>9581.14</v>
      </c>
      <c r="K169">
        <v>9534.09</v>
      </c>
      <c r="L169" s="25">
        <f t="shared" si="43"/>
        <v>-4.9106891246760709E-3</v>
      </c>
      <c r="M169">
        <f t="shared" si="50"/>
        <v>3</v>
      </c>
    </row>
    <row r="170" spans="1:13" x14ac:dyDescent="0.15">
      <c r="A170" s="1">
        <v>42642</v>
      </c>
      <c r="B170">
        <v>10.5</v>
      </c>
      <c r="C170" s="25">
        <f t="shared" si="48"/>
        <v>7.6775431861804133E-3</v>
      </c>
      <c r="D170" s="26">
        <f t="shared" si="49"/>
        <v>11.058443660590576</v>
      </c>
      <c r="E170" s="26"/>
      <c r="F170">
        <v>11.054</v>
      </c>
      <c r="G170" s="25">
        <f t="shared" si="46"/>
        <v>-5.0499299696278643E-2</v>
      </c>
      <c r="H170" s="25"/>
      <c r="I170" s="25">
        <f t="shared" si="47"/>
        <v>-5.0117604487063483E-2</v>
      </c>
      <c r="J170">
        <v>9534.09</v>
      </c>
      <c r="K170">
        <v>9579.52</v>
      </c>
      <c r="L170" s="25">
        <f t="shared" si="43"/>
        <v>4.7650064138267112E-3</v>
      </c>
      <c r="M170">
        <f t="shared" si="50"/>
        <v>4</v>
      </c>
    </row>
    <row r="171" spans="1:13" x14ac:dyDescent="0.15">
      <c r="A171" s="1">
        <v>42643</v>
      </c>
      <c r="B171">
        <v>10.42</v>
      </c>
      <c r="C171" s="25">
        <f t="shared" si="48"/>
        <v>-7.6190476190476364E-3</v>
      </c>
      <c r="D171" s="26">
        <f t="shared" si="49"/>
        <v>11.076166803764698</v>
      </c>
      <c r="E171" s="26"/>
      <c r="F171">
        <v>11.063000000000001</v>
      </c>
      <c r="G171" s="25">
        <f t="shared" si="46"/>
        <v>-5.9241325576793624E-2</v>
      </c>
      <c r="H171" s="25"/>
      <c r="I171" s="25">
        <f t="shared" si="47"/>
        <v>-5.8121666817319007E-2</v>
      </c>
      <c r="J171">
        <v>9579.52</v>
      </c>
      <c r="K171">
        <v>9598.73</v>
      </c>
      <c r="L171" s="25">
        <f t="shared" si="43"/>
        <v>2.0053196819882491E-3</v>
      </c>
      <c r="M171">
        <f t="shared" si="50"/>
        <v>5</v>
      </c>
    </row>
    <row r="172" spans="1:13" x14ac:dyDescent="0.15">
      <c r="A172" s="1">
        <v>42646</v>
      </c>
      <c r="B172">
        <v>10.44</v>
      </c>
      <c r="C172" s="25">
        <f t="shared" si="48"/>
        <v>1.9193857965451588E-3</v>
      </c>
      <c r="D172" s="26">
        <f t="shared" si="49"/>
        <v>11.063000000000001</v>
      </c>
      <c r="E172" s="26"/>
      <c r="F172">
        <v>11.061999999999999</v>
      </c>
      <c r="G172" s="25">
        <f t="shared" si="46"/>
        <v>-5.631383892253472E-2</v>
      </c>
      <c r="H172" s="25"/>
      <c r="I172" s="25">
        <f t="shared" si="47"/>
        <v>-5.6228530103055507E-2</v>
      </c>
      <c r="J172">
        <v>9598.73</v>
      </c>
      <c r="K172">
        <v>9598.73</v>
      </c>
      <c r="L172" s="25">
        <f t="shared" si="43"/>
        <v>0</v>
      </c>
      <c r="M172">
        <f t="shared" si="50"/>
        <v>1</v>
      </c>
    </row>
    <row r="173" spans="1:13" x14ac:dyDescent="0.15">
      <c r="A173" s="1">
        <v>42647</v>
      </c>
      <c r="B173">
        <v>10.48</v>
      </c>
      <c r="C173" s="25">
        <f t="shared" si="48"/>
        <v>3.8314176245211051E-3</v>
      </c>
      <c r="D173" s="26">
        <f t="shared" si="49"/>
        <v>11.061999999999999</v>
      </c>
      <c r="E173" s="26"/>
      <c r="F173">
        <v>11.061999999999999</v>
      </c>
      <c r="G173" s="25">
        <f t="shared" si="46"/>
        <v>-5.2612547459772063E-2</v>
      </c>
      <c r="H173" s="25"/>
      <c r="I173" s="25">
        <f t="shared" si="47"/>
        <v>-5.2612547459772063E-2</v>
      </c>
      <c r="J173">
        <v>9598.73</v>
      </c>
      <c r="K173">
        <v>9598.73</v>
      </c>
      <c r="L173" s="25">
        <f t="shared" si="43"/>
        <v>0</v>
      </c>
      <c r="M173">
        <f t="shared" si="50"/>
        <v>2</v>
      </c>
    </row>
    <row r="174" spans="1:13" x14ac:dyDescent="0.15">
      <c r="A174" s="1">
        <v>42648</v>
      </c>
      <c r="B174">
        <v>10.5</v>
      </c>
      <c r="C174" s="25">
        <f t="shared" si="48"/>
        <v>1.9083969465647499E-3</v>
      </c>
      <c r="D174" s="26">
        <f t="shared" si="49"/>
        <v>11.061999999999999</v>
      </c>
      <c r="E174" s="26"/>
      <c r="F174">
        <v>11.063000000000001</v>
      </c>
      <c r="G174" s="25">
        <f t="shared" si="46"/>
        <v>-5.0804556138130508E-2</v>
      </c>
      <c r="H174" s="25"/>
      <c r="I174" s="25">
        <f t="shared" si="47"/>
        <v>-5.0890355238181417E-2</v>
      </c>
      <c r="J174">
        <v>9598.73</v>
      </c>
      <c r="K174">
        <v>9598.73</v>
      </c>
      <c r="L174" s="25">
        <f t="shared" si="43"/>
        <v>0</v>
      </c>
      <c r="M174">
        <f t="shared" si="50"/>
        <v>3</v>
      </c>
    </row>
    <row r="175" spans="1:13" x14ac:dyDescent="0.15">
      <c r="A175" s="1">
        <v>42649</v>
      </c>
      <c r="B175">
        <v>10.58</v>
      </c>
      <c r="C175" s="25">
        <f t="shared" si="48"/>
        <v>7.6190476190476364E-3</v>
      </c>
      <c r="D175" s="26">
        <f t="shared" si="49"/>
        <v>11.063000000000001</v>
      </c>
      <c r="E175" s="26"/>
      <c r="F175">
        <v>11.061999999999999</v>
      </c>
      <c r="G175" s="25">
        <f t="shared" si="46"/>
        <v>-4.3659043659043717E-2</v>
      </c>
      <c r="H175" s="25"/>
      <c r="I175" s="25">
        <f t="shared" si="47"/>
        <v>-4.3572590851563842E-2</v>
      </c>
      <c r="J175">
        <v>9598.73</v>
      </c>
      <c r="K175">
        <v>9598.73</v>
      </c>
      <c r="L175" s="25">
        <f t="shared" si="43"/>
        <v>0</v>
      </c>
      <c r="M175">
        <f t="shared" si="50"/>
        <v>4</v>
      </c>
    </row>
    <row r="176" spans="1:13" x14ac:dyDescent="0.15">
      <c r="A176" s="1">
        <v>42650</v>
      </c>
      <c r="B176">
        <v>10.58</v>
      </c>
      <c r="C176" s="25">
        <f t="shared" si="48"/>
        <v>0</v>
      </c>
      <c r="D176" s="26">
        <f t="shared" si="49"/>
        <v>11.061999999999999</v>
      </c>
      <c r="E176" s="26"/>
      <c r="F176">
        <v>11.063000000000001</v>
      </c>
      <c r="G176" s="25">
        <f t="shared" si="46"/>
        <v>-4.3572590851563842E-2</v>
      </c>
      <c r="H176" s="25"/>
      <c r="I176" s="25">
        <f t="shared" si="47"/>
        <v>-4.3659043659043717E-2</v>
      </c>
      <c r="J176">
        <v>9598.73</v>
      </c>
      <c r="K176">
        <v>9598.73</v>
      </c>
      <c r="L176" s="25">
        <f t="shared" si="43"/>
        <v>0</v>
      </c>
      <c r="M176">
        <f t="shared" si="50"/>
        <v>5</v>
      </c>
    </row>
    <row r="177" spans="1:13" x14ac:dyDescent="0.15">
      <c r="A177" s="1">
        <v>42653</v>
      </c>
      <c r="B177">
        <v>10.58</v>
      </c>
      <c r="C177" s="25">
        <f t="shared" si="48"/>
        <v>0</v>
      </c>
      <c r="D177" s="26">
        <f t="shared" si="49"/>
        <v>11.170648011768224</v>
      </c>
      <c r="E177" s="26"/>
      <c r="F177">
        <v>11.17</v>
      </c>
      <c r="G177" s="25">
        <f t="shared" si="46"/>
        <v>-5.2874999834027436E-2</v>
      </c>
      <c r="H177" s="25"/>
      <c r="I177" s="25">
        <f t="shared" si="47"/>
        <v>-5.2820053715308846E-2</v>
      </c>
      <c r="J177">
        <v>9598.73</v>
      </c>
      <c r="K177">
        <v>9692.1299999999992</v>
      </c>
      <c r="L177" s="25">
        <f t="shared" si="43"/>
        <v>9.7304539246336752E-3</v>
      </c>
      <c r="M177">
        <f t="shared" si="50"/>
        <v>1</v>
      </c>
    </row>
    <row r="178" spans="1:13" x14ac:dyDescent="0.15">
      <c r="A178" s="1">
        <v>42654</v>
      </c>
      <c r="B178">
        <v>10.56</v>
      </c>
      <c r="C178" s="25">
        <f t="shared" ref="C178:C215" si="51">B178/B177-1</f>
        <v>-1.890359168241873E-3</v>
      </c>
      <c r="D178" s="26">
        <f t="shared" ref="D178:D208" si="52">+F177*(1+L178)</f>
        <v>11.188324454995962</v>
      </c>
      <c r="E178" s="26"/>
      <c r="F178">
        <v>11.135</v>
      </c>
      <c r="G178" s="25">
        <f t="shared" si="46"/>
        <v>-5.6158941182242295E-2</v>
      </c>
      <c r="H178" s="25"/>
      <c r="I178" s="25">
        <f t="shared" si="47"/>
        <v>-5.1638976201167419E-2</v>
      </c>
      <c r="J178">
        <v>9692.1299999999992</v>
      </c>
      <c r="K178">
        <v>9708.0300000000007</v>
      </c>
      <c r="L178" s="25">
        <f t="shared" si="43"/>
        <v>1.6405062664246461E-3</v>
      </c>
      <c r="M178">
        <f t="shared" si="50"/>
        <v>2</v>
      </c>
    </row>
    <row r="179" spans="1:13" x14ac:dyDescent="0.15">
      <c r="A179" s="1">
        <v>42655</v>
      </c>
      <c r="B179">
        <v>10.48</v>
      </c>
      <c r="C179" s="25">
        <f t="shared" si="51"/>
        <v>-7.575757575757569E-3</v>
      </c>
      <c r="D179" s="26">
        <f t="shared" si="52"/>
        <v>11.103308704237625</v>
      </c>
      <c r="E179" s="26"/>
      <c r="F179">
        <v>11.18</v>
      </c>
      <c r="G179" s="25">
        <f t="shared" si="46"/>
        <v>-5.6137203858858342E-2</v>
      </c>
      <c r="H179" s="25"/>
      <c r="I179" s="25">
        <f t="shared" si="47"/>
        <v>-6.2611806797853276E-2</v>
      </c>
      <c r="J179">
        <v>9708.0300000000007</v>
      </c>
      <c r="K179">
        <v>9680.4</v>
      </c>
      <c r="L179" s="25">
        <f t="shared" si="43"/>
        <v>-2.8460975089694696E-3</v>
      </c>
      <c r="M179">
        <f t="shared" ref="M179:M211" si="53">WEEKDAY(A179,2)</f>
        <v>3</v>
      </c>
    </row>
    <row r="180" spans="1:13" x14ac:dyDescent="0.15">
      <c r="A180" s="1">
        <v>42656</v>
      </c>
      <c r="B180">
        <v>10.46</v>
      </c>
      <c r="C180" s="25">
        <f t="shared" si="51"/>
        <v>-1.9083969465648609E-3</v>
      </c>
      <c r="D180" s="26">
        <f t="shared" si="52"/>
        <v>11.176073302756084</v>
      </c>
      <c r="E180" s="26"/>
      <c r="F180">
        <v>11.167</v>
      </c>
      <c r="G180" s="25">
        <f t="shared" si="46"/>
        <v>-6.407199410364417E-2</v>
      </c>
      <c r="H180" s="25"/>
      <c r="I180" s="25">
        <f t="shared" si="47"/>
        <v>-6.3311542939016641E-2</v>
      </c>
      <c r="J180">
        <v>9680.4</v>
      </c>
      <c r="K180">
        <v>9677</v>
      </c>
      <c r="L180" s="25">
        <f t="shared" si="43"/>
        <v>-3.512251559852908E-4</v>
      </c>
      <c r="M180">
        <f t="shared" si="53"/>
        <v>4</v>
      </c>
    </row>
    <row r="181" spans="1:13" x14ac:dyDescent="0.15">
      <c r="A181" s="1">
        <v>42657</v>
      </c>
      <c r="B181">
        <v>10.54</v>
      </c>
      <c r="C181" s="25">
        <f t="shared" si="51"/>
        <v>7.6481835564052858E-3</v>
      </c>
      <c r="D181" s="26">
        <f t="shared" si="52"/>
        <v>11.197107164410458</v>
      </c>
      <c r="E181" s="26"/>
      <c r="F181">
        <v>11.22</v>
      </c>
      <c r="G181" s="25">
        <f t="shared" si="46"/>
        <v>-5.8685440334004024E-2</v>
      </c>
      <c r="H181" s="25"/>
      <c r="I181" s="25">
        <f t="shared" si="47"/>
        <v>-6.0606060606060774E-2</v>
      </c>
      <c r="J181">
        <v>9677</v>
      </c>
      <c r="K181">
        <v>9703.09</v>
      </c>
      <c r="L181" s="25">
        <f t="shared" si="43"/>
        <v>2.6960834969516068E-3</v>
      </c>
      <c r="M181">
        <f t="shared" si="53"/>
        <v>5</v>
      </c>
    </row>
    <row r="182" spans="1:13" x14ac:dyDescent="0.15">
      <c r="A182" s="1">
        <v>42660</v>
      </c>
      <c r="B182">
        <v>10.46</v>
      </c>
      <c r="C182" s="25">
        <f t="shared" si="51"/>
        <v>-7.5901328273243474E-3</v>
      </c>
      <c r="D182" s="26">
        <f t="shared" si="52"/>
        <v>11.137692240306954</v>
      </c>
      <c r="E182" s="26"/>
      <c r="F182">
        <v>11.101000000000001</v>
      </c>
      <c r="G182" s="25">
        <f t="shared" si="46"/>
        <v>-6.084673787756556E-2</v>
      </c>
      <c r="H182" s="25"/>
      <c r="I182" s="25">
        <f t="shared" si="47"/>
        <v>-5.7742545716602089E-2</v>
      </c>
      <c r="J182">
        <v>9703.09</v>
      </c>
      <c r="K182">
        <v>9631.91</v>
      </c>
      <c r="L182" s="25">
        <f t="shared" si="43"/>
        <v>-7.3358074592733136E-3</v>
      </c>
      <c r="M182">
        <f t="shared" si="53"/>
        <v>1</v>
      </c>
    </row>
    <row r="183" spans="1:13" x14ac:dyDescent="0.15">
      <c r="A183" s="1">
        <v>42661</v>
      </c>
      <c r="B183">
        <v>10.62</v>
      </c>
      <c r="C183" s="25">
        <f t="shared" si="51"/>
        <v>1.5296367112810572E-2</v>
      </c>
      <c r="D183" s="26">
        <f t="shared" si="52"/>
        <v>11.246782663043987</v>
      </c>
      <c r="E183" s="26"/>
      <c r="F183">
        <v>11.257999999999999</v>
      </c>
      <c r="G183" s="25">
        <f t="shared" si="46"/>
        <v>-5.5729952451517129E-2</v>
      </c>
      <c r="H183" s="25"/>
      <c r="I183" s="25">
        <f t="shared" si="47"/>
        <v>-5.6670811867116755E-2</v>
      </c>
      <c r="J183">
        <v>9631.91</v>
      </c>
      <c r="K183">
        <v>9758.4</v>
      </c>
      <c r="L183" s="25">
        <f t="shared" si="43"/>
        <v>1.3132390148994366E-2</v>
      </c>
      <c r="M183">
        <f t="shared" si="53"/>
        <v>2</v>
      </c>
    </row>
    <row r="184" spans="1:13" x14ac:dyDescent="0.15">
      <c r="A184" s="1">
        <v>42662</v>
      </c>
      <c r="B184">
        <v>10.56</v>
      </c>
      <c r="C184" s="25">
        <f t="shared" si="51"/>
        <v>-5.6497175141241307E-3</v>
      </c>
      <c r="D184" s="26">
        <f t="shared" si="52"/>
        <v>11.246036413756354</v>
      </c>
      <c r="E184" s="26"/>
      <c r="F184">
        <v>11.241</v>
      </c>
      <c r="G184" s="25">
        <f t="shared" si="46"/>
        <v>-6.1002506884752838E-2</v>
      </c>
      <c r="H184" s="25"/>
      <c r="I184" s="25">
        <f t="shared" si="47"/>
        <v>-6.0581798772351148E-2</v>
      </c>
      <c r="J184">
        <v>9758.4</v>
      </c>
      <c r="K184">
        <v>9748.0300000000007</v>
      </c>
      <c r="L184" s="25">
        <f t="shared" si="43"/>
        <v>-1.0626742088866159E-3</v>
      </c>
      <c r="M184">
        <f t="shared" si="53"/>
        <v>3</v>
      </c>
    </row>
    <row r="185" spans="1:13" x14ac:dyDescent="0.15">
      <c r="A185" s="1">
        <v>42663</v>
      </c>
      <c r="B185">
        <v>10.58</v>
      </c>
      <c r="C185" s="25">
        <f t="shared" si="51"/>
        <v>1.8939393939394478E-3</v>
      </c>
      <c r="D185" s="26">
        <f t="shared" si="52"/>
        <v>11.254745620397147</v>
      </c>
      <c r="E185" s="26"/>
      <c r="F185">
        <v>11.256</v>
      </c>
      <c r="G185" s="25">
        <f t="shared" si="46"/>
        <v>-5.9952098710635893E-2</v>
      </c>
      <c r="H185" s="25"/>
      <c r="I185" s="25">
        <f t="shared" si="47"/>
        <v>-6.0056858564321303E-2</v>
      </c>
      <c r="J185">
        <v>9748.0300000000007</v>
      </c>
      <c r="K185">
        <v>9759.9500000000007</v>
      </c>
      <c r="L185" s="25">
        <f t="shared" si="43"/>
        <v>1.22281117312939E-3</v>
      </c>
      <c r="M185">
        <f t="shared" si="53"/>
        <v>4</v>
      </c>
    </row>
    <row r="186" spans="1:13" x14ac:dyDescent="0.15">
      <c r="A186" s="1">
        <v>42664</v>
      </c>
      <c r="B186">
        <v>10.58</v>
      </c>
      <c r="C186" s="25">
        <f t="shared" si="51"/>
        <v>0</v>
      </c>
      <c r="D186" s="26">
        <f t="shared" si="52"/>
        <v>11.337675615141471</v>
      </c>
      <c r="E186" s="26"/>
      <c r="F186" s="92">
        <v>11.256</v>
      </c>
      <c r="G186" s="25">
        <f>+B186/D186-1</f>
        <v>-6.6828126051656889E-2</v>
      </c>
      <c r="H186" s="25"/>
      <c r="I186" s="93">
        <f t="shared" si="47"/>
        <v>-6.0056858564321303E-2</v>
      </c>
      <c r="J186">
        <v>9759.9500000000007</v>
      </c>
      <c r="K186">
        <v>9830.77</v>
      </c>
      <c r="L186" s="25">
        <f t="shared" ref="L186:L272" si="54">+K186/J186-1</f>
        <v>7.2561847140610869E-3</v>
      </c>
      <c r="M186">
        <f t="shared" si="53"/>
        <v>5</v>
      </c>
    </row>
    <row r="187" spans="1:13" x14ac:dyDescent="0.15">
      <c r="A187" s="1">
        <v>42667</v>
      </c>
      <c r="B187">
        <v>10.76</v>
      </c>
      <c r="C187" s="25">
        <f t="shared" si="51"/>
        <v>1.7013232514177634E-2</v>
      </c>
      <c r="D187" s="26">
        <f t="shared" si="52"/>
        <v>11.381718412698088</v>
      </c>
      <c r="E187" s="26"/>
      <c r="F187">
        <v>11.396000000000001</v>
      </c>
      <c r="G187" s="93">
        <f>+B187/D187-1</f>
        <v>-5.4624301019823518E-2</v>
      </c>
      <c r="H187" s="25"/>
      <c r="I187" s="25">
        <f t="shared" si="47"/>
        <v>-5.580905580905593E-2</v>
      </c>
      <c r="J187">
        <v>9830.77</v>
      </c>
      <c r="K187">
        <v>9940.57</v>
      </c>
      <c r="L187" s="25">
        <f t="shared" si="54"/>
        <v>1.1169013210562184E-2</v>
      </c>
      <c r="M187">
        <f t="shared" si="53"/>
        <v>1</v>
      </c>
    </row>
    <row r="188" spans="1:13" x14ac:dyDescent="0.15">
      <c r="A188" s="1">
        <v>42668</v>
      </c>
      <c r="B188">
        <v>10.72</v>
      </c>
      <c r="C188" s="25">
        <f t="shared" si="51"/>
        <v>-3.7174721189590088E-3</v>
      </c>
      <c r="D188" s="26">
        <f t="shared" si="52"/>
        <v>11.373576159113613</v>
      </c>
      <c r="E188" s="26"/>
      <c r="F188">
        <v>11.371</v>
      </c>
      <c r="G188" s="25">
        <f t="shared" ref="G188:G231" si="55">+B188/D188-1</f>
        <v>-5.7464437743260155E-2</v>
      </c>
      <c r="H188" s="25"/>
      <c r="I188" s="25">
        <f t="shared" si="47"/>
        <v>-5.7250901415882516E-2</v>
      </c>
      <c r="J188">
        <v>9940.57</v>
      </c>
      <c r="K188">
        <v>9921.01</v>
      </c>
      <c r="L188" s="25">
        <f t="shared" si="54"/>
        <v>-1.967694005474474E-3</v>
      </c>
      <c r="M188">
        <f t="shared" si="53"/>
        <v>2</v>
      </c>
    </row>
    <row r="189" spans="1:13" x14ac:dyDescent="0.15">
      <c r="A189" s="1">
        <v>42669</v>
      </c>
      <c r="B189">
        <v>10.64</v>
      </c>
      <c r="C189" s="25">
        <f t="shared" si="51"/>
        <v>-7.4626865671642006E-3</v>
      </c>
      <c r="D189" s="26">
        <f t="shared" si="52"/>
        <v>11.307044636584379</v>
      </c>
      <c r="E189" s="26"/>
      <c r="F189">
        <v>11.311</v>
      </c>
      <c r="G189" s="25">
        <f t="shared" si="55"/>
        <v>-5.8993720996389332E-2</v>
      </c>
      <c r="H189" s="25"/>
      <c r="I189" s="25">
        <f t="shared" si="47"/>
        <v>-5.9322783131464885E-2</v>
      </c>
      <c r="J189">
        <v>9921.01</v>
      </c>
      <c r="K189">
        <v>9865.2099999999991</v>
      </c>
      <c r="L189" s="25">
        <f t="shared" si="54"/>
        <v>-5.624427351650807E-3</v>
      </c>
      <c r="M189">
        <f t="shared" si="53"/>
        <v>3</v>
      </c>
    </row>
    <row r="190" spans="1:13" x14ac:dyDescent="0.15">
      <c r="A190" s="1">
        <v>42670</v>
      </c>
      <c r="B190">
        <v>10.6</v>
      </c>
      <c r="C190" s="25">
        <f t="shared" si="51"/>
        <v>-3.7593984962407401E-3</v>
      </c>
      <c r="D190" s="26">
        <f t="shared" si="52"/>
        <v>11.2815908794643</v>
      </c>
      <c r="E190" s="26"/>
      <c r="F190">
        <v>11.276</v>
      </c>
      <c r="G190" s="25">
        <f t="shared" si="55"/>
        <v>-6.0416202532657781E-2</v>
      </c>
      <c r="H190" s="25"/>
      <c r="I190" s="25">
        <f t="shared" si="47"/>
        <v>-5.9950336998935816E-2</v>
      </c>
      <c r="J190">
        <v>9865.2099999999991</v>
      </c>
      <c r="K190">
        <v>9839.56</v>
      </c>
      <c r="L190" s="25">
        <f t="shared" si="54"/>
        <v>-2.6000460203077225E-3</v>
      </c>
      <c r="M190">
        <f t="shared" si="53"/>
        <v>4</v>
      </c>
    </row>
    <row r="191" spans="1:13" x14ac:dyDescent="0.15">
      <c r="A191" s="1">
        <v>42671</v>
      </c>
      <c r="B191">
        <v>10.64</v>
      </c>
      <c r="C191" s="25">
        <f t="shared" si="51"/>
        <v>3.7735849056603765E-3</v>
      </c>
      <c r="D191" s="26">
        <f t="shared" si="52"/>
        <v>11.311674550488032</v>
      </c>
      <c r="E191" s="26"/>
      <c r="F191">
        <v>11.289</v>
      </c>
      <c r="G191" s="25">
        <f t="shared" si="55"/>
        <v>-5.9378878652325828E-2</v>
      </c>
      <c r="H191" s="25"/>
      <c r="I191" s="25">
        <f t="shared" si="47"/>
        <v>-5.748959163787748E-2</v>
      </c>
      <c r="J191">
        <v>9839.56</v>
      </c>
      <c r="K191">
        <v>9870.69</v>
      </c>
      <c r="L191" s="25">
        <f t="shared" si="54"/>
        <v>3.1637593550932763E-3</v>
      </c>
      <c r="M191">
        <f t="shared" si="53"/>
        <v>5</v>
      </c>
    </row>
    <row r="192" spans="1:13" x14ac:dyDescent="0.15">
      <c r="A192" s="1">
        <v>42674</v>
      </c>
      <c r="B192">
        <v>10.98</v>
      </c>
      <c r="C192" s="25">
        <f t="shared" si="51"/>
        <v>3.1954887218045069E-2</v>
      </c>
      <c r="D192" s="26">
        <f t="shared" si="52"/>
        <v>11.267555830443463</v>
      </c>
      <c r="E192" s="26"/>
      <c r="F192">
        <v>11.303000000000001</v>
      </c>
      <c r="G192" s="25">
        <f t="shared" si="55"/>
        <v>-2.5520692754547936E-2</v>
      </c>
      <c r="H192" s="25"/>
      <c r="I192" s="25">
        <f t="shared" si="47"/>
        <v>-2.8576484119260392E-2</v>
      </c>
      <c r="J192">
        <v>9870.69</v>
      </c>
      <c r="K192">
        <v>9851.94</v>
      </c>
      <c r="L192" s="25">
        <f t="shared" si="54"/>
        <v>-1.8995632524170247E-3</v>
      </c>
      <c r="M192">
        <f t="shared" si="53"/>
        <v>1</v>
      </c>
    </row>
    <row r="193" spans="1:13" x14ac:dyDescent="0.15">
      <c r="A193" s="1">
        <f>A192+1</f>
        <v>42675</v>
      </c>
      <c r="B193">
        <v>11.1</v>
      </c>
      <c r="C193" s="25">
        <f t="shared" si="51"/>
        <v>1.0928961748633892E-2</v>
      </c>
      <c r="D193" s="26">
        <f t="shared" si="52"/>
        <v>11.371458599017046</v>
      </c>
      <c r="E193" s="26"/>
      <c r="F193">
        <v>11.303000000000001</v>
      </c>
      <c r="G193" s="25">
        <f t="shared" si="55"/>
        <v>-2.3871924314134318E-2</v>
      </c>
      <c r="H193" s="25"/>
      <c r="I193" s="25">
        <f t="shared" si="47"/>
        <v>-1.7959833672476444E-2</v>
      </c>
      <c r="J193">
        <v>9851.94</v>
      </c>
      <c r="K193">
        <v>9911.61</v>
      </c>
      <c r="L193" s="25">
        <f t="shared" si="54"/>
        <v>6.0566751320043632E-3</v>
      </c>
      <c r="M193">
        <f t="shared" si="53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1"/>
        <v>-3.6036036036035668E-3</v>
      </c>
      <c r="D194" s="26">
        <f t="shared" si="52"/>
        <v>11.20741336372194</v>
      </c>
      <c r="E194" s="26"/>
      <c r="F194">
        <v>11.287000000000001</v>
      </c>
      <c r="G194" s="25">
        <f t="shared" si="55"/>
        <v>-1.3153201272928183E-2</v>
      </c>
      <c r="H194" s="25"/>
      <c r="I194" s="25">
        <f t="shared" si="47"/>
        <v>-2.0111632851953609E-2</v>
      </c>
      <c r="J194">
        <v>9911.61</v>
      </c>
      <c r="K194">
        <v>9827.7900000000009</v>
      </c>
      <c r="L194" s="25">
        <f t="shared" si="54"/>
        <v>-8.456749206233849E-3</v>
      </c>
      <c r="M194">
        <f t="shared" si="53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1"/>
        <v>1.0849909584086825E-2</v>
      </c>
      <c r="D195" s="26">
        <f t="shared" si="52"/>
        <v>11.414010175227594</v>
      </c>
      <c r="E195" s="26"/>
      <c r="F195">
        <v>11.430999999999999</v>
      </c>
      <c r="G195" s="25">
        <f t="shared" si="55"/>
        <v>-2.0502012144292481E-2</v>
      </c>
      <c r="H195" s="25"/>
      <c r="I195" s="25">
        <f t="shared" si="47"/>
        <v>-2.1957833960283391E-2</v>
      </c>
      <c r="J195">
        <v>9827.7900000000009</v>
      </c>
      <c r="K195">
        <v>9938.3799999999992</v>
      </c>
      <c r="L195" s="25">
        <f t="shared" si="54"/>
        <v>1.1252784196650323E-2</v>
      </c>
      <c r="M195">
        <f t="shared" si="53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1"/>
        <v>0</v>
      </c>
      <c r="D196" s="26">
        <f t="shared" si="52"/>
        <v>11.410607176421106</v>
      </c>
      <c r="E196" s="26"/>
      <c r="F196">
        <v>11.407999999999999</v>
      </c>
      <c r="G196" s="25">
        <f t="shared" si="55"/>
        <v>-2.0209895306678605E-2</v>
      </c>
      <c r="H196" s="25"/>
      <c r="I196" s="25">
        <f t="shared" si="47"/>
        <v>-1.9985974754558211E-2</v>
      </c>
      <c r="J196">
        <v>9938.3799999999992</v>
      </c>
      <c r="K196">
        <v>9920.65</v>
      </c>
      <c r="L196" s="25">
        <f t="shared" si="54"/>
        <v>-1.7839929646481512E-3</v>
      </c>
      <c r="M196">
        <f t="shared" si="53"/>
        <v>5</v>
      </c>
    </row>
    <row r="197" spans="1:13" x14ac:dyDescent="0.15">
      <c r="A197" s="1">
        <v>42681</v>
      </c>
      <c r="B197">
        <v>11.16</v>
      </c>
      <c r="C197" s="25">
        <f t="shared" si="51"/>
        <v>-1.7889087656529634E-3</v>
      </c>
      <c r="D197" s="26">
        <f t="shared" si="52"/>
        <v>11.424696905948702</v>
      </c>
      <c r="E197" s="26"/>
      <c r="F197">
        <v>11.388999999999999</v>
      </c>
      <c r="G197" s="25">
        <f t="shared" si="55"/>
        <v>-2.3168833985510617E-2</v>
      </c>
      <c r="H197" s="25"/>
      <c r="I197" s="25">
        <f t="shared" si="47"/>
        <v>-2.0107120906137421E-2</v>
      </c>
      <c r="J197">
        <v>9920.65</v>
      </c>
      <c r="K197">
        <v>9935.17</v>
      </c>
      <c r="L197" s="25">
        <f t="shared" si="54"/>
        <v>1.4636137753070155E-3</v>
      </c>
      <c r="M197">
        <f t="shared" si="53"/>
        <v>1</v>
      </c>
    </row>
    <row r="198" spans="1:13" x14ac:dyDescent="0.15">
      <c r="A198" s="1">
        <v>42682</v>
      </c>
      <c r="B198">
        <v>11.22</v>
      </c>
      <c r="C198" s="25">
        <f t="shared" si="51"/>
        <v>5.3763440860215006E-3</v>
      </c>
      <c r="D198" s="26">
        <f t="shared" si="52"/>
        <v>11.432056217457779</v>
      </c>
      <c r="E198" s="26"/>
      <c r="F198">
        <v>11.414999999999999</v>
      </c>
      <c r="G198" s="25">
        <f t="shared" si="55"/>
        <v>-1.8549263004318473E-2</v>
      </c>
      <c r="H198" s="25"/>
      <c r="I198" s="25">
        <f t="shared" si="47"/>
        <v>-1.7082785808147039E-2</v>
      </c>
      <c r="J198">
        <v>9935.17</v>
      </c>
      <c r="K198">
        <v>9972.73</v>
      </c>
      <c r="L198" s="25">
        <f t="shared" si="54"/>
        <v>3.7805090401070718E-3</v>
      </c>
      <c r="M198">
        <f t="shared" si="53"/>
        <v>2</v>
      </c>
    </row>
    <row r="199" spans="1:13" x14ac:dyDescent="0.15">
      <c r="A199" s="1">
        <v>42683</v>
      </c>
      <c r="B199">
        <v>11.14</v>
      </c>
      <c r="C199" s="25">
        <f t="shared" si="51"/>
        <v>-7.1301247771835552E-3</v>
      </c>
      <c r="D199" s="26">
        <f t="shared" si="52"/>
        <v>11.322468807437881</v>
      </c>
      <c r="E199" s="26"/>
      <c r="F199">
        <v>11.319000000000001</v>
      </c>
      <c r="G199" s="25">
        <f t="shared" si="55"/>
        <v>-1.61156379002797E-2</v>
      </c>
      <c r="H199" s="25"/>
      <c r="I199" s="25">
        <f t="shared" si="47"/>
        <v>-1.5814117854934251E-2</v>
      </c>
      <c r="J199">
        <v>9972.73</v>
      </c>
      <c r="K199">
        <v>9891.89</v>
      </c>
      <c r="L199" s="25">
        <f t="shared" si="54"/>
        <v>-8.1061053492875734E-3</v>
      </c>
      <c r="M199">
        <f t="shared" si="53"/>
        <v>3</v>
      </c>
    </row>
    <row r="200" spans="1:13" x14ac:dyDescent="0.15">
      <c r="A200" s="1">
        <v>42684</v>
      </c>
      <c r="B200">
        <v>11.26</v>
      </c>
      <c r="C200" s="25">
        <f t="shared" si="51"/>
        <v>1.0771992818671361E-2</v>
      </c>
      <c r="D200" s="26">
        <f t="shared" si="52"/>
        <v>11.440029513065756</v>
      </c>
      <c r="E200" s="26"/>
      <c r="F200">
        <v>11.430999999999999</v>
      </c>
      <c r="G200" s="25">
        <f t="shared" si="55"/>
        <v>-1.5736804949685101E-2</v>
      </c>
      <c r="H200" s="25"/>
      <c r="I200" s="25">
        <f t="shared" si="47"/>
        <v>-1.4959321144256799E-2</v>
      </c>
      <c r="J200">
        <v>9891.89</v>
      </c>
      <c r="K200">
        <v>9997.66</v>
      </c>
      <c r="L200" s="25">
        <f t="shared" si="54"/>
        <v>1.0692597673447768E-2</v>
      </c>
      <c r="M200">
        <f t="shared" si="53"/>
        <v>4</v>
      </c>
    </row>
    <row r="201" spans="1:13" x14ac:dyDescent="0.15">
      <c r="A201" s="1">
        <v>42685</v>
      </c>
      <c r="B201">
        <v>11.38</v>
      </c>
      <c r="C201" s="25">
        <f t="shared" si="51"/>
        <v>1.0657193605683846E-2</v>
      </c>
      <c r="D201" s="26">
        <f t="shared" si="52"/>
        <v>11.500585348971658</v>
      </c>
      <c r="E201" s="26"/>
      <c r="F201">
        <v>11.462999999999999</v>
      </c>
      <c r="G201" s="25">
        <f t="shared" si="55"/>
        <v>-1.0485148826136825E-2</v>
      </c>
      <c r="H201" s="25"/>
      <c r="I201" s="25">
        <f t="shared" ref="I201:I231" si="56">+B201/F201-1</f>
        <v>-7.2406874291196521E-3</v>
      </c>
      <c r="J201">
        <v>9997.66</v>
      </c>
      <c r="K201">
        <v>10058.52</v>
      </c>
      <c r="L201" s="25">
        <f t="shared" si="54"/>
        <v>6.0874244573230207E-3</v>
      </c>
      <c r="M201">
        <f t="shared" si="53"/>
        <v>5</v>
      </c>
    </row>
    <row r="202" spans="1:13" x14ac:dyDescent="0.15">
      <c r="A202" s="1">
        <v>42688</v>
      </c>
      <c r="B202">
        <v>11.36</v>
      </c>
      <c r="C202" s="25">
        <f t="shared" si="51"/>
        <v>-1.7574692442883233E-3</v>
      </c>
      <c r="D202" s="26">
        <f t="shared" si="52"/>
        <v>11.501211823409406</v>
      </c>
      <c r="E202" s="26"/>
      <c r="F202">
        <v>11.472</v>
      </c>
      <c r="G202" s="25">
        <f t="shared" si="55"/>
        <v>-1.2277995186732116E-2</v>
      </c>
      <c r="H202" s="25"/>
      <c r="I202" s="25">
        <f t="shared" si="56"/>
        <v>-9.7629009762900676E-3</v>
      </c>
      <c r="J202">
        <v>10058.52</v>
      </c>
      <c r="K202">
        <v>10092.049999999999</v>
      </c>
      <c r="L202" s="25">
        <f t="shared" si="54"/>
        <v>3.3334924024606138E-3</v>
      </c>
      <c r="M202">
        <f t="shared" si="53"/>
        <v>1</v>
      </c>
    </row>
    <row r="203" spans="1:13" x14ac:dyDescent="0.15">
      <c r="A203" s="1">
        <v>42689</v>
      </c>
      <c r="B203">
        <v>11.26</v>
      </c>
      <c r="C203" s="25">
        <f t="shared" si="51"/>
        <v>-8.8028169014083835E-3</v>
      </c>
      <c r="D203" s="26">
        <f t="shared" si="52"/>
        <v>11.451538745844502</v>
      </c>
      <c r="E203" s="26"/>
      <c r="F203">
        <v>11.414</v>
      </c>
      <c r="G203" s="25">
        <f t="shared" si="55"/>
        <v>-1.6726026964193563E-2</v>
      </c>
      <c r="H203" s="25"/>
      <c r="I203" s="25">
        <f t="shared" si="56"/>
        <v>-1.3492202558261779E-2</v>
      </c>
      <c r="J203">
        <v>10092.049999999999</v>
      </c>
      <c r="K203">
        <v>10074.049999999999</v>
      </c>
      <c r="L203" s="25">
        <f t="shared" si="54"/>
        <v>-1.783582126525296E-3</v>
      </c>
      <c r="M203">
        <f t="shared" si="53"/>
        <v>2</v>
      </c>
    </row>
    <row r="204" spans="1:13" x14ac:dyDescent="0.15">
      <c r="A204" s="1">
        <v>42690</v>
      </c>
      <c r="B204">
        <v>11.2</v>
      </c>
      <c r="C204" s="25">
        <f t="shared" si="51"/>
        <v>-5.3285968028419228E-3</v>
      </c>
      <c r="D204" s="26">
        <f t="shared" si="52"/>
        <v>11.39896495649714</v>
      </c>
      <c r="E204" s="26"/>
      <c r="F204">
        <v>11.388999999999999</v>
      </c>
      <c r="G204" s="25">
        <f t="shared" si="55"/>
        <v>-1.7454651124594989E-2</v>
      </c>
      <c r="H204" s="25"/>
      <c r="I204" s="25">
        <f t="shared" si="56"/>
        <v>-1.6594960049170271E-2</v>
      </c>
      <c r="J204">
        <v>10074.049999999999</v>
      </c>
      <c r="K204">
        <v>10060.780000000001</v>
      </c>
      <c r="L204" s="25">
        <f t="shared" si="54"/>
        <v>-1.3172457948886773E-3</v>
      </c>
      <c r="M204">
        <f t="shared" si="53"/>
        <v>3</v>
      </c>
    </row>
    <row r="205" spans="1:13" x14ac:dyDescent="0.15">
      <c r="A205" s="1">
        <v>42691</v>
      </c>
      <c r="B205">
        <v>11.16</v>
      </c>
      <c r="C205" s="25">
        <f t="shared" si="51"/>
        <v>-3.5714285714284477E-3</v>
      </c>
      <c r="D205" s="26">
        <f t="shared" si="52"/>
        <v>11.407746244326979</v>
      </c>
      <c r="E205" s="26"/>
      <c r="F205">
        <v>11.39</v>
      </c>
      <c r="G205" s="25">
        <f t="shared" si="55"/>
        <v>-2.1717369848595847E-2</v>
      </c>
      <c r="H205" s="25"/>
      <c r="I205" s="25">
        <f t="shared" si="56"/>
        <v>-2.0193151887620719E-2</v>
      </c>
      <c r="J205">
        <v>10060.780000000001</v>
      </c>
      <c r="K205">
        <v>10077.34</v>
      </c>
      <c r="L205" s="25">
        <f t="shared" si="54"/>
        <v>1.6459956385090901E-3</v>
      </c>
      <c r="M205">
        <f t="shared" si="53"/>
        <v>4</v>
      </c>
    </row>
    <row r="206" spans="1:13" x14ac:dyDescent="0.15">
      <c r="A206" s="1">
        <v>42692</v>
      </c>
      <c r="B206">
        <v>11.18</v>
      </c>
      <c r="C206" s="25">
        <f t="shared" si="51"/>
        <v>1.7921146953405742E-3</v>
      </c>
      <c r="D206" s="26">
        <f t="shared" si="52"/>
        <v>11.355255851246461</v>
      </c>
      <c r="E206" s="26"/>
      <c r="F206">
        <v>11.339</v>
      </c>
      <c r="G206" s="25">
        <f t="shared" si="55"/>
        <v>-1.5433897178743328E-2</v>
      </c>
      <c r="H206" s="25"/>
      <c r="I206" s="25">
        <f t="shared" si="56"/>
        <v>-1.402240056442372E-2</v>
      </c>
      <c r="J206">
        <v>10077.34</v>
      </c>
      <c r="K206">
        <v>10046.6</v>
      </c>
      <c r="L206" s="25">
        <f t="shared" si="54"/>
        <v>-3.0504081434187258E-3</v>
      </c>
      <c r="M206">
        <f t="shared" si="53"/>
        <v>5</v>
      </c>
    </row>
    <row r="207" spans="1:13" x14ac:dyDescent="0.15">
      <c r="A207" s="1">
        <v>42695</v>
      </c>
      <c r="B207">
        <v>11.28</v>
      </c>
      <c r="C207" s="25">
        <f t="shared" si="51"/>
        <v>8.9445438282647061E-3</v>
      </c>
      <c r="D207" s="26">
        <f t="shared" si="52"/>
        <v>11.473872543945216</v>
      </c>
      <c r="E207" s="26"/>
      <c r="F207">
        <v>11.436999999999999</v>
      </c>
      <c r="G207" s="25">
        <f t="shared" si="55"/>
        <v>-1.6896870973830302E-2</v>
      </c>
      <c r="H207" s="25"/>
      <c r="I207" s="25">
        <f t="shared" si="56"/>
        <v>-1.3727376060155616E-2</v>
      </c>
      <c r="J207">
        <v>10046.6</v>
      </c>
      <c r="K207">
        <v>10166.1</v>
      </c>
      <c r="L207" s="25">
        <f t="shared" si="54"/>
        <v>1.189457129775251E-2</v>
      </c>
      <c r="M207">
        <f t="shared" si="53"/>
        <v>1</v>
      </c>
    </row>
    <row r="208" spans="1:13" x14ac:dyDescent="0.15">
      <c r="A208" s="1">
        <v>42696</v>
      </c>
      <c r="B208">
        <v>11.38</v>
      </c>
      <c r="C208" s="25">
        <f t="shared" si="51"/>
        <v>8.8652482269504507E-3</v>
      </c>
      <c r="D208" s="26">
        <f t="shared" si="52"/>
        <v>11.520824757773383</v>
      </c>
      <c r="E208" s="26"/>
      <c r="F208">
        <v>11.554</v>
      </c>
      <c r="G208" s="25">
        <f t="shared" si="55"/>
        <v>-1.2223496210925666E-2</v>
      </c>
      <c r="H208" s="25"/>
      <c r="I208" s="25">
        <f t="shared" si="56"/>
        <v>-1.5059719577635411E-2</v>
      </c>
      <c r="J208">
        <v>10166.1</v>
      </c>
      <c r="K208">
        <v>10240.61</v>
      </c>
      <c r="L208" s="25">
        <f t="shared" si="54"/>
        <v>7.3292609752018123E-3</v>
      </c>
      <c r="M208">
        <f t="shared" si="53"/>
        <v>2</v>
      </c>
    </row>
    <row r="209" spans="1:13" x14ac:dyDescent="0.15">
      <c r="A209" s="1">
        <v>42697</v>
      </c>
      <c r="B209">
        <v>11.44</v>
      </c>
      <c r="C209" s="25">
        <f t="shared" si="51"/>
        <v>5.2724077328645258E-3</v>
      </c>
      <c r="D209" s="26">
        <f t="shared" ref="D209:D215" si="57">+F208*(1+L209)</f>
        <v>11.632627958686054</v>
      </c>
      <c r="E209" s="26"/>
      <c r="F209">
        <v>11.61</v>
      </c>
      <c r="G209" s="25">
        <f t="shared" si="55"/>
        <v>-1.6559281305151718E-2</v>
      </c>
      <c r="H209" s="25"/>
      <c r="I209" s="25">
        <f t="shared" si="56"/>
        <v>-1.4642549526270421E-2</v>
      </c>
      <c r="J209">
        <v>10240.61</v>
      </c>
      <c r="K209">
        <v>10310.299999999999</v>
      </c>
      <c r="L209" s="25">
        <f t="shared" si="54"/>
        <v>6.805258671114256E-3</v>
      </c>
      <c r="M209">
        <f t="shared" si="53"/>
        <v>3</v>
      </c>
    </row>
    <row r="210" spans="1:13" x14ac:dyDescent="0.15">
      <c r="A210" s="1">
        <v>42698</v>
      </c>
      <c r="B210">
        <v>11.44</v>
      </c>
      <c r="C210" s="25">
        <f t="shared" si="51"/>
        <v>0</v>
      </c>
      <c r="D210" s="26">
        <f t="shared" si="57"/>
        <v>11.64318494127232</v>
      </c>
      <c r="E210" s="26"/>
      <c r="F210">
        <v>11.612</v>
      </c>
      <c r="G210" s="25">
        <f t="shared" si="55"/>
        <v>-1.7450976025647269E-2</v>
      </c>
      <c r="H210" s="25"/>
      <c r="I210" s="25">
        <f t="shared" si="56"/>
        <v>-1.4812263176024798E-2</v>
      </c>
      <c r="J210">
        <v>10310.299999999999</v>
      </c>
      <c r="K210">
        <v>10339.77</v>
      </c>
      <c r="L210" s="25">
        <f t="shared" si="54"/>
        <v>2.8583067418019859E-3</v>
      </c>
      <c r="M210">
        <f t="shared" si="53"/>
        <v>4</v>
      </c>
    </row>
    <row r="211" spans="1:13" x14ac:dyDescent="0.15">
      <c r="A211" s="1">
        <v>42699</v>
      </c>
      <c r="B211">
        <v>11.6</v>
      </c>
      <c r="C211" s="25">
        <f t="shared" si="51"/>
        <v>1.3986013986013957E-2</v>
      </c>
      <c r="D211" s="26">
        <f t="shared" si="57"/>
        <v>11.745945265707071</v>
      </c>
      <c r="E211" s="26"/>
      <c r="F211">
        <v>11.731</v>
      </c>
      <c r="G211" s="25">
        <f t="shared" si="55"/>
        <v>-1.2425161398731066E-2</v>
      </c>
      <c r="H211" s="25"/>
      <c r="I211" s="25">
        <f t="shared" si="56"/>
        <v>-1.1166993436194761E-2</v>
      </c>
      <c r="J211">
        <v>10339.77</v>
      </c>
      <c r="K211">
        <v>10459.040000000001</v>
      </c>
      <c r="L211" s="25">
        <f t="shared" si="54"/>
        <v>1.1535072830440196E-2</v>
      </c>
      <c r="M211">
        <f t="shared" si="53"/>
        <v>5</v>
      </c>
    </row>
    <row r="212" spans="1:13" x14ac:dyDescent="0.15">
      <c r="A212" s="1">
        <v>42702</v>
      </c>
      <c r="B212">
        <v>11.68</v>
      </c>
      <c r="C212" s="25">
        <f t="shared" si="51"/>
        <v>6.8965517241379448E-3</v>
      </c>
      <c r="D212" s="26">
        <f t="shared" si="57"/>
        <v>11.786261894973149</v>
      </c>
      <c r="E212" s="26"/>
      <c r="F212">
        <v>11.804</v>
      </c>
      <c r="G212" s="25">
        <f t="shared" si="55"/>
        <v>-9.0157418798296751E-3</v>
      </c>
      <c r="H212" s="25"/>
      <c r="I212" s="25">
        <f t="shared" si="56"/>
        <v>-1.0504913588614051E-2</v>
      </c>
      <c r="J212">
        <v>10459.040000000001</v>
      </c>
      <c r="K212">
        <v>10508.31</v>
      </c>
      <c r="L212" s="25">
        <f t="shared" si="54"/>
        <v>4.710757392647702E-3</v>
      </c>
      <c r="M212">
        <f t="shared" ref="M212:M217" si="58">WEEKDAY(A212,2)</f>
        <v>1</v>
      </c>
    </row>
    <row r="213" spans="1:13" x14ac:dyDescent="0.15">
      <c r="A213" s="1">
        <v>42703</v>
      </c>
      <c r="B213">
        <v>11.82</v>
      </c>
      <c r="C213" s="25">
        <f t="shared" si="51"/>
        <v>1.1986301369863117E-2</v>
      </c>
      <c r="D213" s="26">
        <f t="shared" si="57"/>
        <v>11.96754146004448</v>
      </c>
      <c r="E213" s="26"/>
      <c r="F213">
        <v>11.994</v>
      </c>
      <c r="G213" s="25">
        <f t="shared" si="55"/>
        <v>-1.2328468678138305E-2</v>
      </c>
      <c r="H213" s="25"/>
      <c r="I213" s="25">
        <f t="shared" si="56"/>
        <v>-1.4507253626813377E-2</v>
      </c>
      <c r="J213">
        <v>10508.31</v>
      </c>
      <c r="K213">
        <v>10653.9</v>
      </c>
      <c r="L213" s="25">
        <f t="shared" si="54"/>
        <v>1.3854749241314801E-2</v>
      </c>
      <c r="M213">
        <f t="shared" si="58"/>
        <v>2</v>
      </c>
    </row>
    <row r="214" spans="1:13" x14ac:dyDescent="0.15">
      <c r="A214" s="1">
        <v>42704</v>
      </c>
      <c r="B214">
        <v>11.72</v>
      </c>
      <c r="C214" s="25">
        <f t="shared" si="51"/>
        <v>-8.4602368866327771E-3</v>
      </c>
      <c r="D214" s="26">
        <f t="shared" si="57"/>
        <v>11.862823540675246</v>
      </c>
      <c r="E214" s="26"/>
      <c r="F214">
        <v>11.866</v>
      </c>
      <c r="G214" s="25">
        <f t="shared" si="55"/>
        <v>-1.2039590758939567E-2</v>
      </c>
      <c r="H214" s="25"/>
      <c r="I214" s="25">
        <f t="shared" si="56"/>
        <v>-1.2304062025956464E-2</v>
      </c>
      <c r="J214">
        <v>10653.9</v>
      </c>
      <c r="K214">
        <v>10537.38</v>
      </c>
      <c r="L214" s="25">
        <f t="shared" si="54"/>
        <v>-1.0936840030411399E-2</v>
      </c>
      <c r="M214">
        <f t="shared" si="58"/>
        <v>3</v>
      </c>
    </row>
    <row r="215" spans="1:13" x14ac:dyDescent="0.15">
      <c r="A215" s="1">
        <v>42705</v>
      </c>
      <c r="B215">
        <v>11.78</v>
      </c>
      <c r="C215" s="25">
        <f t="shared" si="51"/>
        <v>5.1194539249146409E-3</v>
      </c>
      <c r="D215" s="26">
        <f t="shared" si="57"/>
        <v>11.916122104356111</v>
      </c>
      <c r="E215" s="26"/>
      <c r="F215">
        <v>11.898</v>
      </c>
      <c r="G215" s="25">
        <f t="shared" si="55"/>
        <v>-1.142335595120747E-2</v>
      </c>
      <c r="H215" s="25"/>
      <c r="I215" s="25">
        <f t="shared" si="56"/>
        <v>-9.9176332156665215E-3</v>
      </c>
      <c r="J215">
        <v>10537.38</v>
      </c>
      <c r="K215">
        <v>10581.89</v>
      </c>
      <c r="L215" s="25">
        <f t="shared" si="54"/>
        <v>4.2240101429387167E-3</v>
      </c>
      <c r="M215">
        <f t="shared" si="58"/>
        <v>4</v>
      </c>
    </row>
    <row r="216" spans="1:13" x14ac:dyDescent="0.15">
      <c r="A216" s="1">
        <v>42706</v>
      </c>
      <c r="B216">
        <v>11.7</v>
      </c>
      <c r="C216" s="25">
        <f t="shared" ref="C216:C222" si="59">B216/B215-1</f>
        <v>-6.7911714770797493E-3</v>
      </c>
      <c r="D216" s="26">
        <f t="shared" ref="D216:D222" si="60">+F215*(1+L216)</f>
        <v>11.842635833485321</v>
      </c>
      <c r="E216" s="26"/>
      <c r="F216">
        <v>11.871</v>
      </c>
      <c r="G216" s="25">
        <f t="shared" si="55"/>
        <v>-1.204426408874415E-2</v>
      </c>
      <c r="H216" s="25"/>
      <c r="I216" s="25">
        <f t="shared" si="56"/>
        <v>-1.4404852160727954E-2</v>
      </c>
      <c r="J216">
        <v>10581.89</v>
      </c>
      <c r="K216">
        <v>10532.65</v>
      </c>
      <c r="L216" s="25">
        <f t="shared" si="54"/>
        <v>-4.6532330235903308E-3</v>
      </c>
      <c r="M216">
        <f t="shared" si="58"/>
        <v>5</v>
      </c>
    </row>
    <row r="217" spans="1:13" x14ac:dyDescent="0.15">
      <c r="A217" s="1">
        <v>42709</v>
      </c>
      <c r="B217">
        <v>11.54</v>
      </c>
      <c r="C217" s="25">
        <f t="shared" si="59"/>
        <v>-1.3675213675213738E-2</v>
      </c>
      <c r="D217" s="26">
        <f t="shared" si="60"/>
        <v>11.686600602887214</v>
      </c>
      <c r="E217" s="26"/>
      <c r="F217">
        <v>11.673</v>
      </c>
      <c r="G217" s="25">
        <f t="shared" si="55"/>
        <v>-1.2544332425546978E-2</v>
      </c>
      <c r="H217" s="25"/>
      <c r="I217" s="25">
        <f t="shared" si="56"/>
        <v>-1.1393814786259004E-2</v>
      </c>
      <c r="J217">
        <v>10532.65</v>
      </c>
      <c r="K217">
        <v>10369.040000000001</v>
      </c>
      <c r="L217" s="25">
        <f t="shared" si="54"/>
        <v>-1.5533602654602463E-2</v>
      </c>
      <c r="M217">
        <f t="shared" si="58"/>
        <v>1</v>
      </c>
    </row>
    <row r="218" spans="1:13" x14ac:dyDescent="0.15">
      <c r="A218" s="1">
        <v>42710</v>
      </c>
      <c r="B218">
        <v>11.56</v>
      </c>
      <c r="C218" s="25">
        <f t="shared" si="59"/>
        <v>1.7331022530331364E-3</v>
      </c>
      <c r="D218" s="26">
        <f t="shared" si="60"/>
        <v>11.669363810921743</v>
      </c>
      <c r="E218" s="26"/>
      <c r="F218">
        <v>11.709</v>
      </c>
      <c r="G218" s="25">
        <f t="shared" si="55"/>
        <v>-9.3718743106959712E-3</v>
      </c>
      <c r="H218" s="25"/>
      <c r="I218" s="25">
        <f t="shared" si="56"/>
        <v>-1.2725254078059578E-2</v>
      </c>
      <c r="J218">
        <v>10369.040000000001</v>
      </c>
      <c r="K218">
        <v>10365.81</v>
      </c>
      <c r="L218" s="25">
        <f t="shared" si="54"/>
        <v>-3.1150424725923109E-4</v>
      </c>
      <c r="M218">
        <f t="shared" ref="M218:M230" si="61">WEEKDAY(A218,2)</f>
        <v>2</v>
      </c>
    </row>
    <row r="219" spans="1:13" x14ac:dyDescent="0.15">
      <c r="A219" s="1">
        <v>42711</v>
      </c>
      <c r="B219">
        <v>11.54</v>
      </c>
      <c r="C219" s="25">
        <f t="shared" si="59"/>
        <v>-1.7301038062285112E-3</v>
      </c>
      <c r="D219" s="26">
        <f t="shared" si="60"/>
        <v>11.717099080534949</v>
      </c>
      <c r="E219" s="26"/>
      <c r="F219">
        <v>11.686999999999999</v>
      </c>
      <c r="G219" s="25">
        <f t="shared" si="55"/>
        <v>-1.5114584191675551E-2</v>
      </c>
      <c r="H219" s="25"/>
      <c r="I219" s="25">
        <f t="shared" si="56"/>
        <v>-1.2578078206554322E-2</v>
      </c>
      <c r="J219">
        <v>10365.81</v>
      </c>
      <c r="K219">
        <v>10372.98</v>
      </c>
      <c r="L219" s="25">
        <f t="shared" si="54"/>
        <v>6.9169703091209733E-4</v>
      </c>
      <c r="M219">
        <f t="shared" si="61"/>
        <v>3</v>
      </c>
    </row>
    <row r="220" spans="1:13" x14ac:dyDescent="0.15">
      <c r="A220" s="1">
        <v>42712</v>
      </c>
      <c r="B220">
        <v>11.56</v>
      </c>
      <c r="C220" s="25">
        <f t="shared" si="59"/>
        <v>1.7331022530331364E-3</v>
      </c>
      <c r="D220" s="26">
        <f t="shared" si="60"/>
        <v>11.707854794861262</v>
      </c>
      <c r="E220" s="26"/>
      <c r="F220">
        <v>11.72</v>
      </c>
      <c r="G220" s="25">
        <f t="shared" si="55"/>
        <v>-1.2628683687310294E-2</v>
      </c>
      <c r="H220" s="25"/>
      <c r="I220" s="25">
        <f t="shared" si="56"/>
        <v>-1.3651877133105783E-2</v>
      </c>
      <c r="J220">
        <v>10372.98</v>
      </c>
      <c r="K220">
        <v>10391.49</v>
      </c>
      <c r="L220" s="25">
        <f t="shared" si="54"/>
        <v>1.7844438146028541E-3</v>
      </c>
      <c r="M220">
        <f t="shared" si="61"/>
        <v>4</v>
      </c>
    </row>
    <row r="221" spans="1:13" x14ac:dyDescent="0.15">
      <c r="A221" s="1">
        <v>42713</v>
      </c>
      <c r="B221">
        <v>11.68</v>
      </c>
      <c r="C221" s="25">
        <f t="shared" si="59"/>
        <v>1.0380622837370179E-2</v>
      </c>
      <c r="D221" s="26">
        <f t="shared" si="60"/>
        <v>11.900940327133069</v>
      </c>
      <c r="E221" s="26"/>
      <c r="F221">
        <v>11.86</v>
      </c>
      <c r="G221" s="25">
        <f t="shared" si="55"/>
        <v>-1.8564947059632408E-2</v>
      </c>
      <c r="H221" s="25"/>
      <c r="I221" s="25">
        <f t="shared" si="56"/>
        <v>-1.5177065767284947E-2</v>
      </c>
      <c r="J221">
        <v>10391.49</v>
      </c>
      <c r="K221">
        <v>10551.92</v>
      </c>
      <c r="L221" s="25">
        <f t="shared" si="54"/>
        <v>1.5438594465278843E-2</v>
      </c>
      <c r="M221">
        <f t="shared" si="61"/>
        <v>5</v>
      </c>
    </row>
    <row r="222" spans="1:13" x14ac:dyDescent="0.15">
      <c r="A222" s="1">
        <v>42716</v>
      </c>
      <c r="B222">
        <v>11.28</v>
      </c>
      <c r="C222" s="25">
        <f t="shared" si="59"/>
        <v>-3.4246575342465779E-2</v>
      </c>
      <c r="D222" s="26">
        <f t="shared" si="60"/>
        <v>11.737364062653999</v>
      </c>
      <c r="E222" s="26"/>
      <c r="F222">
        <v>11.423</v>
      </c>
      <c r="G222" s="25">
        <f t="shared" si="55"/>
        <v>-3.896650561511017E-2</v>
      </c>
      <c r="H222" s="25"/>
      <c r="I222" s="25">
        <f t="shared" si="56"/>
        <v>-1.2518602818874291E-2</v>
      </c>
      <c r="J222">
        <v>10551.92</v>
      </c>
      <c r="K222">
        <v>10442.81</v>
      </c>
      <c r="L222" s="25">
        <f t="shared" si="54"/>
        <v>-1.0340298258516012E-2</v>
      </c>
      <c r="M222">
        <f t="shared" si="61"/>
        <v>1</v>
      </c>
    </row>
    <row r="223" spans="1:13" x14ac:dyDescent="0.15">
      <c r="A223" s="1">
        <v>42717</v>
      </c>
      <c r="B223">
        <v>11.2</v>
      </c>
      <c r="C223" s="25">
        <f t="shared" ref="C223:C248" si="62">B223/B222-1</f>
        <v>-7.0921985815602939E-3</v>
      </c>
      <c r="D223" s="26">
        <f t="shared" ref="D223:D235" si="63">+F222*(1+L223)</f>
        <v>11.342983945891959</v>
      </c>
      <c r="E223" s="26"/>
      <c r="F223">
        <v>11.367000000000001</v>
      </c>
      <c r="G223" s="25">
        <f t="shared" si="55"/>
        <v>-1.2605496628930957E-2</v>
      </c>
      <c r="H223" s="25"/>
      <c r="I223" s="25">
        <f t="shared" si="56"/>
        <v>-1.4691651271223849E-2</v>
      </c>
      <c r="J223">
        <v>10442.81</v>
      </c>
      <c r="K223">
        <v>10369.66</v>
      </c>
      <c r="L223" s="25">
        <f t="shared" si="54"/>
        <v>-7.0048195840007876E-3</v>
      </c>
      <c r="M223">
        <f t="shared" si="61"/>
        <v>2</v>
      </c>
    </row>
    <row r="224" spans="1:13" x14ac:dyDescent="0.15">
      <c r="A224" s="1">
        <v>42718</v>
      </c>
      <c r="B224">
        <v>11.18</v>
      </c>
      <c r="C224" s="25">
        <f t="shared" si="62"/>
        <v>-1.7857142857142794E-3</v>
      </c>
      <c r="D224" s="26">
        <f t="shared" si="63"/>
        <v>11.32002874443328</v>
      </c>
      <c r="E224" s="26"/>
      <c r="F224">
        <v>11.301</v>
      </c>
      <c r="G224" s="25">
        <f t="shared" si="55"/>
        <v>-1.2369999016313526E-2</v>
      </c>
      <c r="H224" s="25"/>
      <c r="I224" s="25">
        <f t="shared" si="56"/>
        <v>-1.0707017078134706E-2</v>
      </c>
      <c r="J224">
        <v>10369.66</v>
      </c>
      <c r="K224">
        <v>10326.81</v>
      </c>
      <c r="L224" s="25">
        <f t="shared" si="54"/>
        <v>-4.132247344657447E-3</v>
      </c>
      <c r="M224">
        <f t="shared" si="61"/>
        <v>3</v>
      </c>
    </row>
    <row r="225" spans="1:14" x14ac:dyDescent="0.15">
      <c r="A225" s="1">
        <v>42719</v>
      </c>
      <c r="B225">
        <v>10.9</v>
      </c>
      <c r="C225" s="25">
        <f t="shared" si="62"/>
        <v>-2.5044722719141266E-2</v>
      </c>
      <c r="D225" s="26">
        <f t="shared" si="63"/>
        <v>11.048963474683857</v>
      </c>
      <c r="E225" s="26"/>
      <c r="F225">
        <v>11.012</v>
      </c>
      <c r="G225" s="25">
        <f t="shared" si="55"/>
        <v>-1.3482122103595673E-2</v>
      </c>
      <c r="H225" s="25"/>
      <c r="I225" s="25">
        <f t="shared" si="56"/>
        <v>-1.0170722847802405E-2</v>
      </c>
      <c r="J225">
        <v>10326.81</v>
      </c>
      <c r="K225">
        <v>10096.5</v>
      </c>
      <c r="L225" s="25">
        <f t="shared" si="54"/>
        <v>-2.230214364358396E-2</v>
      </c>
      <c r="M225">
        <f t="shared" si="61"/>
        <v>4</v>
      </c>
    </row>
    <row r="226" spans="1:14" x14ac:dyDescent="0.15">
      <c r="A226" s="1">
        <v>42720</v>
      </c>
      <c r="B226">
        <v>10.86</v>
      </c>
      <c r="C226" s="25">
        <f t="shared" si="62"/>
        <v>-3.6697247706423131E-3</v>
      </c>
      <c r="D226" s="26">
        <f t="shared" si="63"/>
        <v>10.988757716040212</v>
      </c>
      <c r="E226" s="26"/>
      <c r="F226">
        <v>10.961</v>
      </c>
      <c r="G226" s="25">
        <f t="shared" si="55"/>
        <v>-1.1717222216326206E-2</v>
      </c>
      <c r="H226" s="25"/>
      <c r="I226" s="25">
        <f t="shared" si="56"/>
        <v>-9.214487729221843E-3</v>
      </c>
      <c r="J226">
        <v>10096.5</v>
      </c>
      <c r="K226">
        <v>10075.19</v>
      </c>
      <c r="L226" s="25">
        <f t="shared" si="54"/>
        <v>-2.1106323973654195E-3</v>
      </c>
      <c r="M226">
        <f t="shared" si="61"/>
        <v>5</v>
      </c>
    </row>
    <row r="227" spans="1:14" x14ac:dyDescent="0.15">
      <c r="A227" s="1">
        <v>42723</v>
      </c>
      <c r="B227">
        <v>10.74</v>
      </c>
      <c r="C227" s="25">
        <f t="shared" si="62"/>
        <v>-1.1049723756906049E-2</v>
      </c>
      <c r="D227" s="26">
        <f t="shared" si="63"/>
        <v>10.901545175822987</v>
      </c>
      <c r="E227" s="26"/>
      <c r="F227">
        <v>10.942</v>
      </c>
      <c r="G227" s="25">
        <f t="shared" si="55"/>
        <v>-1.4818557664766141E-2</v>
      </c>
      <c r="H227" s="25"/>
      <c r="I227" s="25">
        <f t="shared" si="56"/>
        <v>-1.8460976055565737E-2</v>
      </c>
      <c r="J227">
        <v>10075.19</v>
      </c>
      <c r="K227">
        <v>10020.540000000001</v>
      </c>
      <c r="L227" s="25">
        <f t="shared" si="54"/>
        <v>-5.4242153249715042E-3</v>
      </c>
      <c r="M227">
        <f t="shared" si="61"/>
        <v>1</v>
      </c>
    </row>
    <row r="228" spans="1:14" x14ac:dyDescent="0.15">
      <c r="A228" s="1">
        <v>42724</v>
      </c>
      <c r="B228">
        <v>10.64</v>
      </c>
      <c r="C228" s="25">
        <f t="shared" si="62"/>
        <v>-9.3109869646181842E-3</v>
      </c>
      <c r="D228" s="26">
        <f t="shared" si="63"/>
        <v>10.862407245517705</v>
      </c>
      <c r="E228" s="26"/>
      <c r="F228">
        <v>10.837999999999999</v>
      </c>
      <c r="G228" s="25">
        <f t="shared" si="55"/>
        <v>-2.0474950026337813E-2</v>
      </c>
      <c r="H228" s="25"/>
      <c r="I228" s="25">
        <f t="shared" si="56"/>
        <v>-1.8269053330872698E-2</v>
      </c>
      <c r="J228">
        <v>10020.540000000001</v>
      </c>
      <c r="K228">
        <v>9947.65</v>
      </c>
      <c r="L228" s="25">
        <f t="shared" si="54"/>
        <v>-7.2740590826443352E-3</v>
      </c>
      <c r="M228">
        <f t="shared" si="61"/>
        <v>2</v>
      </c>
    </row>
    <row r="229" spans="1:14" x14ac:dyDescent="0.15">
      <c r="A229" s="1">
        <v>42725</v>
      </c>
      <c r="B229">
        <v>10.7</v>
      </c>
      <c r="C229" s="25">
        <f t="shared" si="62"/>
        <v>5.639097744360777E-3</v>
      </c>
      <c r="D229" s="26">
        <f t="shared" si="63"/>
        <v>10.910353930827883</v>
      </c>
      <c r="E229" s="26"/>
      <c r="F229">
        <v>10.901</v>
      </c>
      <c r="G229" s="25">
        <f t="shared" si="55"/>
        <v>-1.9280211454324681E-2</v>
      </c>
      <c r="H229" s="25"/>
      <c r="I229" s="25">
        <f t="shared" si="56"/>
        <v>-1.8438675350885281E-2</v>
      </c>
      <c r="J229">
        <v>9947.65</v>
      </c>
      <c r="K229">
        <v>10014.06</v>
      </c>
      <c r="L229" s="25">
        <f t="shared" si="54"/>
        <v>6.6759485908731708E-3</v>
      </c>
      <c r="M229">
        <f t="shared" si="61"/>
        <v>3</v>
      </c>
    </row>
    <row r="230" spans="1:14" x14ac:dyDescent="0.15">
      <c r="A230" s="1">
        <v>42726</v>
      </c>
      <c r="B230">
        <v>10.66</v>
      </c>
      <c r="C230" s="25">
        <f t="shared" si="62"/>
        <v>-3.7383177570092796E-3</v>
      </c>
      <c r="D230" s="26">
        <f t="shared" si="63"/>
        <v>10.868462658502146</v>
      </c>
      <c r="E230" s="26"/>
      <c r="F230">
        <v>10.875999999999999</v>
      </c>
      <c r="G230" s="25">
        <f t="shared" si="55"/>
        <v>-1.9180510165259679E-2</v>
      </c>
      <c r="H230" s="25"/>
      <c r="I230" s="25">
        <f t="shared" si="56"/>
        <v>-1.9860242736300049E-2</v>
      </c>
      <c r="J230">
        <v>10014.06</v>
      </c>
      <c r="K230">
        <v>9984.17</v>
      </c>
      <c r="L230" s="25">
        <f t="shared" si="54"/>
        <v>-2.9848033664666707E-3</v>
      </c>
      <c r="M230">
        <f t="shared" si="61"/>
        <v>4</v>
      </c>
    </row>
    <row r="231" spans="1:14" x14ac:dyDescent="0.15">
      <c r="A231" s="1">
        <v>42727</v>
      </c>
      <c r="B231">
        <v>10.58</v>
      </c>
      <c r="C231" s="25">
        <f t="shared" si="62"/>
        <v>-7.5046904315196894E-3</v>
      </c>
      <c r="D231" s="26">
        <f t="shared" si="63"/>
        <v>10.815967332287009</v>
      </c>
      <c r="E231" s="26"/>
      <c r="F231">
        <v>10.81</v>
      </c>
      <c r="G231" s="25">
        <f t="shared" si="55"/>
        <v>-2.1816572206409757E-2</v>
      </c>
      <c r="H231" s="25"/>
      <c r="I231" s="25">
        <f t="shared" si="56"/>
        <v>-2.1276595744680882E-2</v>
      </c>
      <c r="J231">
        <v>9984.17</v>
      </c>
      <c r="K231">
        <v>9929.06</v>
      </c>
      <c r="L231" s="25">
        <f t="shared" si="54"/>
        <v>-5.5197377448501506E-3</v>
      </c>
      <c r="M231">
        <f t="shared" ref="M231:M236" si="64">WEEKDAY(A231,2)</f>
        <v>5</v>
      </c>
    </row>
    <row r="232" spans="1:14" x14ac:dyDescent="0.15">
      <c r="A232" s="1">
        <v>42730</v>
      </c>
      <c r="B232">
        <v>10.58</v>
      </c>
      <c r="C232" s="25">
        <f t="shared" si="62"/>
        <v>0</v>
      </c>
      <c r="D232" s="26">
        <f t="shared" si="63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4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2"/>
        <v>0</v>
      </c>
      <c r="D233" s="26">
        <f t="shared" si="63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4"/>
        <v>-2.732560291926811E-3</v>
      </c>
      <c r="M233">
        <f t="shared" si="64"/>
        <v>2</v>
      </c>
    </row>
    <row r="234" spans="1:14" x14ac:dyDescent="0.15">
      <c r="A234" s="1">
        <v>42732</v>
      </c>
      <c r="B234">
        <v>10.54</v>
      </c>
      <c r="C234" s="25">
        <f t="shared" si="62"/>
        <v>-3.780718336483968E-3</v>
      </c>
      <c r="D234" s="26">
        <f t="shared" si="63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4"/>
        <v>-4.5670804998104719E-3</v>
      </c>
      <c r="M234">
        <f t="shared" si="64"/>
        <v>3</v>
      </c>
    </row>
    <row r="235" spans="1:14" x14ac:dyDescent="0.15">
      <c r="A235" s="1">
        <v>42733</v>
      </c>
      <c r="B235">
        <v>10.52</v>
      </c>
      <c r="C235" s="25">
        <f t="shared" si="62"/>
        <v>-1.8975332068310591E-3</v>
      </c>
      <c r="D235" s="26">
        <f t="shared" si="63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4"/>
        <v>-5.8459138070399153E-4</v>
      </c>
      <c r="M235">
        <f t="shared" si="64"/>
        <v>4</v>
      </c>
    </row>
    <row r="236" spans="1:14" x14ac:dyDescent="0.15">
      <c r="A236" s="1">
        <v>42734</v>
      </c>
      <c r="B236">
        <v>10.54</v>
      </c>
      <c r="C236" s="25">
        <f t="shared" si="62"/>
        <v>1.9011406844104961E-3</v>
      </c>
      <c r="D236" s="26">
        <f t="shared" ref="D236:D248" si="65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4"/>
        <v>5.5104753490942127E-3</v>
      </c>
      <c r="M236">
        <f t="shared" si="64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2"/>
        <v>1.3282732447817969E-2</v>
      </c>
      <c r="D237" s="26">
        <f t="shared" si="65"/>
        <v>10.963368404160358</v>
      </c>
      <c r="E237" s="26"/>
      <c r="F237">
        <v>10.938000000000001</v>
      </c>
      <c r="G237" s="25">
        <f t="shared" ref="G237:G243" si="66">+B237/D237-1</f>
        <v>-2.5846837733996542E-2</v>
      </c>
      <c r="H237" s="25"/>
      <c r="I237" s="25">
        <f t="shared" ref="I237:I258" si="67">+B237/F237-1</f>
        <v>-2.3587493143170657E-2</v>
      </c>
      <c r="J237">
        <v>9970.2999999999993</v>
      </c>
      <c r="K237">
        <v>10065.200000000001</v>
      </c>
      <c r="L237" s="25">
        <f t="shared" si="54"/>
        <v>9.5182692597015617E-3</v>
      </c>
      <c r="M237">
        <f t="shared" ref="M237:M250" si="68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2"/>
        <v>1.1235955056179803E-2</v>
      </c>
      <c r="D238" s="26">
        <f t="shared" si="65"/>
        <v>11.015841368278823</v>
      </c>
      <c r="E238" s="26">
        <f>D238*(1-VLOOKUP(A238,FX!A:K,9,0))</f>
        <v>11.055169343777951</v>
      </c>
      <c r="F238">
        <v>11.01</v>
      </c>
      <c r="G238" s="25">
        <f t="shared" si="66"/>
        <v>-1.9593725169314569E-2</v>
      </c>
      <c r="H238" s="25">
        <f>(+B238/(D238*(1-VLOOKUP(A238,FX!A:K,9,0)))-1)</f>
        <v>-2.3081450481947097E-2</v>
      </c>
      <c r="I238" s="25">
        <f t="shared" si="67"/>
        <v>-1.9073569482288777E-2</v>
      </c>
      <c r="J238">
        <v>10065.200000000001</v>
      </c>
      <c r="K238">
        <v>10136.83</v>
      </c>
      <c r="L238" s="25">
        <f t="shared" si="54"/>
        <v>7.1165997695028516E-3</v>
      </c>
      <c r="M238">
        <f t="shared" si="68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2"/>
        <v>9.2592592592593004E-3</v>
      </c>
      <c r="D239" s="26">
        <f t="shared" si="65"/>
        <v>11.006600386905966</v>
      </c>
      <c r="E239" s="26">
        <f>D239*(1-VLOOKUP(A239,FX!A:K,9,0))</f>
        <v>11.184882640929851</v>
      </c>
      <c r="F239">
        <v>11.039</v>
      </c>
      <c r="G239" s="25">
        <f t="shared" si="66"/>
        <v>-9.685132843814559E-3</v>
      </c>
      <c r="H239" s="25">
        <f>(+B239/(D239*(1-VLOOKUP(A239,FX!A:K,9,0)))-1)</f>
        <v>-2.5470329021366256E-2</v>
      </c>
      <c r="I239" s="25">
        <f t="shared" si="67"/>
        <v>-1.2591720264516604E-2</v>
      </c>
      <c r="J239">
        <v>10136.83</v>
      </c>
      <c r="K239">
        <v>10133.700000000001</v>
      </c>
      <c r="L239" s="25">
        <f t="shared" si="54"/>
        <v>-3.0877503124737693E-4</v>
      </c>
      <c r="M239">
        <f t="shared" si="68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2"/>
        <v>-3.6697247706423131E-3</v>
      </c>
      <c r="D240" s="26">
        <f t="shared" si="65"/>
        <v>10.984239100229926</v>
      </c>
      <c r="E240" s="26">
        <f>D240*(1-VLOOKUP(A240,FX!A:K,9,0))</f>
        <v>11.014194816824469</v>
      </c>
      <c r="F240">
        <v>11.086</v>
      </c>
      <c r="G240" s="25">
        <f t="shared" si="66"/>
        <v>-1.1310669687382036E-2</v>
      </c>
      <c r="H240" s="25">
        <f>(+B240/(D240*(1-VLOOKUP(A240,FX!A:K,9,0)))-1)</f>
        <v>-1.399964494807493E-2</v>
      </c>
      <c r="I240" s="25">
        <f t="shared" si="67"/>
        <v>-2.038607252390412E-2</v>
      </c>
      <c r="J240">
        <v>10133.700000000001</v>
      </c>
      <c r="K240">
        <v>10083.43</v>
      </c>
      <c r="L240" s="25">
        <f t="shared" si="54"/>
        <v>-4.9606757650216826E-3</v>
      </c>
      <c r="M240">
        <f t="shared" si="68"/>
        <v>5</v>
      </c>
    </row>
    <row r="241" spans="1:14" x14ac:dyDescent="0.15">
      <c r="A241" s="1">
        <v>42744</v>
      </c>
      <c r="B241">
        <v>10.86</v>
      </c>
      <c r="C241" s="25">
        <f t="shared" si="62"/>
        <v>0</v>
      </c>
      <c r="D241" s="26">
        <f t="shared" si="65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6"/>
        <v>-2.3952081838697126E-2</v>
      </c>
      <c r="H241" s="25">
        <f>(+B241/(D241*(1-VLOOKUP(A241,FX!A:K,9,0)))-1)</f>
        <v>-1.3130131230603137E-2</v>
      </c>
      <c r="I241" s="25">
        <f t="shared" si="67"/>
        <v>-1.5501767745444761E-2</v>
      </c>
      <c r="J241">
        <v>10083.43</v>
      </c>
      <c r="K241">
        <v>10120.27</v>
      </c>
      <c r="L241" s="25">
        <f t="shared" si="54"/>
        <v>3.6535186935398034E-3</v>
      </c>
      <c r="M241">
        <f t="shared" si="68"/>
        <v>1</v>
      </c>
    </row>
    <row r="242" spans="1:14" x14ac:dyDescent="0.15">
      <c r="A242" s="1">
        <v>42745</v>
      </c>
      <c r="B242">
        <v>10.86</v>
      </c>
      <c r="C242" s="25">
        <f t="shared" si="62"/>
        <v>0</v>
      </c>
      <c r="D242" s="26">
        <f t="shared" si="65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6"/>
        <v>-1.3114582916363471E-2</v>
      </c>
      <c r="H242" s="25">
        <f>(+B242/(D242*(1-VLOOKUP(A242,FX!A:K,9,0)))-1)</f>
        <v>-1.4561009782627643E-2</v>
      </c>
      <c r="I242" s="25">
        <f t="shared" si="67"/>
        <v>-1.3444767441860406E-2</v>
      </c>
      <c r="J242">
        <v>10120.27</v>
      </c>
      <c r="K242">
        <v>10095.790000000001</v>
      </c>
      <c r="L242" s="25">
        <f t="shared" si="54"/>
        <v>-2.4189077959382299E-3</v>
      </c>
      <c r="M242">
        <f t="shared" si="68"/>
        <v>2</v>
      </c>
    </row>
    <row r="243" spans="1:14" x14ac:dyDescent="0.15">
      <c r="A243" s="1">
        <v>42746</v>
      </c>
      <c r="B243">
        <v>10.84</v>
      </c>
      <c r="C243" s="25">
        <f t="shared" si="62"/>
        <v>-1.8416206261510082E-3</v>
      </c>
      <c r="D243" s="26">
        <f t="shared" si="65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6"/>
        <v>-1.1755322372430044E-2</v>
      </c>
      <c r="H243" s="25">
        <f>(+B243/(D243*(1-VLOOKUP(A243,FX!A:K,9,0)))-1)</f>
        <v>-8.4008717657289012E-3</v>
      </c>
      <c r="I243" s="25">
        <f t="shared" si="67"/>
        <v>-1.1490060186029494E-2</v>
      </c>
      <c r="J243">
        <v>10095.790000000001</v>
      </c>
      <c r="K243">
        <v>10059.969999999999</v>
      </c>
      <c r="L243" s="25">
        <f t="shared" si="54"/>
        <v>-3.5480135779371036E-3</v>
      </c>
      <c r="M243">
        <f t="shared" si="68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2"/>
        <v>0</v>
      </c>
      <c r="D244" s="26">
        <f t="shared" si="65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9">+B244/D244-1</f>
        <v>-1.0114449722690599E-2</v>
      </c>
      <c r="H244" s="25">
        <f>(+B244/(D244*(1-VLOOKUP(A244,FX!A:K,9,0)))-1)</f>
        <v>-1.1326082033059515E-2</v>
      </c>
      <c r="I244" s="25">
        <f t="shared" si="67"/>
        <v>-1.11293559569422E-2</v>
      </c>
      <c r="J244">
        <v>10059.969999999999</v>
      </c>
      <c r="K244">
        <v>10045.99</v>
      </c>
      <c r="L244" s="25">
        <f t="shared" si="54"/>
        <v>-1.3896661719666747E-3</v>
      </c>
      <c r="M244">
        <f t="shared" si="68"/>
        <v>4</v>
      </c>
    </row>
    <row r="245" spans="1:14" ht="27" x14ac:dyDescent="0.15">
      <c r="A245" s="1">
        <v>42748</v>
      </c>
      <c r="B245">
        <v>10.9</v>
      </c>
      <c r="C245" s="25">
        <f t="shared" si="62"/>
        <v>5.5350553505535416E-3</v>
      </c>
      <c r="D245" s="26">
        <f t="shared" si="65"/>
        <v>11.023237114510369</v>
      </c>
      <c r="E245" s="26">
        <f>D245*(1-VLOOKUP(A245,FX!A:K,9,0))</f>
        <v>11.069766234451032</v>
      </c>
      <c r="F245">
        <v>11.061</v>
      </c>
      <c r="G245" s="25">
        <f t="shared" si="69"/>
        <v>-1.1179757201098983E-2</v>
      </c>
      <c r="H245" s="25">
        <f>(+B245/(D245*(1-VLOOKUP(A245,FX!A:K,9,0)))-1)</f>
        <v>-1.5336027053822532E-2</v>
      </c>
      <c r="I245" s="25">
        <f t="shared" si="67"/>
        <v>-1.4555645963294395E-2</v>
      </c>
      <c r="J245">
        <v>10045.99</v>
      </c>
      <c r="K245">
        <v>10102.11</v>
      </c>
      <c r="L245" s="25">
        <f t="shared" si="54"/>
        <v>5.5863085669010104E-3</v>
      </c>
      <c r="M245">
        <f t="shared" si="68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2"/>
        <v>3.669724770642091E-3</v>
      </c>
      <c r="D246" s="26">
        <f t="shared" si="65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9"/>
        <v>-2.094301504336471E-2</v>
      </c>
      <c r="H246" s="25">
        <f>(+B246/(D246*(1-VLOOKUP(A246,FX!A:K,9,0)))-1)</f>
        <v>-2.1991164417403675E-2</v>
      </c>
      <c r="I246" s="25">
        <f t="shared" si="67"/>
        <v>-2.1291823224190543E-2</v>
      </c>
      <c r="J246">
        <v>10102.11</v>
      </c>
      <c r="K246">
        <v>10205.33</v>
      </c>
      <c r="L246" s="25">
        <f t="shared" si="54"/>
        <v>1.021766739819685E-2</v>
      </c>
      <c r="M246">
        <f t="shared" si="68"/>
        <v>1</v>
      </c>
    </row>
    <row r="247" spans="1:14" x14ac:dyDescent="0.15">
      <c r="A247" s="1">
        <v>42752</v>
      </c>
      <c r="B247">
        <v>10.96</v>
      </c>
      <c r="C247" s="25">
        <f t="shared" si="62"/>
        <v>1.8281535648996261E-3</v>
      </c>
      <c r="D247" s="26">
        <f t="shared" si="65"/>
        <v>11.155951409704539</v>
      </c>
      <c r="E247" s="26">
        <f>D247*(1-VLOOKUP(A247,FX!A:K,9,0))</f>
        <v>11.193202887710433</v>
      </c>
      <c r="F247">
        <v>11.137</v>
      </c>
      <c r="G247" s="25">
        <f t="shared" si="69"/>
        <v>-1.7564742128051924E-2</v>
      </c>
      <c r="H247" s="25">
        <f>(+B247/(D247*(1-VLOOKUP(A247,FX!A:K,9,0)))-1)</f>
        <v>-2.0834330445888449E-2</v>
      </c>
      <c r="I247" s="25">
        <f t="shared" si="67"/>
        <v>-1.5892969381341437E-2</v>
      </c>
      <c r="J247">
        <v>10205.33</v>
      </c>
      <c r="K247">
        <v>10185.200000000001</v>
      </c>
      <c r="L247" s="25">
        <f t="shared" si="54"/>
        <v>-1.9724986845108816E-3</v>
      </c>
      <c r="M247">
        <f t="shared" si="68"/>
        <v>2</v>
      </c>
    </row>
    <row r="248" spans="1:14" x14ac:dyDescent="0.15">
      <c r="A248" s="1">
        <v>42753</v>
      </c>
      <c r="B248">
        <v>11.04</v>
      </c>
      <c r="C248" s="25">
        <f t="shared" si="62"/>
        <v>7.2992700729925808E-3</v>
      </c>
      <c r="D248" s="26">
        <f t="shared" si="65"/>
        <v>11.209156720535681</v>
      </c>
      <c r="E248" s="26">
        <f>D248*(1-VLOOKUP(A248,FX!A:K,9,0))</f>
        <v>11.223070917643275</v>
      </c>
      <c r="F248">
        <v>11.286</v>
      </c>
      <c r="G248" s="25">
        <f t="shared" si="69"/>
        <v>-1.5090940804296071E-2</v>
      </c>
      <c r="H248" s="25">
        <f>(+B248/(D248*(1-VLOOKUP(A248,FX!A:K,9,0)))-1)</f>
        <v>-1.6312016469171464E-2</v>
      </c>
      <c r="I248" s="25">
        <f t="shared" si="67"/>
        <v>-2.1796916533758703E-2</v>
      </c>
      <c r="J248">
        <v>10185.200000000001</v>
      </c>
      <c r="K248">
        <v>10251.19</v>
      </c>
      <c r="L248" s="25">
        <f t="shared" si="54"/>
        <v>6.4790087578054933E-3</v>
      </c>
      <c r="M248">
        <f t="shared" si="68"/>
        <v>3</v>
      </c>
    </row>
    <row r="249" spans="1:14" x14ac:dyDescent="0.15">
      <c r="A249" s="1">
        <v>42754</v>
      </c>
      <c r="B249">
        <v>10.96</v>
      </c>
      <c r="C249" s="25">
        <f t="shared" ref="C249:C280" si="70">B249/B248-1</f>
        <v>-7.246376811594013E-3</v>
      </c>
      <c r="D249" s="26">
        <f t="shared" ref="D249:D273" si="71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9"/>
        <v>-2.5971198772376525E-2</v>
      </c>
      <c r="H249" s="25">
        <f>(+B249/(D249*(1-VLOOKUP(A249,FX!A:K,9,0)))-1)</f>
        <v>-2.4778476771594393E-2</v>
      </c>
      <c r="I249" s="25">
        <f t="shared" si="67"/>
        <v>-2.5344597598932705E-2</v>
      </c>
      <c r="J249">
        <v>10251.19</v>
      </c>
      <c r="K249">
        <v>10220.52</v>
      </c>
      <c r="L249" s="25">
        <f t="shared" si="54"/>
        <v>-2.991847775721701E-3</v>
      </c>
      <c r="M249">
        <f t="shared" si="68"/>
        <v>4</v>
      </c>
    </row>
    <row r="250" spans="1:14" ht="27" x14ac:dyDescent="0.15">
      <c r="A250" s="1">
        <v>42755</v>
      </c>
      <c r="B250">
        <v>10.98</v>
      </c>
      <c r="C250" s="25">
        <f t="shared" si="70"/>
        <v>1.8248175182480342E-3</v>
      </c>
      <c r="D250" s="26">
        <f t="shared" si="71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9"/>
        <v>-2.8574036182967388E-2</v>
      </c>
      <c r="H250" s="25">
        <f>(+B250/(D250*(1-VLOOKUP(A250,FX!A:K,9,0)))-1)</f>
        <v>-2.7435785198178353E-2</v>
      </c>
      <c r="I250" s="25">
        <f t="shared" si="67"/>
        <v>-2.694080113434949E-2</v>
      </c>
      <c r="J250">
        <v>10220.52</v>
      </c>
      <c r="K250">
        <v>10273.209999999999</v>
      </c>
      <c r="L250" s="25">
        <f t="shared" si="54"/>
        <v>5.1553149937575427E-3</v>
      </c>
      <c r="M250">
        <f t="shared" si="68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70"/>
        <v>1.8214936247722413E-3</v>
      </c>
      <c r="D251" s="26">
        <f t="shared" si="71"/>
        <v>11.282374381522427</v>
      </c>
      <c r="E251" s="26">
        <f>D251*(1-VLOOKUP(A251,FX!A:K,9,0))</f>
        <v>11.318392887572164</v>
      </c>
      <c r="F251">
        <v>11.3</v>
      </c>
      <c r="G251" s="25">
        <f t="shared" si="69"/>
        <v>-2.5027921603530734E-2</v>
      </c>
      <c r="H251" s="25">
        <f>(+B251/(D251*(1-VLOOKUP(A251,FX!A:K,9,0)))-1)</f>
        <v>-2.8130573901685829E-2</v>
      </c>
      <c r="I251" s="25">
        <f t="shared" si="67"/>
        <v>-2.6548672566371723E-2</v>
      </c>
      <c r="J251">
        <v>10273.209999999999</v>
      </c>
      <c r="K251">
        <v>10271.73</v>
      </c>
      <c r="L251" s="25">
        <f t="shared" si="54"/>
        <v>-1.4406402672573204E-4</v>
      </c>
      <c r="M251">
        <f t="shared" ref="M251:M281" si="72">WEEKDAY(A251,2)</f>
        <v>1</v>
      </c>
    </row>
    <row r="252" spans="1:14" x14ac:dyDescent="0.15">
      <c r="A252" s="1">
        <v>42759</v>
      </c>
      <c r="B252">
        <v>11.04</v>
      </c>
      <c r="C252" s="25">
        <f t="shared" si="70"/>
        <v>3.6363636363636598E-3</v>
      </c>
      <c r="D252" s="26">
        <f t="shared" si="71"/>
        <v>11.34207908502268</v>
      </c>
      <c r="E252" s="26">
        <f>D252*(1-VLOOKUP(A252,FX!A:K,9,0))</f>
        <v>11.346322115937584</v>
      </c>
      <c r="F252">
        <v>11.381</v>
      </c>
      <c r="G252" s="25">
        <f t="shared" si="69"/>
        <v>-2.6633484280812247E-2</v>
      </c>
      <c r="H252" s="25">
        <f>(+B252/(D252*(1-VLOOKUP(A252,FX!A:K,9,0)))-1)</f>
        <v>-2.6997481016981739E-2</v>
      </c>
      <c r="I252" s="25">
        <f t="shared" si="67"/>
        <v>-2.9962217731306695E-2</v>
      </c>
      <c r="J252">
        <v>10271.73</v>
      </c>
      <c r="K252">
        <v>10309.98</v>
      </c>
      <c r="L252" s="25">
        <f t="shared" si="54"/>
        <v>3.7238128338654697E-3</v>
      </c>
      <c r="M252">
        <f t="shared" si="72"/>
        <v>2</v>
      </c>
    </row>
    <row r="253" spans="1:14" x14ac:dyDescent="0.15">
      <c r="A253" s="1">
        <v>42760</v>
      </c>
      <c r="B253">
        <v>11.06</v>
      </c>
      <c r="C253" s="25">
        <f t="shared" si="70"/>
        <v>1.8115942028986698E-3</v>
      </c>
      <c r="D253" s="26">
        <f t="shared" si="71"/>
        <v>11.404236713359289</v>
      </c>
      <c r="E253" s="26">
        <f>D253*(1-VLOOKUP(A253,FX!A:K,9,0))</f>
        <v>11.383088261482413</v>
      </c>
      <c r="F253">
        <v>11.359</v>
      </c>
      <c r="G253" s="25">
        <f t="shared" si="69"/>
        <v>-3.0184984932489001E-2</v>
      </c>
      <c r="H253" s="25">
        <f>(+B253/(D253*(1-VLOOKUP(A253,FX!A:K,9,0)))-1)</f>
        <v>-2.8383181616509545E-2</v>
      </c>
      <c r="I253" s="25">
        <f t="shared" si="67"/>
        <v>-2.6322739677788531E-2</v>
      </c>
      <c r="J253">
        <v>10309.98</v>
      </c>
      <c r="K253">
        <v>10331.030000000001</v>
      </c>
      <c r="L253" s="25">
        <f t="shared" si="54"/>
        <v>2.0417110411465877E-3</v>
      </c>
      <c r="M253">
        <f t="shared" si="72"/>
        <v>3</v>
      </c>
    </row>
    <row r="254" spans="1:14" x14ac:dyDescent="0.15">
      <c r="A254" s="1">
        <v>42761</v>
      </c>
      <c r="B254">
        <v>11.14</v>
      </c>
      <c r="C254" s="25">
        <f t="shared" si="70"/>
        <v>7.2332730560578096E-3</v>
      </c>
      <c r="D254" s="26">
        <f t="shared" si="71"/>
        <v>11.392655791339292</v>
      </c>
      <c r="E254" s="26">
        <f>D254*(1-VLOOKUP(A254,FX!A:K,9,0))</f>
        <v>11.397036627284683</v>
      </c>
      <c r="F254">
        <v>11.394</v>
      </c>
      <c r="G254" s="25">
        <f t="shared" si="69"/>
        <v>-2.2177075825582371E-2</v>
      </c>
      <c r="H254" s="25">
        <f>(+B254/(D254*(1-VLOOKUP(A254,FX!A:K,9,0)))-1)</f>
        <v>-2.2552935090980775E-2</v>
      </c>
      <c r="I254" s="25">
        <f t="shared" si="67"/>
        <v>-2.2292434614709422E-2</v>
      </c>
      <c r="J254">
        <v>10331.030000000001</v>
      </c>
      <c r="K254">
        <v>10361.64</v>
      </c>
      <c r="L254" s="25">
        <f t="shared" si="54"/>
        <v>2.9629185086093024E-3</v>
      </c>
      <c r="M254">
        <f t="shared" si="72"/>
        <v>4</v>
      </c>
    </row>
    <row r="255" spans="1:14" x14ac:dyDescent="0.15">
      <c r="A255" s="1">
        <v>42762</v>
      </c>
      <c r="B255">
        <v>11.14</v>
      </c>
      <c r="C255" s="25">
        <f t="shared" si="70"/>
        <v>0</v>
      </c>
      <c r="D255" s="26">
        <f t="shared" si="71"/>
        <v>11.394</v>
      </c>
      <c r="E255" s="26">
        <f>D255*(1-VLOOKUP(A255,FX!A:K,9,0))</f>
        <v>11.327377113580431</v>
      </c>
      <c r="F255">
        <v>11.394</v>
      </c>
      <c r="G255" s="25">
        <f t="shared" si="69"/>
        <v>-2.2292434614709422E-2</v>
      </c>
      <c r="H255" s="25">
        <f>(+B255/(D255*(1-VLOOKUP(A255,FX!A:K,9,0)))-1)</f>
        <v>-1.6541968339323976E-2</v>
      </c>
      <c r="I255" s="25">
        <f t="shared" si="67"/>
        <v>-2.2292434614709422E-2</v>
      </c>
      <c r="J255">
        <v>10361.64</v>
      </c>
      <c r="K255">
        <v>10361.64</v>
      </c>
      <c r="L255" s="25">
        <f t="shared" si="54"/>
        <v>0</v>
      </c>
      <c r="M255">
        <f t="shared" si="72"/>
        <v>5</v>
      </c>
    </row>
    <row r="256" spans="1:14" ht="27" x14ac:dyDescent="0.15">
      <c r="A256" s="1">
        <v>42767</v>
      </c>
      <c r="B256">
        <v>11.14</v>
      </c>
      <c r="C256" s="25">
        <f t="shared" si="70"/>
        <v>0</v>
      </c>
      <c r="D256" s="26">
        <f t="shared" si="71"/>
        <v>11.394</v>
      </c>
      <c r="E256" s="26">
        <f>D256*(1-VLOOKUP(A256,FX!A:K,9,0))</f>
        <v>11.426297450030166</v>
      </c>
      <c r="F256">
        <v>11.391999999999999</v>
      </c>
      <c r="G256" s="25">
        <f t="shared" si="69"/>
        <v>-2.2292434614709422E-2</v>
      </c>
      <c r="H256" s="25">
        <f>(+B256/(D256*(1-VLOOKUP(A256,FX!A:K,9,0)))-1)</f>
        <v>-2.5056012350650803E-2</v>
      </c>
      <c r="I256" s="25">
        <f t="shared" si="67"/>
        <v>-2.2120786516853785E-2</v>
      </c>
      <c r="J256">
        <v>10361.64</v>
      </c>
      <c r="K256">
        <v>10361.64</v>
      </c>
      <c r="L256" s="25">
        <f t="shared" si="54"/>
        <v>0</v>
      </c>
      <c r="M256">
        <f t="shared" si="72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70"/>
        <v>0</v>
      </c>
      <c r="D257" s="26">
        <f t="shared" si="71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9"/>
        <v>-2.2120786516853785E-2</v>
      </c>
      <c r="H257" s="25">
        <f>(+B257/(D257*(1-VLOOKUP(A257,FX!A:K,9,0)))-1)</f>
        <v>-2.4978288120692582E-2</v>
      </c>
      <c r="I257" s="25">
        <f t="shared" si="67"/>
        <v>-2.2120786516853785E-2</v>
      </c>
      <c r="J257">
        <v>10361.64</v>
      </c>
      <c r="K257">
        <v>10361.64</v>
      </c>
      <c r="L257" s="25">
        <f t="shared" si="54"/>
        <v>0</v>
      </c>
      <c r="M257">
        <f t="shared" si="72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70"/>
        <v>-8.9766606822263562E-3</v>
      </c>
      <c r="D258" s="26">
        <f t="shared" si="71"/>
        <v>11.273425411421359</v>
      </c>
      <c r="E258" s="26">
        <f>D258*(1-VLOOKUP(A258,FX!A:K,9,0))</f>
        <v>11.262181252958415</v>
      </c>
      <c r="F258">
        <v>11.279</v>
      </c>
      <c r="G258" s="25">
        <f t="shared" si="69"/>
        <v>-2.0705810603480868E-2</v>
      </c>
      <c r="H258" s="25">
        <f>(+B258/(D258*(1-VLOOKUP(A258,FX!A:K,9,0)))-1)</f>
        <v>-1.9728083571737276E-2</v>
      </c>
      <c r="I258" s="25">
        <f t="shared" si="67"/>
        <v>-2.1189821792712227E-2</v>
      </c>
      <c r="J258">
        <v>10361.64</v>
      </c>
      <c r="K258">
        <v>10253.790000000001</v>
      </c>
      <c r="L258" s="25">
        <f t="shared" si="54"/>
        <v>-1.0408583969332863E-2</v>
      </c>
      <c r="M258">
        <f t="shared" si="72"/>
        <v>5</v>
      </c>
    </row>
    <row r="259" spans="1:14" x14ac:dyDescent="0.15">
      <c r="A259" s="1">
        <v>42772</v>
      </c>
      <c r="B259">
        <v>11.1</v>
      </c>
      <c r="C259" s="25">
        <f t="shared" si="70"/>
        <v>5.4347826086957873E-3</v>
      </c>
      <c r="D259" s="26">
        <f t="shared" si="71"/>
        <v>11.298513707614454</v>
      </c>
      <c r="E259" s="26">
        <f>D259*(1-VLOOKUP(A259,FX!A:K,9,0))</f>
        <v>11.326541711339585</v>
      </c>
      <c r="F259">
        <v>11.286</v>
      </c>
      <c r="G259" s="25">
        <f t="shared" si="69"/>
        <v>-1.7569895718289819E-2</v>
      </c>
      <c r="H259" s="25">
        <f>(+B259/(D259*(1-VLOOKUP(A259,FX!A:K,9,0)))-1)</f>
        <v>-2.0000960320729066E-2</v>
      </c>
      <c r="I259" s="25">
        <f t="shared" ref="I259:I270" si="73">+B259/F259-1</f>
        <v>-1.6480595427963873E-2</v>
      </c>
      <c r="J259">
        <v>10253.790000000001</v>
      </c>
      <c r="K259">
        <v>10271.530000000001</v>
      </c>
      <c r="L259" s="25">
        <f t="shared" si="54"/>
        <v>1.7300919952525362E-3</v>
      </c>
      <c r="M259">
        <f t="shared" si="72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70"/>
        <v>-9.009009009009028E-3</v>
      </c>
      <c r="D260" s="26">
        <f t="shared" si="71"/>
        <v>11.254871981097265</v>
      </c>
      <c r="E260" s="26">
        <f>D260*(1-VLOOKUP(A260,FX!A:K,9,0))</f>
        <v>11.23338911146902</v>
      </c>
      <c r="F260">
        <v>11.253</v>
      </c>
      <c r="G260" s="25">
        <f t="shared" si="69"/>
        <v>-2.264548024405133E-2</v>
      </c>
      <c r="H260" s="25">
        <f>(+B260/(D260*(1-VLOOKUP(A260,FX!A:K,9,0)))-1)</f>
        <v>-2.0776375602509445E-2</v>
      </c>
      <c r="I260" s="25">
        <f t="shared" si="73"/>
        <v>-2.2482893450635366E-2</v>
      </c>
      <c r="J260">
        <v>10271.530000000001</v>
      </c>
      <c r="K260">
        <v>10243.200000000001</v>
      </c>
      <c r="L260" s="25">
        <f t="shared" si="54"/>
        <v>-2.758109064569747E-3</v>
      </c>
      <c r="M260">
        <f t="shared" si="72"/>
        <v>2</v>
      </c>
    </row>
    <row r="261" spans="1:14" x14ac:dyDescent="0.15">
      <c r="A261" s="1">
        <v>42774</v>
      </c>
      <c r="B261">
        <v>11.04</v>
      </c>
      <c r="C261" s="25">
        <f t="shared" si="70"/>
        <v>3.6363636363636598E-3</v>
      </c>
      <c r="D261" s="26">
        <f t="shared" si="71"/>
        <v>11.294229800257732</v>
      </c>
      <c r="E261" s="26">
        <f>D261*(1-VLOOKUP(A261,FX!A:K,9,0))</f>
        <v>11.251071825588989</v>
      </c>
      <c r="F261">
        <v>11.253</v>
      </c>
      <c r="G261" s="25">
        <f t="shared" si="69"/>
        <v>-2.2509706704562649E-2</v>
      </c>
      <c r="H261" s="25">
        <f>(+B261/(D261*(1-VLOOKUP(A261,FX!A:K,9,0)))-1)</f>
        <v>-1.8760152709090039E-2</v>
      </c>
      <c r="I261" s="25">
        <f t="shared" si="73"/>
        <v>-1.8928285790455912E-2</v>
      </c>
      <c r="J261">
        <v>10243.200000000001</v>
      </c>
      <c r="K261">
        <v>10280.73</v>
      </c>
      <c r="L261" s="25">
        <f t="shared" si="54"/>
        <v>3.6638940955950883E-3</v>
      </c>
      <c r="M261">
        <f t="shared" si="72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70"/>
        <v>5.4347826086957873E-3</v>
      </c>
      <c r="D262" s="26">
        <f t="shared" si="71"/>
        <v>11.295940062622012</v>
      </c>
      <c r="E262" s="26">
        <f>D262*(1-VLOOKUP(A262,FX!A:K,9,0))</f>
        <v>11.284061580981339</v>
      </c>
      <c r="F262">
        <v>11.318</v>
      </c>
      <c r="G262" s="25">
        <f t="shared" si="69"/>
        <v>-1.7346060755967896E-2</v>
      </c>
      <c r="H262" s="25">
        <f>(+B262/(D262*(1-VLOOKUP(A262,FX!A:K,9,0)))-1)</f>
        <v>-1.631164272371266E-2</v>
      </c>
      <c r="I262" s="25">
        <f t="shared" si="73"/>
        <v>-1.9261353596041753E-2</v>
      </c>
      <c r="J262">
        <v>10280.73</v>
      </c>
      <c r="K262">
        <v>10319.959999999999</v>
      </c>
      <c r="L262" s="25">
        <f t="shared" si="54"/>
        <v>3.8158768881197958E-3</v>
      </c>
      <c r="M262">
        <f t="shared" si="72"/>
        <v>4</v>
      </c>
    </row>
    <row r="263" spans="1:14" ht="54" x14ac:dyDescent="0.15">
      <c r="A263" s="1">
        <v>42776</v>
      </c>
      <c r="B263">
        <v>11.24</v>
      </c>
      <c r="C263" s="25">
        <f t="shared" si="70"/>
        <v>1.2612612612612706E-2</v>
      </c>
      <c r="D263" s="26">
        <f t="shared" si="71"/>
        <v>11.387728801274426</v>
      </c>
      <c r="E263" s="26">
        <f>D263*(1-VLOOKUP(A263,FX!A:K,9,0))</f>
        <v>11.360996836370443</v>
      </c>
      <c r="F263">
        <v>11.368</v>
      </c>
      <c r="G263" s="25">
        <f t="shared" si="69"/>
        <v>-1.2972630789898409E-2</v>
      </c>
      <c r="H263" s="25">
        <f>(+B263/(D263*(1-VLOOKUP(A263,FX!A:K,9,0)))-1)</f>
        <v>-1.0650195410942365E-2</v>
      </c>
      <c r="I263" s="25">
        <f t="shared" si="73"/>
        <v>-1.1259676284306797E-2</v>
      </c>
      <c r="J263">
        <v>10319.959999999999</v>
      </c>
      <c r="K263">
        <v>10383.540000000001</v>
      </c>
      <c r="L263" s="25">
        <f t="shared" si="54"/>
        <v>6.1608765925451614E-3</v>
      </c>
      <c r="M263">
        <f t="shared" si="72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70"/>
        <v>8.8967971530249379E-3</v>
      </c>
      <c r="D264" s="26">
        <f t="shared" si="71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9"/>
        <v>-8.9522990102766098E-3</v>
      </c>
      <c r="H264" s="25">
        <f>(+B264/(D264*(1-VLOOKUP(A264,FX!A:K,9,0)))-1)</f>
        <v>-6.9440962961675456E-3</v>
      </c>
      <c r="I264" s="25">
        <f t="shared" si="73"/>
        <v>-7.700385019251077E-3</v>
      </c>
      <c r="J264">
        <v>10383.540000000001</v>
      </c>
      <c r="K264">
        <v>10451.530000000001</v>
      </c>
      <c r="L264" s="25">
        <f t="shared" si="54"/>
        <v>6.5478632528019887E-3</v>
      </c>
      <c r="M264">
        <f t="shared" si="72"/>
        <v>1</v>
      </c>
    </row>
    <row r="265" spans="1:14" ht="27" x14ac:dyDescent="0.15">
      <c r="A265" s="1">
        <v>42780</v>
      </c>
      <c r="B265">
        <v>11.32</v>
      </c>
      <c r="C265" s="25">
        <f t="shared" si="70"/>
        <v>-1.7636684303350414E-3</v>
      </c>
      <c r="D265" s="26">
        <f t="shared" si="71"/>
        <v>11.39727466122185</v>
      </c>
      <c r="E265" s="26">
        <f>D265*(1-VLOOKUP(A265,FX!A:K,9,0))</f>
        <v>11.42629964239355</v>
      </c>
      <c r="F265">
        <v>11.413</v>
      </c>
      <c r="G265" s="25">
        <f t="shared" si="69"/>
        <v>-6.7800999378184734E-3</v>
      </c>
      <c r="H265" s="25">
        <f>(+B265/(D265*(1-VLOOKUP(A265,FX!A:K,9,0)))-1)</f>
        <v>-9.3030679852958986E-3</v>
      </c>
      <c r="I265" s="25">
        <f t="shared" si="73"/>
        <v>-8.1486024708665727E-3</v>
      </c>
      <c r="J265">
        <v>10451.530000000001</v>
      </c>
      <c r="K265">
        <v>10423.43</v>
      </c>
      <c r="L265" s="25">
        <f t="shared" si="54"/>
        <v>-2.68860157316686E-3</v>
      </c>
      <c r="M265">
        <f t="shared" si="72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70"/>
        <v>1.7667844522968323E-3</v>
      </c>
      <c r="D266" s="26">
        <f t="shared" si="71"/>
        <v>11.435172475854877</v>
      </c>
      <c r="E266" s="26">
        <f>D266*(1-VLOOKUP(A266,FX!A:K,9,0))</f>
        <v>11.453348560058304</v>
      </c>
      <c r="F266">
        <v>11.464</v>
      </c>
      <c r="G266" s="25">
        <f t="shared" si="69"/>
        <v>-8.3227844665947348E-3</v>
      </c>
      <c r="H266" s="25">
        <f>(+B266/(D266*(1-VLOOKUP(A266,FX!A:K,9,0)))-1)</f>
        <v>-9.8965433090536514E-3</v>
      </c>
      <c r="I266" s="25">
        <f t="shared" si="73"/>
        <v>-1.0816468946266644E-2</v>
      </c>
      <c r="J266">
        <v>10423.43</v>
      </c>
      <c r="K266">
        <v>10443.68</v>
      </c>
      <c r="L266" s="25">
        <f t="shared" si="54"/>
        <v>1.9427386186696705E-3</v>
      </c>
      <c r="M266">
        <f t="shared" si="72"/>
        <v>3</v>
      </c>
    </row>
    <row r="267" spans="1:14" x14ac:dyDescent="0.15">
      <c r="A267" s="1">
        <v>42782</v>
      </c>
      <c r="B267">
        <v>11.38</v>
      </c>
      <c r="C267" s="25">
        <f t="shared" si="70"/>
        <v>3.5273368606703048E-3</v>
      </c>
      <c r="D267" s="26">
        <f t="shared" si="71"/>
        <v>11.494746503148317</v>
      </c>
      <c r="E267" s="26">
        <f>D267*(1-VLOOKUP(A267,FX!A:K,9,0))</f>
        <v>11.504060683243887</v>
      </c>
      <c r="F267">
        <v>11.496</v>
      </c>
      <c r="G267" s="25">
        <f t="shared" si="69"/>
        <v>-9.9825170669826102E-3</v>
      </c>
      <c r="H267" s="25">
        <f>(+B267/(D267*(1-VLOOKUP(A267,FX!A:K,9,0)))-1)</f>
        <v>-1.0784077610489828E-2</v>
      </c>
      <c r="I267" s="25">
        <f t="shared" si="73"/>
        <v>-1.0090466249130126E-2</v>
      </c>
      <c r="J267">
        <v>10443.68</v>
      </c>
      <c r="K267">
        <v>10471.69</v>
      </c>
      <c r="L267" s="25">
        <f t="shared" si="54"/>
        <v>2.6820048105649086E-3</v>
      </c>
      <c r="M267">
        <f t="shared" si="72"/>
        <v>4</v>
      </c>
    </row>
    <row r="268" spans="1:14" x14ac:dyDescent="0.15">
      <c r="A268" s="1">
        <v>42783</v>
      </c>
      <c r="B268">
        <v>11.32</v>
      </c>
      <c r="C268" s="25">
        <f t="shared" si="70"/>
        <v>-5.2724077328647478E-3</v>
      </c>
      <c r="D268" s="26">
        <f t="shared" si="71"/>
        <v>11.432996278537656</v>
      </c>
      <c r="E268" s="26">
        <f>D268*(1-VLOOKUP(A268,FX!A:K,9,0))</f>
        <v>11.423773848131088</v>
      </c>
      <c r="F268">
        <v>11.459</v>
      </c>
      <c r="G268" s="25">
        <f t="shared" si="69"/>
        <v>-9.8833477930694302E-3</v>
      </c>
      <c r="H268" s="25">
        <f>(+B268/(D268*(1-VLOOKUP(A268,FX!A:K,9,0)))-1)</f>
        <v>-9.0840250788108978E-3</v>
      </c>
      <c r="I268" s="25">
        <f t="shared" si="73"/>
        <v>-1.2130203333624134E-2</v>
      </c>
      <c r="J268">
        <v>10471.69</v>
      </c>
      <c r="K268">
        <v>10414.299999999999</v>
      </c>
      <c r="L268" s="25">
        <f t="shared" si="54"/>
        <v>-5.4804907326325702E-3</v>
      </c>
      <c r="M268">
        <f t="shared" si="72"/>
        <v>5</v>
      </c>
    </row>
    <row r="269" spans="1:14" x14ac:dyDescent="0.15">
      <c r="A269" s="1">
        <v>42786</v>
      </c>
      <c r="B269">
        <v>11.5</v>
      </c>
      <c r="C269" s="25">
        <f t="shared" si="70"/>
        <v>1.5901060070671269E-2</v>
      </c>
      <c r="D269" s="26">
        <f t="shared" si="71"/>
        <v>11.634698138136985</v>
      </c>
      <c r="E269" s="26">
        <f>D269*(1-VLOOKUP(A269,FX!A:K,9,0))</f>
        <v>11.641407099892151</v>
      </c>
      <c r="F269">
        <v>11.587</v>
      </c>
      <c r="G269" s="25">
        <f t="shared" si="69"/>
        <v>-1.1577278287561388E-2</v>
      </c>
      <c r="H269" s="25">
        <f>(+B269/(D269*(1-VLOOKUP(A269,FX!A:K,9,0)))-1)</f>
        <v>-1.2146907902006121E-2</v>
      </c>
      <c r="I269" s="25">
        <f t="shared" si="73"/>
        <v>-7.5084146025717891E-3</v>
      </c>
      <c r="J269">
        <v>10414.299999999999</v>
      </c>
      <c r="K269">
        <v>10573.98</v>
      </c>
      <c r="L269" s="25">
        <f t="shared" si="54"/>
        <v>1.5332763603890909E-2</v>
      </c>
      <c r="M269">
        <f t="shared" si="72"/>
        <v>1</v>
      </c>
    </row>
    <row r="270" spans="1:14" x14ac:dyDescent="0.15">
      <c r="A270" s="1">
        <v>42787</v>
      </c>
      <c r="B270">
        <v>11.44</v>
      </c>
      <c r="C270" s="25">
        <f t="shared" si="70"/>
        <v>-5.2173913043478404E-3</v>
      </c>
      <c r="D270" s="26">
        <f t="shared" si="71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9"/>
        <v>-1.3255872213357445E-2</v>
      </c>
      <c r="H270" s="25">
        <f>(+B270/(D270*(1-VLOOKUP(A270,FX!A:K,9,0)))-1)</f>
        <v>-1.0926075640295685E-2</v>
      </c>
      <c r="I270" s="25">
        <f t="shared" si="73"/>
        <v>-1.2516184721622858E-2</v>
      </c>
      <c r="J270">
        <v>10573.98</v>
      </c>
      <c r="K270">
        <v>10580.08</v>
      </c>
      <c r="L270" s="25">
        <f t="shared" si="54"/>
        <v>5.7688779437836679E-4</v>
      </c>
      <c r="M270">
        <f t="shared" si="72"/>
        <v>2</v>
      </c>
    </row>
    <row r="271" spans="1:14" x14ac:dyDescent="0.15">
      <c r="A271" s="1">
        <v>42788</v>
      </c>
      <c r="B271">
        <v>11.46</v>
      </c>
      <c r="C271" s="25">
        <f t="shared" si="70"/>
        <v>1.7482517482518833E-3</v>
      </c>
      <c r="D271" s="26">
        <f t="shared" si="71"/>
        <v>11.593486112581381</v>
      </c>
      <c r="E271" s="26">
        <f>D271*(1-VLOOKUP(A271,FX!A:K,9,0))</f>
        <v>11.59601982947439</v>
      </c>
      <c r="F271">
        <v>11.586</v>
      </c>
      <c r="G271" s="25">
        <f t="shared" si="69"/>
        <v>-1.1513889030886015E-2</v>
      </c>
      <c r="H271" s="25">
        <f>(+B271/(D271*(1-VLOOKUP(A271,FX!A:K,9,0)))-1)</f>
        <v>-1.1729872100482153E-2</v>
      </c>
      <c r="I271" s="25">
        <f t="shared" ref="I271:I340" si="74">+B271/F271-1</f>
        <v>-1.0875194199896354E-2</v>
      </c>
      <c r="J271">
        <v>10580.08</v>
      </c>
      <c r="K271">
        <v>10587.83</v>
      </c>
      <c r="L271" s="25">
        <f t="shared" si="54"/>
        <v>7.3250863887608375E-4</v>
      </c>
      <c r="M271">
        <f t="shared" si="72"/>
        <v>3</v>
      </c>
    </row>
    <row r="272" spans="1:14" x14ac:dyDescent="0.15">
      <c r="A272" s="1">
        <v>42789</v>
      </c>
      <c r="B272">
        <v>11.4</v>
      </c>
      <c r="C272" s="25">
        <f t="shared" si="70"/>
        <v>-5.2356020942408987E-3</v>
      </c>
      <c r="D272" s="26">
        <f t="shared" si="71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9"/>
        <v>-1.1747217045437908E-2</v>
      </c>
      <c r="H272" s="25">
        <f>(+B272/(D272*(1-VLOOKUP(A272,FX!A:K,9,0)))-1)</f>
        <v>-1.1534791383166598E-2</v>
      </c>
      <c r="I272" s="25">
        <f t="shared" si="74"/>
        <v>-1.3499480789200269E-2</v>
      </c>
      <c r="J272">
        <v>10587.83</v>
      </c>
      <c r="K272">
        <v>10541.69</v>
      </c>
      <c r="L272" s="25">
        <f t="shared" si="54"/>
        <v>-4.3578334748479719E-3</v>
      </c>
      <c r="M272">
        <f t="shared" si="72"/>
        <v>4</v>
      </c>
    </row>
    <row r="273" spans="1:14" ht="40.5" x14ac:dyDescent="0.15">
      <c r="A273" s="1">
        <v>42790</v>
      </c>
      <c r="B273">
        <v>11.38</v>
      </c>
      <c r="C273" s="25">
        <f t="shared" si="70"/>
        <v>-1.7543859649122862E-3</v>
      </c>
      <c r="D273" s="26">
        <f t="shared" si="71"/>
        <v>11.54182588939724</v>
      </c>
      <c r="E273" s="26">
        <f>D273*(1-VLOOKUP(A273,FX!A:K,9,0))</f>
        <v>11.55318119481201</v>
      </c>
      <c r="F273">
        <v>11.548</v>
      </c>
      <c r="G273" s="25">
        <f t="shared" si="69"/>
        <v>-1.4020822263997146E-2</v>
      </c>
      <c r="H273" s="25">
        <f>(+B273/(D273*(1-VLOOKUP(A273,FX!A:K,9,0)))-1)</f>
        <v>-1.4989914196946619E-2</v>
      </c>
      <c r="I273" s="25">
        <f t="shared" si="74"/>
        <v>-1.4547973675095194E-2</v>
      </c>
      <c r="J273">
        <v>10541.69</v>
      </c>
      <c r="K273">
        <v>10528.76</v>
      </c>
      <c r="L273" s="25">
        <f t="shared" ref="L273:L281" si="75">+K273/J273-1</f>
        <v>-1.2265585499099396E-3</v>
      </c>
      <c r="M273">
        <f t="shared" si="72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70"/>
        <v>-7.0298769771529601E-3</v>
      </c>
      <c r="D274" s="26">
        <f t="shared" ref="D274:D279" si="76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9"/>
        <v>-1.2564164877613915E-2</v>
      </c>
      <c r="H274" s="25">
        <f>(+B274/(D274*(1-VLOOKUP(A274,FX!A:K,9,0)))-1)</f>
        <v>-1.2171704445465892E-2</v>
      </c>
      <c r="I274" s="25">
        <f t="shared" si="74"/>
        <v>-1.0334559467507276E-2</v>
      </c>
      <c r="J274">
        <v>10528.76</v>
      </c>
      <c r="K274">
        <v>10433.74</v>
      </c>
      <c r="L274" s="25">
        <f t="shared" si="75"/>
        <v>-9.0248044404089844E-3</v>
      </c>
      <c r="M274">
        <f t="shared" si="72"/>
        <v>1</v>
      </c>
    </row>
    <row r="275" spans="1:14" x14ac:dyDescent="0.15">
      <c r="A275" s="1">
        <v>42794</v>
      </c>
      <c r="B275">
        <v>11.28</v>
      </c>
      <c r="C275" s="25">
        <f t="shared" si="70"/>
        <v>-1.7699115044248481E-3</v>
      </c>
      <c r="D275" s="26">
        <f t="shared" si="76"/>
        <v>11.424894306356109</v>
      </c>
      <c r="E275" s="26">
        <f>D275*(1-VLOOKUP(A275,FX!A:K,9,0))</f>
        <v>11.434390928794839</v>
      </c>
      <c r="F275">
        <v>11.435</v>
      </c>
      <c r="G275" s="25">
        <f t="shared" si="69"/>
        <v>-1.2682332323678436E-2</v>
      </c>
      <c r="H275" s="25">
        <f>(+B275/(D275*(1-VLOOKUP(A275,FX!A:K,9,0)))-1)</f>
        <v>-1.350233079805252E-2</v>
      </c>
      <c r="I275" s="25">
        <f t="shared" si="74"/>
        <v>-1.3554875382597364E-2</v>
      </c>
      <c r="J275">
        <v>10433.74</v>
      </c>
      <c r="K275">
        <v>10440.040000000001</v>
      </c>
      <c r="L275" s="25">
        <f t="shared" si="75"/>
        <v>6.0381033071554846E-4</v>
      </c>
      <c r="M275">
        <f t="shared" si="72"/>
        <v>2</v>
      </c>
    </row>
    <row r="276" spans="1:14" x14ac:dyDescent="0.15">
      <c r="A276" s="1">
        <v>42795</v>
      </c>
      <c r="B276">
        <v>11.28</v>
      </c>
      <c r="C276" s="25">
        <f t="shared" si="70"/>
        <v>0</v>
      </c>
      <c r="D276" s="26">
        <f t="shared" si="76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7">+B276/D276-1</f>
        <v>-1.4305473223972243E-2</v>
      </c>
      <c r="H276" s="25">
        <f>(+B276/(D276*(1-VLOOKUP(A276,FX!A:K,9,0)))-1)</f>
        <v>-1.1998347956020172E-2</v>
      </c>
      <c r="I276" s="25">
        <f t="shared" si="74"/>
        <v>-1.3727376060155616E-2</v>
      </c>
      <c r="J276">
        <v>10440.040000000001</v>
      </c>
      <c r="K276">
        <v>10447.99</v>
      </c>
      <c r="L276" s="25">
        <f t="shared" si="75"/>
        <v>7.6149133528202739E-4</v>
      </c>
      <c r="M276">
        <f t="shared" si="72"/>
        <v>3</v>
      </c>
    </row>
    <row r="277" spans="1:14" x14ac:dyDescent="0.15">
      <c r="A277" s="1">
        <v>42796</v>
      </c>
      <c r="B277">
        <v>11.16</v>
      </c>
      <c r="C277" s="25">
        <f t="shared" si="70"/>
        <v>-1.0638297872340385E-2</v>
      </c>
      <c r="D277" s="26">
        <f t="shared" si="76"/>
        <v>11.353324165700769</v>
      </c>
      <c r="E277" s="26">
        <f>D277*(1-VLOOKUP(A277,FX!A:K,9,0))</f>
        <v>11.346385944930038</v>
      </c>
      <c r="F277">
        <v>11.352</v>
      </c>
      <c r="G277" s="25">
        <f t="shared" si="77"/>
        <v>-1.7027979019996198E-2</v>
      </c>
      <c r="H277" s="25">
        <f>(+B277/(D277*(1-VLOOKUP(A277,FX!A:K,9,0)))-1)</f>
        <v>-1.6426899792997274E-2</v>
      </c>
      <c r="I277" s="25">
        <f t="shared" si="74"/>
        <v>-1.6913319238900604E-2</v>
      </c>
      <c r="J277">
        <v>10447.99</v>
      </c>
      <c r="K277">
        <v>10371.549999999999</v>
      </c>
      <c r="L277" s="25">
        <f t="shared" si="75"/>
        <v>-7.3162397743490315E-3</v>
      </c>
      <c r="M277">
        <f t="shared" si="72"/>
        <v>4</v>
      </c>
    </row>
    <row r="278" spans="1:14" x14ac:dyDescent="0.15">
      <c r="A278" s="1">
        <v>42797</v>
      </c>
      <c r="B278">
        <v>11.08</v>
      </c>
      <c r="C278" s="25">
        <f t="shared" si="70"/>
        <v>-7.1684587813619638E-3</v>
      </c>
      <c r="D278" s="26">
        <f t="shared" si="76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7"/>
        <v>-2.1797871878792785E-2</v>
      </c>
      <c r="H278" s="25">
        <f>(+B278/(D278*(1-VLOOKUP(A278,FX!A:K,9,0)))-1)</f>
        <v>-1.8676766263524658E-2</v>
      </c>
      <c r="I278" s="25">
        <f t="shared" si="74"/>
        <v>-2.0509193776520496E-2</v>
      </c>
      <c r="J278">
        <v>10371.549999999999</v>
      </c>
      <c r="K278">
        <v>10348.620000000001</v>
      </c>
      <c r="L278" s="25">
        <f t="shared" si="75"/>
        <v>-2.2108556580259231E-3</v>
      </c>
      <c r="M278">
        <f t="shared" si="72"/>
        <v>5</v>
      </c>
    </row>
    <row r="279" spans="1:14" x14ac:dyDescent="0.15">
      <c r="A279" s="1">
        <v>42800</v>
      </c>
      <c r="B279">
        <v>11.12</v>
      </c>
      <c r="C279" s="25">
        <f t="shared" si="70"/>
        <v>3.6101083032489267E-3</v>
      </c>
      <c r="D279" s="26">
        <f t="shared" si="76"/>
        <v>11.333665095442676</v>
      </c>
      <c r="E279" s="26">
        <f>D279*(1-VLOOKUP(A279,FX!A:K,9,0))</f>
        <v>11.336294773326339</v>
      </c>
      <c r="F279">
        <v>11.35</v>
      </c>
      <c r="G279" s="25">
        <f t="shared" si="77"/>
        <v>-1.8852250674725957E-2</v>
      </c>
      <c r="H279" s="25">
        <f>(+B279/(D279*(1-VLOOKUP(A279,FX!A:K,9,0)))-1)</f>
        <v>-1.9079847309128595E-2</v>
      </c>
      <c r="I279" s="25">
        <f t="shared" si="74"/>
        <v>-2.0264317180616831E-2</v>
      </c>
      <c r="J279">
        <v>10348.620000000001</v>
      </c>
      <c r="K279">
        <v>10368.44</v>
      </c>
      <c r="L279" s="25">
        <f t="shared" si="75"/>
        <v>1.9152312095718216E-3</v>
      </c>
      <c r="M279">
        <f t="shared" si="72"/>
        <v>1</v>
      </c>
    </row>
    <row r="280" spans="1:14" x14ac:dyDescent="0.15">
      <c r="A280" s="1">
        <f>+A279+1</f>
        <v>42801</v>
      </c>
      <c r="B280">
        <v>11.2</v>
      </c>
      <c r="C280" s="25">
        <f t="shared" si="70"/>
        <v>7.194244604316502E-3</v>
      </c>
      <c r="D280" s="26">
        <f t="shared" ref="D280:D318" si="78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7"/>
        <v>-1.6774778459835105E-2</v>
      </c>
      <c r="H280" s="25">
        <f>(+B280/(D280*(1-VLOOKUP(A280,FX!A:K,9,0)))-1)</f>
        <v>-1.6600079523257039E-2</v>
      </c>
      <c r="I280" s="25">
        <f t="shared" si="74"/>
        <v>-1.4431538190778026E-2</v>
      </c>
      <c r="J280">
        <v>10368.44</v>
      </c>
      <c r="K280">
        <v>10405.969999999999</v>
      </c>
      <c r="L280" s="25">
        <f t="shared" si="75"/>
        <v>3.6196380554835983E-3</v>
      </c>
      <c r="M280">
        <f t="shared" si="72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9">B281/B280-1</f>
        <v>0</v>
      </c>
      <c r="D281" s="26">
        <f t="shared" si="78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7"/>
        <v>-1.4004202628005058E-2</v>
      </c>
      <c r="H281" s="25">
        <f>(+B281/(D281*(1-VLOOKUP(A281,FX!A:K,9,0)))-1)</f>
        <v>-1.2920570787389396E-2</v>
      </c>
      <c r="I281" s="25">
        <f t="shared" si="74"/>
        <v>-1.3041945717307102E-2</v>
      </c>
      <c r="J281">
        <v>10405.969999999999</v>
      </c>
      <c r="K281">
        <v>10401.459999999999</v>
      </c>
      <c r="L281" s="25">
        <f t="shared" si="75"/>
        <v>-4.3340505498290494E-4</v>
      </c>
      <c r="M281">
        <f t="shared" si="72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9"/>
        <v>-7.1428571428571175E-3</v>
      </c>
      <c r="D282" s="26">
        <f t="shared" si="78"/>
        <v>11.281525328175086</v>
      </c>
      <c r="E282" s="26">
        <f>D282*(1-VLOOKUP(A282,FX!A:K,9,0))</f>
        <v>11.266909677375562</v>
      </c>
      <c r="F282">
        <v>11.269</v>
      </c>
      <c r="G282" s="25">
        <f t="shared" si="77"/>
        <v>-1.4317685195607721E-2</v>
      </c>
      <c r="H282" s="25">
        <f>(+B282/(D282*(1-VLOOKUP(A282,FX!A:K,9,0)))-1)</f>
        <v>-1.3039039238111894E-2</v>
      </c>
      <c r="I282" s="25">
        <f t="shared" si="74"/>
        <v>-1.3222113763421861E-2</v>
      </c>
      <c r="J282">
        <v>10401.459999999999</v>
      </c>
      <c r="K282">
        <v>10340.530000000001</v>
      </c>
      <c r="L282" s="25">
        <f t="shared" ref="L282:L318" si="80">+K282/J282-1</f>
        <v>-5.8578314967320244E-3</v>
      </c>
      <c r="M282">
        <f t="shared" ref="M282:M318" si="81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9"/>
        <v>0</v>
      </c>
      <c r="D283" s="26">
        <f t="shared" si="78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7"/>
        <v>-1.1840290065250114E-2</v>
      </c>
      <c r="H283" s="25">
        <f>(+B283/(D283*(1-VLOOKUP(A283,FX!A:K,9,0)))-1)</f>
        <v>-1.2926085767177575E-2</v>
      </c>
      <c r="I283" s="25">
        <f t="shared" si="74"/>
        <v>-1.1467686016534917E-2</v>
      </c>
      <c r="J283">
        <v>10340.530000000001</v>
      </c>
      <c r="K283">
        <v>10326.07</v>
      </c>
      <c r="L283" s="25">
        <f t="shared" si="80"/>
        <v>-1.3983809340527564E-3</v>
      </c>
      <c r="M283">
        <f t="shared" si="81"/>
        <v>5</v>
      </c>
    </row>
    <row r="284" spans="1:14" x14ac:dyDescent="0.15">
      <c r="A284" s="1">
        <v>42807</v>
      </c>
      <c r="B284">
        <v>11.2</v>
      </c>
      <c r="C284" s="25">
        <f t="shared" si="79"/>
        <v>7.194244604316502E-3</v>
      </c>
      <c r="D284" s="26">
        <f t="shared" si="78"/>
        <v>11.334331028164636</v>
      </c>
      <c r="E284" s="26">
        <f>D284*(1-VLOOKUP(A284,FX!A:K,9,0))</f>
        <v>11.354209627788533</v>
      </c>
      <c r="F284">
        <v>11.353</v>
      </c>
      <c r="G284" s="25">
        <f t="shared" si="77"/>
        <v>-1.1851694452088779E-2</v>
      </c>
      <c r="H284" s="25">
        <f>(+B284/(D284*(1-VLOOKUP(A284,FX!A:K,9,0)))-1)</f>
        <v>-1.3581713993646716E-2</v>
      </c>
      <c r="I284" s="25">
        <f t="shared" si="74"/>
        <v>-1.3476614110807805E-2</v>
      </c>
      <c r="J284">
        <v>10326.07</v>
      </c>
      <c r="K284">
        <v>10404.4</v>
      </c>
      <c r="L284" s="25">
        <f t="shared" si="80"/>
        <v>7.5856545617063453E-3</v>
      </c>
      <c r="M284">
        <f t="shared" si="81"/>
        <v>1</v>
      </c>
    </row>
    <row r="285" spans="1:14" x14ac:dyDescent="0.15">
      <c r="A285" s="1">
        <v>42808</v>
      </c>
      <c r="B285">
        <v>11.2</v>
      </c>
      <c r="C285" s="25">
        <f t="shared" si="79"/>
        <v>0</v>
      </c>
      <c r="D285" s="26">
        <f t="shared" si="78"/>
        <v>11.352530795624928</v>
      </c>
      <c r="E285" s="26">
        <f>D285*(1-VLOOKUP(A285,FX!A:K,9,0))</f>
        <v>11.337306801395433</v>
      </c>
      <c r="F285">
        <v>11.336</v>
      </c>
      <c r="G285" s="25">
        <f t="shared" si="77"/>
        <v>-1.3435840727576864E-2</v>
      </c>
      <c r="H285" s="25">
        <f>(+B285/(D285*(1-VLOOKUP(A285,FX!A:K,9,0)))-1)</f>
        <v>-1.2111059866399154E-2</v>
      </c>
      <c r="I285" s="25">
        <f t="shared" si="74"/>
        <v>-1.199717713479187E-2</v>
      </c>
      <c r="J285">
        <v>10404.4</v>
      </c>
      <c r="K285">
        <v>10403.969999999999</v>
      </c>
      <c r="L285" s="25">
        <f t="shared" si="80"/>
        <v>-4.1328668640261412E-5</v>
      </c>
      <c r="M285">
        <f t="shared" si="81"/>
        <v>2</v>
      </c>
    </row>
    <row r="286" spans="1:14" x14ac:dyDescent="0.15">
      <c r="A286" s="1">
        <v>42809</v>
      </c>
      <c r="B286">
        <v>11.22</v>
      </c>
      <c r="C286" s="25">
        <f t="shared" si="79"/>
        <v>1.7857142857145014E-3</v>
      </c>
      <c r="D286" s="26">
        <f t="shared" si="78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7"/>
        <v>-1.1132982271713332E-2</v>
      </c>
      <c r="H286" s="25">
        <f>(+B286/(D286*(1-VLOOKUP(A286,FX!A:K,9,0)))-1)</f>
        <v>-1.1666501442862742E-2</v>
      </c>
      <c r="I286" s="25">
        <f t="shared" si="74"/>
        <v>-1.1279520620373629E-2</v>
      </c>
      <c r="J286">
        <v>10403.969999999999</v>
      </c>
      <c r="K286">
        <v>10413.44</v>
      </c>
      <c r="L286" s="25">
        <f t="shared" si="80"/>
        <v>9.1022946048480158E-4</v>
      </c>
      <c r="M286">
        <f t="shared" si="81"/>
        <v>3</v>
      </c>
    </row>
    <row r="287" spans="1:14" x14ac:dyDescent="0.15">
      <c r="A287" s="1">
        <v>42810</v>
      </c>
      <c r="B287">
        <v>11.34</v>
      </c>
      <c r="C287" s="25">
        <f t="shared" si="79"/>
        <v>1.0695187165775222E-2</v>
      </c>
      <c r="D287" s="26">
        <f t="shared" si="78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7"/>
        <v>-4.2306078193435903E-3</v>
      </c>
      <c r="H287" s="25">
        <f>(+B287/(D287*(1-VLOOKUP(A287,FX!A:K,9,0)))-1)</f>
        <v>-8.6952223732136291E-3</v>
      </c>
      <c r="I287" s="25">
        <f t="shared" si="74"/>
        <v>-7.3529411764705621E-3</v>
      </c>
      <c r="J287">
        <v>10413.44</v>
      </c>
      <c r="K287">
        <v>10450.31</v>
      </c>
      <c r="L287" s="25">
        <f t="shared" si="80"/>
        <v>3.5406167414417933E-3</v>
      </c>
      <c r="M287">
        <f t="shared" si="81"/>
        <v>4</v>
      </c>
    </row>
    <row r="288" spans="1:14" x14ac:dyDescent="0.15">
      <c r="A288" s="1">
        <v>42811</v>
      </c>
      <c r="B288">
        <v>11.2</v>
      </c>
      <c r="C288" s="25">
        <f t="shared" si="79"/>
        <v>-1.2345679012345734E-2</v>
      </c>
      <c r="D288" s="26">
        <f t="shared" si="78"/>
        <v>11.310299043760423</v>
      </c>
      <c r="E288" s="26">
        <f>D288*(1-VLOOKUP(A288,FX!A:K,9,0))</f>
        <v>11.294212031653672</v>
      </c>
      <c r="F288">
        <v>11.308</v>
      </c>
      <c r="G288" s="25">
        <f t="shared" si="77"/>
        <v>-9.7520890768376667E-3</v>
      </c>
      <c r="H288" s="25">
        <f>(+B288/(D288*(1-VLOOKUP(A288,FX!A:K,9,0)))-1)</f>
        <v>-8.3416205920013864E-3</v>
      </c>
      <c r="I288" s="25">
        <f t="shared" si="74"/>
        <v>-9.5507605235232162E-3</v>
      </c>
      <c r="J288">
        <v>10450.31</v>
      </c>
      <c r="K288">
        <v>10346.299999999999</v>
      </c>
      <c r="L288" s="25">
        <f t="shared" si="80"/>
        <v>-9.9528147968815928E-3</v>
      </c>
      <c r="M288">
        <f t="shared" si="81"/>
        <v>5</v>
      </c>
    </row>
    <row r="289" spans="1:14" ht="40.5" x14ac:dyDescent="0.15">
      <c r="A289" s="1">
        <v>42814</v>
      </c>
      <c r="B289">
        <v>11.22</v>
      </c>
      <c r="C289" s="25">
        <f t="shared" si="79"/>
        <v>1.7857142857145014E-3</v>
      </c>
      <c r="D289" s="26">
        <f t="shared" si="78"/>
        <v>11.315180688748637</v>
      </c>
      <c r="E289" s="26">
        <f>D289*(1-VLOOKUP(A289,FX!A:K,9,0))</f>
        <v>11.294263971289826</v>
      </c>
      <c r="F289">
        <v>11.292</v>
      </c>
      <c r="G289" s="25">
        <f t="shared" si="77"/>
        <v>-8.4117692299231495E-3</v>
      </c>
      <c r="H289" s="25">
        <f>(+B289/(D289*(1-VLOOKUP(A289,FX!A:K,9,0)))-1)</f>
        <v>-6.5753706021575153E-3</v>
      </c>
      <c r="I289" s="25">
        <f t="shared" si="74"/>
        <v>-6.3761955366630207E-3</v>
      </c>
      <c r="J289">
        <v>10346.299999999999</v>
      </c>
      <c r="K289">
        <v>10352.870000000001</v>
      </c>
      <c r="L289" s="25">
        <f t="shared" si="80"/>
        <v>6.3500961696472125E-4</v>
      </c>
      <c r="M289">
        <f t="shared" si="81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9"/>
        <v>3.5650623885916666E-3</v>
      </c>
      <c r="D290" s="26">
        <f t="shared" si="78"/>
        <v>11.341463791199926</v>
      </c>
      <c r="E290" s="26">
        <f>D290*(1-VLOOKUP(A290,FX!A:K,9,0))</f>
        <v>11.3340590012874</v>
      </c>
      <c r="F290">
        <v>11.33</v>
      </c>
      <c r="G290" s="25">
        <f t="shared" si="77"/>
        <v>-7.1828286630104543E-3</v>
      </c>
      <c r="H290" s="25">
        <f>(+B290/(D290*(1-VLOOKUP(A290,FX!A:K,9,0)))-1)</f>
        <v>-6.5341993789681529E-3</v>
      </c>
      <c r="I290" s="25">
        <f t="shared" si="74"/>
        <v>-6.1782877316858276E-3</v>
      </c>
      <c r="J290">
        <v>10352.870000000001</v>
      </c>
      <c r="K290">
        <v>10398.219999999999</v>
      </c>
      <c r="L290" s="25">
        <f t="shared" si="80"/>
        <v>4.3804278427139742E-3</v>
      </c>
      <c r="M290">
        <f t="shared" si="81"/>
        <v>2</v>
      </c>
    </row>
    <row r="291" spans="1:14" x14ac:dyDescent="0.15">
      <c r="A291" s="1">
        <v>42816</v>
      </c>
      <c r="B291">
        <v>11.2</v>
      </c>
      <c r="C291" s="25">
        <f t="shared" si="79"/>
        <v>-5.3285968028419228E-3</v>
      </c>
      <c r="D291" s="26">
        <f t="shared" si="78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7"/>
        <v>-3.5672572048680573E-3</v>
      </c>
      <c r="H291" s="25">
        <f>(+B291/(D291*(1-VLOOKUP(A291,FX!A:K,9,0)))-1)</f>
        <v>-7.7172560351206343E-3</v>
      </c>
      <c r="I291" s="25">
        <f t="shared" si="74"/>
        <v>-6.2993523201136936E-3</v>
      </c>
      <c r="J291">
        <v>10398.219999999999</v>
      </c>
      <c r="K291">
        <v>10315.709999999999</v>
      </c>
      <c r="L291" s="25">
        <f t="shared" si="80"/>
        <v>-7.9350119539690622E-3</v>
      </c>
      <c r="M291">
        <f t="shared" si="81"/>
        <v>3</v>
      </c>
    </row>
    <row r="292" spans="1:14" x14ac:dyDescent="0.15">
      <c r="A292" s="1">
        <v>42817</v>
      </c>
      <c r="B292">
        <v>11.2</v>
      </c>
      <c r="C292" s="25">
        <f t="shared" si="79"/>
        <v>0</v>
      </c>
      <c r="D292" s="26">
        <f t="shared" si="78"/>
        <v>11.308432659506714</v>
      </c>
      <c r="E292" s="26">
        <f>D292*(1-VLOOKUP(A292,FX!A:K,9,0))</f>
        <v>11.298760348938819</v>
      </c>
      <c r="F292">
        <v>11.311</v>
      </c>
      <c r="G292" s="25">
        <f t="shared" si="77"/>
        <v>-9.5886550127314285E-3</v>
      </c>
      <c r="H292" s="25">
        <f>(+B292/(D292*(1-VLOOKUP(A292,FX!A:K,9,0)))-1)</f>
        <v>-8.7408127873156438E-3</v>
      </c>
      <c r="I292" s="25">
        <f t="shared" si="74"/>
        <v>-9.8134559278578726E-3</v>
      </c>
      <c r="J292">
        <v>10315.709999999999</v>
      </c>
      <c r="K292">
        <v>10349.969999999999</v>
      </c>
      <c r="L292" s="25">
        <f t="shared" si="80"/>
        <v>3.3211480353751988E-3</v>
      </c>
      <c r="M292">
        <f t="shared" si="81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9"/>
        <v>8.9285714285716189E-3</v>
      </c>
      <c r="D293" s="26">
        <f t="shared" si="78"/>
        <v>11.392985862760955</v>
      </c>
      <c r="E293" s="26">
        <f>D293*(1-VLOOKUP(A293,FX!A:K,9,0))</f>
        <v>11.374597450122254</v>
      </c>
      <c r="F293">
        <v>11.401</v>
      </c>
      <c r="G293" s="25">
        <f t="shared" si="77"/>
        <v>-8.1616763051456376E-3</v>
      </c>
      <c r="H293" s="25">
        <f>(+B293/(D293*(1-VLOOKUP(A293,FX!A:K,9,0)))-1)</f>
        <v>-6.5582496830647319E-3</v>
      </c>
      <c r="I293" s="25">
        <f t="shared" si="74"/>
        <v>-8.8588720287693379E-3</v>
      </c>
      <c r="J293">
        <v>10349.969999999999</v>
      </c>
      <c r="K293">
        <v>10424.99</v>
      </c>
      <c r="L293" s="25">
        <f t="shared" si="80"/>
        <v>7.2483301883967677E-3</v>
      </c>
      <c r="M293">
        <f t="shared" si="81"/>
        <v>5</v>
      </c>
    </row>
    <row r="294" spans="1:14" x14ac:dyDescent="0.15">
      <c r="A294" s="1">
        <v>42821</v>
      </c>
      <c r="B294">
        <v>11.3</v>
      </c>
      <c r="C294" s="25">
        <f t="shared" si="79"/>
        <v>0</v>
      </c>
      <c r="D294" s="26">
        <f t="shared" si="78"/>
        <v>11.401</v>
      </c>
      <c r="E294" s="26">
        <f>D294*(1-VLOOKUP(A294,FX!A:K,9,0))</f>
        <v>11.449595758389426</v>
      </c>
      <c r="F294">
        <v>11.413</v>
      </c>
      <c r="G294" s="25">
        <f t="shared" si="77"/>
        <v>-8.8588720287693379E-3</v>
      </c>
      <c r="H294" s="25">
        <f>(+B294/(D294*(1-VLOOKUP(A294,FX!A:K,9,0)))-1)</f>
        <v>-1.306559301709953E-2</v>
      </c>
      <c r="I294" s="25">
        <f t="shared" si="74"/>
        <v>-9.9009900990099098E-3</v>
      </c>
      <c r="J294">
        <v>10424.99</v>
      </c>
      <c r="K294">
        <v>10424.99</v>
      </c>
      <c r="L294" s="25">
        <f t="shared" si="80"/>
        <v>0</v>
      </c>
      <c r="M294">
        <f t="shared" si="81"/>
        <v>1</v>
      </c>
    </row>
    <row r="295" spans="1:14" x14ac:dyDescent="0.15">
      <c r="A295" s="1">
        <v>42822</v>
      </c>
      <c r="B295">
        <v>11.28</v>
      </c>
      <c r="C295" s="25">
        <f t="shared" si="79"/>
        <v>-1.7699115044248481E-3</v>
      </c>
      <c r="D295" s="26">
        <f t="shared" si="78"/>
        <v>11.382236872169662</v>
      </c>
      <c r="E295" s="26">
        <f>D295*(1-VLOOKUP(A295,FX!A:K,9,0))</f>
        <v>11.364314568665831</v>
      </c>
      <c r="F295">
        <v>11.368</v>
      </c>
      <c r="G295" s="25">
        <f t="shared" si="77"/>
        <v>-8.9821423783261745E-3</v>
      </c>
      <c r="H295" s="25">
        <f>(+B295/(D295*(1-VLOOKUP(A295,FX!A:K,9,0)))-1)</f>
        <v>-7.4192392472404167E-3</v>
      </c>
      <c r="I295" s="25">
        <f t="shared" si="74"/>
        <v>-7.7410274454610128E-3</v>
      </c>
      <c r="J295">
        <v>10424.99</v>
      </c>
      <c r="K295">
        <v>10396.89</v>
      </c>
      <c r="L295" s="25">
        <f t="shared" si="80"/>
        <v>-2.6954462306438831E-3</v>
      </c>
      <c r="M295">
        <f t="shared" si="81"/>
        <v>2</v>
      </c>
    </row>
    <row r="296" spans="1:14" x14ac:dyDescent="0.15">
      <c r="A296" s="1">
        <v>42823</v>
      </c>
      <c r="B296">
        <v>11.26</v>
      </c>
      <c r="C296" s="25">
        <f t="shared" si="79"/>
        <v>-1.7730496453900457E-3</v>
      </c>
      <c r="D296" s="26">
        <f t="shared" si="78"/>
        <v>11.349543342287935</v>
      </c>
      <c r="E296" s="26">
        <f>D296*(1-VLOOKUP(A296,FX!A:K,9,0))</f>
        <v>11.335621955586198</v>
      </c>
      <c r="F296">
        <v>11.33</v>
      </c>
      <c r="G296" s="25">
        <f t="shared" si="77"/>
        <v>-7.8895986902222104E-3</v>
      </c>
      <c r="H296" s="25">
        <f>(+B296/(D296*(1-VLOOKUP(A296,FX!A:K,9,0)))-1)</f>
        <v>-6.6711783334422181E-3</v>
      </c>
      <c r="I296" s="25">
        <f t="shared" si="74"/>
        <v>-6.1782877316858276E-3</v>
      </c>
      <c r="J296">
        <v>10396.89</v>
      </c>
      <c r="K296">
        <v>10380.01</v>
      </c>
      <c r="L296" s="25">
        <f t="shared" si="80"/>
        <v>-1.6235624306882857E-3</v>
      </c>
      <c r="M296">
        <f t="shared" si="81"/>
        <v>3</v>
      </c>
    </row>
    <row r="297" spans="1:14" x14ac:dyDescent="0.15">
      <c r="A297" s="1">
        <v>42824</v>
      </c>
      <c r="B297">
        <v>11.2</v>
      </c>
      <c r="C297" s="25">
        <f t="shared" si="79"/>
        <v>-5.3285968028419228E-3</v>
      </c>
      <c r="D297" s="26">
        <f t="shared" si="78"/>
        <v>11.288063759090791</v>
      </c>
      <c r="E297" s="26">
        <f>D297*(1-VLOOKUP(A297,FX!A:K,9,0))</f>
        <v>11.275178027543486</v>
      </c>
      <c r="F297">
        <v>11.295</v>
      </c>
      <c r="G297" s="25">
        <f t="shared" si="77"/>
        <v>-7.8014937699010245E-3</v>
      </c>
      <c r="H297" s="25">
        <f>(+B297/(D297*(1-VLOOKUP(A297,FX!A:K,9,0)))-1)</f>
        <v>-6.6675690051046788E-3</v>
      </c>
      <c r="I297" s="25">
        <f t="shared" si="74"/>
        <v>-8.410801239486565E-3</v>
      </c>
      <c r="J297">
        <v>10380.01</v>
      </c>
      <c r="K297">
        <v>10341.59</v>
      </c>
      <c r="L297" s="25">
        <f t="shared" si="80"/>
        <v>-3.7013451817483611E-3</v>
      </c>
      <c r="M297">
        <f t="shared" si="81"/>
        <v>4</v>
      </c>
    </row>
    <row r="298" spans="1:14" x14ac:dyDescent="0.15">
      <c r="A298" s="1">
        <v>42825</v>
      </c>
      <c r="B298">
        <v>11.26</v>
      </c>
      <c r="C298" s="25">
        <f t="shared" si="79"/>
        <v>5.3571428571428381E-3</v>
      </c>
      <c r="D298" s="26">
        <f t="shared" si="78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7"/>
        <v>-9.37680733725621E-3</v>
      </c>
      <c r="H298" s="25">
        <f>(+B298/(D298*(1-VLOOKUP(A298,FX!A:K,9,0)))-1)</f>
        <v>-8.5270031236478472E-3</v>
      </c>
      <c r="I298" s="25">
        <f t="shared" si="74"/>
        <v>-7.7546704265069044E-3</v>
      </c>
      <c r="J298">
        <v>10341.59</v>
      </c>
      <c r="K298">
        <v>10407.129999999999</v>
      </c>
      <c r="L298" s="25">
        <f t="shared" si="80"/>
        <v>6.3375167648300756E-3</v>
      </c>
      <c r="M298">
        <f t="shared" si="81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9"/>
        <v>3.5523978685614299E-3</v>
      </c>
      <c r="D299" s="26">
        <f t="shared" si="78"/>
        <v>11.348000000000001</v>
      </c>
      <c r="E299" s="26">
        <f>D299*(1-VLOOKUP(A299,FX!A:K,9,0))</f>
        <v>11.367255042724537</v>
      </c>
      <c r="F299">
        <v>11.347</v>
      </c>
      <c r="G299" s="25">
        <f t="shared" si="77"/>
        <v>-4.2298202326400691E-3</v>
      </c>
      <c r="H299" s="25">
        <f>(+B299/(D299*(1-VLOOKUP(A299,FX!A:K,9,0)))-1)</f>
        <v>-5.9165596682535515E-3</v>
      </c>
      <c r="I299" s="25">
        <f t="shared" si="74"/>
        <v>-4.142063981669053E-3</v>
      </c>
      <c r="J299">
        <v>10407.129999999999</v>
      </c>
      <c r="K299">
        <v>10407.129999999999</v>
      </c>
      <c r="L299" s="25">
        <f t="shared" si="80"/>
        <v>0</v>
      </c>
      <c r="M299">
        <f t="shared" si="81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9"/>
        <v>0</v>
      </c>
      <c r="D300" s="26">
        <f t="shared" si="78"/>
        <v>11.347</v>
      </c>
      <c r="E300" s="26">
        <f>D300*(1-VLOOKUP(A300,FX!A:K,9,0))</f>
        <v>11.349393490089431</v>
      </c>
      <c r="F300">
        <v>11.347</v>
      </c>
      <c r="G300" s="25">
        <f t="shared" si="77"/>
        <v>-4.142063981669053E-3</v>
      </c>
      <c r="H300" s="25">
        <f>(+B300/(D300*(1-VLOOKUP(A300,FX!A:K,9,0)))-1)</f>
        <v>-4.3520819092722762E-3</v>
      </c>
      <c r="I300" s="25">
        <f t="shared" si="74"/>
        <v>-4.142063981669053E-3</v>
      </c>
      <c r="J300">
        <v>10407.129999999999</v>
      </c>
      <c r="K300">
        <v>10407.129999999999</v>
      </c>
      <c r="L300" s="25">
        <f t="shared" si="80"/>
        <v>0</v>
      </c>
      <c r="M300">
        <f t="shared" si="81"/>
        <v>2</v>
      </c>
    </row>
    <row r="301" spans="1:14" x14ac:dyDescent="0.15">
      <c r="A301" s="1">
        <v>42830</v>
      </c>
      <c r="B301">
        <v>11.36</v>
      </c>
      <c r="C301" s="25">
        <f t="shared" si="79"/>
        <v>5.3097345132742113E-3</v>
      </c>
      <c r="D301" s="26">
        <f t="shared" si="78"/>
        <v>11.448802263448233</v>
      </c>
      <c r="E301" s="26">
        <f>D301*(1-VLOOKUP(A301,FX!A:K,9,0))</f>
        <v>11.439852796865742</v>
      </c>
      <c r="F301">
        <v>11.46</v>
      </c>
      <c r="G301" s="25">
        <f t="shared" si="77"/>
        <v>-7.7564675679434592E-3</v>
      </c>
      <c r="H301" s="25">
        <f>(+B301/(D301*(1-VLOOKUP(A301,FX!A:K,9,0)))-1)</f>
        <v>-6.9802294036178658E-3</v>
      </c>
      <c r="I301" s="25">
        <f t="shared" si="74"/>
        <v>-8.7260034904015349E-3</v>
      </c>
      <c r="J301">
        <v>10407.129999999999</v>
      </c>
      <c r="K301">
        <v>10500.5</v>
      </c>
      <c r="L301" s="25">
        <f t="shared" si="80"/>
        <v>8.9717338017303305E-3</v>
      </c>
      <c r="M301">
        <f t="shared" si="81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9"/>
        <v>-3.5211267605632646E-3</v>
      </c>
      <c r="D302" s="26">
        <f t="shared" si="78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7"/>
        <v>-1.5053852718120209E-2</v>
      </c>
      <c r="H302" s="25">
        <f>(+B302/(D302*(1-VLOOKUP(A302,FX!A:K,9,0)))-1)</f>
        <v>-1.340224696258896E-2</v>
      </c>
      <c r="I302" s="25">
        <f t="shared" si="74"/>
        <v>-1.4709722343110854E-2</v>
      </c>
      <c r="J302">
        <v>10500.5</v>
      </c>
      <c r="K302">
        <v>10530.75</v>
      </c>
      <c r="L302" s="25">
        <f t="shared" si="80"/>
        <v>2.8808151992762987E-3</v>
      </c>
      <c r="M302">
        <f t="shared" si="81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9"/>
        <v>1.7667844522968323E-3</v>
      </c>
      <c r="D303" s="26">
        <f t="shared" si="78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7"/>
        <v>-1.1590132225789307E-2</v>
      </c>
      <c r="H303" s="25">
        <f>(+B303/(D303*(1-VLOOKUP(A303,FX!A:K,9,0)))-1)</f>
        <v>-1.0980283888425202E-2</v>
      </c>
      <c r="I303" s="25">
        <f t="shared" si="74"/>
        <v>-1.1075259440132657E-2</v>
      </c>
      <c r="J303">
        <v>10530.75</v>
      </c>
      <c r="K303">
        <v>10516.06</v>
      </c>
      <c r="L303" s="25">
        <f t="shared" si="80"/>
        <v>-1.3949623721007942E-3</v>
      </c>
      <c r="M303">
        <f t="shared" si="81"/>
        <v>5</v>
      </c>
    </row>
    <row r="304" spans="1:14" x14ac:dyDescent="0.15">
      <c r="A304" s="1">
        <v>42835</v>
      </c>
      <c r="B304">
        <v>11.26</v>
      </c>
      <c r="C304" s="25">
        <f t="shared" si="79"/>
        <v>-7.0546737213403876E-3</v>
      </c>
      <c r="D304" s="26">
        <f t="shared" si="78"/>
        <v>11.415171985515491</v>
      </c>
      <c r="E304" s="26">
        <f>D304*(1-VLOOKUP(A304,FX!A:K,9,0))</f>
        <v>11.393131334838166</v>
      </c>
      <c r="F304">
        <v>11.398</v>
      </c>
      <c r="G304" s="25">
        <f t="shared" si="77"/>
        <v>-1.3593486433002178E-2</v>
      </c>
      <c r="H304" s="25">
        <f>(+B304/(D304*(1-VLOOKUP(A304,FX!A:K,9,0)))-1)</f>
        <v>-1.1685227785540819E-2</v>
      </c>
      <c r="I304" s="25">
        <f t="shared" si="74"/>
        <v>-1.2107387260922975E-2</v>
      </c>
      <c r="J304">
        <v>10516.06</v>
      </c>
      <c r="K304">
        <v>10468.530000000001</v>
      </c>
      <c r="L304" s="25">
        <f t="shared" si="80"/>
        <v>-4.5197535959283774E-3</v>
      </c>
      <c r="M304">
        <f t="shared" si="81"/>
        <v>1</v>
      </c>
    </row>
    <row r="305" spans="1:14" x14ac:dyDescent="0.15">
      <c r="A305" s="1">
        <v>42836</v>
      </c>
      <c r="B305">
        <v>11.26</v>
      </c>
      <c r="C305" s="25">
        <f t="shared" si="79"/>
        <v>0</v>
      </c>
      <c r="D305" s="26">
        <f t="shared" si="78"/>
        <v>11.402496690557316</v>
      </c>
      <c r="E305" s="26">
        <f>D305*(1-VLOOKUP(A305,FX!A:K,9,0))</f>
        <v>11.402207830141389</v>
      </c>
      <c r="F305">
        <v>11.419</v>
      </c>
      <c r="G305" s="25">
        <f t="shared" si="77"/>
        <v>-1.2496972761704028E-2</v>
      </c>
      <c r="H305" s="25">
        <f>(+B305/(D305*(1-VLOOKUP(A305,FX!A:K,9,0)))-1)</f>
        <v>-1.2471955629984821E-2</v>
      </c>
      <c r="I305" s="25">
        <f t="shared" si="74"/>
        <v>-1.3924161485244002E-2</v>
      </c>
      <c r="J305">
        <v>10468.530000000001</v>
      </c>
      <c r="K305">
        <v>10472.66</v>
      </c>
      <c r="L305" s="25">
        <f t="shared" si="80"/>
        <v>3.9451575340554434E-4</v>
      </c>
      <c r="M305">
        <f t="shared" si="81"/>
        <v>2</v>
      </c>
    </row>
    <row r="306" spans="1:14" x14ac:dyDescent="0.15">
      <c r="A306" s="1">
        <v>42837</v>
      </c>
      <c r="B306">
        <v>11.28</v>
      </c>
      <c r="C306" s="25">
        <f t="shared" si="79"/>
        <v>1.7761989342806039E-3</v>
      </c>
      <c r="D306" s="26">
        <f t="shared" si="78"/>
        <v>11.410745952795184</v>
      </c>
      <c r="E306" s="26">
        <f>D306*(1-VLOOKUP(A306,FX!A:K,9,0))</f>
        <v>11.421487734479015</v>
      </c>
      <c r="F306">
        <v>11.41</v>
      </c>
      <c r="G306" s="25">
        <f t="shared" si="77"/>
        <v>-1.1458142468166788E-2</v>
      </c>
      <c r="H306" s="25">
        <f>(+B306/(D306*(1-VLOOKUP(A306,FX!A:K,9,0)))-1)</f>
        <v>-1.2387855047280349E-2</v>
      </c>
      <c r="I306" s="25">
        <f t="shared" si="74"/>
        <v>-1.1393514460999232E-2</v>
      </c>
      <c r="J306">
        <v>10472.66</v>
      </c>
      <c r="K306">
        <v>10465.09</v>
      </c>
      <c r="L306" s="25">
        <f t="shared" si="80"/>
        <v>-7.2283450431886997E-4</v>
      </c>
      <c r="M306">
        <f t="shared" si="81"/>
        <v>3</v>
      </c>
    </row>
    <row r="307" spans="1:14" x14ac:dyDescent="0.15">
      <c r="A307" s="1">
        <v>42838</v>
      </c>
      <c r="B307">
        <v>11.3</v>
      </c>
      <c r="C307" s="25">
        <f t="shared" si="79"/>
        <v>1.7730496453902678E-3</v>
      </c>
      <c r="D307" s="26">
        <f t="shared" si="78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7"/>
        <v>-6.7972740360775497E-3</v>
      </c>
      <c r="H307" s="25">
        <f>(+B307/(D307*(1-VLOOKUP(A307,FX!A:K,9,0)))-1)</f>
        <v>-1.078277207532774E-2</v>
      </c>
      <c r="I307" s="25">
        <f t="shared" si="74"/>
        <v>-1.0854341736694528E-2</v>
      </c>
      <c r="J307">
        <v>10465.09</v>
      </c>
      <c r="K307">
        <v>10435.129999999999</v>
      </c>
      <c r="L307" s="25">
        <f t="shared" si="80"/>
        <v>-2.8628516333830678E-3</v>
      </c>
      <c r="M307">
        <f t="shared" si="81"/>
        <v>4</v>
      </c>
    </row>
    <row r="308" spans="1:14" x14ac:dyDescent="0.15">
      <c r="A308" s="1">
        <v>42839</v>
      </c>
      <c r="B308">
        <v>11.3</v>
      </c>
      <c r="C308" s="25">
        <f t="shared" si="79"/>
        <v>0</v>
      </c>
      <c r="D308" s="26">
        <f t="shared" si="78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2">+B308/D308-1</f>
        <v>-4.302956270247682E-3</v>
      </c>
      <c r="H308" s="25">
        <f>(+B308/(D308*(1-VLOOKUP(A308,FX!A:K,9,0)))-1)</f>
        <v>-2.8569887534199978E-3</v>
      </c>
      <c r="I308" s="25">
        <f t="shared" si="74"/>
        <v>-2.6478375992938785E-3</v>
      </c>
      <c r="J308">
        <v>10435.129999999999</v>
      </c>
      <c r="K308">
        <v>10366.469999999999</v>
      </c>
      <c r="L308" s="25">
        <f t="shared" si="80"/>
        <v>-6.5796976175668265E-3</v>
      </c>
      <c r="M308">
        <f t="shared" si="81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9"/>
        <v>0</v>
      </c>
      <c r="D309" s="26">
        <f t="shared" si="78"/>
        <v>11.345563562138317</v>
      </c>
      <c r="E309" s="26">
        <f>D309*(1-VLOOKUP(A309,FX!A:K,9,0))</f>
        <v>11.347706372660371</v>
      </c>
      <c r="F309">
        <v>11.35</v>
      </c>
      <c r="G309" s="25">
        <f t="shared" si="82"/>
        <v>-4.0159805098063384E-3</v>
      </c>
      <c r="H309" s="25">
        <f>(+B309/(D309*(1-VLOOKUP(A309,FX!A:K,9,0)))-1)</f>
        <v>-4.2040542021167804E-3</v>
      </c>
      <c r="I309" s="25">
        <f t="shared" si="74"/>
        <v>-4.405286343612258E-3</v>
      </c>
      <c r="J309">
        <v>10366.469999999999</v>
      </c>
      <c r="K309">
        <v>10380.709999999999</v>
      </c>
      <c r="L309" s="25">
        <f t="shared" si="80"/>
        <v>1.3736595002926677E-3</v>
      </c>
      <c r="M309">
        <f t="shared" si="81"/>
        <v>1</v>
      </c>
    </row>
    <row r="310" spans="1:14" x14ac:dyDescent="0.15">
      <c r="A310" s="1">
        <v>42843</v>
      </c>
      <c r="B310">
        <v>11.18</v>
      </c>
      <c r="C310" s="25">
        <f t="shared" si="79"/>
        <v>-1.0619469026548756E-2</v>
      </c>
      <c r="D310" s="26">
        <f t="shared" si="78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2"/>
        <v>-9.2793333979267478E-3</v>
      </c>
      <c r="H310" s="25">
        <f>(+B310/(D310*(1-VLOOKUP(A310,FX!A:K,9,0)))-1)</f>
        <v>-8.850994583326055E-3</v>
      </c>
      <c r="I310" s="25">
        <f t="shared" si="74"/>
        <v>-7.8097266595670289E-3</v>
      </c>
      <c r="J310">
        <v>10380.709999999999</v>
      </c>
      <c r="K310">
        <v>10321</v>
      </c>
      <c r="L310" s="25">
        <f t="shared" si="80"/>
        <v>-5.7520150355803157E-3</v>
      </c>
      <c r="M310">
        <f t="shared" si="81"/>
        <v>2</v>
      </c>
    </row>
    <row r="311" spans="1:14" x14ac:dyDescent="0.15">
      <c r="A311" s="1">
        <v>42844</v>
      </c>
      <c r="B311">
        <v>11.06</v>
      </c>
      <c r="C311" s="25">
        <f t="shared" si="79"/>
        <v>-1.0733452593917669E-2</v>
      </c>
      <c r="D311" s="26">
        <f t="shared" si="78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2"/>
        <v>-1.3274768192458319E-2</v>
      </c>
      <c r="H311" s="25">
        <f>(+B311/(D311*(1-VLOOKUP(A311,FX!A:K,9,0)))-1)</f>
        <v>-1.3733240368298039E-2</v>
      </c>
      <c r="I311" s="25">
        <f t="shared" si="74"/>
        <v>-1.5926683868671576E-2</v>
      </c>
      <c r="J311">
        <v>10321</v>
      </c>
      <c r="K311">
        <v>10266.77</v>
      </c>
      <c r="L311" s="25">
        <f t="shared" si="80"/>
        <v>-5.2543358201724288E-3</v>
      </c>
      <c r="M311">
        <f t="shared" si="81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9"/>
        <v>9.0415913200723175E-3</v>
      </c>
      <c r="D312" s="26">
        <f t="shared" si="78"/>
        <v>11.300303019352727</v>
      </c>
      <c r="E312" s="26">
        <f>D312*(1-VLOOKUP(A312,FX!A:K,9,0))</f>
        <v>11.300385117097418</v>
      </c>
      <c r="F312">
        <v>11.279</v>
      </c>
      <c r="G312" s="25">
        <f t="shared" si="82"/>
        <v>-1.2415863460691789E-2</v>
      </c>
      <c r="H312" s="25">
        <f>(+B312/(D312*(1-VLOOKUP(A312,FX!A:K,9,0)))-1)</f>
        <v>-1.2423038298492672E-2</v>
      </c>
      <c r="I312" s="25">
        <f t="shared" si="74"/>
        <v>-1.0550580725241621E-2</v>
      </c>
      <c r="J312">
        <v>10266.77</v>
      </c>
      <c r="K312">
        <v>10322.77</v>
      </c>
      <c r="L312" s="25">
        <f t="shared" si="80"/>
        <v>5.4544905554521073E-3</v>
      </c>
      <c r="M312">
        <f t="shared" si="81"/>
        <v>4</v>
      </c>
    </row>
    <row r="313" spans="1:14" x14ac:dyDescent="0.15">
      <c r="A313" s="1">
        <v>42846</v>
      </c>
      <c r="B313">
        <v>11.18</v>
      </c>
      <c r="C313" s="25">
        <f t="shared" ref="C313:C318" si="83">B313/B312-1</f>
        <v>1.7921146953405742E-3</v>
      </c>
      <c r="D313" s="26">
        <f t="shared" si="78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2"/>
        <v>-1.4270956694324211E-2</v>
      </c>
      <c r="H313" s="25">
        <f>(+B313/(D313*(1-VLOOKUP(A313,FX!A:K,9,0)))-1)</f>
        <v>-1.4417755252488007E-2</v>
      </c>
      <c r="I313" s="25">
        <f t="shared" si="74"/>
        <v>-1.3935438348915086E-2</v>
      </c>
      <c r="J313">
        <v>10322.77</v>
      </c>
      <c r="K313">
        <v>10380.299999999999</v>
      </c>
      <c r="L313" s="25">
        <f t="shared" si="80"/>
        <v>5.5731165181438502E-3</v>
      </c>
      <c r="M313">
        <f t="shared" si="81"/>
        <v>5</v>
      </c>
    </row>
    <row r="314" spans="1:14" x14ac:dyDescent="0.15">
      <c r="A314" s="1">
        <v>42849</v>
      </c>
      <c r="B314">
        <v>11.14</v>
      </c>
      <c r="C314" s="25">
        <f t="shared" si="83"/>
        <v>-3.5778175313058158E-3</v>
      </c>
      <c r="D314" s="26">
        <f t="shared" si="78"/>
        <v>11.280077383119949</v>
      </c>
      <c r="E314" s="26">
        <f>D314*(1-VLOOKUP(A314,FX!A:K,9,0))</f>
        <v>11.274710063564648</v>
      </c>
      <c r="F314">
        <v>11.305</v>
      </c>
      <c r="G314" s="25">
        <f t="shared" si="82"/>
        <v>-1.2418122532525055E-2</v>
      </c>
      <c r="H314" s="25">
        <f>(+B314/(D314*(1-VLOOKUP(A314,FX!A:K,9,0)))-1)</f>
        <v>-1.194798472024361E-2</v>
      </c>
      <c r="I314" s="25">
        <f t="shared" si="74"/>
        <v>-1.4595311808934031E-2</v>
      </c>
      <c r="J314">
        <v>10380.299999999999</v>
      </c>
      <c r="K314">
        <v>10327.27</v>
      </c>
      <c r="L314" s="25">
        <f t="shared" si="80"/>
        <v>-5.1087155477200774E-3</v>
      </c>
      <c r="M314">
        <f t="shared" si="81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3"/>
        <v>5.3859964093356805E-3</v>
      </c>
      <c r="D315" s="26">
        <f t="shared" si="78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2"/>
        <v>-1.456184290247553E-2</v>
      </c>
      <c r="H315" s="25">
        <f>(+B315/(D315*(1-VLOOKUP(A315,FX!A:K,9,0)))-1)</f>
        <v>-1.431489596820823E-2</v>
      </c>
      <c r="I315" s="25">
        <f t="shared" si="74"/>
        <v>-1.2780960775672257E-2</v>
      </c>
      <c r="J315">
        <v>10327.27</v>
      </c>
      <c r="K315">
        <v>10382.540000000001</v>
      </c>
      <c r="L315" s="25">
        <f t="shared" si="80"/>
        <v>5.3518500048899131E-3</v>
      </c>
      <c r="M315">
        <f t="shared" si="81"/>
        <v>2</v>
      </c>
    </row>
    <row r="316" spans="1:14" x14ac:dyDescent="0.15">
      <c r="A316" s="1">
        <v>42851</v>
      </c>
      <c r="B316">
        <v>11.24</v>
      </c>
      <c r="C316" s="25">
        <f t="shared" si="83"/>
        <v>3.5714285714285587E-3</v>
      </c>
      <c r="D316" s="26">
        <f t="shared" si="78"/>
        <v>11.352648899017003</v>
      </c>
      <c r="E316" s="26">
        <f>D316*(1-VLOOKUP(A316,FX!A:K,9,0))</f>
        <v>11.346633049793565</v>
      </c>
      <c r="F316">
        <v>11.35</v>
      </c>
      <c r="G316" s="25">
        <f t="shared" si="82"/>
        <v>-9.9226973386586925E-3</v>
      </c>
      <c r="H316" s="25">
        <f>(+B316/(D316*(1-VLOOKUP(A316,FX!A:K,9,0)))-1)</f>
        <v>-9.3977701865933794E-3</v>
      </c>
      <c r="I316" s="25">
        <f t="shared" si="74"/>
        <v>-9.6916299559470787E-3</v>
      </c>
      <c r="J316">
        <v>10382.540000000001</v>
      </c>
      <c r="K316">
        <v>10389.540000000001</v>
      </c>
      <c r="L316" s="25">
        <f t="shared" si="80"/>
        <v>6.742088159543691E-4</v>
      </c>
      <c r="M316">
        <f t="shared" si="81"/>
        <v>3</v>
      </c>
    </row>
    <row r="317" spans="1:14" x14ac:dyDescent="0.15">
      <c r="A317" s="1">
        <v>42852</v>
      </c>
      <c r="B317">
        <v>11.18</v>
      </c>
      <c r="C317" s="25">
        <f t="shared" si="83"/>
        <v>-5.3380782918149849E-3</v>
      </c>
      <c r="D317" s="26">
        <f t="shared" si="78"/>
        <v>11.374623708075621</v>
      </c>
      <c r="E317" s="26">
        <f>D317*(1-VLOOKUP(A317,FX!A:K,9,0))</f>
        <v>11.35462376637232</v>
      </c>
      <c r="F317">
        <v>11.365</v>
      </c>
      <c r="G317" s="25">
        <f t="shared" si="82"/>
        <v>-1.7110342554667923E-2</v>
      </c>
      <c r="H317" s="25">
        <f>(+B317/(D317*(1-VLOOKUP(A317,FX!A:K,9,0)))-1)</f>
        <v>-1.5379088727667356E-2</v>
      </c>
      <c r="I317" s="25">
        <f t="shared" si="74"/>
        <v>-1.6278046634403909E-2</v>
      </c>
      <c r="J317">
        <v>10389.540000000001</v>
      </c>
      <c r="K317">
        <v>10412.08</v>
      </c>
      <c r="L317" s="25">
        <f t="shared" si="80"/>
        <v>2.1694896982926704E-3</v>
      </c>
      <c r="M317">
        <f t="shared" si="81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3"/>
        <v>-1.7889087656529634E-3</v>
      </c>
      <c r="D318" s="26">
        <f t="shared" si="78"/>
        <v>11.341532306705288</v>
      </c>
      <c r="E318" s="26">
        <f>D318*(1-VLOOKUP(A318,FX!A:K,9,0))</f>
        <v>11.353040795272872</v>
      </c>
      <c r="F318">
        <v>11.333</v>
      </c>
      <c r="G318" s="25">
        <f t="shared" si="82"/>
        <v>-1.6005977128678017E-2</v>
      </c>
      <c r="H318" s="25">
        <f>(+B318/(D318*(1-VLOOKUP(A318,FX!A:K,9,0)))-1)</f>
        <v>-1.7003444165659021E-2</v>
      </c>
      <c r="I318" s="25">
        <f t="shared" si="74"/>
        <v>-1.52651548574958E-2</v>
      </c>
      <c r="J318">
        <v>10412.08</v>
      </c>
      <c r="K318">
        <v>10390.58</v>
      </c>
      <c r="L318" s="25">
        <f t="shared" si="80"/>
        <v>-2.0649092208281372E-3</v>
      </c>
      <c r="M318">
        <f t="shared" si="81"/>
        <v>5</v>
      </c>
    </row>
    <row r="319" spans="1:14" x14ac:dyDescent="0.15">
      <c r="A319" s="1">
        <v>42856</v>
      </c>
      <c r="B319">
        <v>11.16</v>
      </c>
      <c r="C319" s="25">
        <f t="shared" ref="C319" si="84">B319/B318-1</f>
        <v>0</v>
      </c>
      <c r="D319" s="26">
        <f t="shared" ref="D319" si="85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6">+B319/D319-1</f>
        <v>-1.52651548574958E-2</v>
      </c>
      <c r="H319" s="25">
        <f>(+B319/(D319*(1-VLOOKUP(A319,FX!A:K,9,0)))-1)</f>
        <v>-1.4336388810298861E-2</v>
      </c>
      <c r="I319" s="25">
        <f t="shared" si="74"/>
        <v>-1.4134275618374548E-2</v>
      </c>
      <c r="J319">
        <v>10390.58</v>
      </c>
      <c r="K319">
        <v>10390.58</v>
      </c>
      <c r="L319" s="25">
        <f t="shared" ref="L319" si="87">+K319/J319-1</f>
        <v>0</v>
      </c>
      <c r="M319">
        <f t="shared" ref="M319" si="88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9">B320/B319-1</f>
        <v>-3.5842293906810374E-3</v>
      </c>
      <c r="D320" s="26">
        <f t="shared" ref="D320" si="90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1">+B320/D320-1</f>
        <v>-1.3410268568847084E-2</v>
      </c>
      <c r="H320" s="25">
        <f>(+B320/(D320*(1-VLOOKUP(A320,FX!A:K,9,0)))-1)</f>
        <v>-1.4242624275365823E-2</v>
      </c>
      <c r="I320" s="25">
        <f t="shared" si="74"/>
        <v>-1.400957616598697E-2</v>
      </c>
      <c r="J320">
        <v>10390.58</v>
      </c>
      <c r="K320">
        <v>10345.74</v>
      </c>
      <c r="L320" s="25">
        <f t="shared" ref="L320" si="92">+K320/J320-1</f>
        <v>-4.3154472608843975E-3</v>
      </c>
      <c r="M320">
        <f t="shared" ref="M320" si="93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4">B321/B320-1</f>
        <v>0</v>
      </c>
      <c r="D321" s="26">
        <f t="shared" ref="D321" si="95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6">+B321/D321-1</f>
        <v>-1.1122969085816115E-2</v>
      </c>
      <c r="H321" s="25">
        <f>(+B321/(D321*(1-VLOOKUP(A321,FX!A:K,9,0)))-1)</f>
        <v>-1.20604027280099E-2</v>
      </c>
      <c r="I321" s="25">
        <f t="shared" si="74"/>
        <v>-1.400957616598697E-2</v>
      </c>
      <c r="J321">
        <v>10345.74</v>
      </c>
      <c r="K321">
        <v>10315.540000000001</v>
      </c>
      <c r="L321" s="25">
        <f t="shared" ref="L321" si="97">+K321/J321-1</f>
        <v>-2.9190758708413922E-3</v>
      </c>
      <c r="M321">
        <f t="shared" ref="M321" si="98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9">B322/B321-1</f>
        <v>-5.3956834532372655E-3</v>
      </c>
      <c r="D322" s="26">
        <f t="shared" ref="D322" si="100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1">+B322/D322-1</f>
        <v>-1.7037002196972573E-2</v>
      </c>
      <c r="H322" s="25">
        <f>(+B322/(D322*(1-VLOOKUP(A322,FX!A:K,9,0)))-1)</f>
        <v>-1.611625855725729E-2</v>
      </c>
      <c r="I322" s="25">
        <f t="shared" si="74"/>
        <v>-1.4260249554367221E-2</v>
      </c>
      <c r="J322">
        <v>10315.540000000001</v>
      </c>
      <c r="K322">
        <v>10291.48</v>
      </c>
      <c r="L322" s="25">
        <f t="shared" ref="L322" si="102">+K322/J322-1</f>
        <v>-2.3324033448565151E-3</v>
      </c>
      <c r="M322">
        <f t="shared" ref="M322" si="103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4">B323/B322-1</f>
        <v>-1.8083182640146189E-3</v>
      </c>
      <c r="D323" s="26">
        <f t="shared" ref="D323" si="105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6">+B323/D323-1</f>
        <v>-1.3963683469290888E-2</v>
      </c>
      <c r="H323" s="25">
        <f>(+B323/(D323*(1-VLOOKUP(A323,FX!A:K,9,0)))-1)</f>
        <v>-1.3533170495038438E-2</v>
      </c>
      <c r="I323" s="25">
        <f t="shared" si="74"/>
        <v>-1.5165031222123204E-2</v>
      </c>
      <c r="J323">
        <v>10291.48</v>
      </c>
      <c r="K323">
        <v>10269.780000000001</v>
      </c>
      <c r="L323" s="25">
        <f t="shared" ref="L323" si="107">+K323/J323-1</f>
        <v>-2.1085402682606835E-3</v>
      </c>
      <c r="M323">
        <f t="shared" ref="M323" si="108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9">B324/B323-1</f>
        <v>-1.8115942028985588E-3</v>
      </c>
      <c r="D324" s="26">
        <f t="shared" ref="D324" si="110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1">+B324/D324-1</f>
        <v>-1.6713618334347369E-2</v>
      </c>
      <c r="H324" s="25">
        <f>(+B324/(D324*(1-VLOOKUP(A324,FX!A:K,9,0)))-1)</f>
        <v>-1.6027071101214374E-2</v>
      </c>
      <c r="I324" s="25">
        <f t="shared" si="74"/>
        <v>-1.5895695659939313E-2</v>
      </c>
      <c r="J324">
        <v>10269.780000000001</v>
      </c>
      <c r="K324">
        <v>10267.32</v>
      </c>
      <c r="L324" s="25">
        <f t="shared" ref="L324" si="112">+K324/J324-1</f>
        <v>-2.3953775056528848E-4</v>
      </c>
      <c r="M324">
        <f t="shared" ref="M324" si="113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4">B325/B324-1</f>
        <v>3.6297640653357721E-3</v>
      </c>
      <c r="D325" s="26">
        <f t="shared" ref="D325" si="115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6">+B325/D325-1</f>
        <v>-1.1700847859387076E-2</v>
      </c>
      <c r="H325" s="25">
        <f>(+B325/(D325*(1-VLOOKUP(A325,FX!A:K,9,0)))-1)</f>
        <v>-1.0708236566100648E-2</v>
      </c>
      <c r="I325" s="25">
        <f t="shared" si="74"/>
        <v>-1.0379384395132418E-2</v>
      </c>
      <c r="J325">
        <v>10267.32</v>
      </c>
      <c r="K325">
        <v>10260.85</v>
      </c>
      <c r="L325" s="25">
        <f t="shared" ref="L325" si="117">+K325/J325-1</f>
        <v>-6.3015470444083288E-4</v>
      </c>
      <c r="M325">
        <f t="shared" ref="M325" si="118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9">B326/B325-1</f>
        <v>0</v>
      </c>
      <c r="D326" s="26">
        <f t="shared" ref="D326" si="120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1">+B326/D326-1</f>
        <v>-1.4526482004690866E-2</v>
      </c>
      <c r="H326" s="25">
        <f>(+B326/(D326*(1-VLOOKUP(A326,FX!A:K,9,0)))-1)</f>
        <v>-1.4259052769089231E-2</v>
      </c>
      <c r="I326" s="25">
        <f t="shared" si="74"/>
        <v>-1.5050316145694076E-2</v>
      </c>
      <c r="J326">
        <v>10260.85</v>
      </c>
      <c r="K326">
        <v>10304.030000000001</v>
      </c>
      <c r="L326" s="25">
        <f t="shared" ref="L326" si="122">+K326/J326-1</f>
        <v>4.2082283631472706E-3</v>
      </c>
      <c r="M326">
        <f t="shared" ref="M326" si="123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4">B327/B326-1</f>
        <v>9.0415913200723175E-3</v>
      </c>
      <c r="D327" s="26">
        <f t="shared" ref="D327" si="125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6">+B327/D327-1</f>
        <v>-1.3393049817593261E-2</v>
      </c>
      <c r="H327" s="25">
        <f>(+B327/(D327*(1-VLOOKUP(A327,FX!A:K,9,0)))-1)</f>
        <v>-1.3697028250325372E-2</v>
      </c>
      <c r="I327" s="25">
        <f t="shared" si="74"/>
        <v>-1.3524264120922891E-2</v>
      </c>
      <c r="J327">
        <v>10304.030000000001</v>
      </c>
      <c r="K327">
        <v>10379.73</v>
      </c>
      <c r="L327" s="25">
        <f t="shared" ref="L327" si="127">+K327/J327-1</f>
        <v>7.3466401010089388E-3</v>
      </c>
      <c r="M327">
        <f t="shared" ref="M327" si="128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9">B328/B327-1</f>
        <v>1.6129032258064502E-2</v>
      </c>
      <c r="D328" s="26">
        <f t="shared" ref="D328" si="130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1">+B328/D328-1</f>
        <v>-1.3746348146804199E-2</v>
      </c>
      <c r="H328" s="25">
        <f>(+B328/(D328*(1-VLOOKUP(A328,FX!A:K,9,0)))-1)</f>
        <v>-1.492600075505468E-2</v>
      </c>
      <c r="I328" s="25">
        <f t="shared" si="74"/>
        <v>-1.6052060737527185E-2</v>
      </c>
      <c r="J328">
        <v>10379.73</v>
      </c>
      <c r="K328">
        <v>10549.52</v>
      </c>
      <c r="L328" s="25">
        <f t="shared" ref="L328" si="132">+K328/J328-1</f>
        <v>1.6357843604795308E-2</v>
      </c>
      <c r="M328">
        <f t="shared" ref="M328" si="133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4">B329/B328-1</f>
        <v>5.2910052910053462E-3</v>
      </c>
      <c r="D329" s="26">
        <f t="shared" ref="D329" si="13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6">+B329/D329-1</f>
        <v>-1.2994108914469504E-2</v>
      </c>
      <c r="H329" s="25">
        <f>(+B329/(D329*(1-VLOOKUP(A329,FX!A:K,9,0)))-1)</f>
        <v>-1.3278653319441891E-2</v>
      </c>
      <c r="I329" s="25">
        <f t="shared" si="74"/>
        <v>-1.3499480789200269E-2</v>
      </c>
      <c r="J329">
        <v>10549.52</v>
      </c>
      <c r="K329">
        <v>10572.48</v>
      </c>
      <c r="L329" s="25">
        <f t="shared" ref="L329" si="137">+K329/J329-1</f>
        <v>2.1764023386845466E-3</v>
      </c>
      <c r="M329">
        <f t="shared" ref="M329" si="138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9">B330/B329-1</f>
        <v>1.7543859649122862E-3</v>
      </c>
      <c r="D330" s="26">
        <f t="shared" ref="D330" si="140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1">+B330/D330-1</f>
        <v>-1.2102360648783228E-2</v>
      </c>
      <c r="H330" s="25">
        <f>(+B330/(D330*(1-VLOOKUP(A330,FX!A:K,9,0)))-1)</f>
        <v>-1.3808287391836149E-2</v>
      </c>
      <c r="I330" s="25">
        <f t="shared" si="74"/>
        <v>-1.3135153819564427E-2</v>
      </c>
      <c r="J330">
        <v>10572.48</v>
      </c>
      <c r="K330">
        <v>10576.05</v>
      </c>
      <c r="L330" s="25">
        <f t="shared" ref="L330" si="142">+K330/J330-1</f>
        <v>3.376691183147873E-4</v>
      </c>
      <c r="M330">
        <f t="shared" ref="M330" si="143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4">B331/B330-1</f>
        <v>-7.0052539404553693E-3</v>
      </c>
      <c r="D331" s="26">
        <f t="shared" ref="D331" si="145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6">+B331/D331-1</f>
        <v>-1.1200096486861488E-2</v>
      </c>
      <c r="H331" s="25">
        <f>(+B331/(D331*(1-VLOOKUP(A331,FX!A:K,9,0)))-1)</f>
        <v>-1.2592337723330904E-2</v>
      </c>
      <c r="I331" s="25">
        <f t="shared" si="74"/>
        <v>-1.3655736279029274E-2</v>
      </c>
      <c r="J331">
        <v>10576.05</v>
      </c>
      <c r="K331">
        <v>10481.41</v>
      </c>
      <c r="L331" s="25">
        <f t="shared" ref="L331" si="147">+K331/J331-1</f>
        <v>-8.9485204778720906E-3</v>
      </c>
      <c r="M331">
        <f t="shared" ref="M331" si="148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9">B332/B331-1</f>
        <v>-7.0546737213403876E-3</v>
      </c>
      <c r="D332" s="26">
        <f t="shared" ref="D332" si="150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1">+B332/D332-1</f>
        <v>-1.8536234380933325E-2</v>
      </c>
      <c r="H332" s="25">
        <f>(+B332/(D332*(1-VLOOKUP(A332,FX!A:K,9,0)))-1)</f>
        <v>-1.7942451543011328E-2</v>
      </c>
      <c r="I332" s="25">
        <f t="shared" si="74"/>
        <v>-1.8565327290159583E-2</v>
      </c>
      <c r="J332">
        <v>10481.41</v>
      </c>
      <c r="K332">
        <v>10459.219999999999</v>
      </c>
      <c r="L332" s="25">
        <f t="shared" ref="L332" si="152">+K332/J332-1</f>
        <v>-2.1170815758567718E-3</v>
      </c>
      <c r="M332">
        <f t="shared" ref="M332" si="153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4">B333/B332-1</f>
        <v>5.3285968028420339E-3</v>
      </c>
      <c r="D333" s="26">
        <f t="shared" ref="D333" si="155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6">+B333/D333-1</f>
        <v>-1.6862433194199999E-2</v>
      </c>
      <c r="H333" s="25">
        <f>(+B333/(D333*(1-VLOOKUP(A333,FX!A:K,9,0)))-1)</f>
        <v>-1.6155785833670722E-2</v>
      </c>
      <c r="I333" s="25">
        <f t="shared" si="74"/>
        <v>-1.4023168713526712E-2</v>
      </c>
      <c r="J333">
        <v>10459.219999999999</v>
      </c>
      <c r="K333">
        <v>10496.74</v>
      </c>
      <c r="L333" s="25">
        <f t="shared" ref="L333" si="157">+K333/J333-1</f>
        <v>3.587265589594768E-3</v>
      </c>
      <c r="M333">
        <f t="shared" ref="M333" si="158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9">B334/B333-1</f>
        <v>1.0600706713780772E-2</v>
      </c>
      <c r="D334" s="26">
        <f t="shared" ref="D334" si="160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1">+B334/D334-1</f>
        <v>-1.2059689814795438E-2</v>
      </c>
      <c r="H334" s="25">
        <f>(+B334/(D334*(1-VLOOKUP(A334,FX!A:K,9,0)))-1)</f>
        <v>-1.322592477026685E-2</v>
      </c>
      <c r="I334" s="25">
        <f t="shared" si="74"/>
        <v>-1.3878113955693605E-2</v>
      </c>
      <c r="J334">
        <v>10496.74</v>
      </c>
      <c r="K334">
        <v>10586.93</v>
      </c>
      <c r="L334" s="25">
        <f t="shared" ref="L334" si="162">+K334/J334-1</f>
        <v>8.5921914804025779E-3</v>
      </c>
      <c r="M334">
        <f t="shared" ref="M334" si="163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4">B335/B334-1</f>
        <v>8.7412587412587506E-3</v>
      </c>
      <c r="D335" s="26">
        <f t="shared" ref="D335" si="165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6">+B335/D335-1</f>
        <v>-1.9630897585148688E-2</v>
      </c>
      <c r="H335" s="25">
        <f>(+B335/(D335*(1-VLOOKUP(A335,FX!A:K,9,0)))-1)</f>
        <v>-1.9479821273579501E-2</v>
      </c>
      <c r="I335" s="25">
        <f t="shared" si="74"/>
        <v>-1.9624500892022945E-2</v>
      </c>
      <c r="J335">
        <v>10586.93</v>
      </c>
      <c r="K335">
        <v>10742.14</v>
      </c>
      <c r="L335" s="25">
        <f t="shared" ref="L335" si="167">+K335/J335-1</f>
        <v>1.4660529539724854E-2</v>
      </c>
      <c r="M335">
        <f t="shared" ref="M335" si="168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9">B336/B335-1</f>
        <v>-1.7331022530329143E-3</v>
      </c>
      <c r="D336" s="26">
        <f t="shared" ref="D336" si="170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1">+B336/D336-1</f>
        <v>-1.9952345903048174E-2</v>
      </c>
      <c r="H336" s="25">
        <f>(+B336/(D336*(1-VLOOKUP(A336,FX!A:K,9,0)))-1)</f>
        <v>-1.954486803737987E-2</v>
      </c>
      <c r="I336" s="25">
        <f t="shared" si="74"/>
        <v>-1.890648952478291E-2</v>
      </c>
      <c r="J336">
        <v>10742.14</v>
      </c>
      <c r="K336">
        <v>10727.11</v>
      </c>
      <c r="L336" s="25">
        <f t="shared" ref="L336" si="172">+K336/J336-1</f>
        <v>-1.399162550478672E-3</v>
      </c>
      <c r="M336">
        <f t="shared" ref="M336" si="173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4">B337/B336-1</f>
        <v>2.951388888888884E-2</v>
      </c>
      <c r="D337" s="26">
        <f t="shared" ref="D337" si="175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6">+B337/D337-1</f>
        <v>-1.5680115741843581E-2</v>
      </c>
      <c r="H337" s="25">
        <f>(+B337/(D337*(1-VLOOKUP(A337,FX!A:K,9,0)))-1)</f>
        <v>-1.9368488952221208E-2</v>
      </c>
      <c r="I337" s="25">
        <f t="shared" si="74"/>
        <v>-1.6746808157851123E-2</v>
      </c>
      <c r="J337">
        <v>10727.11</v>
      </c>
      <c r="K337">
        <v>11007.51</v>
      </c>
      <c r="L337" s="25">
        <f t="shared" ref="L337" si="177">+K337/J337-1</f>
        <v>2.6139379571944232E-2</v>
      </c>
      <c r="M337">
        <f t="shared" ref="M337" si="178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9">B338/B337-1</f>
        <v>3.3726812816190499E-3</v>
      </c>
      <c r="D338" s="26">
        <f t="shared" ref="D338" si="180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1">+B338/D338-1</f>
        <v>-1.2049318750065319E-2</v>
      </c>
      <c r="H338" s="25">
        <f>(+B338/(D338*(1-VLOOKUP(A338,FX!A:K,9,0)))-1)</f>
        <v>-1.3793247829859356E-2</v>
      </c>
      <c r="I338" s="25">
        <f t="shared" si="74"/>
        <v>-1.2612014603385235E-2</v>
      </c>
      <c r="J338">
        <v>11007.51</v>
      </c>
      <c r="K338">
        <v>10992.12</v>
      </c>
      <c r="L338" s="25">
        <f t="shared" ref="L338" si="182">+K338/J338-1</f>
        <v>-1.3981363632646904E-3</v>
      </c>
      <c r="M338">
        <f t="shared" ref="M338" si="183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4">B339/B338-1</f>
        <v>0</v>
      </c>
      <c r="D339" s="26">
        <f t="shared" ref="D339" si="185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6">+B339/D339-1</f>
        <v>-1.2612014603385235E-2</v>
      </c>
      <c r="H339" s="25">
        <f>(+B339/(D339*(1-VLOOKUP(A339,FX!A:K,9,0)))-1)</f>
        <v>-1.6353916605079677E-2</v>
      </c>
      <c r="I339" s="25">
        <f t="shared" si="74"/>
        <v>-1.2530080491245488E-2</v>
      </c>
      <c r="J339">
        <v>10992.12</v>
      </c>
      <c r="K339">
        <v>10992.12</v>
      </c>
      <c r="L339" s="25">
        <f t="shared" ref="L339" si="187">+K339/J339-1</f>
        <v>0</v>
      </c>
      <c r="M339">
        <f t="shared" ref="M339" si="188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9">B340/B339-1</f>
        <v>0</v>
      </c>
      <c r="D340" s="26">
        <f t="shared" ref="D340" si="190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1">+B340/D340-1</f>
        <v>-1.2530080491245488E-2</v>
      </c>
      <c r="H340" s="25">
        <f>(+B340/(D340*(1-VLOOKUP(A340,FX!A:K,9,0)))-1)</f>
        <v>-1.1134578122280914E-2</v>
      </c>
      <c r="I340" s="25">
        <f t="shared" si="74"/>
        <v>-1.0806317539484578E-2</v>
      </c>
      <c r="J340">
        <v>10992.12</v>
      </c>
      <c r="K340">
        <v>10992.12</v>
      </c>
      <c r="L340" s="25">
        <f t="shared" ref="L340" si="192">+K340/J340-1</f>
        <v>0</v>
      </c>
      <c r="M340">
        <f t="shared" ref="M340" si="193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4">B341/B340-1</f>
        <v>3.3613445378151141E-3</v>
      </c>
      <c r="D341" s="26">
        <f t="shared" ref="D341" si="195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6">+B341/D341-1</f>
        <v>-1.1079051216920321E-2</v>
      </c>
      <c r="H341" s="25">
        <f>(+B341/(D341*(1-VLOOKUP(A341,FX!A:K,9,0)))-1)</f>
        <v>-1.5892649788486479E-2</v>
      </c>
      <c r="I341" s="25">
        <f t="shared" ref="I341:I378" si="197">+B341/F341-1</f>
        <v>-1.3304685563176655E-2</v>
      </c>
      <c r="J341">
        <v>10992.12</v>
      </c>
      <c r="K341">
        <v>11032.11</v>
      </c>
      <c r="L341" s="25">
        <f t="shared" ref="L341" si="198">+K341/J341-1</f>
        <v>3.6380607198611692E-3</v>
      </c>
      <c r="M341">
        <f t="shared" ref="M341" si="199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200">B342/B341-1</f>
        <v>6.7001675041875597E-3</v>
      </c>
      <c r="D342" s="26">
        <f t="shared" ref="D342" si="2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2">+B342/D342-1</f>
        <v>-1.5565264789831557E-2</v>
      </c>
      <c r="H342" s="25">
        <f>(+B342/(D342*(1-VLOOKUP(A342,FX!A:K,9,0)))-1)</f>
        <v>-2.3212034633383838E-2</v>
      </c>
      <c r="I342" s="25">
        <f t="shared" si="197"/>
        <v>-2.3161316537992693E-2</v>
      </c>
      <c r="J342">
        <v>11032.11</v>
      </c>
      <c r="K342">
        <v>11131.53</v>
      </c>
      <c r="L342" s="25">
        <f t="shared" ref="L342" si="203">+K342/J342-1</f>
        <v>9.0118753348180647E-3</v>
      </c>
      <c r="M342">
        <f t="shared" ref="M342" si="204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5">B343/B342-1</f>
        <v>-4.991680532445808E-3</v>
      </c>
      <c r="D343" s="26">
        <f t="shared" ref="D343" si="206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7">+B343/D343-1</f>
        <v>-2.068606015065344E-2</v>
      </c>
      <c r="H343" s="25">
        <f>(+B343/(D343*(1-VLOOKUP(A343,FX!A:K,9,0)))-1)</f>
        <v>-1.3974496184555707E-2</v>
      </c>
      <c r="I343" s="25">
        <f t="shared" si="197"/>
        <v>-2.111638566050078E-2</v>
      </c>
      <c r="J343">
        <v>11131.53</v>
      </c>
      <c r="K343">
        <v>11047.97</v>
      </c>
      <c r="L343" s="25">
        <f t="shared" ref="L343" si="208">+K343/J343-1</f>
        <v>-7.5066051117861354E-3</v>
      </c>
      <c r="M343">
        <f t="shared" ref="M343" si="209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10">B344/B343-1</f>
        <v>-1.0033444816053616E-2</v>
      </c>
      <c r="D344" s="26">
        <f t="shared" ref="D344" si="211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2">+B344/D344-1</f>
        <v>-2.050912032097818E-2</v>
      </c>
      <c r="H344" s="25">
        <f>(+B344/(D344*(1-VLOOKUP(A344,FX!A:K,9,0)))-1)</f>
        <v>-2.1314635485017774E-2</v>
      </c>
      <c r="I344" s="25">
        <f t="shared" si="197"/>
        <v>-2.2376352076624584E-2</v>
      </c>
      <c r="J344">
        <v>11047.97</v>
      </c>
      <c r="K344">
        <v>10930.34</v>
      </c>
      <c r="L344" s="25">
        <f t="shared" ref="L344" si="213">+K344/J344-1</f>
        <v>-1.064720487112103E-2</v>
      </c>
      <c r="M344">
        <f t="shared" ref="M344" si="214">WEEKDAY(A344,2)</f>
        <v>1</v>
      </c>
      <c r="N344" s="50" t="s">
        <v>351</v>
      </c>
    </row>
    <row r="345" spans="1:14" x14ac:dyDescent="0.15">
      <c r="A345" s="1">
        <v>42892</v>
      </c>
      <c r="B345">
        <v>11.94</v>
      </c>
      <c r="C345" s="25">
        <f t="shared" ref="C345" si="215">B345/B344-1</f>
        <v>8.4459459459458319E-3</v>
      </c>
      <c r="D345" s="26">
        <f t="shared" ref="D345" si="216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7">+B345/D345-1</f>
        <v>-2.2366856526101819E-2</v>
      </c>
      <c r="H345" s="25">
        <f>(+B345/(D345*(1-VLOOKUP(A345,FX!A:K,9,0)))-1)</f>
        <v>-2.4423625100912227E-2</v>
      </c>
      <c r="I345" s="25">
        <f t="shared" si="197"/>
        <v>-2.2353230164578686E-2</v>
      </c>
      <c r="J345">
        <v>10930.34</v>
      </c>
      <c r="K345">
        <v>11022.55</v>
      </c>
      <c r="L345" s="25">
        <f t="shared" ref="L345" si="218">+K345/J345-1</f>
        <v>8.4361511169825931E-3</v>
      </c>
      <c r="M345">
        <f t="shared" ref="M345" si="219">WEEKDAY(A345,2)</f>
        <v>2</v>
      </c>
      <c r="N345" s="50" t="s">
        <v>353</v>
      </c>
    </row>
    <row r="346" spans="1:14" x14ac:dyDescent="0.15">
      <c r="A346" s="1">
        <v>42893</v>
      </c>
      <c r="B346">
        <v>12.04</v>
      </c>
      <c r="C346" s="25">
        <f t="shared" ref="C346" si="220">B346/B345-1</f>
        <v>8.3752093802345051E-3</v>
      </c>
      <c r="D346" s="26">
        <f t="shared" ref="D346" si="221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2">+B346/D346-1</f>
        <v>-2.4095553226058164E-2</v>
      </c>
      <c r="H346" s="25">
        <f>(+B346/(D346*(1-VLOOKUP(A346,FX!A:K,9,0)))-1)</f>
        <v>-2.3981643311549616E-2</v>
      </c>
      <c r="I346" s="25">
        <f t="shared" si="197"/>
        <v>-2.5101214574898778E-2</v>
      </c>
      <c r="J346">
        <v>11022.55</v>
      </c>
      <c r="K346">
        <v>11134.71</v>
      </c>
      <c r="L346" s="25">
        <f t="shared" ref="L346" si="223">+K346/J346-1</f>
        <v>1.0175503853464107E-2</v>
      </c>
      <c r="M346">
        <f t="shared" ref="M346" si="224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5">B347/B346-1</f>
        <v>9.9667774086380501E-3</v>
      </c>
      <c r="D347" s="26">
        <f t="shared" ref="D347" si="226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7">+B347/D347-1</f>
        <v>-2.3698519062617329E-2</v>
      </c>
      <c r="H347" s="25">
        <f>(+B347/(D347*(1-VLOOKUP(A347,FX!A:K,9,0)))-1)</f>
        <v>-2.3675443081798253E-2</v>
      </c>
      <c r="I347" s="25">
        <f t="shared" si="197"/>
        <v>-2.2822243651559049E-2</v>
      </c>
      <c r="J347">
        <v>11134.71</v>
      </c>
      <c r="K347">
        <v>11229.53</v>
      </c>
      <c r="L347" s="25">
        <f t="shared" ref="L347" si="228">+K347/J347-1</f>
        <v>8.5157134761482123E-3</v>
      </c>
      <c r="M347">
        <f t="shared" ref="M347" si="229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30">B348/B347-1</f>
        <v>6.5789473684210176E-3</v>
      </c>
      <c r="D348" s="26">
        <f t="shared" ref="D348" si="231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2">+B348/D348-1</f>
        <v>-2.2789522432277498E-2</v>
      </c>
      <c r="H348" s="25">
        <f>(+B348/(D348*(1-VLOOKUP(A348,FX!A:K,9,0)))-1)</f>
        <v>-2.0247030151949064E-2</v>
      </c>
      <c r="I348" s="25">
        <f t="shared" si="197"/>
        <v>-2.2676461194506503E-2</v>
      </c>
      <c r="J348">
        <v>11229.53</v>
      </c>
      <c r="K348">
        <v>11303.03</v>
      </c>
      <c r="L348" s="25">
        <f t="shared" ref="L348" si="233">+K348/J348-1</f>
        <v>6.5452427661709667E-3</v>
      </c>
      <c r="M348">
        <f t="shared" ref="M348" si="234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5">B349/B348-1</f>
        <v>-4.9019607843138191E-3</v>
      </c>
      <c r="D349" s="26">
        <f t="shared" ref="D349" si="236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7">+B349/D349-1</f>
        <v>-2.8374157081272222E-2</v>
      </c>
      <c r="H349" s="25">
        <f>(+B349/(D349*(1-VLOOKUP(A349,FX!A:K,9,0)))-1)</f>
        <v>-2.841996627312815E-2</v>
      </c>
      <c r="I349" s="25">
        <f t="shared" si="197"/>
        <v>-2.8475711892797406E-2</v>
      </c>
      <c r="J349">
        <v>11303.03</v>
      </c>
      <c r="K349">
        <v>11313.58</v>
      </c>
      <c r="L349" s="25">
        <f t="shared" ref="L349" si="238">+K349/J349-1</f>
        <v>9.3337804110915634E-4</v>
      </c>
      <c r="M349">
        <f t="shared" ref="M349" si="239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40">B350/B349-1</f>
        <v>0</v>
      </c>
      <c r="D350" s="26">
        <f t="shared" ref="D350" si="241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2">+B350/D350-1</f>
        <v>-2.6044606946367121E-2</v>
      </c>
      <c r="H350" s="25">
        <f>(+B350/(D350*(1-VLOOKUP(A350,FX!A:K,9,0)))-1)</f>
        <v>-2.5647011147104992E-2</v>
      </c>
      <c r="I350" s="25">
        <f t="shared" si="197"/>
        <v>-2.6145358599184432E-2</v>
      </c>
      <c r="J350">
        <v>11313.58</v>
      </c>
      <c r="K350">
        <v>11285.34</v>
      </c>
      <c r="L350" s="25">
        <f t="shared" ref="L350" si="243">+K350/J350-1</f>
        <v>-2.496115287998979E-3</v>
      </c>
      <c r="M350">
        <f t="shared" ref="M350" si="244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5">B351/B350-1</f>
        <v>-1.3136288998357948E-2</v>
      </c>
      <c r="D351" s="26">
        <f t="shared" ref="D351" si="246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7">+B351/D351-1</f>
        <v>-2.2956196178948729E-2</v>
      </c>
      <c r="H351" s="25">
        <f>(+B351/(D351*(1-VLOOKUP(A351,FX!A:K,9,0)))-1)</f>
        <v>-2.2904389573143114E-2</v>
      </c>
      <c r="I351" s="25">
        <f t="shared" si="197"/>
        <v>-2.6957014490407216E-2</v>
      </c>
      <c r="J351">
        <v>11285.34</v>
      </c>
      <c r="K351">
        <v>11100.74</v>
      </c>
      <c r="L351" s="25">
        <f t="shared" ref="L351" si="248">+K351/J351-1</f>
        <v>-1.6357504514706744E-2</v>
      </c>
      <c r="M351">
        <f t="shared" ref="M351" si="249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50">B352/B351-1</f>
        <v>-6.6555740432612254E-3</v>
      </c>
      <c r="D352" s="26">
        <f t="shared" ref="D352" si="25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2">+B352/D352-1</f>
        <v>-2.6249833092091723E-2</v>
      </c>
      <c r="H352" s="25">
        <f>(+B352/(D352*(1-VLOOKUP(A352,FX!A:K,9,0)))-1)</f>
        <v>-2.6971638464454162E-2</v>
      </c>
      <c r="I352" s="25">
        <f t="shared" si="197"/>
        <v>-2.7528913503828023E-2</v>
      </c>
      <c r="J352">
        <v>11100.74</v>
      </c>
      <c r="K352">
        <v>11018.85</v>
      </c>
      <c r="L352" s="25">
        <f t="shared" ref="L352" si="253">+K352/J352-1</f>
        <v>-7.3769856784321464E-3</v>
      </c>
      <c r="M352">
        <f t="shared" ref="M352" si="254">WEEKDAY(A352,2)</f>
        <v>4</v>
      </c>
      <c r="N352" s="50" t="s">
        <v>360</v>
      </c>
    </row>
    <row r="353" spans="1:14" x14ac:dyDescent="0.15">
      <c r="A353" s="1">
        <v>42902</v>
      </c>
      <c r="B353">
        <v>11.88</v>
      </c>
      <c r="C353" s="25">
        <f t="shared" ref="C353" si="255">B353/B352-1</f>
        <v>-5.0251256281406143E-3</v>
      </c>
      <c r="D353" s="26">
        <f t="shared" ref="D353" si="256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7">+B353/D353-1</f>
        <v>-2.8589603862676394E-2</v>
      </c>
      <c r="H353" s="25">
        <f>(+B353/(D353*(1-VLOOKUP(A353,FX!A:K,9,0)))-1)</f>
        <v>-2.2584330459831992E-2</v>
      </c>
      <c r="I353" s="25">
        <f t="shared" si="197"/>
        <v>-2.8697571743929284E-2</v>
      </c>
      <c r="J353">
        <v>11018.85</v>
      </c>
      <c r="K353">
        <v>10975.45</v>
      </c>
      <c r="L353" s="25">
        <f t="shared" ref="L353" si="258">+K353/J353-1</f>
        <v>-3.9387050372770016E-3</v>
      </c>
      <c r="M353">
        <f t="shared" ref="M353" si="259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60">B354/B353-1</f>
        <v>1.1784511784511675E-2</v>
      </c>
      <c r="D354" s="26">
        <f t="shared" ref="D354" si="261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2">+B354/D354-1</f>
        <v>-2.7459183820633282E-2</v>
      </c>
      <c r="H354" s="25">
        <f>(+B354/(D354*(1-VLOOKUP(A354,FX!A:K,9,0)))-1)</f>
        <v>-2.9550397115225446E-2</v>
      </c>
      <c r="I354" s="25">
        <f t="shared" si="197"/>
        <v>-2.7508090614886682E-2</v>
      </c>
      <c r="J354">
        <v>10975.45</v>
      </c>
      <c r="K354">
        <v>11090.65</v>
      </c>
      <c r="L354" s="25">
        <f t="shared" ref="L354" si="263">+K354/J354-1</f>
        <v>1.0496152777334844E-2</v>
      </c>
      <c r="M354">
        <f t="shared" ref="M354" si="264">WEEKDAY(A354,2)</f>
        <v>1</v>
      </c>
      <c r="N354" s="50" t="s">
        <v>364</v>
      </c>
    </row>
    <row r="355" spans="1:14" x14ac:dyDescent="0.15">
      <c r="A355" s="1">
        <v>42906</v>
      </c>
      <c r="B355">
        <v>11.96</v>
      </c>
      <c r="C355" s="25">
        <f t="shared" ref="C355:C357" si="265">B355/B354-1</f>
        <v>-4.991680532445808E-3</v>
      </c>
      <c r="D355" s="26">
        <f t="shared" ref="D355" si="266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7">+B355/D355-1</f>
        <v>-3.0005397107126019E-2</v>
      </c>
      <c r="H355" s="25">
        <f>(+B355/(D355*(1-VLOOKUP(A355,FX!A:K,9,0)))-1)</f>
        <v>-2.704406041149976E-2</v>
      </c>
      <c r="I355" s="25">
        <f t="shared" si="197"/>
        <v>-2.835323746851881E-2</v>
      </c>
      <c r="J355">
        <v>11090.65</v>
      </c>
      <c r="K355">
        <v>11063.7</v>
      </c>
      <c r="L355" s="25">
        <f t="shared" ref="L355" si="268">+K355/J355-1</f>
        <v>-2.4299747985915277E-3</v>
      </c>
      <c r="M355">
        <f t="shared" ref="M355" si="269">WEEKDAY(A355,2)</f>
        <v>2</v>
      </c>
    </row>
    <row r="356" spans="1:14" x14ac:dyDescent="0.15">
      <c r="A356" s="1">
        <v>42907</v>
      </c>
      <c r="B356">
        <v>12.08</v>
      </c>
      <c r="C356" s="25">
        <f t="shared" si="265"/>
        <v>1.0033444816053505E-2</v>
      </c>
      <c r="D356" s="26">
        <f t="shared" ref="D356:D357" si="270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1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2">+K356/J356-1</f>
        <v>1.1780868967885993E-2</v>
      </c>
      <c r="M356">
        <f t="shared" ref="M356:M357" si="273">WEEKDAY(A356,2)</f>
        <v>3</v>
      </c>
    </row>
    <row r="357" spans="1:14" x14ac:dyDescent="0.15">
      <c r="A357" s="1">
        <v>42908</v>
      </c>
      <c r="B357">
        <v>12.18</v>
      </c>
      <c r="C357" s="25">
        <f t="shared" si="265"/>
        <v>8.2781456953642252E-3</v>
      </c>
      <c r="D357" s="26">
        <f t="shared" si="270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4">+B357/D357-1</f>
        <v>-2.8393486682597668E-2</v>
      </c>
      <c r="H357" s="25">
        <f>(+B357/(D357*(1-VLOOKUP(A357,FX!A:K,9,0)))-1)</f>
        <v>-2.8278243020006255E-2</v>
      </c>
      <c r="I357" s="25">
        <f t="shared" si="197"/>
        <v>-2.7932960893854775E-2</v>
      </c>
      <c r="J357">
        <v>11194.04</v>
      </c>
      <c r="K357">
        <v>11280.37</v>
      </c>
      <c r="L357" s="25">
        <f t="shared" si="272"/>
        <v>7.7121396743267123E-3</v>
      </c>
      <c r="M357">
        <f t="shared" si="273"/>
        <v>4</v>
      </c>
    </row>
    <row r="358" spans="1:14" x14ac:dyDescent="0.15">
      <c r="A358" s="1">
        <v>42909</v>
      </c>
      <c r="B358">
        <v>12.3</v>
      </c>
      <c r="C358" s="25">
        <f t="shared" ref="C358" si="275">B358/B357-1</f>
        <v>9.8522167487684609E-3</v>
      </c>
      <c r="D358" s="26">
        <f t="shared" ref="D358" si="276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4"/>
        <v>-2.5469439908006763E-2</v>
      </c>
      <c r="H358" s="25">
        <f>(+B358/(D358*(1-VLOOKUP(A358,FX!A:K,9,0)))-1)</f>
        <v>-2.4008740390135119E-2</v>
      </c>
      <c r="I358" s="25">
        <f t="shared" si="197"/>
        <v>-2.4583663758921404E-2</v>
      </c>
      <c r="J358">
        <v>11280.37</v>
      </c>
      <c r="K358">
        <v>11362.71</v>
      </c>
      <c r="L358" s="25">
        <f t="shared" si="272"/>
        <v>7.2994059592015326E-3</v>
      </c>
      <c r="M358">
        <f t="shared" ref="M358" si="277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8">B359/B358-1</f>
        <v>9.7560975609756184E-3</v>
      </c>
      <c r="D359" s="26">
        <f t="shared" ref="D359" si="279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4"/>
        <v>-2.1462552944311541E-2</v>
      </c>
      <c r="H359" s="25">
        <f>(+B359/(D359*(1-VLOOKUP(A359,FX!A:K,9,0)))-1)</f>
        <v>-2.0227240774714161E-2</v>
      </c>
      <c r="I359" s="25">
        <f t="shared" si="197"/>
        <v>-2.1585000787773811E-2</v>
      </c>
      <c r="J359">
        <v>11362.71</v>
      </c>
      <c r="K359">
        <v>11436.97</v>
      </c>
      <c r="L359" s="25">
        <f t="shared" si="272"/>
        <v>6.5354127668488804E-3</v>
      </c>
      <c r="M359">
        <f t="shared" ref="M359" si="280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1">B360/B359-1</f>
        <v>1.6103059581320522E-3</v>
      </c>
      <c r="D360" s="26">
        <f t="shared" ref="D360" si="282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4"/>
        <v>-2.4758194964189073E-2</v>
      </c>
      <c r="H360" s="25">
        <f>(+B360/(D360*(1-VLOOKUP(A360,FX!A:K,9,0)))-1)</f>
        <v>-2.4995957075988673E-2</v>
      </c>
      <c r="I360" s="25">
        <f t="shared" si="197"/>
        <v>-2.377776033900969E-2</v>
      </c>
      <c r="J360">
        <v>11436.97</v>
      </c>
      <c r="K360">
        <v>11492.66</v>
      </c>
      <c r="L360" s="25">
        <f t="shared" si="272"/>
        <v>4.8692966756056499E-3</v>
      </c>
      <c r="M360">
        <f t="shared" ref="M360" si="283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4">B361/B360-1</f>
        <v>-3.215434083601254E-3</v>
      </c>
      <c r="D361" s="26">
        <f t="shared" ref="D361" si="285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4"/>
        <v>-1.9869792196593239E-2</v>
      </c>
      <c r="H361" s="25">
        <f>(+B361/(D361*(1-VLOOKUP(A361,FX!A:K,9,0)))-1)</f>
        <v>-2.6518873936609677E-2</v>
      </c>
      <c r="I361" s="25">
        <f t="shared" si="197"/>
        <v>-2.3622047244094446E-2</v>
      </c>
      <c r="J361">
        <v>11492.66</v>
      </c>
      <c r="K361">
        <v>11410.03</v>
      </c>
      <c r="L361" s="25">
        <f t="shared" si="272"/>
        <v>-7.1898063633657472E-3</v>
      </c>
      <c r="M361">
        <f t="shared" ref="M361" si="286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7">B362/B361-1</f>
        <v>9.6774193548385679E-3</v>
      </c>
      <c r="D362" s="26">
        <f t="shared" ref="D362" si="288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4"/>
        <v>-2.0688507917499321E-2</v>
      </c>
      <c r="H362" s="25">
        <f>(+B362/(D362*(1-VLOOKUP(A362,FX!A:K,9,0)))-1)</f>
        <v>-2.2568051833697811E-2</v>
      </c>
      <c r="I362" s="25">
        <f t="shared" si="197"/>
        <v>-2.2562260910297449E-2</v>
      </c>
      <c r="J362">
        <v>11410.03</v>
      </c>
      <c r="K362">
        <v>11485.94</v>
      </c>
      <c r="L362" s="25">
        <f t="shared" ref="L362" si="289">+K362/J362-1</f>
        <v>6.652918528698093E-3</v>
      </c>
      <c r="M362">
        <f t="shared" ref="M362" si="290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1">B363/B362-1</f>
        <v>1.5974440894568342E-3</v>
      </c>
      <c r="D363" s="26">
        <f t="shared" ref="D363" si="292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3">+B363/D363-1</f>
        <v>-1.8806274190720784E-2</v>
      </c>
      <c r="H363" s="25">
        <f>(+B363/(D363*(1-VLOOKUP(A363,FX!A:K,9,0)))-1)</f>
        <v>-2.1481923769151146E-2</v>
      </c>
      <c r="I363" s="25">
        <f t="shared" si="197"/>
        <v>-2.2069718474616029E-2</v>
      </c>
      <c r="J363">
        <v>11485.94</v>
      </c>
      <c r="K363">
        <v>11460.25</v>
      </c>
      <c r="L363" s="25">
        <f t="shared" ref="L363" si="294">+K363/J363-1</f>
        <v>-2.2366475882688031E-3</v>
      </c>
      <c r="M363">
        <f t="shared" ref="M363" si="295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6">B364/B363-1</f>
        <v>-9.5693779904305609E-3</v>
      </c>
      <c r="D364" s="26">
        <f t="shared" ref="D364" si="297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8">+B364/D364-1</f>
        <v>-2.3718342549722826E-2</v>
      </c>
      <c r="H364" s="25">
        <f>(+B364/(D364*(1-VLOOKUP(A364,FX!A:K,9,0)))-1)</f>
        <v>-2.1515003480259254E-2</v>
      </c>
      <c r="I364" s="25">
        <f t="shared" si="197"/>
        <v>-2.4045261669024098E-2</v>
      </c>
      <c r="J364">
        <v>11460.25</v>
      </c>
      <c r="K364">
        <v>11369.75</v>
      </c>
      <c r="L364" s="25">
        <f t="shared" ref="L364" si="299">+K364/J364-1</f>
        <v>-7.8968608887240999E-3</v>
      </c>
      <c r="M364">
        <f t="shared" ref="M364" si="300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1">B365/B364-1</f>
        <v>-1.1272141706924366E-2</v>
      </c>
      <c r="D365" s="26">
        <f t="shared" ref="D365" si="302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3">+B365/D365-1</f>
        <v>-2.5301736646966444E-2</v>
      </c>
      <c r="H365" s="25">
        <f>(+B365/(D365*(1-VLOOKUP(A365,FX!A:K,9,0)))-1)</f>
        <v>-2.3016206665602446E-2</v>
      </c>
      <c r="I365" s="25">
        <f t="shared" si="197"/>
        <v>-2.3614534467679138E-2</v>
      </c>
      <c r="J365">
        <v>11369.75</v>
      </c>
      <c r="K365">
        <v>11256.08</v>
      </c>
      <c r="L365" s="25">
        <f t="shared" ref="L365" si="304">+K365/J365-1</f>
        <v>-9.997581301259939E-3</v>
      </c>
      <c r="M365">
        <f t="shared" ref="M365" si="305">WEEKDAY(A365,2)</f>
        <v>2</v>
      </c>
      <c r="N365" s="50" t="s">
        <v>370</v>
      </c>
    </row>
    <row r="366" spans="1:14" x14ac:dyDescent="0.15">
      <c r="A366" s="1">
        <v>42921</v>
      </c>
      <c r="B366">
        <v>12.52</v>
      </c>
      <c r="C366" s="25">
        <f t="shared" ref="C366" si="306">B366/B365-1</f>
        <v>1.9543973941368087E-2</v>
      </c>
      <c r="D366" s="26">
        <f t="shared" ref="D366" si="307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8">+B366/D366-1</f>
        <v>-1.9187526358568796E-2</v>
      </c>
      <c r="H366" s="25">
        <f>(+B366/(D366*(1-VLOOKUP(A366,FX!A:K,9,0)))-1)</f>
        <v>-1.9963173679282353E-2</v>
      </c>
      <c r="I366" s="25">
        <f t="shared" si="197"/>
        <v>-1.865496159272606E-2</v>
      </c>
      <c r="J366">
        <v>11256.08</v>
      </c>
      <c r="K366">
        <v>11424.27</v>
      </c>
      <c r="L366" s="25">
        <f t="shared" ref="L366" si="309">+K366/J366-1</f>
        <v>1.4942146821984359E-2</v>
      </c>
      <c r="M366">
        <f t="shared" ref="M366" si="310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1">B367/B366-1</f>
        <v>1.5974440894568342E-3</v>
      </c>
      <c r="D367" s="26">
        <f t="shared" ref="D367" si="312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3">+B367/D367-1</f>
        <v>-1.8360737758167933E-2</v>
      </c>
      <c r="H367" s="25">
        <f>(+B367/(D367*(1-VLOOKUP(A367,FX!A:K,9,0)))-1)</f>
        <v>-1.6930935574755002E-2</v>
      </c>
      <c r="I367" s="25">
        <f t="shared" si="197"/>
        <v>-1.9009622154423922E-2</v>
      </c>
      <c r="J367">
        <v>11424.27</v>
      </c>
      <c r="K367">
        <v>11439.09</v>
      </c>
      <c r="L367" s="25">
        <f t="shared" ref="L367" si="314">+K367/J367-1</f>
        <v>1.2972382480456179E-3</v>
      </c>
      <c r="M367">
        <f t="shared" ref="M367" si="315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6">B368/B367-1</f>
        <v>-7.9744816586921896E-3</v>
      </c>
      <c r="D368" s="26">
        <f t="shared" ref="D368" si="31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8">+B368/D368-1</f>
        <v>-2.0483989713309669E-2</v>
      </c>
      <c r="H368" s="25">
        <f>(+B368/(D368*(1-VLOOKUP(A368,FX!A:K,9,0)))-1)</f>
        <v>-2.0900616884965029E-2</v>
      </c>
      <c r="I368" s="25">
        <f t="shared" si="197"/>
        <v>-2.3317892753395686E-2</v>
      </c>
      <c r="J368">
        <v>11439.09</v>
      </c>
      <c r="K368">
        <v>11364.95</v>
      </c>
      <c r="L368" s="25">
        <f t="shared" ref="L368" si="319">+K368/J368-1</f>
        <v>-6.4812847875136415E-3</v>
      </c>
      <c r="M368">
        <f t="shared" ref="M368" si="320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1">B369/B368-1</f>
        <v>6.4308681672025081E-3</v>
      </c>
      <c r="D369" s="26">
        <f t="shared" ref="D369" si="322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3">+B369/D369-1</f>
        <v>-1.979347148719357E-2</v>
      </c>
      <c r="H369" s="25">
        <f>(+B369/(D369*(1-VLOOKUP(A369,FX!A:K,9,0)))-1)</f>
        <v>-1.9977189493903924E-2</v>
      </c>
      <c r="I369" s="25">
        <f t="shared" si="197"/>
        <v>-1.9193106149627992E-2</v>
      </c>
      <c r="J369">
        <v>11364.95</v>
      </c>
      <c r="K369">
        <v>11396.91</v>
      </c>
      <c r="L369" s="25">
        <f t="shared" ref="L369" si="324">+K369/J369-1</f>
        <v>2.8121549148918401E-3</v>
      </c>
      <c r="M369">
        <f t="shared" ref="M369" si="325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6">B370/B369-1</f>
        <v>1.2779552715654896E-2</v>
      </c>
      <c r="D370" s="26">
        <f t="shared" ref="D370" si="327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8">+B370/D370-1</f>
        <v>-1.8436482218897932E-2</v>
      </c>
      <c r="H370" s="25">
        <f>(+B370/(D370*(1-VLOOKUP(A370,FX!A:K,9,0)))-1)</f>
        <v>-1.7515930284449754E-2</v>
      </c>
      <c r="I370" s="25">
        <f t="shared" si="197"/>
        <v>-2.0092735703245768E-2</v>
      </c>
      <c r="J370">
        <v>11396.91</v>
      </c>
      <c r="K370">
        <v>11533.66</v>
      </c>
      <c r="L370" s="25">
        <f t="shared" ref="L370" si="329">+K370/J370-1</f>
        <v>1.1998866359390403E-2</v>
      </c>
      <c r="M370">
        <f t="shared" ref="M370" si="330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1">B371/B370-1</f>
        <v>-1.577287066246047E-3</v>
      </c>
      <c r="D371" s="26">
        <f t="shared" ref="D371" si="332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3">+B371/D371-1</f>
        <v>-1.855110902855428E-2</v>
      </c>
      <c r="H371" s="25">
        <f>(+B371/(D371*(1-VLOOKUP(A371,FX!A:K,9,0)))-1)</f>
        <v>-2.1040831024112028E-2</v>
      </c>
      <c r="I371" s="25">
        <f t="shared" si="197"/>
        <v>-2.0502901353965264E-2</v>
      </c>
      <c r="J371">
        <v>11533.66</v>
      </c>
      <c r="K371">
        <v>11497.38</v>
      </c>
      <c r="L371" s="25">
        <f t="shared" ref="L371" si="334">+K371/J371-1</f>
        <v>-3.1455756455454065E-3</v>
      </c>
      <c r="M371">
        <f t="shared" ref="M371" si="335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6">B372/B371-1</f>
        <v>1.7377567140600458E-2</v>
      </c>
      <c r="D372" s="26">
        <f t="shared" ref="D372" si="337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8">+B372/D372-1</f>
        <v>-1.6202036302697898E-2</v>
      </c>
      <c r="H372" s="25">
        <f>(+B372/(D372*(1-VLOOKUP(A372,FX!A:K,9,0)))-1)</f>
        <v>-1.8181465321176593E-2</v>
      </c>
      <c r="I372" s="25">
        <f t="shared" si="197"/>
        <v>-1.8143009605122717E-2</v>
      </c>
      <c r="J372">
        <v>11497.38</v>
      </c>
      <c r="K372">
        <v>11646.04</v>
      </c>
      <c r="L372" s="25">
        <f t="shared" ref="L372" si="339">+K372/J372-1</f>
        <v>1.2929902290782946E-2</v>
      </c>
      <c r="M372">
        <f t="shared" ref="M372" si="340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1">B373/B372-1</f>
        <v>6.2111801242235032E-3</v>
      </c>
      <c r="D373" s="26">
        <f t="shared" ref="D373" si="342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3">+B373/D373-1</f>
        <v>-1.9787881949619779E-2</v>
      </c>
      <c r="H373" s="25">
        <f>(+B373/(D373*(1-VLOOKUP(A373,FX!A:K,9,0)))-1)</f>
        <v>-1.9086768352525652E-2</v>
      </c>
      <c r="I373" s="25">
        <f t="shared" si="197"/>
        <v>-2.1665282705518152E-2</v>
      </c>
      <c r="J373">
        <v>11646.04</v>
      </c>
      <c r="K373">
        <v>11738.04</v>
      </c>
      <c r="L373" s="25">
        <f t="shared" ref="L373" si="344">+K373/J373-1</f>
        <v>7.8996809215836628E-3</v>
      </c>
      <c r="M373">
        <f t="shared" ref="M373" si="345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6">B374/B373-1</f>
        <v>3.0864197530864335E-3</v>
      </c>
      <c r="D374" s="26">
        <f t="shared" ref="D374" si="347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8">+B374/D374-1</f>
        <v>-2.1442671515561562E-2</v>
      </c>
      <c r="H374" s="25">
        <f>(+B374/(D374*(1-VLOOKUP(A374,FX!A:K,9,0)))-1)</f>
        <v>-2.3548046095207331E-2</v>
      </c>
      <c r="I374" s="25">
        <f t="shared" si="197"/>
        <v>-2.336413492600109E-2</v>
      </c>
      <c r="J374">
        <v>11738.04</v>
      </c>
      <c r="K374">
        <v>11771.59</v>
      </c>
      <c r="L374" s="25">
        <f t="shared" ref="L374" si="349">+K374/J374-1</f>
        <v>2.8582284606288866E-3</v>
      </c>
      <c r="M374">
        <f t="shared" ref="M374" si="350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1">B375/B374-1</f>
        <v>-1.5384615384614886E-3</v>
      </c>
      <c r="D375" s="26">
        <f t="shared" ref="D375" si="352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3">+B375/D375-1</f>
        <v>-2.2003677883482453E-2</v>
      </c>
      <c r="H375" s="25">
        <f>(+B375/(D375*(1-VLOOKUP(A375,FX!A:K,9,0)))-1)</f>
        <v>-2.3836148975572957E-2</v>
      </c>
      <c r="I375" s="25">
        <f t="shared" si="197"/>
        <v>-2.1411338962605497E-2</v>
      </c>
      <c r="J375">
        <v>11771.59</v>
      </c>
      <c r="K375">
        <v>11737.13</v>
      </c>
      <c r="L375" s="25">
        <f t="shared" ref="L375" si="354">+K375/J375-1</f>
        <v>-2.9273870394739276E-3</v>
      </c>
      <c r="M375">
        <f t="shared" ref="M375" si="355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6">B376/B375-1</f>
        <v>1.0785824345146189E-2</v>
      </c>
      <c r="D376" s="26">
        <f t="shared" ref="D376" si="357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8">+B376/D376-1</f>
        <v>-2.2849866617327685E-2</v>
      </c>
      <c r="H376" s="25">
        <f>(+B376/(D376*(1-VLOOKUP(A376,FX!A:K,9,0)))-1)</f>
        <v>-2.2708789119852968E-2</v>
      </c>
      <c r="I376" s="25">
        <f t="shared" si="197"/>
        <v>-2.5766688943343108E-2</v>
      </c>
      <c r="J376">
        <v>11737.13</v>
      </c>
      <c r="K376">
        <v>11881.19</v>
      </c>
      <c r="L376" s="25">
        <f t="shared" ref="L376" si="359">+K376/J376-1</f>
        <v>1.2273869336030252E-2</v>
      </c>
      <c r="M376">
        <f t="shared" ref="M376" si="360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1">B377/B376-1</f>
        <v>1.5243902439026069E-3</v>
      </c>
      <c r="D377" s="26">
        <f t="shared" ref="D377" si="362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3">+B377/D377-1</f>
        <v>-2.7091102520113708E-2</v>
      </c>
      <c r="H377" s="25">
        <f>(+B377/(D377*(1-VLOOKUP(A377,FX!A:K,9,0)))-1)</f>
        <v>-2.5068902541023119E-2</v>
      </c>
      <c r="I377" s="25">
        <f t="shared" si="197"/>
        <v>-2.7027027027027084E-2</v>
      </c>
      <c r="J377">
        <v>11881.19</v>
      </c>
      <c r="K377">
        <v>11915.5</v>
      </c>
      <c r="L377" s="25">
        <f t="shared" ref="L377" si="364">+K377/J377-1</f>
        <v>2.8877578761050682E-3</v>
      </c>
      <c r="M377">
        <f t="shared" ref="M377" si="365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6">B378/B377-1</f>
        <v>-4.5662100456621557E-3</v>
      </c>
      <c r="D378" s="26">
        <f t="shared" ref="D378" si="367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8">+B378/D378-1</f>
        <v>-2.2696196020021264E-2</v>
      </c>
      <c r="H378" s="25">
        <f>(+B378/(D378*(1-VLOOKUP(A378,FX!A:K,9,0)))-1)</f>
        <v>-2.4111602075508665E-2</v>
      </c>
      <c r="I378" s="25">
        <f t="shared" si="197"/>
        <v>-2.3807746846779554E-2</v>
      </c>
      <c r="J378">
        <v>11915.5</v>
      </c>
      <c r="K378">
        <v>11808.53</v>
      </c>
      <c r="L378" s="25">
        <f t="shared" ref="L378" si="369">+K378/J378-1</f>
        <v>-8.9773824010741521E-3</v>
      </c>
      <c r="M378">
        <f t="shared" ref="M378" si="370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1">B379/B378-1</f>
        <v>6.1162079510703737E-3</v>
      </c>
      <c r="D379" s="26">
        <f t="shared" ref="D379" si="372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3">+B379/D379-1</f>
        <v>-2.4727676919260921E-2</v>
      </c>
      <c r="H379" s="25">
        <f>(+B379/(D379*(1-VLOOKUP(A379,FX!A:K,9,0)))-1)</f>
        <v>-2.5388326470576539E-2</v>
      </c>
      <c r="I379" s="25">
        <f t="shared" ref="I379:I462" si="374">+B379/F379-1</f>
        <v>-2.4462564862861358E-2</v>
      </c>
      <c r="J379">
        <v>11808.53</v>
      </c>
      <c r="K379">
        <v>11891.96</v>
      </c>
      <c r="L379" s="25">
        <f t="shared" ref="L379" si="375">+K379/J379-1</f>
        <v>7.0652316588091235E-3</v>
      </c>
      <c r="M379">
        <f t="shared" ref="M379" si="376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7">B380/B379-1</f>
        <v>1.5197568389058169E-3</v>
      </c>
      <c r="D380" s="26">
        <f t="shared" ref="D380" si="378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9">+B380/D380-1</f>
        <v>-2.0341356525056864E-2</v>
      </c>
      <c r="H380" s="25">
        <f>(+B380/(D380*(1-VLOOKUP(A380,FX!A:K,9,0)))-1)</f>
        <v>-2.14539276605199E-2</v>
      </c>
      <c r="I380" s="25">
        <f t="shared" si="374"/>
        <v>-1.9491147150721644E-2</v>
      </c>
      <c r="J380">
        <v>11891.96</v>
      </c>
      <c r="K380">
        <v>11859.93</v>
      </c>
      <c r="L380" s="25">
        <f t="shared" ref="L380" si="380">+K380/J380-1</f>
        <v>-2.6934163922515131E-3</v>
      </c>
      <c r="M380">
        <f t="shared" ref="M380" si="381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2">B381/B380-1</f>
        <v>-4.5523520485584168E-3</v>
      </c>
      <c r="D381" s="26">
        <f t="shared" ref="D381" si="383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4">+B381/D381-1</f>
        <v>-1.9576731302327732E-2</v>
      </c>
      <c r="H381" s="25">
        <f>(+B381/(D381*(1-VLOOKUP(A381,FX!A:K,9,0)))-1)</f>
        <v>-1.8298526063696641E-2</v>
      </c>
      <c r="I381" s="25">
        <f t="shared" si="374"/>
        <v>-1.9138755980861233E-2</v>
      </c>
      <c r="J381">
        <v>11859.93</v>
      </c>
      <c r="K381">
        <v>11806.97</v>
      </c>
      <c r="L381" s="25">
        <f t="shared" ref="L381" si="385">+K381/J381-1</f>
        <v>-4.4654563728454555E-3</v>
      </c>
      <c r="M381">
        <f t="shared" ref="M381" si="386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7">B382/B381-1</f>
        <v>4.5731707317073766E-3</v>
      </c>
      <c r="D382" s="26">
        <f t="shared" ref="D382" si="388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9">+B382/D382-1</f>
        <v>-1.3582894478422203E-2</v>
      </c>
      <c r="H382" s="25">
        <f>(+B382/(D382*(1-VLOOKUP(A382,FX!A:K,9,0)))-1)</f>
        <v>-1.7400472402015366E-2</v>
      </c>
      <c r="I382" s="25">
        <f t="shared" si="374"/>
        <v>-1.7004773269689744E-2</v>
      </c>
      <c r="J382">
        <v>11806.97</v>
      </c>
      <c r="K382">
        <v>11794.16</v>
      </c>
      <c r="L382" s="25">
        <f t="shared" ref="L382" si="390">+K382/J382-1</f>
        <v>-1.084952362883862E-3</v>
      </c>
      <c r="M382">
        <f t="shared" ref="M382" si="391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2">B383/B382-1</f>
        <v>4.5523520485584168E-3</v>
      </c>
      <c r="D383" s="26">
        <f t="shared" ref="D383" si="393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4">+B383/D383-1</f>
        <v>-1.4791921525599272E-2</v>
      </c>
      <c r="H383" s="25">
        <f>(+B383/(D383*(1-VLOOKUP(A383,FX!A:K,9,0)))-1)</f>
        <v>-1.2267544202879233E-2</v>
      </c>
      <c r="I383" s="25">
        <f t="shared" si="374"/>
        <v>-1.4000595770032764E-2</v>
      </c>
      <c r="J383">
        <v>11794.16</v>
      </c>
      <c r="K383">
        <v>11821.24</v>
      </c>
      <c r="L383" s="25">
        <f t="shared" ref="L383" si="395">+K383/J383-1</f>
        <v>2.2960516052012991E-3</v>
      </c>
      <c r="M383">
        <f t="shared" ref="M383" si="396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7">B384/B383-1</f>
        <v>3.0211480362536403E-3</v>
      </c>
      <c r="D384" s="26">
        <f t="shared" ref="D384" si="398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9">+B384/D384-1</f>
        <v>-9.7878797400579032E-3</v>
      </c>
      <c r="H384" s="25">
        <f>(+B384/(D384*(1-VLOOKUP(A384,FX!A:K,9,0)))-1)</f>
        <v>-1.2665641674058481E-2</v>
      </c>
      <c r="I384" s="25">
        <f t="shared" si="374"/>
        <v>-1.0874422761805502E-2</v>
      </c>
      <c r="J384">
        <v>11821.24</v>
      </c>
      <c r="K384">
        <v>11806.51</v>
      </c>
      <c r="L384" s="25">
        <f t="shared" ref="L384" si="400">+K384/J384-1</f>
        <v>-1.2460621728346277E-3</v>
      </c>
      <c r="M384">
        <f t="shared" ref="M384" si="401">WEEKDAY(A384,2)</f>
        <v>1</v>
      </c>
      <c r="N384" s="50" t="s">
        <v>395</v>
      </c>
    </row>
    <row r="385" spans="1:14" x14ac:dyDescent="0.15">
      <c r="A385" s="1">
        <v>42948</v>
      </c>
      <c r="B385">
        <v>13.44</v>
      </c>
      <c r="C385" s="25">
        <f t="shared" ref="C385" si="402">B385/B384-1</f>
        <v>1.2048192771084265E-2</v>
      </c>
      <c r="D385" s="26">
        <f t="shared" ref="D385" si="403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4">+B385/D385-1</f>
        <v>-1.3653229301051284E-2</v>
      </c>
      <c r="H385" s="25">
        <f>(+B385/(D385*(1-VLOOKUP(A385,FX!A:K,9,0)))-1)</f>
        <v>-1.4034393263986478E-2</v>
      </c>
      <c r="I385" s="25">
        <f t="shared" si="374"/>
        <v>-1.5745148297326983E-2</v>
      </c>
      <c r="J385">
        <v>11806.51</v>
      </c>
      <c r="K385">
        <v>11982.42</v>
      </c>
      <c r="L385" s="25">
        <f t="shared" ref="L385" si="405">+K385/J385-1</f>
        <v>1.4899407191456326E-2</v>
      </c>
      <c r="M385">
        <f t="shared" ref="M385" si="406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7">B386/B385-1</f>
        <v>0</v>
      </c>
      <c r="D386" s="26">
        <f t="shared" ref="D386" si="408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9">+B386/D386-1</f>
        <v>-1.4774922256395984E-2</v>
      </c>
      <c r="H386" s="25">
        <f>(+B386/(D386*(1-VLOOKUP(A386,FX!A:K,9,0)))-1)</f>
        <v>-1.3672477266822192E-2</v>
      </c>
      <c r="I386" s="25">
        <f t="shared" si="374"/>
        <v>-1.4590512500916475E-2</v>
      </c>
      <c r="J386">
        <v>11982.42</v>
      </c>
      <c r="K386">
        <v>11970.62</v>
      </c>
      <c r="L386" s="25">
        <f t="shared" ref="L386" si="410">+K386/J386-1</f>
        <v>-9.847760302175157E-4</v>
      </c>
      <c r="M386">
        <f t="shared" ref="M386" si="411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2">B387/B386-1</f>
        <v>-1.3392857142857095E-2</v>
      </c>
      <c r="D387" s="26">
        <f t="shared" ref="D387" si="413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4">+B387/D387-1</f>
        <v>-1.4045438163949653E-2</v>
      </c>
      <c r="H387" s="25">
        <f>(+B387/(D387*(1-VLOOKUP(A387,FX!A:K,9,0)))-1)</f>
        <v>-1.4388105362028281E-2</v>
      </c>
      <c r="I387" s="25">
        <f t="shared" si="374"/>
        <v>-1.4419503493384944E-2</v>
      </c>
      <c r="J387">
        <v>11970.62</v>
      </c>
      <c r="K387">
        <v>11803.77</v>
      </c>
      <c r="L387" s="25">
        <f t="shared" ref="L387" si="415">+K387/J387-1</f>
        <v>-1.3938292252197448E-2</v>
      </c>
      <c r="M387">
        <f t="shared" ref="M387" si="416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25">
        <f t="shared" ref="C388" si="417">B388/B387-1</f>
        <v>-4.5248868778280382E-3</v>
      </c>
      <c r="D388" s="26">
        <f t="shared" ref="D388" si="418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9">+B388/D388-1</f>
        <v>-1.2570817284852431E-2</v>
      </c>
      <c r="H388" s="25">
        <f>(+B388/(D388*(1-VLOOKUP(A388,FX!A:K,9,0)))-1)</f>
        <v>-1.3472089261871933E-2</v>
      </c>
      <c r="I388" s="25">
        <f t="shared" si="374"/>
        <v>-1.3747758517633102E-2</v>
      </c>
      <c r="J388">
        <v>11803.77</v>
      </c>
      <c r="K388">
        <v>11728.36</v>
      </c>
      <c r="L388" s="25">
        <f t="shared" ref="L388" si="420">+K388/J388-1</f>
        <v>-6.3886368507688474E-3</v>
      </c>
      <c r="M388">
        <f t="shared" ref="M388" si="421">WEEKDAY(A388,2)</f>
        <v>5</v>
      </c>
      <c r="N388" s="50" t="s">
        <v>398</v>
      </c>
    </row>
    <row r="389" spans="1:14" x14ac:dyDescent="0.15">
      <c r="A389" s="1">
        <v>42954</v>
      </c>
      <c r="B389">
        <v>13.26</v>
      </c>
      <c r="C389" s="25">
        <f t="shared" ref="C389" si="422">B389/B388-1</f>
        <v>4.5454545454546302E-3</v>
      </c>
      <c r="D389" s="26">
        <f t="shared" ref="D389" si="42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4">+B389/D389-1</f>
        <v>-1.307252718750529E-2</v>
      </c>
      <c r="H389" s="25">
        <f>(+B389/(D389*(1-VLOOKUP(A389,FX!A:K,9,0)))-1)</f>
        <v>-1.2004757561060009E-2</v>
      </c>
      <c r="I389" s="25">
        <f t="shared" si="374"/>
        <v>-1.2364069715477433E-2</v>
      </c>
      <c r="J389">
        <v>11728.36</v>
      </c>
      <c r="K389">
        <v>11773.61</v>
      </c>
      <c r="L389" s="25">
        <f t="shared" ref="L389" si="425">+K389/J389-1</f>
        <v>3.8581694286328183E-3</v>
      </c>
      <c r="M389">
        <f t="shared" ref="M389" si="426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7">B390/B389-1</f>
        <v>0</v>
      </c>
      <c r="D390" s="26">
        <f t="shared" ref="D390" si="428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9">+B390/D390-1</f>
        <v>-1.1106704078264307E-2</v>
      </c>
      <c r="H390" s="25">
        <f>(+B390/(D390*(1-VLOOKUP(A390,FX!A:K,9,0)))-1)</f>
        <v>-1.4839688742908752E-2</v>
      </c>
      <c r="I390" s="25">
        <f t="shared" si="374"/>
        <v>-1.199612547500184E-2</v>
      </c>
      <c r="J390">
        <v>11773.61</v>
      </c>
      <c r="K390">
        <v>11758.64</v>
      </c>
      <c r="L390" s="25">
        <f t="shared" ref="L390" si="430">+K390/J390-1</f>
        <v>-1.2714876745536507E-3</v>
      </c>
      <c r="M390">
        <f t="shared" ref="M390" si="431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2">B391/B390-1</f>
        <v>-4.5248868778280382E-3</v>
      </c>
      <c r="D391" s="26">
        <f t="shared" ref="D391" si="433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4">+B391/D391-1</f>
        <v>-1.0848271629589123E-2</v>
      </c>
      <c r="H391" s="25">
        <f>(+B391/(D391*(1-VLOOKUP(A391,FX!A:K,9,0)))-1)</f>
        <v>-1.1705013965557343E-2</v>
      </c>
      <c r="I391" s="25">
        <f t="shared" si="374"/>
        <v>-1.1606140022463629E-2</v>
      </c>
      <c r="J391">
        <v>11758.64</v>
      </c>
      <c r="K391">
        <v>11691.85</v>
      </c>
      <c r="L391" s="25">
        <f t="shared" ref="L391" si="435">+K391/J391-1</f>
        <v>-5.6800786485511345E-3</v>
      </c>
      <c r="M391">
        <f t="shared" ref="M391" si="436">WEEKDAY(A391,2)</f>
        <v>3</v>
      </c>
      <c r="N391" s="50" t="s">
        <v>401</v>
      </c>
    </row>
    <row r="392" spans="1:14" x14ac:dyDescent="0.15">
      <c r="A392" s="1">
        <v>42957</v>
      </c>
      <c r="B392">
        <v>13.12</v>
      </c>
      <c r="C392" s="25">
        <f t="shared" ref="C392" si="437">B392/B391-1</f>
        <v>-6.0606060606060996E-3</v>
      </c>
      <c r="D392" s="26">
        <f t="shared" ref="D392" si="438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9">+B392/D392-1</f>
        <v>-1.3656718687724667E-2</v>
      </c>
      <c r="H392" s="25">
        <f>(+B392/(D392*(1-VLOOKUP(A392,FX!A:K,9,0)))-1)</f>
        <v>-1.6538263548798504E-2</v>
      </c>
      <c r="I392" s="25">
        <f t="shared" si="374"/>
        <v>-1.8037572038021255E-2</v>
      </c>
      <c r="J392">
        <v>11691.85</v>
      </c>
      <c r="K392">
        <v>11645.15</v>
      </c>
      <c r="L392" s="25">
        <f t="shared" ref="L392" si="440">+K392/J392-1</f>
        <v>-3.9942353006582332E-3</v>
      </c>
      <c r="M392">
        <f t="shared" ref="M392" si="441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2">B393/B392-1</f>
        <v>-2.286585365853655E-2</v>
      </c>
      <c r="D393" s="26">
        <f t="shared" ref="D393" si="443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4">+B393/D393-1</f>
        <v>-2.5448178858477832E-2</v>
      </c>
      <c r="H393" s="25">
        <f>(+B393/(D393*(1-VLOOKUP(A393,FX!A:K,9,0)))-1)</f>
        <v>-2.3778390785250125E-2</v>
      </c>
      <c r="I393" s="25">
        <f t="shared" si="374"/>
        <v>-2.7977860338160521E-2</v>
      </c>
      <c r="J393">
        <v>11645.15</v>
      </c>
      <c r="K393">
        <v>11465.4</v>
      </c>
      <c r="L393" s="25">
        <f t="shared" ref="L393" si="445">+K393/J393-1</f>
        <v>-1.5435610533140354E-2</v>
      </c>
      <c r="M393">
        <f t="shared" ref="M393" si="446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7">B394/B393-1</f>
        <v>1.7160686427456939E-2</v>
      </c>
      <c r="D394" s="26">
        <f t="shared" ref="D394" si="448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9">+B394/D394-1</f>
        <v>-1.9232974202872621E-2</v>
      </c>
      <c r="H394" s="25">
        <f>(+B394/(D394*(1-VLOOKUP(A394,FX!A:K,9,0)))-1)</f>
        <v>-2.0426132721744095E-2</v>
      </c>
      <c r="I394" s="25">
        <f t="shared" si="374"/>
        <v>-2.0211886693215164E-2</v>
      </c>
      <c r="J394">
        <v>11465.4</v>
      </c>
      <c r="K394">
        <v>11558.17</v>
      </c>
      <c r="L394" s="25">
        <f t="shared" ref="L394" si="450">+K394/J394-1</f>
        <v>8.0913007832261741E-3</v>
      </c>
      <c r="M394">
        <f t="shared" ref="M394" si="451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2">B395/B394-1</f>
        <v>4.6012269938651151E-3</v>
      </c>
      <c r="D395" s="26">
        <f t="shared" ref="D395" si="453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4">+B395/D395-1</f>
        <v>-2.1800600539575887E-2</v>
      </c>
      <c r="H395" s="25">
        <f>(+B395/(D395*(1-VLOOKUP(A395,FX!A:K,9,0)))-1)</f>
        <v>-2.0673609257416348E-2</v>
      </c>
      <c r="I395" s="25">
        <f t="shared" si="374"/>
        <v>-2.0487513085090558E-2</v>
      </c>
      <c r="J395">
        <v>11558.17</v>
      </c>
      <c r="K395">
        <v>11630.21</v>
      </c>
      <c r="L395" s="25">
        <f t="shared" ref="L395" si="455">+K395/J395-1</f>
        <v>6.232820593571331E-3</v>
      </c>
      <c r="M395">
        <f t="shared" ref="M395" si="456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7">B396/B395-1</f>
        <v>0</v>
      </c>
      <c r="D396" s="26">
        <f t="shared" ref="D396" si="458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9">+B396/D396-1</f>
        <v>-1.7840035965375312E-2</v>
      </c>
      <c r="H396" s="25">
        <f>(+B396/(D396*(1-VLOOKUP(A396,FX!A:K,9,0)))-1)</f>
        <v>-1.682441058013151E-2</v>
      </c>
      <c r="I396" s="25">
        <f t="shared" si="374"/>
        <v>-1.6442675876567447E-2</v>
      </c>
      <c r="J396">
        <v>11630.21</v>
      </c>
      <c r="K396">
        <v>11598.86</v>
      </c>
      <c r="L396" s="25">
        <f t="shared" ref="L396" si="460">+K396/J396-1</f>
        <v>-2.6955661161749411E-3</v>
      </c>
      <c r="M396">
        <f t="shared" ref="M396" si="461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2">B397/B396-1</f>
        <v>3.0534351145039551E-3</v>
      </c>
      <c r="D397" s="26">
        <f t="shared" ref="D397" si="463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4">+B397/D397-1</f>
        <v>-1.4954528303141923E-2</v>
      </c>
      <c r="H397" s="25">
        <f>(+B397/(D397*(1-VLOOKUP(A397,FX!A:K,9,0)))-1)</f>
        <v>-1.7497865672643109E-2</v>
      </c>
      <c r="I397" s="25">
        <f t="shared" si="374"/>
        <v>-1.6025161000449151E-2</v>
      </c>
      <c r="J397">
        <v>11598.86</v>
      </c>
      <c r="K397">
        <v>11616.7</v>
      </c>
      <c r="L397" s="25">
        <f t="shared" ref="L397" si="465">+K397/J397-1</f>
        <v>1.5380821908359543E-3</v>
      </c>
      <c r="M397">
        <f t="shared" ref="M397" si="466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7">B398/B397-1</f>
        <v>0</v>
      </c>
      <c r="D398" s="26">
        <f t="shared" ref="D398" si="468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9">+B398/D398-1</f>
        <v>-1.8509156523979442E-2</v>
      </c>
      <c r="H398" s="25">
        <f>(+B398/(D398*(1-VLOOKUP(A398,FX!A:K,9,0)))-1)</f>
        <v>-1.7870558573872097E-2</v>
      </c>
      <c r="I398" s="25">
        <f t="shared" si="374"/>
        <v>-1.8670649738610878E-2</v>
      </c>
      <c r="J398">
        <v>11616.7</v>
      </c>
      <c r="K398">
        <v>11646.1</v>
      </c>
      <c r="L398" s="25">
        <f t="shared" ref="L398" si="470">+K398/J398-1</f>
        <v>2.5308392228429177E-3</v>
      </c>
      <c r="M398">
        <f t="shared" ref="M398" si="471">WEEKDAY(A398,2)</f>
        <v>5</v>
      </c>
      <c r="N398" s="50" t="s">
        <v>410</v>
      </c>
    </row>
    <row r="399" spans="1:14" x14ac:dyDescent="0.15">
      <c r="A399" s="1">
        <v>42968</v>
      </c>
      <c r="B399">
        <v>13.24</v>
      </c>
      <c r="C399" s="25">
        <f t="shared" ref="C399" si="472">B399/B398-1</f>
        <v>7.6103500761035558E-3</v>
      </c>
      <c r="D399" s="26">
        <f t="shared" ref="D399" si="47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4">+B399/D399-1</f>
        <v>-1.3422720297224799E-2</v>
      </c>
      <c r="H399" s="25">
        <f>(+B399/(D399*(1-VLOOKUP(A399,FX!A:K,9,0)))-1)</f>
        <v>-1.3739251522719598E-2</v>
      </c>
      <c r="I399" s="93">
        <f t="shared" si="374"/>
        <v>-1.4000595770032764E-2</v>
      </c>
      <c r="J399" s="92">
        <v>11646.1</v>
      </c>
      <c r="K399" s="92">
        <v>11672.31</v>
      </c>
      <c r="L399" s="25">
        <f t="shared" ref="L399" si="475">+K399/J399-1</f>
        <v>2.2505388069824495E-3</v>
      </c>
      <c r="M399">
        <f t="shared" ref="M399" si="476">WEEKDAY(A399,2)</f>
        <v>1</v>
      </c>
    </row>
    <row r="400" spans="1:14" x14ac:dyDescent="0.15">
      <c r="A400" s="1">
        <v>42969</v>
      </c>
      <c r="B400">
        <v>13.36</v>
      </c>
      <c r="C400" s="93">
        <f t="shared" ref="C400" si="477">B400/B399-1</f>
        <v>9.0634441087613649E-3</v>
      </c>
      <c r="D400" s="26">
        <f t="shared" ref="D400" si="478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ref="G400" si="479">+B400/D400-1</f>
        <v>-1.4744146414390147E-2</v>
      </c>
      <c r="H400" s="93">
        <f>(+B400/(D400*(1-VLOOKUP(A400,FX!A:K,9,0)))-1)</f>
        <v>-1.7631216777445613E-2</v>
      </c>
      <c r="I400" s="93">
        <f t="shared" si="374"/>
        <v>-1.6489988221436991E-2</v>
      </c>
      <c r="J400" s="92">
        <v>11672.31</v>
      </c>
      <c r="K400" s="92">
        <v>11786.99</v>
      </c>
      <c r="L400" s="93">
        <f t="shared" ref="L400" si="480">+K400/J400-1</f>
        <v>9.8249618113295245E-3</v>
      </c>
      <c r="M400" s="92">
        <f t="shared" ref="M400" si="481">WEEKDAY(A400,2)</f>
        <v>2</v>
      </c>
    </row>
    <row r="401" spans="1:14" x14ac:dyDescent="0.15">
      <c r="A401" s="1">
        <v>42970</v>
      </c>
      <c r="B401">
        <v>13.36</v>
      </c>
      <c r="C401" s="93">
        <f t="shared" ref="C401" si="482">B401/B400-1</f>
        <v>0</v>
      </c>
      <c r="D401" s="26">
        <f t="shared" ref="D401" si="483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ref="G401" si="484">+B401/D401-1</f>
        <v>-2.4026526856451347E-2</v>
      </c>
      <c r="H401" s="93">
        <f>(+B401/(D401*(1-VLOOKUP(A401,FX!A:K,9,0)))-1)</f>
        <v>-2.3800187329263589E-2</v>
      </c>
      <c r="I401" s="93">
        <f t="shared" si="374"/>
        <v>-2.4105186267348477E-2</v>
      </c>
      <c r="J401" s="92">
        <v>11786.99</v>
      </c>
      <c r="K401" s="92">
        <v>11878.01</v>
      </c>
      <c r="L401" s="93">
        <f t="shared" ref="L401" si="485">+K401/J401-1</f>
        <v>7.7220732349820853E-3</v>
      </c>
      <c r="M401" s="92">
        <f t="shared" ref="M401" si="486">WEEKDAY(A401,2)</f>
        <v>3</v>
      </c>
    </row>
    <row r="402" spans="1:14" x14ac:dyDescent="0.15">
      <c r="A402" s="1">
        <v>42971</v>
      </c>
      <c r="B402">
        <v>13.4</v>
      </c>
      <c r="C402" s="93">
        <f t="shared" ref="C402:C407" si="487">B402/B401-1</f>
        <v>2.9940119760478723E-3</v>
      </c>
      <c r="D402" s="26">
        <f t="shared" ref="D402:D407" si="488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ref="G402" si="489">+B402/D402-1</f>
        <v>-1.7684293263056428E-2</v>
      </c>
      <c r="H402" s="93">
        <f>(+B402/(D402*(1-VLOOKUP(A402,FX!A:K,9,0)))-1)</f>
        <v>-1.8856887552956003E-2</v>
      </c>
      <c r="I402" s="93">
        <f t="shared" si="374"/>
        <v>-1.8602607294565643E-2</v>
      </c>
      <c r="J402" s="92">
        <v>11878.01</v>
      </c>
      <c r="K402">
        <v>11835.7</v>
      </c>
      <c r="L402" s="93">
        <f t="shared" ref="L402" si="490">+K402/J402-1</f>
        <v>-3.5620444838823095E-3</v>
      </c>
      <c r="M402" s="92">
        <f t="shared" ref="M402" si="491">WEEKDAY(A402,2)</f>
        <v>4</v>
      </c>
    </row>
    <row r="403" spans="1:14" x14ac:dyDescent="0.15">
      <c r="A403" s="1">
        <v>42972</v>
      </c>
      <c r="B403">
        <v>13.74</v>
      </c>
      <c r="C403" s="93">
        <f t="shared" si="487"/>
        <v>2.5373134328358304E-2</v>
      </c>
      <c r="D403" s="26">
        <f t="shared" si="488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ref="G403" si="492">+B403/D403-1</f>
        <v>-1.4706511072177464E-2</v>
      </c>
      <c r="H403" s="93">
        <f>(+B403/(D403*(1-VLOOKUP(A403,FX!A:K,9,0)))-1)</f>
        <v>-1.422087786801407E-2</v>
      </c>
      <c r="I403" s="93">
        <f t="shared" si="374"/>
        <v>-1.3710429976311778E-2</v>
      </c>
      <c r="J403">
        <v>11835.7</v>
      </c>
      <c r="K403">
        <v>12088.02</v>
      </c>
      <c r="L403" s="93">
        <f t="shared" ref="L403" si="493">+K403/J403-1</f>
        <v>2.1318553190770251E-2</v>
      </c>
      <c r="M403" s="92">
        <f t="shared" ref="M403" si="494">WEEKDAY(A403,2)</f>
        <v>5</v>
      </c>
    </row>
    <row r="404" spans="1:14" ht="54" x14ac:dyDescent="0.15">
      <c r="A404" s="90">
        <v>42975</v>
      </c>
      <c r="B404">
        <v>13.9</v>
      </c>
      <c r="C404" s="93">
        <f t="shared" si="487"/>
        <v>1.1644832605531397E-2</v>
      </c>
      <c r="D404" s="26">
        <f t="shared" si="488"/>
        <v>14.061516474162021</v>
      </c>
      <c r="E404" s="26">
        <f>D404*(1-VLOOKUP(A404,FX!A:K,9,0))</f>
        <v>14.117634426710463</v>
      </c>
      <c r="F404">
        <v>14.103</v>
      </c>
      <c r="G404" s="93">
        <f t="shared" ref="G404" si="495">+B404/D404-1</f>
        <v>-1.1486419296155348E-2</v>
      </c>
      <c r="H404" s="93">
        <f>(+B404/(D404*(1-VLOOKUP(A404,FX!A:K,9,0)))-1)</f>
        <v>-1.5415785685645722E-2</v>
      </c>
      <c r="I404" s="93">
        <f t="shared" si="374"/>
        <v>-1.4394100545983113E-2</v>
      </c>
      <c r="J404">
        <v>12088.02</v>
      </c>
      <c r="K404">
        <v>12201.27</v>
      </c>
      <c r="L404" s="93">
        <f t="shared" ref="L404" si="496">+K404/J404-1</f>
        <v>9.3687799987094422E-3</v>
      </c>
      <c r="M404" s="92">
        <f t="shared" ref="M404" si="497">WEEKDAY(A404,2)</f>
        <v>1</v>
      </c>
      <c r="N404" s="50" t="s">
        <v>425</v>
      </c>
    </row>
    <row r="405" spans="1:14" x14ac:dyDescent="0.15">
      <c r="A405" s="90">
        <v>42976</v>
      </c>
      <c r="B405">
        <v>13.98</v>
      </c>
      <c r="C405" s="93">
        <f t="shared" si="487"/>
        <v>5.7553956834532904E-3</v>
      </c>
      <c r="D405" s="26">
        <f t="shared" si="488"/>
        <v>14.120095217956816</v>
      </c>
      <c r="E405" s="26">
        <f>D405*(1-VLOOKUP(A405,FX!A:K,9,0))</f>
        <v>14.168991358491219</v>
      </c>
      <c r="F405">
        <v>14.135</v>
      </c>
      <c r="G405" s="93">
        <f t="shared" ref="G405" si="498">+B405/D405-1</f>
        <v>-9.9216907389302333E-3</v>
      </c>
      <c r="H405" s="93">
        <f>(+B405/(D405*(1-VLOOKUP(A405,FX!A:K,9,0)))-1)</f>
        <v>-1.3338377708725146E-2</v>
      </c>
      <c r="I405" s="93">
        <f t="shared" si="374"/>
        <v>-1.0965688008489516E-2</v>
      </c>
      <c r="J405">
        <v>12201.27</v>
      </c>
      <c r="K405">
        <v>12216.06</v>
      </c>
      <c r="L405" s="93">
        <f t="shared" ref="L405" si="499">+K405/J405-1</f>
        <v>1.2121688971720168E-3</v>
      </c>
      <c r="M405" s="92">
        <f t="shared" ref="M405" si="500">WEEKDAY(A405,2)</f>
        <v>2</v>
      </c>
    </row>
    <row r="406" spans="1:14" ht="27" x14ac:dyDescent="0.15">
      <c r="A406" s="90">
        <v>42977</v>
      </c>
      <c r="B406">
        <v>14.02</v>
      </c>
      <c r="C406" s="93">
        <f t="shared" si="487"/>
        <v>2.8612303290413976E-3</v>
      </c>
      <c r="D406" s="26">
        <f t="shared" si="488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ref="G406" si="501">+B406/D406-1</f>
        <v>-4.4817055766794844E-3</v>
      </c>
      <c r="H406" s="93">
        <f>(+B406/(D406*(1-VLOOKUP(A406,FX!A:K,9,0)))-1)</f>
        <v>-7.7316839006368321E-3</v>
      </c>
      <c r="I406" s="93">
        <f t="shared" si="374"/>
        <v>-7.3633531577457223E-3</v>
      </c>
      <c r="J406">
        <v>12216.06</v>
      </c>
      <c r="K406">
        <v>12171.22</v>
      </c>
      <c r="L406" s="93">
        <f t="shared" ref="L406" si="502">+K406/J406-1</f>
        <v>-3.6705779113723747E-3</v>
      </c>
      <c r="M406" s="92">
        <f t="shared" ref="M406" si="503">WEEKDAY(A406,2)</f>
        <v>3</v>
      </c>
      <c r="N406" s="50" t="s">
        <v>427</v>
      </c>
    </row>
    <row r="407" spans="1:14" x14ac:dyDescent="0.15">
      <c r="A407" s="90">
        <v>42978</v>
      </c>
      <c r="B407">
        <v>13.9</v>
      </c>
      <c r="C407" s="93">
        <f t="shared" si="487"/>
        <v>-8.5592011412267688E-3</v>
      </c>
      <c r="D407" s="26">
        <f t="shared" si="488"/>
        <v>14.019676226376649</v>
      </c>
      <c r="E407" s="26">
        <f>D407*(1-VLOOKUP(A407,FX!A:K,9,0))</f>
        <v>13.983750619364692</v>
      </c>
      <c r="F407">
        <v>14.04</v>
      </c>
      <c r="G407" s="93">
        <f t="shared" ref="G407" si="504">+B407/D407-1</f>
        <v>-8.5363045796656989E-3</v>
      </c>
      <c r="H407" s="93">
        <f>(+B407/(D407*(1-VLOOKUP(A407,FX!A:K,9,0)))-1)</f>
        <v>-5.9891385111454642E-3</v>
      </c>
      <c r="I407" s="93">
        <f t="shared" si="374"/>
        <v>-9.9715099715098621E-3</v>
      </c>
      <c r="J407">
        <v>12171.22</v>
      </c>
      <c r="K407">
        <v>12081.32</v>
      </c>
      <c r="L407" s="93">
        <f t="shared" ref="L407" si="505">+K407/J407-1</f>
        <v>-7.386276807090808E-3</v>
      </c>
      <c r="M407" s="92">
        <f t="shared" ref="M407" si="506">WEEKDAY(A407,2)</f>
        <v>4</v>
      </c>
    </row>
    <row r="408" spans="1:14" x14ac:dyDescent="0.15">
      <c r="A408" s="90">
        <v>42979</v>
      </c>
      <c r="B408">
        <v>13.94</v>
      </c>
      <c r="C408" s="93">
        <f t="shared" ref="C408" si="507">B408/B407-1</f>
        <v>2.8776978417266452E-3</v>
      </c>
      <c r="D408" s="26">
        <f t="shared" ref="D408" si="508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ref="G408" si="509">+B408/D408-1</f>
        <v>-6.3057599621325622E-3</v>
      </c>
      <c r="H408" s="93">
        <f>(+B408/(D408*(1-VLOOKUP(A408,FX!A:K,9,0)))-1)</f>
        <v>-9.5685864984536018E-3</v>
      </c>
      <c r="I408" s="93">
        <f t="shared" si="374"/>
        <v>-7.6879271070615651E-3</v>
      </c>
      <c r="J408">
        <v>12081.32</v>
      </c>
      <c r="K408">
        <v>12071.39</v>
      </c>
      <c r="L408" s="93">
        <f t="shared" ref="L408" si="510">+K408/J408-1</f>
        <v>-8.2193005400077457E-4</v>
      </c>
      <c r="M408" s="92">
        <f t="shared" ref="M408" si="511">WEEKDAY(A408,2)</f>
        <v>5</v>
      </c>
    </row>
    <row r="409" spans="1:14" x14ac:dyDescent="0.15">
      <c r="A409" s="90">
        <v>42982</v>
      </c>
      <c r="B409">
        <v>14.04</v>
      </c>
      <c r="C409" s="93">
        <f t="shared" ref="C409" si="512">B409/B408-1</f>
        <v>7.1736011477760986E-3</v>
      </c>
      <c r="D409" s="26">
        <f t="shared" ref="D409" si="513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ref="G409" si="514">+B409/D409-1</f>
        <v>-3.6563825024259478E-3</v>
      </c>
      <c r="H409" s="93">
        <f>(+B409/(D409*(1-VLOOKUP(A409,FX!A:K,9,0)))-1)</f>
        <v>-8.8411675441305571E-3</v>
      </c>
      <c r="I409" s="93">
        <f t="shared" si="374"/>
        <v>-8.1243376898622044E-3</v>
      </c>
      <c r="J409">
        <v>12071.39</v>
      </c>
      <c r="K409">
        <v>12108.79</v>
      </c>
      <c r="L409" s="93">
        <f t="shared" ref="L409" si="515">+K409/J409-1</f>
        <v>3.0982347517560793E-3</v>
      </c>
      <c r="M409" s="92">
        <f t="shared" ref="M409" si="516">WEEKDAY(A409,2)</f>
        <v>1</v>
      </c>
    </row>
    <row r="410" spans="1:14" x14ac:dyDescent="0.15">
      <c r="A410" s="90">
        <v>42983</v>
      </c>
      <c r="B410">
        <v>14.06</v>
      </c>
      <c r="C410" s="93">
        <f t="shared" ref="C410" si="517">B410/B409-1</f>
        <v>1.4245014245015675E-3</v>
      </c>
      <c r="D410" s="26">
        <f t="shared" ref="D410" si="518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ref="G410" si="519">+B410/D410-1</f>
        <v>-1.3025903515915815E-2</v>
      </c>
      <c r="H410" s="93">
        <f>(+B410/(D410*(1-VLOOKUP(A410,FX!A:K,9,0)))-1)</f>
        <v>-1.4030537107821428E-2</v>
      </c>
      <c r="I410" s="93">
        <f t="shared" si="374"/>
        <v>-1.7401635334404864E-2</v>
      </c>
      <c r="J410">
        <v>12108.79</v>
      </c>
      <c r="K410">
        <v>12186.26</v>
      </c>
      <c r="L410" s="93">
        <f t="shared" ref="L410" si="520">+K410/J410-1</f>
        <v>6.3978316578285899E-3</v>
      </c>
      <c r="M410" s="92">
        <f t="shared" ref="M410" si="521">WEEKDAY(A410,2)</f>
        <v>2</v>
      </c>
    </row>
    <row r="411" spans="1:14" x14ac:dyDescent="0.15">
      <c r="A411" s="90">
        <v>42984</v>
      </c>
      <c r="B411">
        <v>14.02</v>
      </c>
      <c r="C411" s="93">
        <f t="shared" ref="C411" si="522">B411/B410-1</f>
        <v>-2.8449502133712778E-3</v>
      </c>
      <c r="D411" s="26">
        <f t="shared" ref="D411" si="523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ref="G411" si="524">+B411/D411-1</f>
        <v>-1.521020186560007E-2</v>
      </c>
      <c r="H411" s="93">
        <f>(+B411/(D411*(1-VLOOKUP(A411,FX!A:K,9,0)))-1)</f>
        <v>-1.5419397147986569E-2</v>
      </c>
      <c r="I411" s="93">
        <f t="shared" si="374"/>
        <v>-1.607130324935091E-2</v>
      </c>
      <c r="J411">
        <v>12186.26</v>
      </c>
      <c r="K411">
        <v>12124.55</v>
      </c>
      <c r="L411" s="93">
        <f t="shared" ref="L411" si="525">+K411/J411-1</f>
        <v>-5.0638998347319886E-3</v>
      </c>
      <c r="M411" s="92">
        <f t="shared" ref="M411" si="526">WEEKDAY(A411,2)</f>
        <v>3</v>
      </c>
    </row>
    <row r="412" spans="1:14" x14ac:dyDescent="0.15">
      <c r="A412" s="90">
        <v>42985</v>
      </c>
      <c r="B412">
        <v>13.94</v>
      </c>
      <c r="C412" s="93">
        <f t="shared" ref="C412" si="527">B412/B411-1</f>
        <v>-5.7061340941512162E-3</v>
      </c>
      <c r="D412" s="26">
        <f t="shared" ref="D412" si="528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ref="G412" si="529">+B412/D412-1</f>
        <v>-1.398517904174168E-2</v>
      </c>
      <c r="H412" s="93">
        <f>(+B412/(D412*(1-VLOOKUP(A412,FX!A:K,9,0)))-1)</f>
        <v>-1.5097732413345777E-2</v>
      </c>
      <c r="I412" s="93">
        <f t="shared" si="374"/>
        <v>-1.4840989399293347E-2</v>
      </c>
      <c r="J412">
        <v>12124.55</v>
      </c>
      <c r="K412">
        <v>12029.86</v>
      </c>
      <c r="L412" s="93">
        <f t="shared" ref="L412" si="530">+K412/J412-1</f>
        <v>-7.8097743833790423E-3</v>
      </c>
      <c r="M412" s="92">
        <f t="shared" ref="M412" si="531">WEEKDAY(A412,2)</f>
        <v>4</v>
      </c>
    </row>
    <row r="413" spans="1:14" x14ac:dyDescent="0.15">
      <c r="A413" s="90">
        <v>42986</v>
      </c>
      <c r="B413">
        <v>14.06</v>
      </c>
      <c r="C413" s="93">
        <f t="shared" ref="C413" si="532">B413/B412-1</f>
        <v>8.6083213773315848E-3</v>
      </c>
      <c r="D413" s="26">
        <f t="shared" ref="D413" si="533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ref="G413" si="534">+B413/D413-1</f>
        <v>-4.4711315454951661E-3</v>
      </c>
      <c r="H413" s="93">
        <f>(+B413/(D413*(1-VLOOKUP(A413,FX!A:K,9,0)))-1)</f>
        <v>-1.6824614468268106E-2</v>
      </c>
      <c r="I413" s="93">
        <f t="shared" si="374"/>
        <v>-5.0244144080390241E-3</v>
      </c>
      <c r="J413">
        <v>12029.86</v>
      </c>
      <c r="K413">
        <v>12007.03</v>
      </c>
      <c r="L413" s="93">
        <f t="shared" ref="L413" si="535">+K413/J413-1</f>
        <v>-1.8977776964985704E-3</v>
      </c>
      <c r="M413" s="92">
        <f t="shared" ref="M413" si="536">WEEKDAY(A413,2)</f>
        <v>5</v>
      </c>
    </row>
    <row r="414" spans="1:14" x14ac:dyDescent="0.15">
      <c r="A414" s="90">
        <v>42989</v>
      </c>
      <c r="B414">
        <v>13.96</v>
      </c>
      <c r="C414" s="93">
        <f t="shared" ref="C414" si="537">B414/B413-1</f>
        <v>-7.1123755334281391E-3</v>
      </c>
      <c r="D414" s="26">
        <f t="shared" ref="D414" si="5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ref="G414" si="539">+B414/D414-1</f>
        <v>-8.163289962414999E-3</v>
      </c>
      <c r="H414" s="93">
        <f>(+B414/(D414*(1-VLOOKUP(A414,FX!A:K,9,0)))-1)</f>
        <v>2.1196412860038372E-3</v>
      </c>
      <c r="I414" s="93">
        <f t="shared" si="374"/>
        <v>-9.9992908304376016E-3</v>
      </c>
      <c r="J414">
        <v>12007.03</v>
      </c>
      <c r="K414">
        <v>11959.36</v>
      </c>
      <c r="L414" s="93">
        <f t="shared" ref="L414" si="540">+K414/J414-1</f>
        <v>-3.9701741396498402E-3</v>
      </c>
      <c r="M414" s="92">
        <f t="shared" ref="M414" si="541">WEEKDAY(A414,2)</f>
        <v>1</v>
      </c>
      <c r="N414" s="50" t="s">
        <v>436</v>
      </c>
    </row>
    <row r="415" spans="1:14" x14ac:dyDescent="0.15">
      <c r="A415" s="90">
        <v>42990</v>
      </c>
      <c r="B415">
        <v>14.06</v>
      </c>
      <c r="C415" s="93">
        <f t="shared" ref="C415" si="542">B415/B414-1</f>
        <v>7.1633237822348317E-3</v>
      </c>
      <c r="D415" s="26">
        <f t="shared" ref="D415" si="543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ref="G415" si="544">+B415/D415-1</f>
        <v>-8.5985111255306723E-3</v>
      </c>
      <c r="H415" s="93">
        <f>(+B415/(D415*(1-VLOOKUP(A415,FX!A:K,9,0)))-1)</f>
        <v>-5.547655962050646E-3</v>
      </c>
      <c r="I415" s="93">
        <f t="shared" si="374"/>
        <v>-4.1787662015723148E-3</v>
      </c>
      <c r="J415">
        <v>11959.36</v>
      </c>
      <c r="K415">
        <v>12028.01</v>
      </c>
      <c r="L415" s="93">
        <f t="shared" ref="L415" si="545">+K415/J415-1</f>
        <v>5.7402737270222381E-3</v>
      </c>
      <c r="M415" s="92">
        <f t="shared" ref="M415" si="546">WEEKDAY(A415,2)</f>
        <v>2</v>
      </c>
    </row>
    <row r="416" spans="1:14" x14ac:dyDescent="0.15">
      <c r="A416" s="90">
        <v>42991</v>
      </c>
      <c r="B416">
        <v>13.98</v>
      </c>
      <c r="C416" s="93">
        <f t="shared" ref="C416" si="547">B416/B415-1</f>
        <v>-5.6899004267425557E-3</v>
      </c>
      <c r="D416" s="26">
        <f t="shared" ref="D416" si="548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ref="G416" si="549">+B416/D416-1</f>
        <v>-9.111692441600594E-3</v>
      </c>
      <c r="H416" s="93">
        <f>(+B416/(D416*(1-VLOOKUP(A416,FX!A:K,9,0)))-1)</f>
        <v>-1.0761301533373402E-2</v>
      </c>
      <c r="I416" s="93">
        <f t="shared" si="374"/>
        <v>-7.1022727272727071E-3</v>
      </c>
      <c r="J416">
        <v>12028.01</v>
      </c>
      <c r="K416">
        <v>12019.11</v>
      </c>
      <c r="L416" s="93">
        <f t="shared" ref="L416" si="550">+K416/J416-1</f>
        <v>-7.399395244932494E-4</v>
      </c>
      <c r="M416" s="92">
        <f t="shared" ref="M416" si="551">WEEKDAY(A416,2)</f>
        <v>3</v>
      </c>
    </row>
    <row r="417" spans="1:14" x14ac:dyDescent="0.15">
      <c r="A417" s="90">
        <v>42992</v>
      </c>
      <c r="B417">
        <v>13.8</v>
      </c>
      <c r="C417" s="93">
        <f t="shared" ref="C417" si="552">B417/B416-1</f>
        <v>-1.2875536480686622E-2</v>
      </c>
      <c r="D417" s="26">
        <f t="shared" ref="D417" si="553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ref="G417" si="554">+B417/D417-1</f>
        <v>-1.3046152045437354E-2</v>
      </c>
      <c r="H417" s="93">
        <f>(+B417/(D417*(1-VLOOKUP(A417,FX!A:K,9,0)))-1)</f>
        <v>-9.4997668659962953E-3</v>
      </c>
      <c r="I417" s="93">
        <f t="shared" si="374"/>
        <v>-1.1956755208706205E-2</v>
      </c>
      <c r="J417">
        <v>12019.11</v>
      </c>
      <c r="K417">
        <v>11935.81</v>
      </c>
      <c r="L417" s="93">
        <f t="shared" ref="L417" si="555">+K417/J417-1</f>
        <v>-6.9306296389667343E-3</v>
      </c>
      <c r="M417" s="92">
        <f t="shared" ref="M417" si="556">WEEKDAY(A417,2)</f>
        <v>4</v>
      </c>
    </row>
    <row r="418" spans="1:14" x14ac:dyDescent="0.15">
      <c r="A418" s="90">
        <v>42993</v>
      </c>
      <c r="B418">
        <v>13.78</v>
      </c>
      <c r="C418" s="93">
        <f t="shared" ref="C418" si="557">B418/B417-1</f>
        <v>-1.4492753623189802E-3</v>
      </c>
      <c r="D418" s="26">
        <f t="shared" ref="D418" si="558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ref="G418" si="559">+B418/D418-1</f>
        <v>-1.1921793047871665E-2</v>
      </c>
      <c r="H418" s="93">
        <f>(+B418/(D418*(1-VLOOKUP(A418,FX!A:K,9,0)))-1)</f>
        <v>-1.2917439684999366E-2</v>
      </c>
      <c r="I418" s="93">
        <f t="shared" si="374"/>
        <v>-1.2752543344318745E-2</v>
      </c>
      <c r="J418">
        <v>11935.81</v>
      </c>
      <c r="K418">
        <v>11918.09</v>
      </c>
      <c r="L418" s="93">
        <f t="shared" ref="L418" si="560">+K418/J418-1</f>
        <v>-1.4846080827358721E-3</v>
      </c>
      <c r="M418" s="92">
        <f t="shared" ref="M418" si="561">WEEKDAY(A418,2)</f>
        <v>5</v>
      </c>
      <c r="N418" s="50" t="s">
        <v>440</v>
      </c>
    </row>
    <row r="419" spans="1:14" x14ac:dyDescent="0.15">
      <c r="A419" s="90">
        <v>42996</v>
      </c>
      <c r="B419">
        <v>13.86</v>
      </c>
      <c r="C419" s="93">
        <f t="shared" ref="C419" si="562">B419/B418-1</f>
        <v>5.8055152394775877E-3</v>
      </c>
      <c r="D419" s="26">
        <f t="shared" ref="D419" si="563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ref="G419" si="564">+B419/D419-1</f>
        <v>-8.3107985936308193E-3</v>
      </c>
      <c r="H419" s="93">
        <f>(+B419/(D419*(1-VLOOKUP(A419,FX!A:K,9,0)))-1)</f>
        <v>-7.6120394791076018E-3</v>
      </c>
      <c r="I419" s="93">
        <f t="shared" si="374"/>
        <v>-8.5836909871245259E-3</v>
      </c>
      <c r="J419">
        <v>11918.09</v>
      </c>
      <c r="K419">
        <v>11933.59</v>
      </c>
      <c r="L419" s="93">
        <f t="shared" ref="L419" si="565">+K419/J419-1</f>
        <v>1.3005439630007221E-3</v>
      </c>
      <c r="M419" s="92">
        <f t="shared" ref="M419" si="566">WEEKDAY(A419,2)</f>
        <v>1</v>
      </c>
    </row>
    <row r="420" spans="1:14" x14ac:dyDescent="0.15">
      <c r="A420" s="90">
        <v>42997</v>
      </c>
      <c r="B420">
        <v>13.7</v>
      </c>
      <c r="C420" s="93">
        <f t="shared" ref="C420" si="567">B420/B419-1</f>
        <v>-1.1544011544011523E-2</v>
      </c>
      <c r="D420" s="26">
        <f t="shared" ref="D420" si="568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ref="G420" si="569">+B420/D420-1</f>
        <v>-2.0549788985239847E-2</v>
      </c>
      <c r="H420" s="93">
        <f>(+B420/(D420*(1-VLOOKUP(A420,FX!A:K,9,0)))-1)</f>
        <v>-1.4150045653841703E-2</v>
      </c>
      <c r="I420" s="93">
        <f t="shared" si="374"/>
        <v>-1.6864011481880214E-2</v>
      </c>
      <c r="J420">
        <v>11933.59</v>
      </c>
      <c r="K420">
        <v>11939.94</v>
      </c>
      <c r="L420" s="93">
        <f t="shared" ref="L420" si="570">+K420/J420-1</f>
        <v>5.3211146017262401E-4</v>
      </c>
      <c r="M420" s="92">
        <f t="shared" ref="M420" si="571">WEEKDAY(A420,2)</f>
        <v>2</v>
      </c>
      <c r="N420" s="50" t="s">
        <v>445</v>
      </c>
    </row>
    <row r="421" spans="1:14" x14ac:dyDescent="0.15">
      <c r="A421" s="90">
        <v>42998</v>
      </c>
      <c r="B421">
        <v>13.78</v>
      </c>
      <c r="C421" s="93">
        <f t="shared" ref="C421" si="572">B421/B420-1</f>
        <v>5.839416058394109E-3</v>
      </c>
      <c r="D421" s="26">
        <f t="shared" ref="D421" si="573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ref="G421" si="574">+B421/D421-1</f>
        <v>-1.028338298487963E-2</v>
      </c>
      <c r="H421" s="93">
        <f>(+B421/(D421*(1-VLOOKUP(A421,FX!A:K,9,0)))-1)</f>
        <v>-1.4360165636407074E-2</v>
      </c>
      <c r="I421" s="93">
        <f t="shared" si="374"/>
        <v>-8.4904302777378815E-3</v>
      </c>
      <c r="J421">
        <v>11939.94</v>
      </c>
      <c r="K421">
        <v>11929.81</v>
      </c>
      <c r="L421" s="93">
        <f t="shared" ref="L421" si="575">+K421/J421-1</f>
        <v>-8.4841297359961043E-4</v>
      </c>
      <c r="M421" s="92">
        <f t="shared" ref="M421" si="576">WEEKDAY(A421,2)</f>
        <v>3</v>
      </c>
    </row>
    <row r="422" spans="1:14" x14ac:dyDescent="0.15">
      <c r="A422" s="90">
        <v>42999</v>
      </c>
      <c r="B422">
        <v>13.78</v>
      </c>
      <c r="C422" s="93">
        <f t="shared" ref="C422" si="577">B422/B421-1</f>
        <v>0</v>
      </c>
      <c r="D422" s="26">
        <f t="shared" ref="D422" si="578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ref="G422" si="579">+B422/D422-1</f>
        <v>-1.3417631758718351E-2</v>
      </c>
      <c r="H422" s="93">
        <f>(+B422/(D422*(1-VLOOKUP(A422,FX!A:K,9,0)))-1)</f>
        <v>-9.378099168719789E-3</v>
      </c>
      <c r="I422" s="93">
        <f t="shared" si="374"/>
        <v>-1.0341855788566501E-2</v>
      </c>
      <c r="J422">
        <v>11929.81</v>
      </c>
      <c r="K422">
        <v>11989.39</v>
      </c>
      <c r="L422" s="93">
        <f t="shared" ref="L422" si="580">+K422/J422-1</f>
        <v>4.994211978229357E-3</v>
      </c>
      <c r="M422" s="92">
        <f t="shared" ref="M422" si="581">WEEKDAY(A422,2)</f>
        <v>4</v>
      </c>
    </row>
    <row r="423" spans="1:14" x14ac:dyDescent="0.15">
      <c r="A423" s="90">
        <v>43000</v>
      </c>
      <c r="B423">
        <v>13.8</v>
      </c>
      <c r="C423" s="93">
        <f t="shared" ref="C423" si="582">B423/B422-1</f>
        <v>1.4513788098695635E-3</v>
      </c>
      <c r="D423" s="26">
        <f t="shared" ref="D423" si="583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ref="G423" si="584">+B423/D423-1</f>
        <v>-1.0007003067818987E-2</v>
      </c>
      <c r="H423" s="93">
        <f>(+B423/(D423*(1-VLOOKUP(A423,FX!A:K,9,0)))-1)</f>
        <v>-1.2206289987779617E-2</v>
      </c>
      <c r="I423" s="93">
        <f t="shared" si="374"/>
        <v>-1.046895167072992E-2</v>
      </c>
      <c r="J423">
        <v>11989.39</v>
      </c>
      <c r="K423">
        <v>12002.73</v>
      </c>
      <c r="L423" s="93">
        <f t="shared" ref="L423" si="585">+K423/J423-1</f>
        <v>1.112650435093121E-3</v>
      </c>
      <c r="M423" s="92">
        <f t="shared" ref="M423" si="586">WEEKDAY(A423,2)</f>
        <v>5</v>
      </c>
      <c r="N423" s="50" t="s">
        <v>448</v>
      </c>
    </row>
    <row r="424" spans="1:14" x14ac:dyDescent="0.15">
      <c r="A424" s="90">
        <v>43003</v>
      </c>
      <c r="B424">
        <v>13.68</v>
      </c>
      <c r="C424" s="93">
        <f t="shared" ref="C424" si="587">B424/B423-1</f>
        <v>-8.6956521739131043E-3</v>
      </c>
      <c r="D424" s="26">
        <f t="shared" ref="D424" si="58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ref="G424" si="589">+B424/D424-1</f>
        <v>-1.6529418146171038E-2</v>
      </c>
      <c r="H424" s="93">
        <f>(+B424/(D424*(1-VLOOKUP(A424,FX!A:K,9,0)))-1)</f>
        <v>-1.332952239504237E-2</v>
      </c>
      <c r="I424" s="93">
        <f t="shared" si="374"/>
        <v>-1.575652924670834E-2</v>
      </c>
      <c r="J424">
        <v>12002.73</v>
      </c>
      <c r="K424">
        <v>11971.68</v>
      </c>
      <c r="L424" s="93">
        <f t="shared" ref="L424" si="590">+K424/J424-1</f>
        <v>-2.5869114776387869E-3</v>
      </c>
      <c r="M424" s="92">
        <f t="shared" ref="M424" si="591">WEEKDAY(A424,2)</f>
        <v>1</v>
      </c>
    </row>
    <row r="425" spans="1:14" x14ac:dyDescent="0.15">
      <c r="A425" s="90">
        <v>43004</v>
      </c>
      <c r="B425">
        <v>13.72</v>
      </c>
      <c r="C425" s="93">
        <f t="shared" ref="C425" si="592">B425/B424-1</f>
        <v>2.9239766081872176E-3</v>
      </c>
      <c r="D425" s="26">
        <f t="shared" ref="D425" si="593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ref="G425" si="594">+B425/D425-1</f>
        <v>-1.3284958740049202E-2</v>
      </c>
      <c r="H425" s="93">
        <f>(+B425/(D425*(1-VLOOKUP(A425,FX!A:K,9,0)))-1)</f>
        <v>-1.0923189171191838E-2</v>
      </c>
      <c r="I425" s="93">
        <f t="shared" si="374"/>
        <v>-1.1954486533198749E-2</v>
      </c>
      <c r="J425">
        <v>11971.68</v>
      </c>
      <c r="K425">
        <v>11976.61</v>
      </c>
      <c r="L425" s="93">
        <f t="shared" ref="L425" si="595">+K425/J425-1</f>
        <v>4.1180519359018675E-4</v>
      </c>
      <c r="M425" s="92">
        <f t="shared" ref="M425" si="596">WEEKDAY(A425,2)</f>
        <v>2</v>
      </c>
    </row>
    <row r="426" spans="1:14" x14ac:dyDescent="0.15">
      <c r="A426" s="90">
        <v>43005</v>
      </c>
      <c r="B426">
        <v>13.66</v>
      </c>
      <c r="C426" s="93">
        <f t="shared" ref="C426" si="597">B426/B425-1</f>
        <v>-4.3731778425656342E-3</v>
      </c>
      <c r="D426" s="26">
        <f t="shared" ref="D426" si="598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ref="G426" si="599">+B426/D426-1</f>
        <v>-1.2387311923586997E-2</v>
      </c>
      <c r="H426" s="93">
        <f>(+B426/(D426*(1-VLOOKUP(A426,FX!A:K,9,0)))-1)</f>
        <v>-9.8396839928470703E-3</v>
      </c>
      <c r="I426" s="93">
        <f t="shared" si="374"/>
        <v>-1.0144927536231974E-2</v>
      </c>
      <c r="J426">
        <v>11976.61</v>
      </c>
      <c r="K426">
        <v>11929.46</v>
      </c>
      <c r="L426" s="93">
        <f t="shared" ref="L426" si="600">+K426/J426-1</f>
        <v>-3.9368402244042144E-3</v>
      </c>
      <c r="M426" s="92">
        <f t="shared" ref="M426" si="601">WEEKDAY(A426,2)</f>
        <v>3</v>
      </c>
    </row>
    <row r="427" spans="1:14" ht="27" x14ac:dyDescent="0.15">
      <c r="A427" s="90">
        <v>43006</v>
      </c>
      <c r="B427">
        <v>13.58</v>
      </c>
      <c r="C427" s="93">
        <f t="shared" ref="C427" si="602">B427/B426-1</f>
        <v>-5.8565153733528552E-3</v>
      </c>
      <c r="D427" s="26">
        <f t="shared" ref="D427" si="603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ref="G427" si="604">+B427/D427-1</f>
        <v>-1.6565256412526042E-2</v>
      </c>
      <c r="H427" s="93">
        <f>(+B427/(D427*(1-VLOOKUP(A427,FX!A:K,9,0)))-1)</f>
        <v>-1.0645041466469607E-2</v>
      </c>
      <c r="I427" s="93">
        <f t="shared" si="374"/>
        <v>-1.5157009210239991E-2</v>
      </c>
      <c r="J427">
        <v>11929.46</v>
      </c>
      <c r="K427">
        <v>11937.02</v>
      </c>
      <c r="L427" s="93">
        <f t="shared" ref="L427" si="605">+K427/J427-1</f>
        <v>6.3372524825111576E-4</v>
      </c>
      <c r="M427" s="92">
        <f t="shared" ref="M427" si="606">WEEKDAY(A427,2)</f>
        <v>4</v>
      </c>
      <c r="N427" s="50" t="s">
        <v>456</v>
      </c>
    </row>
    <row r="428" spans="1:14" x14ac:dyDescent="0.15">
      <c r="A428" s="90">
        <v>43007</v>
      </c>
      <c r="B428">
        <v>13.66</v>
      </c>
      <c r="C428" s="93">
        <f t="shared" ref="C428" si="607">B428/B427-1</f>
        <v>5.8910162002945299E-3</v>
      </c>
      <c r="D428" s="26">
        <f t="shared" ref="D428" si="608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ref="G428" si="609">+B428/D428-1</f>
        <v>-1.1473609635470727E-2</v>
      </c>
      <c r="H428" s="93">
        <f>(+B428/(D428*(1-VLOOKUP(A428,FX!A:K,9,0)))-1)</f>
        <v>-1.1270581157484472E-2</v>
      </c>
      <c r="I428" s="93">
        <f t="shared" si="374"/>
        <v>-1.0288364005216599E-2</v>
      </c>
      <c r="J428">
        <v>11937.02</v>
      </c>
      <c r="K428">
        <v>11962.6</v>
      </c>
      <c r="L428" s="93">
        <f t="shared" ref="L428" si="610">+K428/J428-1</f>
        <v>2.1429133904442565E-3</v>
      </c>
      <c r="M428" s="92">
        <f t="shared" ref="M428" si="611">WEEKDAY(A428,2)</f>
        <v>5</v>
      </c>
      <c r="N428" s="50" t="s">
        <v>568</v>
      </c>
    </row>
    <row r="429" spans="1:14" x14ac:dyDescent="0.15">
      <c r="A429" s="90">
        <v>43010</v>
      </c>
      <c r="B429">
        <v>13.66</v>
      </c>
      <c r="C429" s="93">
        <f t="shared" ref="C429" si="612">B429/B428-1</f>
        <v>0</v>
      </c>
      <c r="D429" s="26">
        <f t="shared" ref="D429" si="613">+F428*(1+L429)</f>
        <v>13.802</v>
      </c>
      <c r="E429" s="26">
        <f>D429*(1-VLOOKUP(A429,FX!A:K,9,0))</f>
        <v>13.811145817317394</v>
      </c>
      <c r="F429">
        <v>13.81</v>
      </c>
      <c r="G429" s="93">
        <f t="shared" ref="G429" si="614">+B429/D429-1</f>
        <v>-1.0288364005216599E-2</v>
      </c>
      <c r="H429" s="93">
        <f>(+B429/(D429*(1-VLOOKUP(A429,FX!A:K,9,0)))-1)</f>
        <v>-1.0943756536686222E-2</v>
      </c>
      <c r="I429" s="93">
        <f t="shared" si="374"/>
        <v>-1.086169442433027E-2</v>
      </c>
      <c r="J429">
        <v>11962.6</v>
      </c>
      <c r="K429">
        <v>11962.6</v>
      </c>
      <c r="L429" s="93">
        <f t="shared" ref="L429" si="615">+K429/J429-1</f>
        <v>0</v>
      </c>
      <c r="M429" s="92">
        <f t="shared" ref="M429" si="616">WEEKDAY(A429,2)</f>
        <v>1</v>
      </c>
    </row>
    <row r="430" spans="1:14" x14ac:dyDescent="0.15">
      <c r="A430" s="90">
        <v>43011</v>
      </c>
      <c r="B430">
        <v>14</v>
      </c>
      <c r="C430" s="93">
        <f t="shared" ref="C430" si="617">B430/B429-1</f>
        <v>2.4890190336749551E-2</v>
      </c>
      <c r="D430" s="26">
        <f t="shared" ref="D430" si="618">+F429*(1+L430)</f>
        <v>13.81</v>
      </c>
      <c r="E430" s="26">
        <f>D430*(1-VLOOKUP(A430,FX!A:K,9,0))</f>
        <v>13.784786982007574</v>
      </c>
      <c r="F430">
        <v>13.801</v>
      </c>
      <c r="G430" s="93">
        <f t="shared" ref="G430" si="619">+B430/D430-1</f>
        <v>1.3758146270818283E-2</v>
      </c>
      <c r="H430" s="93">
        <f>(+B430/(D430*(1-VLOOKUP(A430,FX!A:K,9,0)))-1)</f>
        <v>1.5612357178484526E-2</v>
      </c>
      <c r="I430" s="93">
        <f t="shared" si="374"/>
        <v>1.4419244982247559E-2</v>
      </c>
      <c r="J430">
        <v>11962.6</v>
      </c>
      <c r="K430">
        <v>11962.6</v>
      </c>
      <c r="L430" s="93">
        <f t="shared" ref="L430" si="620">+K430/J430-1</f>
        <v>0</v>
      </c>
      <c r="M430" s="92">
        <f t="shared" ref="M430" si="621">WEEKDAY(A430,2)</f>
        <v>2</v>
      </c>
    </row>
    <row r="431" spans="1:14" x14ac:dyDescent="0.15">
      <c r="A431" s="90">
        <v>43012</v>
      </c>
      <c r="B431">
        <v>14.06</v>
      </c>
      <c r="C431" s="93">
        <f t="shared" ref="C431" si="622">B431/B430-1</f>
        <v>4.2857142857142261E-3</v>
      </c>
      <c r="D431" s="26">
        <f t="shared" ref="D431" si="623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ref="G431" si="624">+B431/D431-1</f>
        <v>1.8766756032171594E-2</v>
      </c>
      <c r="H431" s="93">
        <f>(+B431/(D431*(1-VLOOKUP(A431,FX!A:K,9,0)))-1)</f>
        <v>1.3066844675612588E-2</v>
      </c>
      <c r="I431" s="93">
        <f t="shared" si="374"/>
        <v>1.9135981443896943E-2</v>
      </c>
      <c r="J431">
        <v>11962.6</v>
      </c>
      <c r="K431">
        <v>11962.6</v>
      </c>
      <c r="L431" s="93">
        <f t="shared" ref="L431" si="625">+K431/J431-1</f>
        <v>0</v>
      </c>
      <c r="M431" s="92">
        <f t="shared" ref="M431" si="626">WEEKDAY(A431,2)</f>
        <v>3</v>
      </c>
    </row>
    <row r="432" spans="1:14" x14ac:dyDescent="0.15">
      <c r="A432" s="90">
        <v>43013</v>
      </c>
      <c r="B432">
        <v>14.06</v>
      </c>
      <c r="C432" s="93">
        <f t="shared" ref="C432" si="627">B432/B431-1</f>
        <v>0</v>
      </c>
      <c r="D432" s="26">
        <f t="shared" ref="D432" si="628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ref="G432" si="629">+B432/D432-1</f>
        <v>1.9135981443896943E-2</v>
      </c>
      <c r="H432" s="93">
        <f>(+B432/(D432*(1-VLOOKUP(A432,FX!A:K,9,0)))-1)</f>
        <v>2.0433214364881991E-2</v>
      </c>
      <c r="I432" s="93">
        <f t="shared" si="374"/>
        <v>1.8840579710144967E-2</v>
      </c>
      <c r="J432">
        <v>11962.6</v>
      </c>
      <c r="K432">
        <v>11962.6</v>
      </c>
      <c r="L432" s="93">
        <f t="shared" ref="L432" si="630">+K432/J432-1</f>
        <v>0</v>
      </c>
      <c r="M432" s="92">
        <f t="shared" ref="M432" si="631">WEEKDAY(A432,2)</f>
        <v>4</v>
      </c>
      <c r="N432" s="50" t="s">
        <v>466</v>
      </c>
    </row>
    <row r="433" spans="1:14" x14ac:dyDescent="0.15">
      <c r="A433" s="90">
        <v>43014</v>
      </c>
      <c r="B433">
        <v>14.04</v>
      </c>
      <c r="C433" s="93">
        <f t="shared" ref="C433" si="632">B433/B432-1</f>
        <v>-1.4224751066856944E-3</v>
      </c>
      <c r="D433" s="26">
        <f t="shared" ref="D433" si="633">+F432*(1+L433)</f>
        <v>13.8</v>
      </c>
      <c r="E433" s="26">
        <f>D433*(1-VLOOKUP(A433,FX!A:K,9,0))</f>
        <v>13.789650546542619</v>
      </c>
      <c r="F433">
        <v>13.79</v>
      </c>
      <c r="G433" s="93">
        <f t="shared" ref="G433" si="634">+B433/D433-1</f>
        <v>1.7391304347825987E-2</v>
      </c>
      <c r="H433" s="93">
        <f>(+B433/(D433*(1-VLOOKUP(A433,FX!A:K,9,0)))-1)</f>
        <v>1.8154880184411137E-2</v>
      </c>
      <c r="I433" s="93">
        <f t="shared" si="374"/>
        <v>1.8129079042784602E-2</v>
      </c>
      <c r="J433">
        <v>11962.6</v>
      </c>
      <c r="K433">
        <v>11962.6</v>
      </c>
      <c r="L433" s="93">
        <f t="shared" ref="L433" si="635">+K433/J433-1</f>
        <v>0</v>
      </c>
      <c r="M433" s="92">
        <f t="shared" ref="M433" si="636">WEEKDAY(A433,2)</f>
        <v>5</v>
      </c>
    </row>
    <row r="434" spans="1:14" x14ac:dyDescent="0.15">
      <c r="A434" s="90">
        <v>43017</v>
      </c>
      <c r="B434">
        <v>13.9</v>
      </c>
      <c r="C434" s="93">
        <f t="shared" ref="C434" si="637">B434/B433-1</f>
        <v>-9.9715099715098621E-3</v>
      </c>
      <c r="D434" s="26">
        <f t="shared" ref="D434" si="63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ref="G434" si="639">+B434/D434-1</f>
        <v>-4.2673885215013252E-3</v>
      </c>
      <c r="H434" s="93">
        <f>(+B434/(D434*(1-VLOOKUP(A434,FX!A:K,9,0)))-1)</f>
        <v>-8.7459060258624488E-3</v>
      </c>
      <c r="I434" s="93">
        <f t="shared" si="374"/>
        <v>-2.0819872209060231E-3</v>
      </c>
      <c r="J434">
        <v>11962.6</v>
      </c>
      <c r="K434">
        <v>12109.7</v>
      </c>
      <c r="L434" s="93">
        <f t="shared" ref="L434" si="640">+K434/J434-1</f>
        <v>1.2296657917175269E-2</v>
      </c>
      <c r="M434" s="92">
        <f t="shared" ref="M434" si="641">WEEKDAY(A434,2)</f>
        <v>1</v>
      </c>
    </row>
    <row r="435" spans="1:14" x14ac:dyDescent="0.15">
      <c r="A435" s="90">
        <v>43018</v>
      </c>
      <c r="B435">
        <v>14</v>
      </c>
      <c r="C435" s="93">
        <f t="shared" ref="C435" si="642">B435/B434-1</f>
        <v>7.194244604316502E-3</v>
      </c>
      <c r="D435" s="26">
        <f t="shared" ref="D435" si="643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ref="G435" si="644">+B435/D435-1</f>
        <v>2.2180034081000777E-3</v>
      </c>
      <c r="H435" s="93">
        <f>(+B435/(D435*(1-VLOOKUP(A435,FX!A:K,9,0)))-1)</f>
        <v>-4.1821379637931866E-3</v>
      </c>
      <c r="I435" s="93">
        <f t="shared" si="374"/>
        <v>-9.9900099900096517E-4</v>
      </c>
      <c r="J435">
        <v>12109.7</v>
      </c>
      <c r="K435">
        <v>12144.49</v>
      </c>
      <c r="L435" s="93">
        <f t="shared" ref="L435" si="645">+K435/J435-1</f>
        <v>2.8729035401371394E-3</v>
      </c>
      <c r="M435" s="92">
        <f t="shared" ref="M435" si="646">WEEKDAY(A435,2)</f>
        <v>2</v>
      </c>
    </row>
    <row r="436" spans="1:14" x14ac:dyDescent="0.15">
      <c r="A436" s="90">
        <v>43019</v>
      </c>
      <c r="B436">
        <v>14.06</v>
      </c>
      <c r="C436" s="93">
        <f t="shared" ref="C436" si="647">B436/B435-1</f>
        <v>4.2857142857142261E-3</v>
      </c>
      <c r="D436" s="26">
        <f t="shared" ref="D436" si="648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ref="G436" si="649">+B436/D436-1</f>
        <v>-2.3553800482685183E-3</v>
      </c>
      <c r="H436" s="93">
        <f>(+B436/(D436*(1-VLOOKUP(A436,FX!A:K,9,0)))-1)</f>
        <v>-3.6493809148741008E-3</v>
      </c>
      <c r="I436" s="93">
        <f t="shared" si="374"/>
        <v>-8.6024538146947105E-3</v>
      </c>
      <c r="J436">
        <v>12144.49</v>
      </c>
      <c r="K436">
        <v>12213.12</v>
      </c>
      <c r="L436" s="93">
        <f t="shared" ref="L436" si="650">+K436/J436-1</f>
        <v>5.6511224431821105E-3</v>
      </c>
      <c r="M436" s="92">
        <f t="shared" ref="M436" si="651">WEEKDAY(A436,2)</f>
        <v>3</v>
      </c>
      <c r="N436" s="50" t="s">
        <v>486</v>
      </c>
    </row>
    <row r="437" spans="1:14" x14ac:dyDescent="0.15">
      <c r="A437" s="90">
        <v>43020</v>
      </c>
      <c r="B437">
        <v>14.12</v>
      </c>
      <c r="C437" s="93">
        <f t="shared" ref="C437" si="652">B437/B436-1</f>
        <v>4.2674253200567502E-3</v>
      </c>
      <c r="D437" s="26">
        <f t="shared" ref="D437" si="653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ref="G437" si="654">+B437/D437-1</f>
        <v>-8.6979388333741081E-3</v>
      </c>
      <c r="H437" s="93">
        <f>(+B437/(D437*(1-VLOOKUP(A437,FX!A:K,9,0)))-1)</f>
        <v>-8.425772008709087E-3</v>
      </c>
      <c r="I437" s="93">
        <f t="shared" si="374"/>
        <v>-8.4269662921349076E-3</v>
      </c>
      <c r="J437">
        <v>12213.12</v>
      </c>
      <c r="K437">
        <v>12266.42</v>
      </c>
      <c r="L437" s="93">
        <f t="shared" ref="L437" si="655">+K437/J437-1</f>
        <v>4.364159199287343E-3</v>
      </c>
      <c r="M437" s="92">
        <f t="shared" ref="M437" si="656">WEEKDAY(A437,2)</f>
        <v>4</v>
      </c>
      <c r="N437" s="50" t="s">
        <v>487</v>
      </c>
    </row>
    <row r="438" spans="1:14" x14ac:dyDescent="0.15">
      <c r="A438" s="90">
        <v>43021</v>
      </c>
      <c r="B438">
        <v>14.14</v>
      </c>
      <c r="C438" s="93">
        <f t="shared" ref="C438" si="657">B438/B437-1</f>
        <v>1.4164305949009304E-3</v>
      </c>
      <c r="D438" s="26">
        <f t="shared" ref="D438" si="658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ref="G438" si="659">+B438/D438-1</f>
        <v>-7.9291027574247552E-3</v>
      </c>
      <c r="H438" s="93">
        <f>(+B438/(D438*(1-VLOOKUP(A438,FX!A:K,9,0)))-1)</f>
        <v>-8.9241460528544092E-3</v>
      </c>
      <c r="I438" s="93">
        <f t="shared" si="374"/>
        <v>-8.2064950550606586E-3</v>
      </c>
      <c r="J438">
        <v>12266.42</v>
      </c>
      <c r="K438">
        <v>12277.63</v>
      </c>
      <c r="L438" s="93">
        <f t="shared" ref="L438" si="660">+K438/J438-1</f>
        <v>9.1387707252810202E-4</v>
      </c>
      <c r="M438" s="92">
        <f t="shared" ref="M438" si="661">WEEKDAY(A438,2)</f>
        <v>5</v>
      </c>
    </row>
    <row r="439" spans="1:14" x14ac:dyDescent="0.15">
      <c r="A439" s="90">
        <v>43024</v>
      </c>
      <c r="B439">
        <v>14.2</v>
      </c>
      <c r="C439" s="93">
        <f t="shared" ref="C439" si="662">B439/B438-1</f>
        <v>4.2432814710040567E-3</v>
      </c>
      <c r="D439" s="26">
        <f t="shared" ref="D439" si="663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ref="G439" si="664">+B439/D439-1</f>
        <v>-8.5347842539191809E-3</v>
      </c>
      <c r="H439" s="93">
        <f>(+B439/(D439*(1-VLOOKUP(A439,FX!A:K,9,0)))-1)</f>
        <v>-8.0706608907161748E-3</v>
      </c>
      <c r="I439" s="93">
        <f t="shared" si="374"/>
        <v>-8.9335566722501536E-3</v>
      </c>
      <c r="J439">
        <v>12277.63</v>
      </c>
      <c r="K439">
        <v>12333.81</v>
      </c>
      <c r="L439" s="93">
        <f t="shared" ref="L439" si="665">+K439/J439-1</f>
        <v>4.5758016815948821E-3</v>
      </c>
      <c r="M439" s="92">
        <f t="shared" ref="M439" si="666">WEEKDAY(A439,2)</f>
        <v>1</v>
      </c>
    </row>
    <row r="440" spans="1:14" x14ac:dyDescent="0.15">
      <c r="A440" s="90">
        <v>43025</v>
      </c>
      <c r="B440">
        <v>14.14</v>
      </c>
      <c r="C440" s="93">
        <f t="shared" ref="C440" si="667">B440/B439-1</f>
        <v>-4.2253521126759397E-3</v>
      </c>
      <c r="D440" s="26">
        <f t="shared" ref="D440" si="668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ref="G440" si="669">+B440/D440-1</f>
        <v>-1.3276364325053747E-2</v>
      </c>
      <c r="H440" s="93">
        <f>(+B440/(D440*(1-VLOOKUP(A440,FX!A:K,9,0)))-1)</f>
        <v>-8.6361650060385875E-3</v>
      </c>
      <c r="I440" s="93">
        <f t="shared" si="374"/>
        <v>-1.2362925193825536E-2</v>
      </c>
      <c r="J440">
        <v>12333.81</v>
      </c>
      <c r="K440">
        <v>12335.75</v>
      </c>
      <c r="L440" s="93">
        <f t="shared" ref="L440" si="670">+K440/J440-1</f>
        <v>1.5729121820440284E-4</v>
      </c>
      <c r="M440" s="92">
        <f t="shared" ref="M440" si="671">WEEKDAY(A440,2)</f>
        <v>2</v>
      </c>
    </row>
    <row r="441" spans="1:14" x14ac:dyDescent="0.15">
      <c r="A441" s="90">
        <v>43026</v>
      </c>
      <c r="B441">
        <v>14.26</v>
      </c>
      <c r="C441" s="93">
        <f t="shared" ref="C441" si="672">B441/B440-1</f>
        <v>8.4865629420083355E-3</v>
      </c>
      <c r="D441" s="26">
        <f t="shared" ref="D441" si="673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ref="G441" si="674">+B441/D441-1</f>
        <v>-1.404088934169867E-2</v>
      </c>
      <c r="H441" s="93">
        <f>(+B441/(D441*(1-VLOOKUP(A441,FX!A:K,9,0)))-1)</f>
        <v>-1.2938509562583245E-2</v>
      </c>
      <c r="I441" s="93">
        <f t="shared" si="374"/>
        <v>-1.314878892733562E-2</v>
      </c>
      <c r="J441">
        <v>12335.75</v>
      </c>
      <c r="K441">
        <v>12461.61</v>
      </c>
      <c r="L441" s="93">
        <f t="shared" ref="L441" si="675">+K441/J441-1</f>
        <v>1.0202865654702853E-2</v>
      </c>
      <c r="M441" s="92">
        <f t="shared" ref="M441" si="676">WEEKDAY(A441,2)</f>
        <v>3</v>
      </c>
    </row>
    <row r="442" spans="1:14" ht="27" x14ac:dyDescent="0.15">
      <c r="A442" s="90">
        <v>43027</v>
      </c>
      <c r="B442">
        <v>14.12</v>
      </c>
      <c r="C442" s="93">
        <f t="shared" ref="C442" si="677">B442/B441-1</f>
        <v>-9.817671809256745E-3</v>
      </c>
      <c r="D442" s="26">
        <f t="shared" ref="D442" si="678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ref="G442" si="679">+B442/D442-1</f>
        <v>-2.3702292727213803E-2</v>
      </c>
      <c r="H442" s="93">
        <f>(+B442/(D442*(1-VLOOKUP(A442,FX!A:K,9,0)))-1)</f>
        <v>-2.1154745638664041E-2</v>
      </c>
      <c r="I442" s="93">
        <f t="shared" si="374"/>
        <v>-2.039683640904677E-2</v>
      </c>
      <c r="J442">
        <v>12461.61</v>
      </c>
      <c r="K442">
        <v>12472.65</v>
      </c>
      <c r="L442" s="93">
        <f t="shared" ref="L442" si="680">+K442/J442-1</f>
        <v>8.8592084008398686E-4</v>
      </c>
      <c r="M442" s="92">
        <f t="shared" ref="M442" si="681">WEEKDAY(A442,2)</f>
        <v>4</v>
      </c>
      <c r="N442" s="50" t="s">
        <v>508</v>
      </c>
    </row>
    <row r="443" spans="1:14" x14ac:dyDescent="0.15">
      <c r="A443" s="90">
        <v>43028</v>
      </c>
      <c r="B443">
        <v>14.16</v>
      </c>
      <c r="C443" s="93">
        <f t="shared" ref="C443" si="682">B443/B442-1</f>
        <v>2.8328611898018607E-3</v>
      </c>
      <c r="D443" s="26">
        <f t="shared" ref="D443" si="683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ref="G443" si="684">+B443/D443-1</f>
        <v>-1.1693972722271018E-2</v>
      </c>
      <c r="H443" s="93">
        <f>(+B443/(D443*(1-VLOOKUP(A443,FX!A:K,9,0)))-1)</f>
        <v>-1.2593323218274555E-2</v>
      </c>
      <c r="I443" s="93">
        <f t="shared" si="374"/>
        <v>-1.2001116382919341E-2</v>
      </c>
      <c r="J443">
        <v>12472.65</v>
      </c>
      <c r="K443">
        <v>12397.84</v>
      </c>
      <c r="L443" s="93">
        <f t="shared" ref="L443" si="685">+K443/J443-1</f>
        <v>-5.9979234565228357E-3</v>
      </c>
      <c r="M443" s="92">
        <f t="shared" ref="M443" si="686">WEEKDAY(A443,2)</f>
        <v>5</v>
      </c>
    </row>
    <row r="444" spans="1:14" x14ac:dyDescent="0.15">
      <c r="A444" s="90">
        <v>43031</v>
      </c>
      <c r="B444">
        <v>14.08</v>
      </c>
      <c r="C444" s="93">
        <f t="shared" ref="C444" si="687">B444/B443-1</f>
        <v>-5.6497175141243527E-3</v>
      </c>
      <c r="D444" s="26">
        <f t="shared" ref="D444" si="688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ref="G444" si="689">+B444/D444-1</f>
        <v>-1.5628236206940982E-2</v>
      </c>
      <c r="H444" s="93">
        <f>(+B444/(D444*(1-VLOOKUP(A444,FX!A:K,9,0)))-1)</f>
        <v>-1.4501703747047623E-2</v>
      </c>
      <c r="I444" s="93">
        <f t="shared" si="374"/>
        <v>-1.3936550178583973E-2</v>
      </c>
      <c r="J444">
        <v>12397.84</v>
      </c>
      <c r="K444">
        <v>12373.22</v>
      </c>
      <c r="L444" s="93">
        <f t="shared" ref="L444" si="690">+K444/J444-1</f>
        <v>-1.9858297897054067E-3</v>
      </c>
      <c r="M444" s="92">
        <f t="shared" ref="M444" si="691">WEEKDAY(A444,2)</f>
        <v>1</v>
      </c>
      <c r="N444" s="50" t="s">
        <v>517</v>
      </c>
    </row>
    <row r="445" spans="1:14" x14ac:dyDescent="0.15">
      <c r="A445" s="90">
        <v>43032</v>
      </c>
      <c r="B445">
        <v>14.14</v>
      </c>
      <c r="C445" s="93">
        <f t="shared" ref="C445" si="692">B445/B444-1</f>
        <v>4.2613636363637575E-3</v>
      </c>
      <c r="D445" s="26">
        <f t="shared" ref="D445" si="693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ref="G445" si="694">+B445/D445-1</f>
        <v>-1.735937513217356E-2</v>
      </c>
      <c r="H445" s="93">
        <f>(+B445/(D445*(1-VLOOKUP(A445,FX!A:K,9,0)))-1)</f>
        <v>-1.7074787628017174E-2</v>
      </c>
      <c r="I445" s="93">
        <f t="shared" si="374"/>
        <v>-1.6416249304396113E-2</v>
      </c>
      <c r="J445">
        <v>12373.22</v>
      </c>
      <c r="K445">
        <v>12469.23</v>
      </c>
      <c r="L445" s="93">
        <f t="shared" ref="L445" si="695">+K445/J445-1</f>
        <v>7.7594999523162844E-3</v>
      </c>
      <c r="M445" s="92">
        <f t="shared" ref="M445" si="696">WEEKDAY(A445,2)</f>
        <v>2</v>
      </c>
    </row>
    <row r="446" spans="1:14" x14ac:dyDescent="0.15">
      <c r="A446" s="90">
        <v>43033</v>
      </c>
      <c r="B446">
        <v>14.26</v>
      </c>
      <c r="C446" s="93">
        <f t="shared" ref="C446" si="697">B446/B445-1</f>
        <v>8.4865629420083355E-3</v>
      </c>
      <c r="D446" s="26">
        <f t="shared" ref="D446" si="698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ref="G446" si="699">+B446/D446-1</f>
        <v>-1.2254704329428323E-2</v>
      </c>
      <c r="H446" s="93">
        <f>(+B446/(D446*(1-VLOOKUP(A446,FX!A:K,9,0)))-1)</f>
        <v>-1.1288434069464226E-2</v>
      </c>
      <c r="I446" s="93">
        <f t="shared" si="374"/>
        <v>-1.1644025505960665E-2</v>
      </c>
      <c r="J446">
        <v>12469.23</v>
      </c>
      <c r="K446">
        <v>12522.07</v>
      </c>
      <c r="L446" s="93">
        <f t="shared" ref="L446" si="700">+K446/J446-1</f>
        <v>4.2376313533394327E-3</v>
      </c>
      <c r="M446" s="92">
        <f t="shared" ref="M446" si="701">WEEKDAY(A446,2)</f>
        <v>3</v>
      </c>
    </row>
    <row r="447" spans="1:14" x14ac:dyDescent="0.15">
      <c r="A447" s="90">
        <v>43034</v>
      </c>
      <c r="B447">
        <v>14.34</v>
      </c>
      <c r="C447" s="93">
        <f t="shared" ref="C447" si="702">B447/B446-1</f>
        <v>5.6100981767182034E-3</v>
      </c>
      <c r="D447" s="26">
        <f t="shared" ref="D447" si="703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ref="G447" si="704">+B447/D447-1</f>
        <v>-1.1326040327496512E-2</v>
      </c>
      <c r="H447" s="93">
        <f>(+B447/(D447*(1-VLOOKUP(A447,FX!A:K,9,0)))-1)</f>
        <v>-1.2335962556421998E-2</v>
      </c>
      <c r="I447" s="93">
        <f t="shared" si="374"/>
        <v>-1.1375387797311287E-2</v>
      </c>
      <c r="J447">
        <v>12522.07</v>
      </c>
      <c r="K447">
        <v>12588.27</v>
      </c>
      <c r="L447" s="93">
        <f t="shared" ref="L447" si="705">+K447/J447-1</f>
        <v>5.2866658627528373E-3</v>
      </c>
      <c r="M447" s="92">
        <f t="shared" ref="M447" si="706">WEEKDAY(A447,2)</f>
        <v>4</v>
      </c>
    </row>
    <row r="448" spans="1:14" x14ac:dyDescent="0.15">
      <c r="A448" s="90">
        <v>43035</v>
      </c>
      <c r="B448">
        <v>14.54</v>
      </c>
      <c r="C448" s="93">
        <f t="shared" ref="C448" si="707">B448/B447-1</f>
        <v>1.3947001394700065E-2</v>
      </c>
      <c r="D448" s="26">
        <f t="shared" ref="D448" si="708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ref="G448" si="709">+B448/D448-1</f>
        <v>-1.4534059222504947E-2</v>
      </c>
      <c r="H448" s="93">
        <f>(+B448/(D448*(1-VLOOKUP(A448,FX!A:K,9,0)))-1)</f>
        <v>-1.1385592369461794E-2</v>
      </c>
      <c r="I448" s="93">
        <f t="shared" si="374"/>
        <v>-1.1892626571525677E-2</v>
      </c>
      <c r="J448">
        <v>12588.27</v>
      </c>
      <c r="K448">
        <v>12804.75</v>
      </c>
      <c r="L448" s="93">
        <f t="shared" ref="L448" si="710">+K448/J448-1</f>
        <v>1.7196961933609645E-2</v>
      </c>
      <c r="M448" s="92">
        <f t="shared" ref="M448" si="711">WEEKDAY(A448,2)</f>
        <v>5</v>
      </c>
    </row>
    <row r="449" spans="1:14" x14ac:dyDescent="0.15">
      <c r="A449" s="90">
        <v>43038</v>
      </c>
      <c r="B449">
        <v>14.52</v>
      </c>
      <c r="C449" s="93">
        <f t="shared" ref="C449" si="712">B449/B448-1</f>
        <v>-1.3755158184318717E-3</v>
      </c>
      <c r="D449" s="26">
        <f t="shared" ref="D449" si="713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ref="G449" si="714">+B449/D449-1</f>
        <v>-1.4838997348734395E-2</v>
      </c>
      <c r="H449" s="93">
        <f>(+B449/(D449*(1-VLOOKUP(A449,FX!A:K,9,0)))-1)</f>
        <v>-1.5869044677518485E-2</v>
      </c>
      <c r="I449" s="93">
        <f t="shared" si="374"/>
        <v>-1.4055815848441733E-2</v>
      </c>
      <c r="J449">
        <v>12804.75</v>
      </c>
      <c r="K449">
        <v>12825.38</v>
      </c>
      <c r="L449" s="93">
        <f t="shared" ref="L449" si="715">+K449/J449-1</f>
        <v>1.6111208731133253E-3</v>
      </c>
      <c r="M449" s="92">
        <f t="shared" ref="M449" si="716">WEEKDAY(A449,2)</f>
        <v>1</v>
      </c>
    </row>
    <row r="450" spans="1:14" x14ac:dyDescent="0.15">
      <c r="A450" s="90">
        <v>43039</v>
      </c>
      <c r="B450">
        <v>14.56</v>
      </c>
      <c r="C450" s="93">
        <f t="shared" ref="C450" si="717">B450/B449-1</f>
        <v>2.7548209366392573E-3</v>
      </c>
      <c r="D450" s="26">
        <f t="shared" ref="D450" si="718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ref="G450" si="719">+B450/D450-1</f>
        <v>-8.5172629748681006E-3</v>
      </c>
      <c r="H450" s="93">
        <f>(+B450/(D450*(1-VLOOKUP(A450,FX!A:K,9,0)))-1)</f>
        <v>-1.1506029061197687E-2</v>
      </c>
      <c r="I450" s="93">
        <f t="shared" si="374"/>
        <v>-9.9952403617324936E-3</v>
      </c>
      <c r="J450">
        <v>12825.38</v>
      </c>
      <c r="K450">
        <v>12788.87</v>
      </c>
      <c r="L450" s="93">
        <f t="shared" ref="L450" si="720">+K450/J450-1</f>
        <v>-2.8466992790855405E-3</v>
      </c>
      <c r="M450" s="92">
        <f t="shared" ref="M450" si="721">WEEKDAY(A450,2)</f>
        <v>2</v>
      </c>
      <c r="N450" s="50" t="s">
        <v>567</v>
      </c>
    </row>
    <row r="451" spans="1:14" x14ac:dyDescent="0.15">
      <c r="A451" s="90">
        <v>43040</v>
      </c>
      <c r="B451">
        <v>14.6</v>
      </c>
      <c r="C451" s="93">
        <f t="shared" ref="C451" si="722">B451/B450-1</f>
        <v>2.7472527472527375E-3</v>
      </c>
      <c r="D451" s="26">
        <f t="shared" ref="D451" si="72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ref="G451" si="724">+B451/D451-1</f>
        <v>-6.7294494939108551E-3</v>
      </c>
      <c r="H451" s="93">
        <f>(+B451/(D451*(1-VLOOKUP(A451,FX!A:K,9,0)))-1)</f>
        <v>-6.2893941236150663E-3</v>
      </c>
      <c r="I451" s="93">
        <f t="shared" si="374"/>
        <v>-8.15217391304357E-3</v>
      </c>
      <c r="J451">
        <v>12788.87</v>
      </c>
      <c r="K451">
        <v>12781.84</v>
      </c>
      <c r="L451" s="93">
        <f t="shared" ref="L451" si="725">+K451/J451-1</f>
        <v>-5.4969672848348416E-4</v>
      </c>
      <c r="M451" s="92">
        <f t="shared" ref="M451" si="726">WEEKDAY(A451,2)</f>
        <v>3</v>
      </c>
    </row>
    <row r="452" spans="1:14" x14ac:dyDescent="0.15">
      <c r="A452" s="90">
        <v>43041</v>
      </c>
      <c r="B452">
        <v>14.62</v>
      </c>
      <c r="C452" s="93">
        <f t="shared" ref="C452" si="727">B452/B451-1</f>
        <v>1.36986301369868E-3</v>
      </c>
      <c r="D452" s="26">
        <f t="shared" ref="D452" si="728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" si="729">+B452/D452-1</f>
        <v>-7.4713755660548165E-3</v>
      </c>
      <c r="H452" s="93">
        <f>(+B452/(D452*(1-VLOOKUP(A452,FX!A:K,9,0)))-1)</f>
        <v>-1.1744965158054899E-2</v>
      </c>
      <c r="I452" s="93">
        <f t="shared" si="374"/>
        <v>-8.8807538471967762E-3</v>
      </c>
      <c r="J452">
        <v>12781.84</v>
      </c>
      <c r="K452">
        <v>12790.57</v>
      </c>
      <c r="L452" s="93">
        <f t="shared" ref="L452" si="730">+K452/J452-1</f>
        <v>6.830002566140525E-4</v>
      </c>
      <c r="M452" s="92">
        <f t="shared" ref="M452" si="731">WEEKDAY(A452,2)</f>
        <v>4</v>
      </c>
    </row>
    <row r="453" spans="1:14" ht="54" x14ac:dyDescent="0.15">
      <c r="A453" s="90">
        <v>43042</v>
      </c>
      <c r="B453">
        <v>14.56</v>
      </c>
      <c r="C453" s="93">
        <f t="shared" ref="C453" si="732">B453/B452-1</f>
        <v>-4.1039671682625567E-3</v>
      </c>
      <c r="D453" s="26">
        <f t="shared" ref="D453" si="733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ref="G453" si="734">+B453/D453-1</f>
        <v>-1.3742488896702376E-2</v>
      </c>
      <c r="H453" s="93">
        <f>(+B453/(D453*(1-VLOOKUP(A453,FX!A:K,9,0)))-1)</f>
        <v>-1.0980313677525833E-2</v>
      </c>
      <c r="I453" s="93">
        <f t="shared" si="374"/>
        <v>-1.5617605300520587E-2</v>
      </c>
      <c r="J453">
        <v>12790.57</v>
      </c>
      <c r="K453">
        <v>12800.87</v>
      </c>
      <c r="L453" s="93">
        <f t="shared" ref="L453" si="735">+K453/J453-1</f>
        <v>8.0528076543906479E-4</v>
      </c>
      <c r="M453" s="92">
        <f t="shared" ref="M453" si="736">WEEKDAY(A453,2)</f>
        <v>5</v>
      </c>
      <c r="N453" s="50" t="s">
        <v>556</v>
      </c>
    </row>
    <row r="454" spans="1:14" x14ac:dyDescent="0.15">
      <c r="A454" s="90">
        <v>43045</v>
      </c>
      <c r="B454">
        <v>14.56</v>
      </c>
      <c r="C454" s="93">
        <f t="shared" ref="C454" si="737">B454/B453-1</f>
        <v>0</v>
      </c>
      <c r="D454" s="26">
        <f t="shared" ref="D454" si="738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ref="G454" si="739">+B454/D454-1</f>
        <v>-1.6296929061100696E-2</v>
      </c>
      <c r="H454" s="93">
        <f>(+B454/(D454*(1-VLOOKUP(A454,FX!A:K,9,0)))-1)</f>
        <v>-1.365466563558182E-2</v>
      </c>
      <c r="I454" s="93">
        <f t="shared" si="374"/>
        <v>-1.3683782685273038E-2</v>
      </c>
      <c r="J454">
        <v>12800.87</v>
      </c>
      <c r="K454">
        <v>12809.71</v>
      </c>
      <c r="L454" s="93">
        <f t="shared" ref="L454" si="740">+K454/J454-1</f>
        <v>6.9057806227212915E-4</v>
      </c>
      <c r="M454" s="92">
        <f t="shared" ref="M454" si="741">WEEKDAY(A454,2)</f>
        <v>1</v>
      </c>
    </row>
    <row r="455" spans="1:14" x14ac:dyDescent="0.15">
      <c r="A455" s="90">
        <v>43046</v>
      </c>
      <c r="B455">
        <v>14.76</v>
      </c>
      <c r="C455" s="93">
        <f t="shared" ref="C455" si="742">B455/B454-1</f>
        <v>1.3736263736263687E-2</v>
      </c>
      <c r="D455" s="26">
        <f t="shared" ref="D455" si="743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ref="G455" si="744">+B455/D455-1</f>
        <v>-1.0270970381481948E-2</v>
      </c>
      <c r="H455" s="93">
        <f>(+B455/(D455*(1-VLOOKUP(A455,FX!A:K,9,0)))-1)</f>
        <v>-1.201200679216019E-2</v>
      </c>
      <c r="I455" s="93">
        <f t="shared" si="374"/>
        <v>-1.0657550774180624E-2</v>
      </c>
      <c r="J455">
        <v>12809.71</v>
      </c>
      <c r="K455">
        <v>12940.89</v>
      </c>
      <c r="L455" s="93">
        <f t="shared" ref="L455" si="745">+K455/J455-1</f>
        <v>1.024066899250653E-2</v>
      </c>
      <c r="M455" s="92">
        <f t="shared" ref="M455" si="746">WEEKDAY(A455,2)</f>
        <v>2</v>
      </c>
    </row>
    <row r="456" spans="1:14" x14ac:dyDescent="0.15">
      <c r="A456" s="90">
        <v>43047</v>
      </c>
      <c r="B456">
        <v>14.7</v>
      </c>
      <c r="C456" s="93">
        <f t="shared" ref="C456" si="747">B456/B455-1</f>
        <v>-4.0650406504065817E-3</v>
      </c>
      <c r="D456" s="26">
        <f t="shared" ref="D456" si="748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ref="G456" si="749">+B456/D456-1</f>
        <v>-1.2434121992511038E-2</v>
      </c>
      <c r="H456" s="93">
        <f>(+B456/(D456*(1-VLOOKUP(A456,FX!A:K,9,0)))-1)</f>
        <v>-9.609773617319739E-3</v>
      </c>
      <c r="I456" s="93">
        <f t="shared" si="374"/>
        <v>-1.1565357719203861E-2</v>
      </c>
      <c r="J456">
        <v>12940.89</v>
      </c>
      <c r="K456">
        <v>12911.47</v>
      </c>
      <c r="L456" s="93">
        <f t="shared" ref="L456" si="750">+K456/J456-1</f>
        <v>-2.2734139614818405E-3</v>
      </c>
      <c r="M456" s="92">
        <f t="shared" ref="M456" si="751">WEEKDAY(A456,2)</f>
        <v>3</v>
      </c>
    </row>
    <row r="457" spans="1:14" x14ac:dyDescent="0.15">
      <c r="A457" s="90">
        <v>43048</v>
      </c>
      <c r="B457">
        <v>14.82</v>
      </c>
      <c r="C457" s="93">
        <f t="shared" ref="C457" si="752">B457/B456-1</f>
        <v>8.1632653061225469E-3</v>
      </c>
      <c r="D457" s="26">
        <f t="shared" ref="D457" si="753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ref="G457" si="754">+B457/D457-1</f>
        <v>-9.7860619326000098E-3</v>
      </c>
      <c r="H457" s="93">
        <f>(+B457/(D457*(1-VLOOKUP(A457,FX!A:K,9,0)))-1)</f>
        <v>-1.1313281330228797E-2</v>
      </c>
      <c r="I457" s="93">
        <f t="shared" si="374"/>
        <v>-8.4303492573263306E-3</v>
      </c>
      <c r="J457">
        <v>12911.47</v>
      </c>
      <c r="K457">
        <v>12993.48</v>
      </c>
      <c r="L457" s="93">
        <f t="shared" ref="L457" si="755">+K457/J457-1</f>
        <v>6.3517167293887233E-3</v>
      </c>
      <c r="M457" s="92">
        <f t="shared" ref="M457" si="756">WEEKDAY(A457,2)</f>
        <v>4</v>
      </c>
      <c r="N457" s="50" t="s">
        <v>573</v>
      </c>
    </row>
    <row r="458" spans="1:14" x14ac:dyDescent="0.15">
      <c r="A458" s="90">
        <v>43049</v>
      </c>
      <c r="B458">
        <v>14.98</v>
      </c>
      <c r="C458" s="93">
        <f t="shared" ref="C458" si="757">B458/B457-1</f>
        <v>1.0796221322537214E-2</v>
      </c>
      <c r="D458" s="26">
        <f t="shared" ref="D458" si="758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ref="G458" si="759">+B458/D458-1</f>
        <v>-7.4221482336432887E-3</v>
      </c>
      <c r="H458" s="93">
        <f>(+B458/(D458*(1-VLOOKUP(A458,FX!A:K,9,0)))-1)</f>
        <v>-5.8108651717977411E-3</v>
      </c>
      <c r="I458" s="93">
        <f t="shared" si="374"/>
        <v>-8.2754054948692701E-3</v>
      </c>
      <c r="J458">
        <v>12993.48</v>
      </c>
      <c r="K458">
        <v>13120.42</v>
      </c>
      <c r="L458" s="93">
        <f t="shared" ref="L458" si="760">+K458/J458-1</f>
        <v>9.7695151722247964E-3</v>
      </c>
      <c r="M458" s="92">
        <f t="shared" ref="M458" si="761">WEEKDAY(A458,2)</f>
        <v>5</v>
      </c>
    </row>
    <row r="459" spans="1:14" x14ac:dyDescent="0.15">
      <c r="A459" s="90">
        <v>43052</v>
      </c>
      <c r="B459">
        <v>15</v>
      </c>
      <c r="C459" s="93">
        <f t="shared" ref="C459" si="762">B459/B458-1</f>
        <v>1.3351134846462109E-3</v>
      </c>
      <c r="D459" s="26">
        <f t="shared" ref="D459" si="763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ref="G459" si="764">+B459/D459-1</f>
        <v>-1.1123782306695751E-2</v>
      </c>
      <c r="H459" s="93">
        <f>(+B459/(D459*(1-VLOOKUP(A459,FX!A:K,9,0)))-1)</f>
        <v>-1.0152956373723154E-2</v>
      </c>
      <c r="I459" s="93">
        <f t="shared" si="374"/>
        <v>-1.0227647641042559E-2</v>
      </c>
      <c r="J459">
        <v>13120.42</v>
      </c>
      <c r="K459">
        <v>13175.78</v>
      </c>
      <c r="L459" s="93">
        <f t="shared" ref="L459" si="765">+K459/J459-1</f>
        <v>4.2193771235983224E-3</v>
      </c>
      <c r="M459" s="92">
        <f t="shared" ref="M459" si="766">WEEKDAY(A459,2)</f>
        <v>1</v>
      </c>
    </row>
    <row r="460" spans="1:14" x14ac:dyDescent="0.15">
      <c r="A460" s="90">
        <v>43053</v>
      </c>
      <c r="B460">
        <v>14.9</v>
      </c>
      <c r="C460" s="93">
        <f t="shared" ref="C460" si="767">B460/B459-1</f>
        <v>-6.6666666666665986E-3</v>
      </c>
      <c r="D460" s="26">
        <f t="shared" ref="D460" si="768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ref="G460" si="769">+B460/D460-1</f>
        <v>-1.1825173886917506E-2</v>
      </c>
      <c r="H460" s="93">
        <f>(+B460/(D460*(1-VLOOKUP(A460,FX!A:K,9,0)))-1)</f>
        <v>-1.2431917532077064E-2</v>
      </c>
      <c r="I460" s="93">
        <f t="shared" si="374"/>
        <v>-1.1018186645426864E-2</v>
      </c>
      <c r="J460">
        <v>13175.78</v>
      </c>
      <c r="K460">
        <v>13109.1</v>
      </c>
      <c r="L460" s="93">
        <f t="shared" ref="L460" si="770">+K460/J460-1</f>
        <v>-5.0608009544785837E-3</v>
      </c>
      <c r="M460" s="92">
        <f t="shared" ref="M460" si="771">WEEKDAY(A460,2)</f>
        <v>2</v>
      </c>
    </row>
    <row r="461" spans="1:14" x14ac:dyDescent="0.15">
      <c r="A461" s="90">
        <v>43054</v>
      </c>
      <c r="B461">
        <v>14.82</v>
      </c>
      <c r="C461" s="93">
        <f t="shared" ref="C461" si="772">B461/B460-1</f>
        <v>-5.3691275167785379E-3</v>
      </c>
      <c r="D461" s="26">
        <f t="shared" ref="D461" si="773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ref="G461" si="774">+B461/D461-1</f>
        <v>-1.2835568036539846E-2</v>
      </c>
      <c r="H461" s="93">
        <f>(+B461/(D461*(1-VLOOKUP(A461,FX!A:K,9,0)))-1)</f>
        <v>-1.3839016322370279E-2</v>
      </c>
      <c r="I461" s="93">
        <f t="shared" si="374"/>
        <v>-1.5086063667176242E-2</v>
      </c>
      <c r="J461">
        <v>13109.1</v>
      </c>
      <c r="K461">
        <v>13062.72</v>
      </c>
      <c r="L461" s="93">
        <f t="shared" ref="L461" si="775">+K461/J461-1</f>
        <v>-3.5380003203882016E-3</v>
      </c>
      <c r="M461" s="92">
        <f t="shared" ref="M461" si="776">WEEKDAY(A461,2)</f>
        <v>3</v>
      </c>
    </row>
    <row r="462" spans="1:14" x14ac:dyDescent="0.15">
      <c r="A462" s="90">
        <v>43055</v>
      </c>
      <c r="B462">
        <v>15.04</v>
      </c>
      <c r="C462" s="93">
        <f t="shared" ref="C462" si="777">B462/B461-1</f>
        <v>1.4844804318488558E-2</v>
      </c>
      <c r="D462" s="26">
        <f t="shared" ref="D462" si="77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ref="G462" si="779">+B462/D462-1</f>
        <v>-1.1588949589593334E-2</v>
      </c>
      <c r="H462" s="93">
        <f>(+B462/(D462*(1-VLOOKUP(A462,FX!A:K,9,0)))-1)</f>
        <v>-1.1797322522571929E-2</v>
      </c>
      <c r="I462" s="93">
        <f t="shared" si="374"/>
        <v>-1.1631727672997361E-2</v>
      </c>
      <c r="J462">
        <v>13062.72</v>
      </c>
      <c r="K462">
        <v>13209.73</v>
      </c>
      <c r="L462" s="93">
        <f t="shared" ref="L462" si="780">+K462/J462-1</f>
        <v>1.125416452316208E-2</v>
      </c>
      <c r="M462" s="92">
        <f t="shared" ref="M462" si="781">WEEKDAY(A462,2)</f>
        <v>4</v>
      </c>
    </row>
    <row r="463" spans="1:14" x14ac:dyDescent="0.15">
      <c r="A463" s="90">
        <v>43056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62"/>
  <sheetViews>
    <sheetView zoomScale="115" zoomScaleNormal="115" workbookViewId="0">
      <pane xSplit="1" ySplit="2" topLeftCell="B428" activePane="bottomRight" state="frozen"/>
      <selection pane="topRight" activeCell="B1" sqref="B1"/>
      <selection pane="bottomLeft" activeCell="A3" sqref="A3"/>
      <selection pane="bottomRight" activeCell="A458" sqref="A458:A46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349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61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377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376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375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385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393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399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93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505">+B399/D399-1</f>
        <v>-2.7307967923750898E-4</v>
      </c>
      <c r="H399" s="93">
        <f>(+B399/(D399*(1-VLOOKUP(A399,FX!A:K,9,0)))-1)</f>
        <v>-3.2025542439434451E-3</v>
      </c>
      <c r="I399" s="93">
        <f t="shared" si="292"/>
        <v>-3.3724266371369938E-3</v>
      </c>
      <c r="J399">
        <v>11672.31</v>
      </c>
      <c r="K399" s="92">
        <v>11786.99</v>
      </c>
      <c r="L399" s="93">
        <f t="shared" ref="L399" si="506">+K399/J399-1</f>
        <v>9.8249618113295245E-3</v>
      </c>
      <c r="M399" s="92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93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510">+B400/D400-1</f>
        <v>-1.1009483831691425E-2</v>
      </c>
      <c r="H400" s="93">
        <f>(+B400/(D400*(1-VLOOKUP(A400,FX!A:K,9,0)))-1)</f>
        <v>-1.0780125501795856E-2</v>
      </c>
      <c r="I400" s="93">
        <f t="shared" si="292"/>
        <v>-1.0706638115631772E-2</v>
      </c>
      <c r="J400">
        <v>11786.99</v>
      </c>
      <c r="K400" s="92">
        <v>11878.01</v>
      </c>
      <c r="L400" s="93">
        <f t="shared" ref="L400" si="511">+K400/J400-1</f>
        <v>7.7220732349820853E-3</v>
      </c>
      <c r="M400" s="92">
        <f t="shared" ref="M400" si="512">WEEKDAY(A400,2)</f>
        <v>3</v>
      </c>
      <c r="N400" s="50" t="s">
        <v>419</v>
      </c>
    </row>
    <row r="401" spans="1:13" x14ac:dyDescent="0.15">
      <c r="A401" s="1">
        <v>42971</v>
      </c>
      <c r="B401">
        <v>13.94</v>
      </c>
      <c r="C401" s="93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515">+B401/D401-1</f>
        <v>-1.4395142505414515E-3</v>
      </c>
      <c r="H401" s="93">
        <f>(+B401/(D401*(1-VLOOKUP(A401,FX!A:K,9,0)))-1)</f>
        <v>-2.6314999998061639E-3</v>
      </c>
      <c r="I401" s="93">
        <f t="shared" si="292"/>
        <v>-1.7758936755271071E-3</v>
      </c>
      <c r="J401">
        <v>11878.01</v>
      </c>
      <c r="K401">
        <v>11835.7</v>
      </c>
      <c r="L401" s="93">
        <f t="shared" ref="L401" si="516">+K401/J401-1</f>
        <v>-3.5620444838823095E-3</v>
      </c>
      <c r="M401" s="92">
        <f t="shared" ref="M401" si="517">WEEKDAY(A401,2)</f>
        <v>4</v>
      </c>
    </row>
    <row r="402" spans="1:13" x14ac:dyDescent="0.15">
      <c r="A402" s="1">
        <v>42972</v>
      </c>
      <c r="B402">
        <v>14.28</v>
      </c>
      <c r="C402" s="93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520">+B402/D402-1</f>
        <v>1.2263387875779408E-3</v>
      </c>
      <c r="H402" s="93">
        <f>(+B402/(D402*(1-VLOOKUP(A402,FX!A:K,9,0)))-1)</f>
        <v>1.7198250030681095E-3</v>
      </c>
      <c r="I402" s="93">
        <f t="shared" si="292"/>
        <v>1.2340139107023251E-3</v>
      </c>
      <c r="J402">
        <v>11835.7</v>
      </c>
      <c r="K402">
        <v>12088.02</v>
      </c>
      <c r="L402" s="93">
        <f t="shared" ref="L402" si="521">+K402/J402-1</f>
        <v>2.1318553190770251E-2</v>
      </c>
      <c r="M402" s="92">
        <f t="shared" ref="M402" si="522">WEEKDAY(A402,2)</f>
        <v>5</v>
      </c>
    </row>
    <row r="403" spans="1:13" x14ac:dyDescent="0.15">
      <c r="A403" s="90">
        <v>42975</v>
      </c>
      <c r="B403">
        <v>14.42</v>
      </c>
      <c r="C403" s="93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525">+B403/D403-1</f>
        <v>1.6656485612895899E-3</v>
      </c>
      <c r="H403" s="93">
        <f>(+B403/(D403*(1-VLOOKUP(A403,FX!A:K,9,0)))-1)</f>
        <v>-2.3159976293084528E-3</v>
      </c>
      <c r="I403" s="93">
        <f t="shared" si="292"/>
        <v>-1.8619911538114708E-3</v>
      </c>
      <c r="J403">
        <v>12088.02</v>
      </c>
      <c r="K403">
        <v>12201.27</v>
      </c>
      <c r="L403" s="93">
        <f t="shared" ref="L403" si="526">+K403/J403-1</f>
        <v>9.3687799987094422E-3</v>
      </c>
      <c r="M403" s="92">
        <f t="shared" ref="M403" si="527">WEEKDAY(A403,2)</f>
        <v>1</v>
      </c>
    </row>
    <row r="404" spans="1:13" x14ac:dyDescent="0.15">
      <c r="A404" s="90">
        <v>42976</v>
      </c>
      <c r="B404">
        <v>14.5</v>
      </c>
      <c r="C404" s="93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530">+B404/D404-1</f>
        <v>2.4603777157086171E-3</v>
      </c>
      <c r="H404" s="93">
        <f>(+B404/(D404*(1-VLOOKUP(A404,FX!A:K,9,0)))-1)</f>
        <v>-9.9903885592922403E-4</v>
      </c>
      <c r="I404" s="93">
        <f t="shared" si="292"/>
        <v>-2.4011173107486572E-3</v>
      </c>
      <c r="J404">
        <v>12201.27</v>
      </c>
      <c r="K404">
        <v>12216.06</v>
      </c>
      <c r="L404" s="93">
        <f t="shared" ref="L404" si="531">+K404/J404-1</f>
        <v>1.2121688971720168E-3</v>
      </c>
      <c r="M404" s="92">
        <f t="shared" ref="M404" si="532">WEEKDAY(A404,2)</f>
        <v>2</v>
      </c>
    </row>
    <row r="405" spans="1:13" x14ac:dyDescent="0.15">
      <c r="A405" s="90">
        <v>42977</v>
      </c>
      <c r="B405">
        <v>14.52</v>
      </c>
      <c r="C405" s="93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535">+B405/D405-1</f>
        <v>2.6552051970518686E-3</v>
      </c>
      <c r="H405" s="93">
        <f>(+B405/(D405*(1-VLOOKUP(A405,FX!A:K,9,0)))-1)</f>
        <v>-6.1807235248934056E-4</v>
      </c>
      <c r="I405" s="93">
        <f t="shared" si="292"/>
        <v>1.0272249071014983E-3</v>
      </c>
      <c r="J405">
        <v>12216.06</v>
      </c>
      <c r="K405">
        <v>12171.22</v>
      </c>
      <c r="L405" s="93">
        <f t="shared" ref="L405" si="536">+K405/J405-1</f>
        <v>-3.6705779113723747E-3</v>
      </c>
      <c r="M405" s="92">
        <f t="shared" ref="M405" si="537">WEEKDAY(A405,2)</f>
        <v>3</v>
      </c>
    </row>
    <row r="406" spans="1:13" x14ac:dyDescent="0.15">
      <c r="A406" s="90">
        <v>42978</v>
      </c>
      <c r="B406">
        <v>14.36</v>
      </c>
      <c r="C406" s="93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540">+B406/D406-1</f>
        <v>-2.63657579372234E-3</v>
      </c>
      <c r="H406" s="93">
        <f>(+B406/(D406*(1-VLOOKUP(A406,FX!A:K,9,0)))-1)</f>
        <v>-7.4252751682601925E-5</v>
      </c>
      <c r="I406" s="93">
        <f t="shared" si="292"/>
        <v>-1.1060177101955837E-3</v>
      </c>
      <c r="J406">
        <v>12171.22</v>
      </c>
      <c r="K406">
        <v>12081.32</v>
      </c>
      <c r="L406" s="93">
        <f t="shared" ref="L406" si="541">+K406/J406-1</f>
        <v>-7.386276807090808E-3</v>
      </c>
      <c r="M406" s="92">
        <f t="shared" ref="M406" si="542">WEEKDAY(A406,2)</f>
        <v>4</v>
      </c>
    </row>
    <row r="407" spans="1:13" x14ac:dyDescent="0.15">
      <c r="A407" s="90">
        <v>42979</v>
      </c>
      <c r="B407">
        <v>14.4</v>
      </c>
      <c r="C407" s="93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545">+B407/D407-1</f>
        <v>2.5004019904062424E-3</v>
      </c>
      <c r="H407" s="93">
        <f>(+B407/(D407*(1-VLOOKUP(A407,FX!A:K,9,0)))-1)</f>
        <v>-7.9133985783286231E-4</v>
      </c>
      <c r="I407" s="93">
        <f t="shared" si="292"/>
        <v>-7.7023960696953608E-4</v>
      </c>
      <c r="J407">
        <v>12081.32</v>
      </c>
      <c r="K407">
        <v>12071.39</v>
      </c>
      <c r="L407" s="93">
        <f t="shared" ref="L407" si="546">+K407/J407-1</f>
        <v>-8.2193005400077457E-4</v>
      </c>
      <c r="M407" s="92">
        <f t="shared" ref="M407" si="547">WEEKDAY(A407,2)</f>
        <v>5</v>
      </c>
    </row>
    <row r="408" spans="1:13" x14ac:dyDescent="0.15">
      <c r="A408" s="90">
        <v>42982</v>
      </c>
      <c r="B408">
        <v>14.52</v>
      </c>
      <c r="C408" s="93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550">+B408/D408-1</f>
        <v>4.444669681149982E-3</v>
      </c>
      <c r="H408" s="93">
        <f>(+B408/(D408*(1-VLOOKUP(A408,FX!A:K,9,0)))-1)</f>
        <v>-7.8227171449296584E-4</v>
      </c>
      <c r="I408" s="93">
        <f t="shared" si="292"/>
        <v>-1.8354678380663181E-3</v>
      </c>
      <c r="J408">
        <v>12071.39</v>
      </c>
      <c r="K408">
        <v>12108.79</v>
      </c>
      <c r="L408" s="93">
        <f t="shared" ref="L408" si="551">+K408/J408-1</f>
        <v>3.0982347517560793E-3</v>
      </c>
      <c r="M408" s="92">
        <f t="shared" ref="M408" si="552">WEEKDAY(A408,2)</f>
        <v>1</v>
      </c>
    </row>
    <row r="409" spans="1:13" x14ac:dyDescent="0.15">
      <c r="A409" s="90">
        <v>42983</v>
      </c>
      <c r="B409">
        <v>14.58</v>
      </c>
      <c r="C409" s="93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555">+B409/D409-1</f>
        <v>-4.0825333079378412E-3</v>
      </c>
      <c r="H409" s="93">
        <f>(+B409/(D409*(1-VLOOKUP(A409,FX!A:K,9,0)))-1)</f>
        <v>-5.0962702898592616E-3</v>
      </c>
      <c r="I409" s="93">
        <f t="shared" si="292"/>
        <v>-3.7308843425853944E-3</v>
      </c>
      <c r="J409">
        <v>12108.79</v>
      </c>
      <c r="K409">
        <v>12186.26</v>
      </c>
      <c r="L409" s="93">
        <f t="shared" ref="L409" si="556">+K409/J409-1</f>
        <v>6.3978316578285899E-3</v>
      </c>
      <c r="M409" s="92">
        <f t="shared" ref="M409" si="557">WEEKDAY(A409,2)</f>
        <v>2</v>
      </c>
    </row>
    <row r="410" spans="1:13" x14ac:dyDescent="0.15">
      <c r="A410" s="90">
        <v>42984</v>
      </c>
      <c r="B410">
        <v>14.54</v>
      </c>
      <c r="C410" s="93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560">+B410/D410-1</f>
        <v>-1.4073598397400522E-3</v>
      </c>
      <c r="H410" s="93">
        <f>(+B410/(D410*(1-VLOOKUP(A410,FX!A:K,9,0)))-1)</f>
        <v>-1.6194872091981338E-3</v>
      </c>
      <c r="I410" s="93">
        <f t="shared" si="292"/>
        <v>-7.0788918441555548E-4</v>
      </c>
      <c r="J410">
        <v>12186.26</v>
      </c>
      <c r="K410">
        <v>12124.55</v>
      </c>
      <c r="L410" s="93">
        <f t="shared" ref="L410" si="561">+K410/J410-1</f>
        <v>-5.0638998347319886E-3</v>
      </c>
      <c r="M410" s="92">
        <f t="shared" ref="M410" si="562">WEEKDAY(A410,2)</f>
        <v>3</v>
      </c>
    </row>
    <row r="411" spans="1:13" x14ac:dyDescent="0.15">
      <c r="A411" s="90">
        <v>42985</v>
      </c>
      <c r="B411">
        <v>14.46</v>
      </c>
      <c r="C411" s="93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565">+B411/D411-1</f>
        <v>1.6163400272590778E-3</v>
      </c>
      <c r="H411" s="93">
        <f>(+B411/(D411*(1-VLOOKUP(A411,FX!A:K,9,0)))-1)</f>
        <v>4.8618294192426248E-4</v>
      </c>
      <c r="I411" s="93">
        <f t="shared" si="292"/>
        <v>-1.4846528329247599E-3</v>
      </c>
      <c r="J411">
        <v>12124.55</v>
      </c>
      <c r="K411">
        <v>12029.86</v>
      </c>
      <c r="L411" s="93">
        <f t="shared" ref="L411" si="566">+K411/J411-1</f>
        <v>-7.8097743833790423E-3</v>
      </c>
      <c r="M411" s="92">
        <f t="shared" ref="M411" si="567">WEEKDAY(A411,2)</f>
        <v>4</v>
      </c>
    </row>
    <row r="412" spans="1:13" x14ac:dyDescent="0.15">
      <c r="A412" s="90">
        <v>42986</v>
      </c>
      <c r="B412">
        <v>14.54</v>
      </c>
      <c r="C412" s="93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570">+B412/D412-1</f>
        <v>5.9487037918357633E-3</v>
      </c>
      <c r="H412" s="93">
        <f>(+B412/(D412*(1-VLOOKUP(A412,FX!A:K,9,0)))-1)</f>
        <v>-6.5340785033377591E-3</v>
      </c>
      <c r="I412" s="93">
        <f t="shared" si="292"/>
        <v>-2.319230399758565E-3</v>
      </c>
      <c r="J412">
        <v>12029.86</v>
      </c>
      <c r="K412">
        <v>12007.03</v>
      </c>
      <c r="L412" s="93">
        <f t="shared" ref="L412" si="571">+K412/J412-1</f>
        <v>-1.8977776964985704E-3</v>
      </c>
      <c r="M412" s="92">
        <f t="shared" ref="M412" si="572">WEEKDAY(A412,2)</f>
        <v>5</v>
      </c>
    </row>
    <row r="413" spans="1:13" x14ac:dyDescent="0.15">
      <c r="A413" s="90">
        <v>42989</v>
      </c>
      <c r="B413">
        <v>14.42</v>
      </c>
      <c r="C413" s="93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575">+B413/D413-1</f>
        <v>-6.6092502163830336E-3</v>
      </c>
      <c r="H413" s="93">
        <f>(+B413/(D413*(1-VLOOKUP(A413,FX!A:K,9,0)))-1)</f>
        <v>3.6897926396262104E-3</v>
      </c>
      <c r="I413" s="93">
        <f t="shared" si="292"/>
        <v>2.7188840754055477E-3</v>
      </c>
      <c r="J413">
        <v>12007.03</v>
      </c>
      <c r="K413">
        <v>11959.36</v>
      </c>
      <c r="L413" s="93">
        <f t="shared" ref="L413" si="576">+K413/J413-1</f>
        <v>-3.9701741396498402E-3</v>
      </c>
      <c r="M413" s="92">
        <f t="shared" ref="M413" si="577">WEEKDAY(A413,2)</f>
        <v>1</v>
      </c>
    </row>
    <row r="414" spans="1:13" x14ac:dyDescent="0.15">
      <c r="A414" s="90">
        <v>42990</v>
      </c>
      <c r="B414">
        <v>14.48</v>
      </c>
      <c r="C414" s="93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580">+B414/D414-1</f>
        <v>1.1442427092429597E-3</v>
      </c>
      <c r="H414" s="93">
        <f>(+B414/(D414*(1-VLOOKUP(A414,FX!A:K,9,0)))-1)</f>
        <v>4.2250794000626701E-3</v>
      </c>
      <c r="I414" s="93">
        <f t="shared" si="292"/>
        <v>2.797861436604876E-3</v>
      </c>
      <c r="J414">
        <v>11959.36</v>
      </c>
      <c r="K414">
        <v>12028.01</v>
      </c>
      <c r="L414" s="93">
        <f t="shared" ref="L414" si="581">+K414/J414-1</f>
        <v>5.7402737270222381E-3</v>
      </c>
      <c r="M414" s="92">
        <f t="shared" ref="M414" si="582">WEEKDAY(A414,2)</f>
        <v>2</v>
      </c>
    </row>
    <row r="415" spans="1:13" x14ac:dyDescent="0.15">
      <c r="A415" s="90">
        <v>42991</v>
      </c>
      <c r="B415">
        <v>14.44</v>
      </c>
      <c r="C415" s="93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585">+B415/D415-1</f>
        <v>7.6820955148559911E-4</v>
      </c>
      <c r="H415" s="93">
        <f>(+B415/(D415*(1-VLOOKUP(A415,FX!A:K,9,0)))-1)</f>
        <v>-8.978473841352308E-4</v>
      </c>
      <c r="I415" s="93">
        <f t="shared" si="292"/>
        <v>-4.5685490011493357E-4</v>
      </c>
      <c r="J415">
        <v>12028.01</v>
      </c>
      <c r="K415">
        <v>12019.11</v>
      </c>
      <c r="L415" s="93">
        <f t="shared" ref="L415" si="586">+K415/J415-1</f>
        <v>-7.399395244932494E-4</v>
      </c>
      <c r="M415" s="92">
        <f t="shared" ref="M415" si="587">WEEKDAY(A415,2)</f>
        <v>3</v>
      </c>
    </row>
    <row r="416" spans="1:13" x14ac:dyDescent="0.15">
      <c r="A416" s="90">
        <v>42992</v>
      </c>
      <c r="B416">
        <v>14.24</v>
      </c>
      <c r="C416" s="93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590">+B416/D416-1</f>
        <v>-7.4217505477371937E-3</v>
      </c>
      <c r="H416" s="93">
        <f>(+B416/(D416*(1-VLOOKUP(A416,FX!A:K,9,0)))-1)</f>
        <v>-3.8551554120190845E-3</v>
      </c>
      <c r="I416" s="93">
        <f t="shared" si="292"/>
        <v>-3.3176085221943152E-3</v>
      </c>
      <c r="J416">
        <v>12019.11</v>
      </c>
      <c r="K416">
        <v>11935.81</v>
      </c>
      <c r="L416" s="93">
        <f t="shared" ref="L416" si="591">+K416/J416-1</f>
        <v>-6.9306296389667343E-3</v>
      </c>
      <c r="M416" s="92">
        <f t="shared" ref="M416" si="592">WEEKDAY(A416,2)</f>
        <v>4</v>
      </c>
    </row>
    <row r="417" spans="1:14" x14ac:dyDescent="0.15">
      <c r="A417" s="90">
        <v>42993</v>
      </c>
      <c r="B417">
        <v>14.24</v>
      </c>
      <c r="C417" s="93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595">+B417/D417-1</f>
        <v>-1.8357257727784626E-3</v>
      </c>
      <c r="H417" s="93">
        <f>(+B417/(D417*(1-VLOOKUP(A417,FX!A:K,9,0)))-1)</f>
        <v>-2.8415357339161007E-3</v>
      </c>
      <c r="I417" s="93">
        <f t="shared" si="292"/>
        <v>-3.2617977685382993E-3</v>
      </c>
      <c r="J417">
        <v>11935.81</v>
      </c>
      <c r="K417">
        <v>11918.09</v>
      </c>
      <c r="L417" s="93">
        <f t="shared" ref="L417" si="596">+K417/J417-1</f>
        <v>-1.4846080827358721E-3</v>
      </c>
      <c r="M417" s="92">
        <f t="shared" ref="M417" si="597">WEEKDAY(A417,2)</f>
        <v>5</v>
      </c>
    </row>
    <row r="418" spans="1:14" x14ac:dyDescent="0.15">
      <c r="A418" s="90">
        <v>42996</v>
      </c>
      <c r="B418">
        <v>14.3</v>
      </c>
      <c r="C418" s="93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600">+B418/D418-1</f>
        <v>-3.6213114791694423E-4</v>
      </c>
      <c r="H418" s="93">
        <f>(+B418/(D418*(1-VLOOKUP(A418,FX!A:K,9,0)))-1)</f>
        <v>3.4222871714195691E-4</v>
      </c>
      <c r="I418" s="93">
        <f t="shared" si="292"/>
        <v>5.3175114046632999E-4</v>
      </c>
      <c r="J418">
        <v>11918.09</v>
      </c>
      <c r="K418">
        <v>11933.59</v>
      </c>
      <c r="L418" s="93">
        <f t="shared" ref="L418" si="601">+K418/J418-1</f>
        <v>1.3005439630007221E-3</v>
      </c>
      <c r="M418" s="92">
        <f t="shared" ref="M418" si="602">WEEKDAY(A418,2)</f>
        <v>1</v>
      </c>
      <c r="N418" s="50" t="s">
        <v>441</v>
      </c>
    </row>
    <row r="419" spans="1:14" x14ac:dyDescent="0.15">
      <c r="A419" s="90">
        <v>42997</v>
      </c>
      <c r="B419">
        <v>14.14</v>
      </c>
      <c r="C419" s="93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605">+B419/D419-1</f>
        <v>-1.1189167287484203E-2</v>
      </c>
      <c r="H419" s="93">
        <f>(+B419/(D419*(1-VLOOKUP(A419,FX!A:K,9,0)))-1)</f>
        <v>-4.7282615043203746E-3</v>
      </c>
      <c r="I419" s="93">
        <f t="shared" si="292"/>
        <v>-4.6599372105137205E-3</v>
      </c>
      <c r="J419">
        <v>11933.59</v>
      </c>
      <c r="K419">
        <v>11939.94</v>
      </c>
      <c r="L419" s="93">
        <f t="shared" ref="L419" si="606">+K419/J419-1</f>
        <v>5.3211146017262401E-4</v>
      </c>
      <c r="M419" s="92">
        <f t="shared" ref="M419" si="607">WEEKDAY(A419,2)</f>
        <v>2</v>
      </c>
      <c r="N419" s="50" t="s">
        <v>443</v>
      </c>
    </row>
    <row r="420" spans="1:14" x14ac:dyDescent="0.15">
      <c r="A420" s="90">
        <v>42998</v>
      </c>
      <c r="B420">
        <v>14.24</v>
      </c>
      <c r="C420" s="93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610">+B420/D420-1</f>
        <v>3.2303965497333387E-3</v>
      </c>
      <c r="H420" s="93">
        <f>(+B420/(D420*(1-VLOOKUP(A420,FX!A:K,9,0)))-1)</f>
        <v>-9.0205127000109186E-4</v>
      </c>
      <c r="I420" s="93">
        <f t="shared" si="292"/>
        <v>-1.6851092512493171E-4</v>
      </c>
      <c r="J420">
        <v>11939.94</v>
      </c>
      <c r="K420">
        <v>11929.81</v>
      </c>
      <c r="L420" s="93">
        <f t="shared" ref="L420" si="611">+K420/J420-1</f>
        <v>-8.4841297359961043E-4</v>
      </c>
      <c r="M420" s="92">
        <f t="shared" ref="M420" si="612">WEEKDAY(A420,2)</f>
        <v>3</v>
      </c>
    </row>
    <row r="421" spans="1:14" x14ac:dyDescent="0.15">
      <c r="A421" s="90">
        <v>42999</v>
      </c>
      <c r="B421">
        <v>14.24</v>
      </c>
      <c r="C421" s="93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615">+B421/D421-1</f>
        <v>-5.1370673003100498E-3</v>
      </c>
      <c r="H421" s="93">
        <f>(+B421/(D421*(1-VLOOKUP(A421,FX!A:K,9,0)))-1)</f>
        <v>-1.0636301818403027E-3</v>
      </c>
      <c r="I421" s="93">
        <f t="shared" si="292"/>
        <v>-1.9204620323254318E-3</v>
      </c>
      <c r="J421">
        <v>11929.81</v>
      </c>
      <c r="K421">
        <v>11989.39</v>
      </c>
      <c r="L421" s="93">
        <f t="shared" ref="L421" si="616">+K421/J421-1</f>
        <v>4.994211978229357E-3</v>
      </c>
      <c r="M421" s="92">
        <f t="shared" ref="M421" si="617">WEEKDAY(A421,2)</f>
        <v>4</v>
      </c>
    </row>
    <row r="422" spans="1:14" x14ac:dyDescent="0.15">
      <c r="A422" s="90">
        <v>43000</v>
      </c>
      <c r="B422">
        <v>14.24</v>
      </c>
      <c r="C422" s="93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620">+B422/D422-1</f>
        <v>-3.0297414243045662E-3</v>
      </c>
      <c r="H422" s="93">
        <f>(+B422/(D422*(1-VLOOKUP(A422,FX!A:K,9,0)))-1)</f>
        <v>-5.24452845418244E-3</v>
      </c>
      <c r="I422" s="93">
        <f t="shared" si="292"/>
        <v>-4.2515104050123709E-3</v>
      </c>
      <c r="J422">
        <v>11989.39</v>
      </c>
      <c r="K422">
        <v>12002.73</v>
      </c>
      <c r="L422" s="93">
        <f t="shared" ref="L422" si="621">+K422/J422-1</f>
        <v>1.112650435093121E-3</v>
      </c>
      <c r="M422" s="92">
        <f t="shared" ref="M422" si="622">WEEKDAY(A422,2)</f>
        <v>5</v>
      </c>
    </row>
    <row r="423" spans="1:14" x14ac:dyDescent="0.15">
      <c r="A423" s="90">
        <v>43003</v>
      </c>
      <c r="B423">
        <v>14.12</v>
      </c>
      <c r="C423" s="93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625">+B423/D423-1</f>
        <v>-1.0081818657034058E-2</v>
      </c>
      <c r="H423" s="93">
        <f>(+B423/(D423*(1-VLOOKUP(A423,FX!A:K,9,0)))-1)</f>
        <v>-6.8609444988326773E-3</v>
      </c>
      <c r="I423" s="93">
        <f t="shared" si="292"/>
        <v>-7.0882088208822358E-3</v>
      </c>
      <c r="J423">
        <v>12002.73</v>
      </c>
      <c r="K423">
        <v>11971.68</v>
      </c>
      <c r="L423" s="93">
        <f t="shared" ref="L423" si="626">+K423/J423-1</f>
        <v>-2.5869114776387869E-3</v>
      </c>
      <c r="M423" s="92">
        <f t="shared" ref="M423" si="627">WEEKDAY(A423,2)</f>
        <v>1</v>
      </c>
    </row>
    <row r="424" spans="1:14" x14ac:dyDescent="0.15">
      <c r="A424" s="90">
        <v>43004</v>
      </c>
      <c r="B424">
        <v>14.16</v>
      </c>
      <c r="C424" s="93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630">+B424/D424-1</f>
        <v>-4.685303304110322E-3</v>
      </c>
      <c r="H424" s="93">
        <f>(+B424/(D424*(1-VLOOKUP(A424,FX!A:K,9,0)))-1)</f>
        <v>-2.302949875007565E-3</v>
      </c>
      <c r="I424" s="93">
        <f t="shared" si="292"/>
        <v>-3.8411211008400059E-3</v>
      </c>
      <c r="J424">
        <v>11971.68</v>
      </c>
      <c r="K424">
        <v>11976.61</v>
      </c>
      <c r="L424" s="93">
        <f t="shared" ref="L424" si="631">+K424/J424-1</f>
        <v>4.1180519359018675E-4</v>
      </c>
      <c r="M424" s="92">
        <f t="shared" ref="M424" si="632">WEEKDAY(A424,2)</f>
        <v>2</v>
      </c>
    </row>
    <row r="425" spans="1:14" x14ac:dyDescent="0.15">
      <c r="A425" s="90">
        <v>43005</v>
      </c>
      <c r="B425">
        <v>14.06</v>
      </c>
      <c r="C425" s="93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635">+B425/D425-1</f>
        <v>-6.9667281030731942E-3</v>
      </c>
      <c r="H425" s="93">
        <f>(+B425/(D425*(1-VLOOKUP(A425,FX!A:K,9,0)))-1)</f>
        <v>-4.4051173317837256E-3</v>
      </c>
      <c r="I425" s="93">
        <f t="shared" si="292"/>
        <v>-3.5294617925130112E-3</v>
      </c>
      <c r="J425">
        <v>11976.61</v>
      </c>
      <c r="K425">
        <v>11929.46</v>
      </c>
      <c r="L425" s="93">
        <f t="shared" ref="L425" si="636">+K425/J425-1</f>
        <v>-3.9368402244042144E-3</v>
      </c>
      <c r="M425" s="92">
        <f t="shared" ref="M425" si="637">WEEKDAY(A425,2)</f>
        <v>3</v>
      </c>
    </row>
    <row r="426" spans="1:14" x14ac:dyDescent="0.15">
      <c r="A426" s="90">
        <v>43006</v>
      </c>
      <c r="B426">
        <v>13.98</v>
      </c>
      <c r="C426" s="93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640">+B426/D426-1</f>
        <v>-9.8267777042071458E-3</v>
      </c>
      <c r="H426" s="93">
        <f>(+B426/(D426*(1-VLOOKUP(A426,FX!A:K,9,0)))-1)</f>
        <v>-3.865997542590871E-3</v>
      </c>
      <c r="I426" s="93">
        <f t="shared" si="292"/>
        <v>-4.4082353527655771E-3</v>
      </c>
      <c r="J426">
        <v>11929.46</v>
      </c>
      <c r="K426">
        <v>11937.02</v>
      </c>
      <c r="L426" s="93">
        <f t="shared" ref="L426" si="641">+K426/J426-1</f>
        <v>6.3372524825111576E-4</v>
      </c>
      <c r="M426" s="92">
        <f t="shared" ref="M426" si="642">WEEKDAY(A426,2)</f>
        <v>4</v>
      </c>
    </row>
    <row r="427" spans="1:14" x14ac:dyDescent="0.15">
      <c r="A427" s="90">
        <v>43007</v>
      </c>
      <c r="B427">
        <v>14.08</v>
      </c>
      <c r="C427" s="93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645">+B427/D427-1</f>
        <v>5.691749450602579E-4</v>
      </c>
      <c r="H427" s="93">
        <f>(+B427/(D427*(1-VLOOKUP(A427,FX!A:K,9,0)))-1)</f>
        <v>7.7467683017840017E-4</v>
      </c>
      <c r="I427" s="93">
        <f t="shared" si="292"/>
        <v>-9.2953289198260958E-4</v>
      </c>
      <c r="J427">
        <v>11937.02</v>
      </c>
      <c r="K427">
        <v>11962.6</v>
      </c>
      <c r="L427" s="93">
        <f t="shared" ref="L427" si="646">+K427/J427-1</f>
        <v>2.1429133904442565E-3</v>
      </c>
      <c r="M427" s="92">
        <f t="shared" ref="M427" si="647">WEEKDAY(A427,2)</f>
        <v>5</v>
      </c>
    </row>
    <row r="428" spans="1:14" x14ac:dyDescent="0.15">
      <c r="A428" s="90">
        <v>43010</v>
      </c>
      <c r="B428">
        <v>14.08</v>
      </c>
      <c r="C428" s="93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92">
        <v>14.0931</v>
      </c>
      <c r="G428" s="93">
        <f t="shared" ref="G428" si="650">+B428/D428-1</f>
        <v>-9.2953289198260958E-4</v>
      </c>
      <c r="H428" s="93">
        <f>(+B428/(D428*(1-VLOOKUP(A428,FX!A:K,9,0)))-1)</f>
        <v>-1.5911228932926624E-3</v>
      </c>
      <c r="I428" s="93">
        <f t="shared" si="292"/>
        <v>-9.2953289198260958E-4</v>
      </c>
      <c r="J428">
        <v>11962.6</v>
      </c>
      <c r="K428">
        <v>11962.6</v>
      </c>
      <c r="L428" s="93">
        <f t="shared" ref="L428" si="651">+K428/J428-1</f>
        <v>0</v>
      </c>
      <c r="M428" s="92">
        <f t="shared" ref="M428" si="652">WEEKDAY(A428,2)</f>
        <v>1</v>
      </c>
    </row>
    <row r="429" spans="1:14" x14ac:dyDescent="0.15">
      <c r="A429" s="90">
        <v>43011</v>
      </c>
      <c r="B429">
        <v>14.38</v>
      </c>
      <c r="C429" s="93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92">
        <v>14.0931</v>
      </c>
      <c r="G429" s="93">
        <f t="shared" ref="G429" si="655">+B429/D429-1</f>
        <v>2.0357479901512265E-2</v>
      </c>
      <c r="H429" s="93">
        <f>(+B429/(D429*(1-VLOOKUP(A429,FX!A:K,9,0)))-1)</f>
        <v>2.2223761298028721E-2</v>
      </c>
      <c r="I429" s="93">
        <f t="shared" si="292"/>
        <v>2.0357479901512265E-2</v>
      </c>
      <c r="J429">
        <v>11962.6</v>
      </c>
      <c r="K429">
        <v>11962.6</v>
      </c>
      <c r="L429" s="93">
        <f t="shared" ref="L429" si="656">+K429/J429-1</f>
        <v>0</v>
      </c>
      <c r="M429" s="92">
        <f t="shared" ref="M429" si="657">WEEKDAY(A429,2)</f>
        <v>2</v>
      </c>
    </row>
    <row r="430" spans="1:14" x14ac:dyDescent="0.15">
      <c r="A430" s="90">
        <v>43012</v>
      </c>
      <c r="B430">
        <v>14.54</v>
      </c>
      <c r="C430" s="93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92">
        <v>14.0931</v>
      </c>
      <c r="G430" s="93">
        <f t="shared" ref="G430" si="660">+B430/D430-1</f>
        <v>3.1710553391375962E-2</v>
      </c>
      <c r="H430" s="93">
        <f>(+B430/(D430*(1-VLOOKUP(A430,FX!A:K,9,0)))-1)</f>
        <v>2.5938222614838802E-2</v>
      </c>
      <c r="I430" s="93">
        <f t="shared" si="292"/>
        <v>3.1710553391375962E-2</v>
      </c>
      <c r="J430">
        <v>11962.6</v>
      </c>
      <c r="K430">
        <v>11962.6</v>
      </c>
      <c r="L430" s="93">
        <f t="shared" ref="L430" si="661">+K430/J430-1</f>
        <v>0</v>
      </c>
      <c r="M430" s="92">
        <f t="shared" ref="M430" si="662">WEEKDAY(A430,2)</f>
        <v>3</v>
      </c>
    </row>
    <row r="431" spans="1:14" x14ac:dyDescent="0.15">
      <c r="A431" s="90">
        <v>43013</v>
      </c>
      <c r="B431">
        <v>14.54</v>
      </c>
      <c r="C431" s="93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92">
        <v>14.0931</v>
      </c>
      <c r="G431" s="93">
        <f t="shared" ref="G431" si="665">+B431/D431-1</f>
        <v>3.1710553391375962E-2</v>
      </c>
      <c r="H431" s="93">
        <f>(+B431/(D431*(1-VLOOKUP(A431,FX!A:K,9,0)))-1)</f>
        <v>3.3023792173202393E-2</v>
      </c>
      <c r="I431" s="93">
        <f t="shared" si="292"/>
        <v>3.1710553391375962E-2</v>
      </c>
      <c r="J431">
        <v>11962.6</v>
      </c>
      <c r="K431">
        <v>11962.6</v>
      </c>
      <c r="L431" s="93">
        <f t="shared" ref="L431" si="666">+K431/J431-1</f>
        <v>0</v>
      </c>
      <c r="M431" s="92">
        <f t="shared" ref="M431" si="667">WEEKDAY(A431,2)</f>
        <v>4</v>
      </c>
    </row>
    <row r="432" spans="1:14" x14ac:dyDescent="0.15">
      <c r="A432" s="90">
        <v>43014</v>
      </c>
      <c r="B432">
        <v>14.54</v>
      </c>
      <c r="C432" s="93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92">
        <v>14.0931</v>
      </c>
      <c r="G432" s="93">
        <f t="shared" ref="G432" si="670">+B432/D432-1</f>
        <v>3.1710553391375962E-2</v>
      </c>
      <c r="H432" s="93">
        <f>(+B432/(D432*(1-VLOOKUP(A432,FX!A:K,9,0)))-1)</f>
        <v>3.2484876157407916E-2</v>
      </c>
      <c r="I432" s="93">
        <f t="shared" si="292"/>
        <v>3.1710553391375962E-2</v>
      </c>
      <c r="J432">
        <v>11962.6</v>
      </c>
      <c r="K432">
        <v>11962.6</v>
      </c>
      <c r="L432" s="93">
        <f t="shared" ref="L432" si="671">+K432/J432-1</f>
        <v>0</v>
      </c>
      <c r="M432" s="92">
        <f t="shared" ref="M432" si="672">WEEKDAY(A432,2)</f>
        <v>5</v>
      </c>
    </row>
    <row r="433" spans="1:14" x14ac:dyDescent="0.15">
      <c r="A433" s="90">
        <v>43017</v>
      </c>
      <c r="B433">
        <v>14.4</v>
      </c>
      <c r="C433" s="93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675">+B433/D433-1</f>
        <v>9.364800423301789E-3</v>
      </c>
      <c r="H433" s="93">
        <f>(+B433/(D433*(1-VLOOKUP(A433,FX!A:K,9,0)))-1)</f>
        <v>4.8249692729798177E-3</v>
      </c>
      <c r="I433" s="93">
        <f t="shared" si="292"/>
        <v>5.4812694201027412E-3</v>
      </c>
      <c r="J433">
        <v>11962.6</v>
      </c>
      <c r="K433">
        <v>12109.7</v>
      </c>
      <c r="L433" s="93">
        <f t="shared" ref="L433" si="676">+K433/J433-1</f>
        <v>1.2296657917175269E-2</v>
      </c>
      <c r="M433" s="92">
        <f t="shared" ref="M433" si="677">WEEKDAY(A433,2)</f>
        <v>1</v>
      </c>
    </row>
    <row r="434" spans="1:14" x14ac:dyDescent="0.15">
      <c r="A434" s="90">
        <v>43018</v>
      </c>
      <c r="B434">
        <v>14.46</v>
      </c>
      <c r="C434" s="93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680">+B434/D434-1</f>
        <v>6.7783974870789798E-3</v>
      </c>
      <c r="H434" s="93">
        <f>(+B434/(D434*(1-VLOOKUP(A434,FX!A:K,9,0)))-1)</f>
        <v>3.4913354233467864E-4</v>
      </c>
      <c r="I434" s="93">
        <f t="shared" si="292"/>
        <v>1.0374520178446645E-4</v>
      </c>
      <c r="J434">
        <v>12109.7</v>
      </c>
      <c r="K434">
        <v>12144.49</v>
      </c>
      <c r="L434" s="93">
        <f t="shared" ref="L434" si="681">+K434/J434-1</f>
        <v>2.8729035401371394E-3</v>
      </c>
      <c r="M434" s="92">
        <f t="shared" ref="M434" si="682">WEEKDAY(A434,2)</f>
        <v>2</v>
      </c>
    </row>
    <row r="435" spans="1:14" x14ac:dyDescent="0.15">
      <c r="A435" s="90">
        <v>43019</v>
      </c>
      <c r="B435">
        <v>14.52</v>
      </c>
      <c r="C435" s="93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685">+B435/D435-1</f>
        <v>-1.3897157163468288E-3</v>
      </c>
      <c r="H435" s="93">
        <f>(+B435/(D435*(1-VLOOKUP(A435,FX!A:K,9,0)))-1)</f>
        <v>-2.6849691035968348E-3</v>
      </c>
      <c r="I435" s="93">
        <f t="shared" si="292"/>
        <v>-2.0344201902458003E-3</v>
      </c>
      <c r="J435">
        <v>12144.49</v>
      </c>
      <c r="K435">
        <v>12213.12</v>
      </c>
      <c r="L435" s="93">
        <f t="shared" ref="L435" si="686">+K435/J435-1</f>
        <v>5.6511224431821105E-3</v>
      </c>
      <c r="M435" s="92">
        <f t="shared" ref="M435" si="687">WEEKDAY(A435,2)</f>
        <v>3</v>
      </c>
      <c r="N435" s="50" t="s">
        <v>482</v>
      </c>
    </row>
    <row r="436" spans="1:14" x14ac:dyDescent="0.15">
      <c r="A436" s="90">
        <v>43020</v>
      </c>
      <c r="B436">
        <v>14.6</v>
      </c>
      <c r="C436" s="93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690">+B436/D436-1</f>
        <v>-8.9623513013503686E-4</v>
      </c>
      <c r="H436" s="93">
        <f>(+B436/(D436*(1-VLOOKUP(A436,FX!A:K,9,0)))-1)</f>
        <v>-6.2192630959689854E-4</v>
      </c>
      <c r="I436" s="93">
        <f t="shared" si="292"/>
        <v>-8.6910700965603382E-4</v>
      </c>
      <c r="J436">
        <v>12213.12</v>
      </c>
      <c r="K436">
        <v>12266.42</v>
      </c>
      <c r="L436" s="93">
        <f t="shared" ref="L436" si="691">+K436/J436-1</f>
        <v>4.364159199287343E-3</v>
      </c>
      <c r="M436" s="92">
        <f t="shared" ref="M436" si="692">WEEKDAY(A436,2)</f>
        <v>4</v>
      </c>
      <c r="N436" s="50" t="s">
        <v>490</v>
      </c>
    </row>
    <row r="437" spans="1:14" x14ac:dyDescent="0.15">
      <c r="A437" s="90">
        <v>43021</v>
      </c>
      <c r="B437">
        <v>14.62</v>
      </c>
      <c r="C437" s="93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695">+B437/D437-1</f>
        <v>-4.1393334184225417E-4</v>
      </c>
      <c r="H437" s="93">
        <f>(+B437/(D437*(1-VLOOKUP(A437,FX!A:K,9,0)))-1)</f>
        <v>-1.4165143233000332E-3</v>
      </c>
      <c r="I437" s="93">
        <f t="shared" si="292"/>
        <v>-1.5434417384890819E-3</v>
      </c>
      <c r="J437">
        <v>12266.42</v>
      </c>
      <c r="K437">
        <v>12277.63</v>
      </c>
      <c r="L437" s="93">
        <f t="shared" ref="L437" si="696">+K437/J437-1</f>
        <v>9.1387707252810202E-4</v>
      </c>
      <c r="M437" s="92">
        <f t="shared" ref="M437" si="697">WEEKDAY(A437,2)</f>
        <v>5</v>
      </c>
    </row>
    <row r="438" spans="1:14" x14ac:dyDescent="0.15">
      <c r="A438" s="90">
        <v>43024</v>
      </c>
      <c r="B438">
        <v>14.64</v>
      </c>
      <c r="C438" s="93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700">+B438/D438-1</f>
        <v>-4.7317143887464219E-3</v>
      </c>
      <c r="H438" s="93">
        <f>(+B438/(D438*(1-VLOOKUP(A438,FX!A:K,9,0)))-1)</f>
        <v>-4.2658107375935783E-3</v>
      </c>
      <c r="I438" s="93">
        <f t="shared" si="292"/>
        <v>-4.3186996293399504E-3</v>
      </c>
      <c r="J438">
        <v>12277.63</v>
      </c>
      <c r="K438">
        <v>12333.81</v>
      </c>
      <c r="L438" s="93">
        <f t="shared" ref="L438" si="701">+K438/J438-1</f>
        <v>4.5758016815948821E-3</v>
      </c>
      <c r="M438" s="92">
        <f t="shared" ref="M438" si="702">WEEKDAY(A438,2)</f>
        <v>1</v>
      </c>
    </row>
    <row r="439" spans="1:14" x14ac:dyDescent="0.15">
      <c r="A439" s="90">
        <v>43025</v>
      </c>
      <c r="B439">
        <v>14.58</v>
      </c>
      <c r="C439" s="93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705">+B439/D439-1</f>
        <v>-8.555306240096705E-3</v>
      </c>
      <c r="H439" s="93">
        <f>(+B439/(D439*(1-VLOOKUP(A439,FX!A:K,9,0)))-1)</f>
        <v>-3.8929055166366799E-3</v>
      </c>
      <c r="I439" s="93">
        <f t="shared" si="292"/>
        <v>-3.3495112447876618E-3</v>
      </c>
      <c r="J439">
        <v>12333.81</v>
      </c>
      <c r="K439">
        <v>12335.75</v>
      </c>
      <c r="L439" s="93">
        <f t="shared" ref="L439" si="706">+K439/J439-1</f>
        <v>1.5729121820440284E-4</v>
      </c>
      <c r="M439" s="92">
        <f t="shared" ref="M439" si="707">WEEKDAY(A439,2)</f>
        <v>2</v>
      </c>
    </row>
    <row r="440" spans="1:14" ht="27" x14ac:dyDescent="0.15">
      <c r="A440" s="90">
        <v>43026</v>
      </c>
      <c r="B440">
        <v>14.72</v>
      </c>
      <c r="C440" s="93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710">+B440/D440-1</f>
        <v>-3.9421238118787505E-3</v>
      </c>
      <c r="H440" s="93">
        <f>(+B440/(D440*(1-VLOOKUP(A440,FX!A:K,9,0)))-1)</f>
        <v>-2.8284528191684366E-3</v>
      </c>
      <c r="I440" s="93">
        <f t="shared" si="292"/>
        <v>-3.0004808897137192E-3</v>
      </c>
      <c r="J440">
        <v>12335.75</v>
      </c>
      <c r="K440">
        <v>12461.61</v>
      </c>
      <c r="L440" s="93">
        <f t="shared" ref="L440" si="711">+K440/J440-1</f>
        <v>1.0202865654702853E-2</v>
      </c>
      <c r="M440" s="92">
        <f t="shared" ref="M440" si="712">WEEKDAY(A440,2)</f>
        <v>3</v>
      </c>
      <c r="N440" s="50" t="s">
        <v>505</v>
      </c>
    </row>
    <row r="441" spans="1:14" x14ac:dyDescent="0.15">
      <c r="A441" s="90">
        <v>43027</v>
      </c>
      <c r="B441">
        <v>14.56</v>
      </c>
      <c r="C441" s="93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715">+B441/D441-1</f>
        <v>-1.4710320844674163E-2</v>
      </c>
      <c r="H441" s="93">
        <f>(+B441/(D441*(1-VLOOKUP(A441,FX!A:K,9,0)))-1)</f>
        <v>-1.2139310142905813E-2</v>
      </c>
      <c r="I441" s="93">
        <f t="shared" si="292"/>
        <v>-1.2801041440659522E-2</v>
      </c>
      <c r="J441">
        <v>12461.61</v>
      </c>
      <c r="K441">
        <v>12472.65</v>
      </c>
      <c r="L441" s="93">
        <f t="shared" ref="L441" si="716">+K441/J441-1</f>
        <v>8.8592084008398686E-4</v>
      </c>
      <c r="M441" s="92">
        <f t="shared" ref="M441" si="717">WEEKDAY(A441,2)</f>
        <v>4</v>
      </c>
    </row>
    <row r="442" spans="1:14" x14ac:dyDescent="0.15">
      <c r="A442" s="90">
        <v>43028</v>
      </c>
      <c r="B442">
        <v>14.62</v>
      </c>
      <c r="C442" s="93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720">+B442/D442-1</f>
        <v>-2.751493655995696E-3</v>
      </c>
      <c r="H442" s="93">
        <f>(+B442/(D442*(1-VLOOKUP(A442,FX!A:K,9,0)))-1)</f>
        <v>-3.6589817356643684E-3</v>
      </c>
      <c r="I442" s="93">
        <f t="shared" si="292"/>
        <v>-3.5441657579062813E-3</v>
      </c>
      <c r="J442">
        <v>12472.65</v>
      </c>
      <c r="K442">
        <v>12397.84</v>
      </c>
      <c r="L442" s="93">
        <f t="shared" ref="L442" si="721">+K442/J442-1</f>
        <v>-5.9979234565228357E-3</v>
      </c>
      <c r="M442" s="92">
        <f t="shared" ref="M442" si="722">WEEKDAY(A442,2)</f>
        <v>5</v>
      </c>
    </row>
    <row r="443" spans="1:14" x14ac:dyDescent="0.15">
      <c r="A443" s="90">
        <v>43031</v>
      </c>
      <c r="B443">
        <v>14.56</v>
      </c>
      <c r="C443" s="93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725">+B443/D443-1</f>
        <v>-5.6589957989916506E-3</v>
      </c>
      <c r="H443" s="93">
        <f>(+B443/(D443*(1-VLOOKUP(A443,FX!A:K,9,0)))-1)</f>
        <v>-4.5210543640209488E-3</v>
      </c>
      <c r="I443" s="93">
        <f t="shared" si="292"/>
        <v>-3.0879624240847114E-3</v>
      </c>
      <c r="J443">
        <v>12397.84</v>
      </c>
      <c r="K443">
        <v>12373.22</v>
      </c>
      <c r="L443" s="93">
        <f t="shared" ref="L443" si="726">+K443/J443-1</f>
        <v>-1.9858297897054067E-3</v>
      </c>
      <c r="M443" s="92">
        <f t="shared" ref="M443" si="727">WEEKDAY(A443,2)</f>
        <v>1</v>
      </c>
    </row>
    <row r="444" spans="1:14" x14ac:dyDescent="0.15">
      <c r="A444" s="90">
        <v>43032</v>
      </c>
      <c r="B444">
        <v>14.64</v>
      </c>
      <c r="C444" s="93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730">+B444/D444-1</f>
        <v>-5.3285766183852612E-3</v>
      </c>
      <c r="H444" s="93">
        <f>(+B444/(D444*(1-VLOOKUP(A444,FX!A:K,9,0)))-1)</f>
        <v>-5.0405048140326203E-3</v>
      </c>
      <c r="I444" s="93">
        <f t="shared" si="292"/>
        <v>-5.7859995110421947E-3</v>
      </c>
      <c r="J444">
        <v>12373.22</v>
      </c>
      <c r="K444">
        <v>12469.23</v>
      </c>
      <c r="L444" s="93">
        <f t="shared" ref="L444" si="731">+K444/J444-1</f>
        <v>7.7594999523162844E-3</v>
      </c>
      <c r="M444" s="92">
        <f t="shared" ref="M444" si="732">WEEKDAY(A444,2)</f>
        <v>2</v>
      </c>
    </row>
    <row r="445" spans="1:14" x14ac:dyDescent="0.15">
      <c r="A445" s="90">
        <v>43033</v>
      </c>
      <c r="B445">
        <v>14.74</v>
      </c>
      <c r="C445" s="93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735">+B445/D445-1</f>
        <v>-3.2189110676054122E-3</v>
      </c>
      <c r="H445" s="93">
        <f>(+B445/(D445*(1-VLOOKUP(A445,FX!A:K,9,0)))-1)</f>
        <v>-2.2438014658167083E-3</v>
      </c>
      <c r="I445" s="93">
        <f t="shared" si="292"/>
        <v>-1.9770874522654358E-3</v>
      </c>
      <c r="J445">
        <v>12469.23</v>
      </c>
      <c r="K445">
        <v>12522.07</v>
      </c>
      <c r="L445" s="93">
        <f t="shared" ref="L445" si="736">+K445/J445-1</f>
        <v>4.2376313533394327E-3</v>
      </c>
      <c r="M445" s="92">
        <f t="shared" ref="M445" si="737">WEEKDAY(A445,2)</f>
        <v>3</v>
      </c>
    </row>
    <row r="446" spans="1:14" x14ac:dyDescent="0.15">
      <c r="A446" s="90">
        <v>43034</v>
      </c>
      <c r="B446">
        <v>14.84</v>
      </c>
      <c r="C446" s="93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740">+B446/D446-1</f>
        <v>-4.9031375078445461E-4</v>
      </c>
      <c r="H446" s="93">
        <f>(+B446/(D446*(1-VLOOKUP(A446,FX!A:K,9,0)))-1)</f>
        <v>-1.5113045843084816E-3</v>
      </c>
      <c r="I446" s="93">
        <f t="shared" si="292"/>
        <v>-9.8958578766317196E-4</v>
      </c>
      <c r="J446">
        <v>12522.07</v>
      </c>
      <c r="K446">
        <v>12588.27</v>
      </c>
      <c r="L446" s="93">
        <f t="shared" ref="L446" si="741">+K446/J446-1</f>
        <v>5.2866658627528373E-3</v>
      </c>
      <c r="M446" s="92">
        <f t="shared" ref="M446" si="742">WEEKDAY(A446,2)</f>
        <v>4</v>
      </c>
    </row>
    <row r="447" spans="1:14" x14ac:dyDescent="0.15">
      <c r="A447" s="90">
        <v>43035</v>
      </c>
      <c r="B447">
        <v>15.04</v>
      </c>
      <c r="C447" s="93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745">+B447/D447-1</f>
        <v>-4.6429508589869162E-3</v>
      </c>
      <c r="H447" s="93">
        <f>(+B447/(D447*(1-VLOOKUP(A447,FX!A:K,9,0)))-1)</f>
        <v>-1.4628828865810295E-3</v>
      </c>
      <c r="I447" s="93">
        <f t="shared" si="292"/>
        <v>-1.8781149831103017E-3</v>
      </c>
      <c r="J447">
        <v>12588.27</v>
      </c>
      <c r="K447">
        <v>12804.75</v>
      </c>
      <c r="L447" s="93">
        <f t="shared" ref="L447" si="746">+K447/J447-1</f>
        <v>1.7196961933609645E-2</v>
      </c>
      <c r="M447" s="92">
        <f t="shared" ref="M447" si="747">WEEKDAY(A447,2)</f>
        <v>5</v>
      </c>
    </row>
    <row r="448" spans="1:14" x14ac:dyDescent="0.15">
      <c r="A448" s="90">
        <v>43038</v>
      </c>
      <c r="B448">
        <v>15</v>
      </c>
      <c r="C448" s="93">
        <f t="shared" ref="C448" si="748">B448/B447-1</f>
        <v>-2.6595744680850686E-3</v>
      </c>
      <c r="D448" s="26">
        <f t="shared" ref="D448" si="749">+F447*(1+L448)</f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750">+B448/D448-1</f>
        <v>-6.1339328304340635E-3</v>
      </c>
      <c r="H448" s="93">
        <f>(+B448/(D448*(1-VLOOKUP(A448,FX!A:K,9,0)))-1)</f>
        <v>-7.1730818476020142E-3</v>
      </c>
      <c r="I448" s="93">
        <f t="shared" si="292"/>
        <v>-6.9907848744836798E-3</v>
      </c>
      <c r="J448">
        <v>12804.75</v>
      </c>
      <c r="K448">
        <v>12825.38</v>
      </c>
      <c r="L448" s="93">
        <f t="shared" ref="L448" si="751">+K448/J448-1</f>
        <v>1.6111208731133253E-3</v>
      </c>
      <c r="M448" s="92">
        <f t="shared" ref="M448" si="752">WEEKDAY(A448,2)</f>
        <v>1</v>
      </c>
    </row>
    <row r="449" spans="1:14" x14ac:dyDescent="0.15">
      <c r="A449" s="90">
        <v>43039</v>
      </c>
      <c r="B449">
        <v>15.08</v>
      </c>
      <c r="C449" s="93">
        <f t="shared" ref="C449" si="753">B449/B448-1</f>
        <v>5.3333333333334121E-3</v>
      </c>
      <c r="D449" s="26">
        <f t="shared" ref="D449" si="754">+F448*(1+L449)</f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755">+B449/D449-1</f>
        <v>1.1552522075644056E-3</v>
      </c>
      <c r="H449" s="93">
        <f>(+B449/(D449*(1-VLOOKUP(A449,FX!A:K,9,0)))-1)</f>
        <v>-1.8626711038658428E-3</v>
      </c>
      <c r="I449" s="93">
        <f t="shared" si="292"/>
        <v>-1.6815178677823672E-3</v>
      </c>
      <c r="J449">
        <v>12825.38</v>
      </c>
      <c r="K449">
        <v>12788.87</v>
      </c>
      <c r="L449" s="93">
        <f t="shared" ref="L449" si="756">+K449/J449-1</f>
        <v>-2.8466992790855405E-3</v>
      </c>
      <c r="M449" s="92">
        <f t="shared" ref="M449" si="757">WEEKDAY(A449,2)</f>
        <v>2</v>
      </c>
    </row>
    <row r="450" spans="1:14" x14ac:dyDescent="0.15">
      <c r="A450" s="90">
        <v>43040</v>
      </c>
      <c r="B450">
        <v>15.1</v>
      </c>
      <c r="C450" s="93">
        <f t="shared" ref="C450" si="758">B450/B449-1</f>
        <v>1.3262599469496816E-3</v>
      </c>
      <c r="D450" s="26">
        <f t="shared" ref="D450" si="759">+F449*(1+L450)</f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760">+B450/D450-1</f>
        <v>1.9231439244493664E-4</v>
      </c>
      <c r="H450" s="93">
        <f>(+B450/(D450*(1-VLOOKUP(A450,FX!A:K,9,0)))-1)</f>
        <v>6.3543635861296188E-4</v>
      </c>
      <c r="I450" s="93">
        <f t="shared" si="292"/>
        <v>-1.243484932666683E-3</v>
      </c>
      <c r="J450">
        <v>12788.87</v>
      </c>
      <c r="K450">
        <v>12781.84</v>
      </c>
      <c r="L450" s="93">
        <f t="shared" ref="L450" si="761">+K450/J450-1</f>
        <v>-5.4969672848348416E-4</v>
      </c>
      <c r="M450" s="92">
        <f t="shared" ref="M450" si="762">WEEKDAY(A450,2)</f>
        <v>3</v>
      </c>
    </row>
    <row r="451" spans="1:14" x14ac:dyDescent="0.15">
      <c r="A451" s="90">
        <v>43041</v>
      </c>
      <c r="B451">
        <v>15.12</v>
      </c>
      <c r="C451" s="93">
        <f t="shared" ref="C451" si="763">B451/B450-1</f>
        <v>1.3245033112583293E-3</v>
      </c>
      <c r="D451" s="26">
        <f t="shared" ref="D451" si="764">+F450*(1+L451)</f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765">+B451/D451-1</f>
        <v>-6.0321688064901569E-4</v>
      </c>
      <c r="H451" s="93">
        <f>(+B451/(D451*(1-VLOOKUP(A451,FX!A:K,9,0)))-1)</f>
        <v>-4.9063791124214218E-3</v>
      </c>
      <c r="I451" s="93">
        <f t="shared" si="292"/>
        <v>-3.6046841123712481E-3</v>
      </c>
      <c r="J451">
        <v>12781.84</v>
      </c>
      <c r="K451">
        <v>12790.57</v>
      </c>
      <c r="L451" s="93">
        <f t="shared" ref="L451" si="766">+K451/J451-1</f>
        <v>6.830002566140525E-4</v>
      </c>
      <c r="M451" s="92">
        <f t="shared" ref="M451" si="767">WEEKDAY(A451,2)</f>
        <v>4</v>
      </c>
    </row>
    <row r="452" spans="1:14" x14ac:dyDescent="0.15">
      <c r="A452" s="90">
        <v>43042</v>
      </c>
      <c r="B452">
        <v>15.06</v>
      </c>
      <c r="C452" s="93">
        <f t="shared" ref="C452" si="768">B452/B451-1</f>
        <v>-3.9682539682538431E-3</v>
      </c>
      <c r="D452" s="26">
        <f t="shared" ref="D452" si="769">+F451*(1+L452)</f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770">+B452/D452-1</f>
        <v>-8.3571846639678427E-3</v>
      </c>
      <c r="H452" s="93">
        <f>(+B452/(D452*(1-VLOOKUP(A452,FX!A:K,9,0)))-1)</f>
        <v>-5.5799270208483076E-3</v>
      </c>
      <c r="I452" s="93">
        <f t="shared" si="292"/>
        <v>-4.9751243781094301E-3</v>
      </c>
      <c r="J452">
        <v>12790.57</v>
      </c>
      <c r="K452">
        <v>12800.87</v>
      </c>
      <c r="L452" s="93">
        <f t="shared" ref="L452" si="771">+K452/J452-1</f>
        <v>8.0528076543906479E-4</v>
      </c>
      <c r="M452" s="92">
        <f t="shared" ref="M452" si="772">WEEKDAY(A452,2)</f>
        <v>5</v>
      </c>
    </row>
    <row r="453" spans="1:14" x14ac:dyDescent="0.15">
      <c r="A453" s="90">
        <v>43045</v>
      </c>
      <c r="B453">
        <v>15.06</v>
      </c>
      <c r="C453" s="93">
        <f t="shared" ref="C453" si="773">B453/B452-1</f>
        <v>0</v>
      </c>
      <c r="D453" s="26">
        <f t="shared" ref="D453" si="774">+F452*(1+L453)</f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775">+B453/D453-1</f>
        <v>-5.6617925306667871E-3</v>
      </c>
      <c r="H453" s="93">
        <f>(+B453/(D453*(1-VLOOKUP(A453,FX!A:K,9,0)))-1)</f>
        <v>-2.990962728656954E-3</v>
      </c>
      <c r="I453" s="93">
        <f t="shared" si="292"/>
        <v>-2.8405140734560907E-3</v>
      </c>
      <c r="J453">
        <v>12800.87</v>
      </c>
      <c r="K453">
        <v>12809.71</v>
      </c>
      <c r="L453" s="93">
        <f t="shared" ref="L453" si="776">+K453/J453-1</f>
        <v>6.9057806227212915E-4</v>
      </c>
      <c r="M453" s="92">
        <f t="shared" ref="M453" si="777">WEEKDAY(A453,2)</f>
        <v>1</v>
      </c>
    </row>
    <row r="454" spans="1:14" x14ac:dyDescent="0.15">
      <c r="A454" s="90">
        <v>43046</v>
      </c>
      <c r="B454">
        <v>15.3</v>
      </c>
      <c r="C454" s="93">
        <f t="shared" ref="C454" si="778">B454/B453-1</f>
        <v>1.5936254980079667E-2</v>
      </c>
      <c r="D454" s="26">
        <f t="shared" ref="D454" si="779">+F453*(1+L454)</f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780">+B454/D454-1</f>
        <v>2.7813221579864322E-3</v>
      </c>
      <c r="H454" s="93">
        <f>(+B454/(D454*(1-VLOOKUP(A454,FX!A:K,9,0)))-1)</f>
        <v>1.0173254057661563E-3</v>
      </c>
      <c r="I454" s="93">
        <f t="shared" si="292"/>
        <v>1.0337472684209814E-3</v>
      </c>
      <c r="J454">
        <v>12809.71</v>
      </c>
      <c r="K454">
        <v>12940.89</v>
      </c>
      <c r="L454" s="93">
        <f t="shared" ref="L454" si="781">+K454/J454-1</f>
        <v>1.024066899250653E-2</v>
      </c>
      <c r="M454" s="92">
        <f t="shared" ref="M454" si="782">WEEKDAY(A454,2)</f>
        <v>2</v>
      </c>
      <c r="N454" s="50" t="s">
        <v>566</v>
      </c>
    </row>
    <row r="455" spans="1:14" x14ac:dyDescent="0.15">
      <c r="A455" s="90">
        <v>43047</v>
      </c>
      <c r="B455">
        <v>15.18</v>
      </c>
      <c r="C455" s="93">
        <f t="shared" ref="C455" si="783">B455/B454-1</f>
        <v>-7.8431372549020439E-3</v>
      </c>
      <c r="D455" s="26">
        <f t="shared" ref="D455" si="784">+F454*(1+L455)</f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785">+B455/D455-1</f>
        <v>-4.5544379695789949E-3</v>
      </c>
      <c r="H455" s="93">
        <f>(+B455/(D455*(1-VLOOKUP(A455,FX!A:K,9,0)))-1)</f>
        <v>-1.7075544164690815E-3</v>
      </c>
      <c r="I455" s="93">
        <f t="shared" si="292"/>
        <v>-2.4380466711791948E-3</v>
      </c>
      <c r="J455">
        <v>12940.89</v>
      </c>
      <c r="K455">
        <v>12911.47</v>
      </c>
      <c r="L455" s="93">
        <f t="shared" ref="L455" si="786">+K455/J455-1</f>
        <v>-2.2734139614818405E-3</v>
      </c>
      <c r="M455" s="92">
        <f t="shared" ref="M455" si="787">WEEKDAY(A455,2)</f>
        <v>3</v>
      </c>
    </row>
    <row r="456" spans="1:14" x14ac:dyDescent="0.15">
      <c r="A456" s="90">
        <v>43048</v>
      </c>
      <c r="B456">
        <v>15.3</v>
      </c>
      <c r="C456" s="93">
        <f t="shared" ref="C456" si="788">B456/B455-1</f>
        <v>7.905138339921125E-3</v>
      </c>
      <c r="D456" s="26">
        <f t="shared" ref="D456" si="789">+F455*(1+L456)</f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790">+B456/D456-1</f>
        <v>-8.9819308879346416E-4</v>
      </c>
      <c r="H456" s="93">
        <f>(+B456/(D456*(1-VLOOKUP(A456,FX!A:K,9,0)))-1)</f>
        <v>-2.4391203582062593E-3</v>
      </c>
      <c r="I456" s="93">
        <f t="shared" si="292"/>
        <v>-1.1620467691182412E-3</v>
      </c>
      <c r="J456">
        <v>12911.47</v>
      </c>
      <c r="K456">
        <v>12993.48</v>
      </c>
      <c r="L456" s="93">
        <f t="shared" ref="L456" si="791">+K456/J456-1</f>
        <v>6.3517167293887233E-3</v>
      </c>
      <c r="M456" s="92">
        <f t="shared" ref="M456" si="792">WEEKDAY(A456,2)</f>
        <v>4</v>
      </c>
    </row>
    <row r="457" spans="1:14" x14ac:dyDescent="0.15">
      <c r="A457" s="90">
        <v>43049</v>
      </c>
      <c r="B457">
        <v>15.44</v>
      </c>
      <c r="C457" s="93">
        <f t="shared" ref="C457" si="793">B457/B456-1</f>
        <v>9.1503267973855884E-3</v>
      </c>
      <c r="D457" s="26">
        <f t="shared" ref="D457" si="794">+F456*(1+L457)</f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795">+B457/D457-1</f>
        <v>-1.7745319349863342E-3</v>
      </c>
      <c r="H457" s="93">
        <f>(+B457/(D457*(1-VLOOKUP(A457,FX!A:K,9,0)))-1)</f>
        <v>-1.5408091874247187E-4</v>
      </c>
      <c r="I457" s="93">
        <f t="shared" si="292"/>
        <v>-1.287201081507594E-3</v>
      </c>
      <c r="J457">
        <v>12993.48</v>
      </c>
      <c r="K457">
        <v>13120.42</v>
      </c>
      <c r="L457" s="93">
        <f t="shared" ref="L457" si="796">+K457/J457-1</f>
        <v>9.7695151722247964E-3</v>
      </c>
      <c r="M457" s="92">
        <f t="shared" ref="M457" si="797">WEEKDAY(A457,2)</f>
        <v>5</v>
      </c>
    </row>
    <row r="458" spans="1:14" x14ac:dyDescent="0.15">
      <c r="A458" s="90">
        <v>43052</v>
      </c>
      <c r="B458">
        <v>15.44</v>
      </c>
      <c r="C458" s="93">
        <f t="shared" ref="C458" si="798">B458/B457-1</f>
        <v>0</v>
      </c>
      <c r="D458" s="26">
        <f t="shared" ref="D458" si="799">+F457*(1+L458)</f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800">+B458/D458-1</f>
        <v>-5.4834414974928025E-3</v>
      </c>
      <c r="H458" s="93">
        <f>(+B458/(D458*(1-VLOOKUP(A458,FX!A:K,9,0)))-1)</f>
        <v>-4.5070781787176495E-3</v>
      </c>
      <c r="I458" s="93">
        <f t="shared" si="292"/>
        <v>-3.575254591685284E-3</v>
      </c>
      <c r="J458">
        <v>13120.42</v>
      </c>
      <c r="K458">
        <v>13175.78</v>
      </c>
      <c r="L458" s="93">
        <f t="shared" ref="L458" si="801">+K458/J458-1</f>
        <v>4.2193771235983224E-3</v>
      </c>
      <c r="M458" s="92">
        <f t="shared" ref="M458" si="802">WEEKDAY(A458,2)</f>
        <v>1</v>
      </c>
    </row>
    <row r="459" spans="1:14" x14ac:dyDescent="0.15">
      <c r="A459" s="90">
        <v>43053</v>
      </c>
      <c r="B459">
        <v>15.38</v>
      </c>
      <c r="C459" s="93">
        <f t="shared" ref="C459" si="803">B459/B458-1</f>
        <v>-3.8860103626942033E-3</v>
      </c>
      <c r="D459" s="26">
        <f t="shared" ref="D459" si="804">+F458*(1+L459)</f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805">+B459/D459-1</f>
        <v>-2.3987099169455739E-3</v>
      </c>
      <c r="H459" s="93">
        <f>(+B459/(D459*(1-VLOOKUP(A459,FX!A:K,9,0)))-1)</f>
        <v>-3.0112414520198083E-3</v>
      </c>
      <c r="I459" s="93">
        <f t="shared" si="292"/>
        <v>-3.1306106311128623E-3</v>
      </c>
      <c r="J459">
        <v>13175.78</v>
      </c>
      <c r="K459">
        <v>13109.1</v>
      </c>
      <c r="L459" s="93">
        <f t="shared" ref="L459" si="806">+K459/J459-1</f>
        <v>-5.0608009544785837E-3</v>
      </c>
      <c r="M459" s="92">
        <f t="shared" ref="M459" si="807">WEEKDAY(A459,2)</f>
        <v>2</v>
      </c>
    </row>
    <row r="460" spans="1:14" x14ac:dyDescent="0.15">
      <c r="A460" s="90">
        <v>43054</v>
      </c>
      <c r="B460">
        <v>15.3</v>
      </c>
      <c r="C460" s="93">
        <f t="shared" ref="C460" si="808">B460/B459-1</f>
        <v>-5.2015604681404648E-3</v>
      </c>
      <c r="D460" s="26">
        <f t="shared" ref="D460" si="809">+F459*(1+L460)</f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810">+B460/D460-1</f>
        <v>-4.7948509023941766E-3</v>
      </c>
      <c r="H460" s="93">
        <f>(+B460/(D460*(1-VLOOKUP(A460,FX!A:K,9,0)))-1)</f>
        <v>-5.8064725416842045E-3</v>
      </c>
      <c r="I460" s="93">
        <f t="shared" si="292"/>
        <v>-6.7257004856007274E-3</v>
      </c>
      <c r="J460">
        <v>13109.1</v>
      </c>
      <c r="K460">
        <v>13062.72</v>
      </c>
      <c r="L460" s="93">
        <f t="shared" ref="L460" si="811">+K460/J460-1</f>
        <v>-3.5380003203882016E-3</v>
      </c>
      <c r="M460" s="92">
        <f t="shared" ref="M460" si="812">WEEKDAY(A460,2)</f>
        <v>3</v>
      </c>
    </row>
    <row r="461" spans="1:14" x14ac:dyDescent="0.15">
      <c r="A461" s="90">
        <v>43055</v>
      </c>
      <c r="B461">
        <v>15.52</v>
      </c>
      <c r="C461" s="93">
        <f t="shared" ref="C461" si="813">B461/B460-1</f>
        <v>1.437908496732021E-2</v>
      </c>
      <c r="D461" s="26">
        <f t="shared" ref="D461" si="814">+F460*(1+L461)</f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815">+B461/D461-1</f>
        <v>-3.6563404037336378E-3</v>
      </c>
      <c r="H461" s="93">
        <f>(+B461/(D461*(1-VLOOKUP(A461,FX!A:K,9,0)))-1)</f>
        <v>-3.8663856582038525E-3</v>
      </c>
      <c r="I461" s="93">
        <f t="shared" si="292"/>
        <v>-4.528369658640452E-3</v>
      </c>
      <c r="J461">
        <v>13062.72</v>
      </c>
      <c r="K461">
        <v>13209.73</v>
      </c>
      <c r="L461" s="93">
        <f t="shared" ref="L461" si="816">+K461/J461-1</f>
        <v>1.125416452316208E-2</v>
      </c>
      <c r="M461" s="92">
        <f t="shared" ref="M461" si="817">WEEKDAY(A461,2)</f>
        <v>4</v>
      </c>
    </row>
    <row r="462" spans="1:14" x14ac:dyDescent="0.15">
      <c r="A462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63"/>
  <sheetViews>
    <sheetView zoomScale="115" zoomScaleNormal="115" workbookViewId="0">
      <pane xSplit="1" ySplit="2" topLeftCell="B432" activePane="bottomRight" state="frozen"/>
      <selection pane="topRight" activeCell="B1" sqref="B1"/>
      <selection pane="bottomLeft" activeCell="A3" sqref="A3"/>
      <selection pane="bottomRight" activeCell="A460" sqref="A46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62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1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1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7" x14ac:dyDescent="0.1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1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1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1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1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1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1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1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1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1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1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1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1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1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1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1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1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1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1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1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1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1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1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1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1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1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1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1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1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1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1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1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1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1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1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1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7" x14ac:dyDescent="0.1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1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</row>
    <row r="444" spans="1:14" x14ac:dyDescent="0.1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</row>
    <row r="445" spans="1:14" x14ac:dyDescent="0.1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</row>
    <row r="446" spans="1:14" x14ac:dyDescent="0.1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</row>
    <row r="447" spans="1:14" x14ac:dyDescent="0.1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</row>
    <row r="448" spans="1:14" x14ac:dyDescent="0.1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</row>
    <row r="449" spans="1:13" x14ac:dyDescent="0.1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</row>
    <row r="450" spans="1:13" x14ac:dyDescent="0.1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</row>
    <row r="451" spans="1:13" x14ac:dyDescent="0.1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</row>
    <row r="452" spans="1:13" x14ac:dyDescent="0.1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</row>
    <row r="453" spans="1:13" x14ac:dyDescent="0.1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</row>
    <row r="454" spans="1:13" x14ac:dyDescent="0.1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</row>
    <row r="455" spans="1:13" x14ac:dyDescent="0.1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</row>
    <row r="456" spans="1:13" x14ac:dyDescent="0.1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</row>
    <row r="457" spans="1:13" x14ac:dyDescent="0.1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</row>
    <row r="458" spans="1:13" x14ac:dyDescent="0.1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</row>
    <row r="459" spans="1:13" x14ac:dyDescent="0.1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</row>
    <row r="460" spans="1:13" x14ac:dyDescent="0.1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</row>
    <row r="461" spans="1:13" x14ac:dyDescent="0.1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</row>
    <row r="462" spans="1:13" x14ac:dyDescent="0.1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</row>
    <row r="463" spans="1:13" x14ac:dyDescent="0.15">
      <c r="A463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63"/>
  <sheetViews>
    <sheetView zoomScale="115" zoomScaleNormal="115" workbookViewId="0">
      <pane xSplit="1" ySplit="2" topLeftCell="B430" activePane="bottomRight" state="frozen"/>
      <selection pane="topRight" activeCell="B1" sqref="B1"/>
      <selection pane="bottomLeft" activeCell="A3" sqref="A3"/>
      <selection pane="bottomRight" activeCell="G461" sqref="G461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62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1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1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1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1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1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1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1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15">
      <c r="A463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69"/>
  <sheetViews>
    <sheetView zoomScale="115" zoomScaleNormal="115" workbookViewId="0">
      <pane xSplit="1" ySplit="2" topLeftCell="D442" activePane="bottomRight" state="frozen"/>
      <selection pane="topRight" activeCell="B1" sqref="B1"/>
      <selection pane="bottomLeft" activeCell="A3" sqref="A3"/>
      <selection pane="bottomRight" activeCell="G468" sqref="G468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374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67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390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403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406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93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93">
        <f t="shared" ref="C406" si="482">B406/B405-1</f>
        <v>1.5301318267420205E-2</v>
      </c>
      <c r="D406" s="38">
        <f t="shared" ref="D406" si="483">+F405*(1+L406)</f>
        <v>42.91876558818705</v>
      </c>
      <c r="E406" s="92"/>
      <c r="F406">
        <v>42.92</v>
      </c>
      <c r="G406" s="42">
        <f t="shared" ref="G406" si="484">+B406/D406-1</f>
        <v>4.9217261707799054E-3</v>
      </c>
      <c r="H406" s="92"/>
      <c r="I406" s="93">
        <f t="shared" si="389"/>
        <v>4.892823858341222E-3</v>
      </c>
      <c r="J406">
        <v>18713.689999999999</v>
      </c>
      <c r="K406">
        <v>18960.54</v>
      </c>
      <c r="L406" s="93">
        <f t="shared" ref="L406" si="485">+K406/J406-1</f>
        <v>1.3190877908098475E-2</v>
      </c>
      <c r="M406" s="92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93">
        <f t="shared" ref="C407" si="487">B407/B406-1</f>
        <v>5.1008578715510122E-3</v>
      </c>
      <c r="D407" s="38">
        <f t="shared" ref="D407:D412" si="488">+F406*(1+L407)</f>
        <v>42.92</v>
      </c>
      <c r="E407" s="92"/>
      <c r="F407">
        <v>43.32</v>
      </c>
      <c r="G407" s="42">
        <f t="shared" ref="G407" si="489">+B407/D407-1</f>
        <v>1.0018639328984058E-2</v>
      </c>
      <c r="H407" s="92"/>
      <c r="I407" s="93">
        <f t="shared" si="389"/>
        <v>6.9252077562320657E-4</v>
      </c>
      <c r="J407">
        <v>18960.54</v>
      </c>
      <c r="K407">
        <v>18960.539999999997</v>
      </c>
      <c r="L407" s="93">
        <f t="shared" ref="L407" si="490">+K407/J407-1</f>
        <v>0</v>
      </c>
      <c r="M407" s="92">
        <f t="shared" ref="M407" si="491">WEEKDAY(A407,2)</f>
        <v>3</v>
      </c>
    </row>
    <row r="408" spans="1:13" x14ac:dyDescent="0.15">
      <c r="A408" s="1">
        <v>42971</v>
      </c>
      <c r="B408">
        <v>43.51</v>
      </c>
      <c r="C408" s="93">
        <f t="shared" ref="C408" si="492">B408/B407-1</f>
        <v>3.6908881199537724E-3</v>
      </c>
      <c r="D408" s="38">
        <f t="shared" si="488"/>
        <v>43.7224578413906</v>
      </c>
      <c r="E408" s="92"/>
      <c r="F408">
        <v>43.32</v>
      </c>
      <c r="G408" s="42">
        <f t="shared" ref="G408" si="493">+B408/D408-1</f>
        <v>-4.8592382926258004E-3</v>
      </c>
      <c r="H408" s="92"/>
      <c r="I408" s="93">
        <f t="shared" si="389"/>
        <v>4.3859649122806044E-3</v>
      </c>
      <c r="J408">
        <v>18960.539999999997</v>
      </c>
      <c r="K408">
        <v>19136.689999999999</v>
      </c>
      <c r="L408" s="93">
        <f t="shared" ref="L408" si="494">+K408/J408-1</f>
        <v>9.290347215849426E-3</v>
      </c>
      <c r="M408" s="92">
        <f t="shared" ref="M408" si="495">WEEKDAY(A408,2)</f>
        <v>4</v>
      </c>
    </row>
    <row r="409" spans="1:13" x14ac:dyDescent="0.15">
      <c r="A409" s="1">
        <v>42972</v>
      </c>
      <c r="B409">
        <v>44.21</v>
      </c>
      <c r="C409" s="93">
        <f t="shared" ref="C409" si="496">B409/B408-1</f>
        <v>1.6088255573431409E-2</v>
      </c>
      <c r="D409" s="38">
        <f t="shared" si="488"/>
        <v>44.041060935825371</v>
      </c>
      <c r="E409" s="92"/>
      <c r="F409">
        <v>44.04</v>
      </c>
      <c r="G409" s="42">
        <f t="shared" ref="G409" si="497">+B409/D409-1</f>
        <v>3.8359444705657886E-3</v>
      </c>
      <c r="H409" s="92"/>
      <c r="I409" s="93">
        <f t="shared" si="389"/>
        <v>3.8601271571299112E-3</v>
      </c>
      <c r="J409">
        <v>19136.689999999999</v>
      </c>
      <c r="K409">
        <v>19455.22</v>
      </c>
      <c r="L409" s="93">
        <f t="shared" ref="L409" si="498">+K409/J409-1</f>
        <v>1.6644989284980927E-2</v>
      </c>
      <c r="M409" s="92">
        <f t="shared" ref="M409" si="499">WEEKDAY(A409,2)</f>
        <v>5</v>
      </c>
    </row>
    <row r="410" spans="1:13" x14ac:dyDescent="0.15">
      <c r="A410" s="90">
        <v>42975</v>
      </c>
      <c r="B410">
        <v>44.23</v>
      </c>
      <c r="C410" s="93">
        <f t="shared" ref="C410" si="500">B410/B409-1</f>
        <v>4.523863379324311E-4</v>
      </c>
      <c r="D410" s="38">
        <f t="shared" si="488"/>
        <v>44.161694352466846</v>
      </c>
      <c r="E410" s="92"/>
      <c r="F410">
        <v>44.15</v>
      </c>
      <c r="G410" s="42">
        <f t="shared" ref="G410" si="501">+B410/D410-1</f>
        <v>1.546717093506178E-3</v>
      </c>
      <c r="H410" s="92"/>
      <c r="I410" s="93">
        <f t="shared" si="389"/>
        <v>1.8120045300111798E-3</v>
      </c>
      <c r="J410">
        <v>19455.22</v>
      </c>
      <c r="K410">
        <v>19508.98</v>
      </c>
      <c r="L410" s="93">
        <f t="shared" ref="L410" si="502">+K410/J410-1</f>
        <v>2.7632686754506253E-3</v>
      </c>
      <c r="M410" s="92">
        <f t="shared" ref="M410" si="503">WEEKDAY(A410,2)</f>
        <v>1</v>
      </c>
    </row>
    <row r="411" spans="1:13" x14ac:dyDescent="0.15">
      <c r="A411" s="90">
        <v>42976</v>
      </c>
      <c r="B411">
        <v>44.27</v>
      </c>
      <c r="C411" s="93">
        <f t="shared" ref="C411" si="504">B411/B410-1</f>
        <v>9.0436355414880154E-4</v>
      </c>
      <c r="D411" s="38">
        <f t="shared" si="488"/>
        <v>44.034086046528309</v>
      </c>
      <c r="E411" s="92"/>
      <c r="F411">
        <v>44.04</v>
      </c>
      <c r="G411" s="42">
        <f t="shared" ref="G411" si="505">+B411/D411-1</f>
        <v>5.3575303736841384E-3</v>
      </c>
      <c r="H411" s="92"/>
      <c r="I411" s="93">
        <f t="shared" si="389"/>
        <v>5.2225249772934745E-3</v>
      </c>
      <c r="J411">
        <v>19508.98</v>
      </c>
      <c r="K411">
        <v>19457.759999999998</v>
      </c>
      <c r="L411" s="93">
        <f t="shared" ref="L411" si="506">+K411/J411-1</f>
        <v>-2.625457609777726E-3</v>
      </c>
      <c r="M411" s="92">
        <f t="shared" ref="M411" si="507">WEEKDAY(A411,2)</f>
        <v>2</v>
      </c>
    </row>
    <row r="412" spans="1:13" x14ac:dyDescent="0.15">
      <c r="A412" s="90">
        <v>42977</v>
      </c>
      <c r="B412">
        <v>44.27</v>
      </c>
      <c r="C412" s="93">
        <f t="shared" ref="C412" si="508">B412/B411-1</f>
        <v>0</v>
      </c>
      <c r="D412" s="38">
        <f t="shared" si="488"/>
        <v>44.357527382391396</v>
      </c>
      <c r="E412" s="92"/>
      <c r="F412">
        <v>44.35</v>
      </c>
      <c r="G412" s="42">
        <f t="shared" ref="G412" si="509">+B412/D412-1</f>
        <v>-1.9732250095197967E-3</v>
      </c>
      <c r="H412" s="92"/>
      <c r="I412" s="93">
        <f t="shared" si="389"/>
        <v>-1.8038331454339751E-3</v>
      </c>
      <c r="J412">
        <v>19457.759999999998</v>
      </c>
      <c r="K412">
        <v>19598.05</v>
      </c>
      <c r="L412" s="93">
        <f t="shared" ref="L412" si="510">+K412/J412-1</f>
        <v>7.2099768935376396E-3</v>
      </c>
      <c r="M412" s="92">
        <f t="shared" ref="M412" si="511">WEEKDAY(A412,2)</f>
        <v>3</v>
      </c>
    </row>
    <row r="413" spans="1:13" x14ac:dyDescent="0.15">
      <c r="A413" s="90">
        <v>42978</v>
      </c>
      <c r="B413">
        <v>44.24</v>
      </c>
      <c r="C413" s="93">
        <f t="shared" ref="C413" si="512">B413/B412-1</f>
        <v>-6.7765981477296844E-4</v>
      </c>
      <c r="D413" s="38">
        <f t="shared" ref="D413" si="513">+F412*(1+L413)</f>
        <v>44.081746321700372</v>
      </c>
      <c r="E413" s="92"/>
      <c r="F413">
        <v>44.08</v>
      </c>
      <c r="G413" s="42">
        <f t="shared" ref="G413" si="514">+B413/D413-1</f>
        <v>3.5900047412986691E-3</v>
      </c>
      <c r="H413" s="92"/>
      <c r="I413" s="93">
        <f t="shared" si="389"/>
        <v>3.6297640653357721E-3</v>
      </c>
      <c r="J413">
        <v>19598.05</v>
      </c>
      <c r="K413">
        <v>19479.509999999998</v>
      </c>
      <c r="L413" s="93">
        <f t="shared" ref="L413" si="515">+K413/J413-1</f>
        <v>-6.0485609537683782E-3</v>
      </c>
      <c r="M413" s="92">
        <f t="shared" ref="M413" si="516">WEEKDAY(A413,2)</f>
        <v>4</v>
      </c>
    </row>
    <row r="414" spans="1:13" x14ac:dyDescent="0.15">
      <c r="A414" s="90">
        <v>42979</v>
      </c>
      <c r="B414">
        <v>44.26</v>
      </c>
      <c r="C414" s="93">
        <f t="shared" ref="C414" si="517">B414/B413-1</f>
        <v>4.5207956600346044E-4</v>
      </c>
      <c r="D414" s="38">
        <f t="shared" ref="D414" si="518">+F413*(1+L414)</f>
        <v>44.009262039958912</v>
      </c>
      <c r="E414" s="92"/>
      <c r="F414">
        <v>44.06</v>
      </c>
      <c r="G414" s="42">
        <f t="shared" ref="G414" si="519">+B414/D414-1</f>
        <v>5.6973906950184006E-3</v>
      </c>
      <c r="H414" s="92"/>
      <c r="I414" s="93">
        <f t="shared" si="389"/>
        <v>4.5392646391284597E-3</v>
      </c>
      <c r="J414">
        <v>19479.509999999998</v>
      </c>
      <c r="K414">
        <v>19448.25</v>
      </c>
      <c r="L414" s="93">
        <f t="shared" ref="L414" si="520">+K414/J414-1</f>
        <v>-1.6047631588268496E-3</v>
      </c>
      <c r="M414" s="92">
        <f t="shared" ref="M414" si="521">WEEKDAY(A414,2)</f>
        <v>5</v>
      </c>
    </row>
    <row r="415" spans="1:13" x14ac:dyDescent="0.15">
      <c r="A415" s="90">
        <v>42982</v>
      </c>
      <c r="B415">
        <v>44.26</v>
      </c>
      <c r="C415" s="93">
        <f t="shared" ref="C415" si="522">B415/B414-1</f>
        <v>0</v>
      </c>
      <c r="D415" s="38">
        <f t="shared" ref="D415" si="523">+F414*(1+L415)</f>
        <v>43.642740308253963</v>
      </c>
      <c r="E415" s="92"/>
      <c r="F415">
        <v>43.64</v>
      </c>
      <c r="G415" s="42">
        <f t="shared" ref="G415" si="524">+B415/D415-1</f>
        <v>1.4143467788371167E-2</v>
      </c>
      <c r="H415" s="92"/>
      <c r="I415" s="93">
        <f t="shared" si="389"/>
        <v>1.4207149404216191E-2</v>
      </c>
      <c r="J415">
        <v>19448.25</v>
      </c>
      <c r="K415">
        <v>19264.07</v>
      </c>
      <c r="L415" s="93">
        <f t="shared" ref="L415" si="525">+K415/J415-1</f>
        <v>-9.4702608203822702E-3</v>
      </c>
      <c r="M415" s="92">
        <f t="shared" ref="M415" si="526">WEEKDAY(A415,2)</f>
        <v>1</v>
      </c>
    </row>
    <row r="416" spans="1:13" x14ac:dyDescent="0.15">
      <c r="A416" s="90">
        <v>42983</v>
      </c>
      <c r="B416">
        <v>43.65</v>
      </c>
      <c r="C416" s="93">
        <f t="shared" ref="C416" si="527">B416/B415-1</f>
        <v>-1.3782196113872547E-2</v>
      </c>
      <c r="D416" s="38">
        <f t="shared" ref="D416" si="528">+F415*(1+L416)</f>
        <v>43.70521963427251</v>
      </c>
      <c r="E416" s="92"/>
      <c r="F416">
        <v>43.72</v>
      </c>
      <c r="G416" s="42">
        <f t="shared" ref="G416" si="529">+B416/D416-1</f>
        <v>-1.2634562812998684E-3</v>
      </c>
      <c r="H416" s="92"/>
      <c r="I416" s="93">
        <f t="shared" si="389"/>
        <v>-1.6010978956999544E-3</v>
      </c>
      <c r="J416">
        <v>19264.07</v>
      </c>
      <c r="K416">
        <v>19292.86</v>
      </c>
      <c r="L416" s="93">
        <f t="shared" ref="L416" si="530">+K416/J416-1</f>
        <v>1.4944920777384407E-3</v>
      </c>
      <c r="M416" s="92">
        <f t="shared" ref="M416" si="531">WEEKDAY(A416,2)</f>
        <v>2</v>
      </c>
    </row>
    <row r="417" spans="1:13" x14ac:dyDescent="0.15">
      <c r="A417" s="90">
        <v>42984</v>
      </c>
      <c r="B417">
        <v>43.83</v>
      </c>
      <c r="C417" s="93">
        <f t="shared" ref="C417" si="532">B417/B416-1</f>
        <v>4.1237113402061709E-3</v>
      </c>
      <c r="D417" s="38">
        <f t="shared" ref="D417" si="533">+F416*(1+L417)</f>
        <v>43.578253986189708</v>
      </c>
      <c r="E417" s="92"/>
      <c r="F417">
        <v>43.58</v>
      </c>
      <c r="G417" s="42">
        <f t="shared" ref="G417" si="534">+B417/D417-1</f>
        <v>5.7768724256384019E-3</v>
      </c>
      <c r="H417" s="92"/>
      <c r="I417" s="93">
        <f t="shared" si="389"/>
        <v>5.7365764111978468E-3</v>
      </c>
      <c r="J417">
        <v>19292.86</v>
      </c>
      <c r="K417">
        <v>19230.310000000001</v>
      </c>
      <c r="L417" s="93">
        <f t="shared" ref="L417" si="535">+K417/J417-1</f>
        <v>-3.2421320633643225E-3</v>
      </c>
      <c r="M417" s="92">
        <f t="shared" ref="M417" si="536">WEEKDAY(A417,2)</f>
        <v>3</v>
      </c>
    </row>
    <row r="418" spans="1:13" x14ac:dyDescent="0.15">
      <c r="A418" s="90">
        <v>42985</v>
      </c>
      <c r="B418">
        <v>43.97</v>
      </c>
      <c r="C418" s="93">
        <f t="shared" ref="C418" si="537">B418/B417-1</f>
        <v>3.1941592516542272E-3</v>
      </c>
      <c r="D418" s="38">
        <f t="shared" ref="D418" si="538">+F417*(1+L418)</f>
        <v>43.642819455328592</v>
      </c>
      <c r="E418" s="92"/>
      <c r="F418">
        <v>43.64</v>
      </c>
      <c r="G418" s="42">
        <f t="shared" ref="G418" si="539">+B418/D418-1</f>
        <v>7.4967783647961195E-3</v>
      </c>
      <c r="H418" s="92"/>
      <c r="I418" s="93">
        <f t="shared" si="389"/>
        <v>7.5618698441795029E-3</v>
      </c>
      <c r="J418">
        <v>19230.310000000001</v>
      </c>
      <c r="K418">
        <v>19258.03</v>
      </c>
      <c r="L418" s="93">
        <f t="shared" ref="L418" si="540">+K418/J418-1</f>
        <v>1.4414744224091613E-3</v>
      </c>
      <c r="M418" s="92">
        <f t="shared" ref="M418" si="541">WEEKDAY(A418,2)</f>
        <v>4</v>
      </c>
    </row>
    <row r="419" spans="1:13" x14ac:dyDescent="0.15">
      <c r="A419" s="90">
        <v>42986</v>
      </c>
      <c r="B419">
        <v>43.79</v>
      </c>
      <c r="C419" s="93">
        <f t="shared" ref="C419" si="542">B419/B418-1</f>
        <v>-4.0937002501705289E-3</v>
      </c>
      <c r="D419" s="38">
        <f t="shared" ref="D419" si="543">+F418*(1+L419)</f>
        <v>43.782399695088237</v>
      </c>
      <c r="E419" s="92"/>
      <c r="F419">
        <v>43.82</v>
      </c>
      <c r="G419" s="42">
        <f t="shared" ref="G419" si="544">+B419/D419-1</f>
        <v>1.7359269854311243E-4</v>
      </c>
      <c r="H419" s="92"/>
      <c r="I419" s="93">
        <f t="shared" si="389"/>
        <v>-6.8461889548154797E-4</v>
      </c>
      <c r="J419">
        <v>19258.03</v>
      </c>
      <c r="K419">
        <v>19320.87</v>
      </c>
      <c r="L419" s="93">
        <f t="shared" ref="L419" si="545">+K419/J419-1</f>
        <v>3.2630544245699777E-3</v>
      </c>
      <c r="M419" s="92">
        <f t="shared" ref="M419" si="546">WEEKDAY(A419,2)</f>
        <v>5</v>
      </c>
    </row>
    <row r="420" spans="1:13" x14ac:dyDescent="0.15">
      <c r="A420" s="90">
        <v>42989</v>
      </c>
      <c r="B420">
        <v>44.53</v>
      </c>
      <c r="C420" s="93">
        <f t="shared" ref="C420" si="547">B420/B419-1</f>
        <v>1.6898835350536601E-2</v>
      </c>
      <c r="D420" s="38">
        <f t="shared" ref="D420" si="548">+F419*(1+L420)</f>
        <v>44.288050010170352</v>
      </c>
      <c r="E420" s="92"/>
      <c r="F420">
        <v>44.31</v>
      </c>
      <c r="G420" s="42">
        <f t="shared" ref="G420" si="549">+B420/D420-1</f>
        <v>5.4630987314656654E-3</v>
      </c>
      <c r="H420" s="92"/>
      <c r="I420" s="93">
        <f t="shared" si="389"/>
        <v>4.9650191830286072E-3</v>
      </c>
      <c r="J420">
        <v>19320.87</v>
      </c>
      <c r="K420">
        <v>19527.240000000002</v>
      </c>
      <c r="L420" s="93">
        <f t="shared" ref="L420" si="550">+K420/J420-1</f>
        <v>1.0681196033097917E-2</v>
      </c>
      <c r="M420" s="92">
        <f t="shared" ref="M420" si="551">WEEKDAY(A420,2)</f>
        <v>1</v>
      </c>
    </row>
    <row r="421" spans="1:13" x14ac:dyDescent="0.15">
      <c r="A421" s="90">
        <v>42990</v>
      </c>
      <c r="B421">
        <v>44.39</v>
      </c>
      <c r="C421" s="93">
        <f t="shared" ref="C421" si="552">B421/B420-1</f>
        <v>-3.1439479002919324E-3</v>
      </c>
      <c r="D421" s="38">
        <f t="shared" ref="D421" si="553">+F420*(1+L421)</f>
        <v>44.395296892955685</v>
      </c>
      <c r="E421" s="92"/>
      <c r="F421">
        <v>44.39</v>
      </c>
      <c r="G421" s="42">
        <f t="shared" ref="G421" si="554">+B421/D421-1</f>
        <v>-1.1931202911996674E-4</v>
      </c>
      <c r="H421" s="92"/>
      <c r="I421" s="93">
        <f t="shared" si="389"/>
        <v>0</v>
      </c>
      <c r="J421">
        <v>19527.240000000002</v>
      </c>
      <c r="K421">
        <v>19564.830000000002</v>
      </c>
      <c r="L421" s="93">
        <f t="shared" ref="L421" si="555">+K421/J421-1</f>
        <v>1.9250032262623229E-3</v>
      </c>
      <c r="M421" s="92">
        <f t="shared" ref="M421" si="556">WEEKDAY(A421,2)</f>
        <v>2</v>
      </c>
    </row>
    <row r="422" spans="1:13" x14ac:dyDescent="0.15">
      <c r="A422" s="90">
        <v>42991</v>
      </c>
      <c r="B422">
        <v>44.08</v>
      </c>
      <c r="C422" s="93">
        <f t="shared" ref="C422" si="557">B422/B421-1</f>
        <v>-6.9835548546970383E-3</v>
      </c>
      <c r="D422" s="38">
        <f t="shared" ref="D422" si="558">+F421*(1+L422)</f>
        <v>44.192812756359238</v>
      </c>
      <c r="E422" s="92"/>
      <c r="F422">
        <v>44.21</v>
      </c>
      <c r="G422" s="42">
        <f t="shared" ref="G422" si="559">+B422/D422-1</f>
        <v>-2.5527398987068572E-3</v>
      </c>
      <c r="H422" s="92"/>
      <c r="I422" s="93">
        <f t="shared" si="389"/>
        <v>-2.9405111965619124E-3</v>
      </c>
      <c r="J422">
        <v>19564.830000000002</v>
      </c>
      <c r="K422">
        <v>19477.919999999998</v>
      </c>
      <c r="L422" s="93">
        <f t="shared" ref="L422" si="560">+K422/J422-1</f>
        <v>-4.4421546213283536E-3</v>
      </c>
      <c r="M422" s="92">
        <f t="shared" ref="M422" si="561">WEEKDAY(A422,2)</f>
        <v>3</v>
      </c>
    </row>
    <row r="423" spans="1:13" x14ac:dyDescent="0.15">
      <c r="A423" s="90">
        <v>42992</v>
      </c>
      <c r="B423">
        <v>44.01</v>
      </c>
      <c r="C423" s="93">
        <f t="shared" ref="C423" si="562">B423/B422-1</f>
        <v>-1.5880217785844142E-3</v>
      </c>
      <c r="D423" s="38">
        <f t="shared" ref="D423" si="563">+F422*(1+L423)</f>
        <v>44.025514757222545</v>
      </c>
      <c r="E423" s="92"/>
      <c r="F423">
        <v>44.03</v>
      </c>
      <c r="G423" s="42">
        <f t="shared" ref="G423" si="564">+B423/D423-1</f>
        <v>-3.5240376650003125E-4</v>
      </c>
      <c r="H423" s="92"/>
      <c r="I423" s="93">
        <f t="shared" si="389"/>
        <v>-4.5423574835345981E-4</v>
      </c>
      <c r="J423">
        <v>19477.919999999998</v>
      </c>
      <c r="K423">
        <v>19396.64</v>
      </c>
      <c r="L423" s="93">
        <f t="shared" ref="L423" si="565">+K423/J423-1</f>
        <v>-4.1729301691350029E-3</v>
      </c>
      <c r="M423" s="92">
        <f t="shared" ref="M423" si="566">WEEKDAY(A423,2)</f>
        <v>4</v>
      </c>
    </row>
    <row r="424" spans="1:13" x14ac:dyDescent="0.15">
      <c r="A424" s="90">
        <v>42993</v>
      </c>
      <c r="B424">
        <v>44.34</v>
      </c>
      <c r="C424" s="93">
        <f t="shared" ref="C424" si="567">B424/B423-1</f>
        <v>7.4982958418543522E-3</v>
      </c>
      <c r="D424" s="38">
        <f t="shared" ref="D424" si="568">+F423*(1+L424)</f>
        <v>44.117507759075799</v>
      </c>
      <c r="E424" s="92"/>
      <c r="F424">
        <v>44.11</v>
      </c>
      <c r="G424" s="42">
        <f t="shared" ref="G424" si="569">+B424/D424-1</f>
        <v>5.0431733845717197E-3</v>
      </c>
      <c r="H424" s="92"/>
      <c r="I424" s="93">
        <f t="shared" si="389"/>
        <v>5.2142371344368055E-3</v>
      </c>
      <c r="J424">
        <v>19396.64</v>
      </c>
      <c r="K424">
        <v>19435.189999999999</v>
      </c>
      <c r="L424" s="93">
        <f t="shared" ref="L424" si="570">+K424/J424-1</f>
        <v>1.9874576215261897E-3</v>
      </c>
      <c r="M424" s="92">
        <f t="shared" ref="M424" si="571">WEEKDAY(A424,2)</f>
        <v>5</v>
      </c>
    </row>
    <row r="425" spans="1:13" x14ac:dyDescent="0.15">
      <c r="A425" s="90">
        <v>42996</v>
      </c>
      <c r="B425">
        <v>44.82</v>
      </c>
      <c r="C425" s="93">
        <f t="shared" ref="C425" si="572">B425/B424-1</f>
        <v>1.0825439783491042E-2</v>
      </c>
      <c r="D425" s="38">
        <f t="shared" ref="D425" si="573">+F424*(1+L425)</f>
        <v>44.872424874673214</v>
      </c>
      <c r="E425" s="92"/>
      <c r="F425">
        <v>44.87</v>
      </c>
      <c r="G425" s="42">
        <f t="shared" ref="G425" si="574">+B425/D425-1</f>
        <v>-1.1683093752931084E-3</v>
      </c>
      <c r="H425" s="92"/>
      <c r="I425" s="93">
        <f t="shared" si="389"/>
        <v>-1.1143302874971894E-3</v>
      </c>
      <c r="J425">
        <v>19435.189999999999</v>
      </c>
      <c r="K425">
        <v>19771.12</v>
      </c>
      <c r="L425" s="93">
        <f t="shared" ref="L425" si="575">+K425/J425-1</f>
        <v>1.7284626494518562E-2</v>
      </c>
      <c r="M425" s="92">
        <f t="shared" ref="M425" si="576">WEEKDAY(A425,2)</f>
        <v>1</v>
      </c>
    </row>
    <row r="426" spans="1:13" x14ac:dyDescent="0.15">
      <c r="A426" s="90">
        <v>42997</v>
      </c>
      <c r="B426">
        <v>44.88</v>
      </c>
      <c r="C426" s="93">
        <f t="shared" ref="C426" si="577">B426/B425-1</f>
        <v>1.3386880856760541E-3</v>
      </c>
      <c r="D426" s="38">
        <f t="shared" ref="D426" si="578">+F425*(1+L426)</f>
        <v>44.74772085749315</v>
      </c>
      <c r="E426" s="92"/>
      <c r="F426">
        <v>44.75</v>
      </c>
      <c r="G426" s="42">
        <f t="shared" ref="G426" si="579">+B426/D426-1</f>
        <v>2.9561090480589858E-3</v>
      </c>
      <c r="H426" s="92"/>
      <c r="I426" s="93">
        <f t="shared" si="389"/>
        <v>2.9050279329609907E-3</v>
      </c>
      <c r="J426">
        <v>19771.12</v>
      </c>
      <c r="K426">
        <v>19717.240000000002</v>
      </c>
      <c r="L426" s="93">
        <f t="shared" ref="L426" si="580">+K426/J426-1</f>
        <v>-2.7251870404912948E-3</v>
      </c>
      <c r="M426" s="92">
        <f t="shared" ref="M426" si="581">WEEKDAY(A426,2)</f>
        <v>2</v>
      </c>
    </row>
    <row r="427" spans="1:13" x14ac:dyDescent="0.15">
      <c r="A427" s="90">
        <v>42998</v>
      </c>
      <c r="B427">
        <v>44.96</v>
      </c>
      <c r="C427" s="93">
        <f t="shared" ref="C427" si="582">B427/B426-1</f>
        <v>1.7825311942958333E-3</v>
      </c>
      <c r="D427" s="38">
        <f t="shared" ref="D427" si="583">+F426*(1+L427)</f>
        <v>45.034515479854178</v>
      </c>
      <c r="E427" s="92"/>
      <c r="F427">
        <v>45.03</v>
      </c>
      <c r="G427" s="42">
        <f t="shared" ref="G427" si="584">+B427/D427-1</f>
        <v>-1.6546304331288564E-3</v>
      </c>
      <c r="H427" s="92"/>
      <c r="I427" s="93">
        <f t="shared" si="389"/>
        <v>-1.554519209415961E-3</v>
      </c>
      <c r="J427">
        <v>19717.240000000002</v>
      </c>
      <c r="K427">
        <v>19842.599999999999</v>
      </c>
      <c r="L427" s="93">
        <f t="shared" ref="L427" si="585">+K427/J427-1</f>
        <v>6.3578878179704201E-3</v>
      </c>
      <c r="M427" s="92">
        <f t="shared" ref="M427" si="586">WEEKDAY(A427,2)</f>
        <v>3</v>
      </c>
    </row>
    <row r="428" spans="1:13" x14ac:dyDescent="0.15">
      <c r="A428" s="90">
        <v>42999</v>
      </c>
      <c r="B428">
        <v>45.07</v>
      </c>
      <c r="C428" s="93">
        <f t="shared" ref="C428" si="587">B428/B427-1</f>
        <v>2.4466192170817802E-3</v>
      </c>
      <c r="D428" s="38">
        <f t="shared" ref="D428" si="588">+F427*(1+L428)</f>
        <v>45.11112961507061</v>
      </c>
      <c r="E428" s="92"/>
      <c r="F428">
        <v>45.11</v>
      </c>
      <c r="G428" s="42">
        <f t="shared" ref="G428" si="589">+B428/D428-1</f>
        <v>-9.1173986157222497E-4</v>
      </c>
      <c r="H428" s="92"/>
      <c r="I428" s="93">
        <f t="shared" si="389"/>
        <v>-8.8672134781642153E-4</v>
      </c>
      <c r="J428">
        <v>19842.599999999999</v>
      </c>
      <c r="K428">
        <v>19878.349999999999</v>
      </c>
      <c r="L428" s="93">
        <f t="shared" ref="L428" si="590">+K428/J428-1</f>
        <v>1.8016792154254002E-3</v>
      </c>
      <c r="M428" s="92">
        <f t="shared" ref="M428" si="591">WEEKDAY(A428,2)</f>
        <v>4</v>
      </c>
    </row>
    <row r="429" spans="1:13" x14ac:dyDescent="0.15">
      <c r="A429" s="90">
        <v>43000</v>
      </c>
      <c r="B429">
        <v>44.58</v>
      </c>
      <c r="C429" s="93">
        <f t="shared" ref="C429" si="592">B429/B428-1</f>
        <v>-1.0871976924783699E-2</v>
      </c>
      <c r="D429" s="38">
        <f t="shared" ref="D429" si="593">+F428*(1+L429)</f>
        <v>44.626956155817773</v>
      </c>
      <c r="E429" s="92"/>
      <c r="F429">
        <v>44.63</v>
      </c>
      <c r="G429" s="42">
        <f t="shared" ref="G429" si="594">+B429/D429-1</f>
        <v>-1.0521926625204348E-3</v>
      </c>
      <c r="H429" s="92"/>
      <c r="I429" s="93">
        <f t="shared" si="389"/>
        <v>-1.1203226529241661E-3</v>
      </c>
      <c r="J429">
        <v>19878.349999999999</v>
      </c>
      <c r="K429">
        <v>19665.490000000002</v>
      </c>
      <c r="L429" s="93">
        <f t="shared" ref="L429" si="595">+K429/J429-1</f>
        <v>-1.0708132214192645E-2</v>
      </c>
      <c r="M429" s="92">
        <f t="shared" ref="M429" si="596">WEEKDAY(A429,2)</f>
        <v>5</v>
      </c>
    </row>
    <row r="430" spans="1:13" x14ac:dyDescent="0.15">
      <c r="A430" s="90">
        <v>43003</v>
      </c>
      <c r="B430">
        <v>43.39</v>
      </c>
      <c r="C430" s="93">
        <f t="shared" ref="C430" si="597">B430/B429-1</f>
        <v>-2.6693584567070383E-2</v>
      </c>
      <c r="D430" s="38">
        <f t="shared" ref="D430" si="598">+F429*(1+L430)</f>
        <v>43.578242469422321</v>
      </c>
      <c r="E430" s="92"/>
      <c r="F430">
        <v>43.59</v>
      </c>
      <c r="G430" s="42">
        <f t="shared" ref="G430" si="599">+B430/D430-1</f>
        <v>-4.3196434448774523E-3</v>
      </c>
      <c r="H430" s="92"/>
      <c r="I430" s="93">
        <f t="shared" si="389"/>
        <v>-4.5882083046571154E-3</v>
      </c>
      <c r="J430">
        <v>19665.490000000002</v>
      </c>
      <c r="K430">
        <v>19202.05</v>
      </c>
      <c r="L430" s="93">
        <f t="shared" ref="L430" si="600">+K430/J430-1</f>
        <v>-2.3566155737792527E-2</v>
      </c>
      <c r="M430" s="92">
        <f t="shared" ref="M430" si="601">WEEKDAY(A430,2)</f>
        <v>1</v>
      </c>
    </row>
    <row r="431" spans="1:13" x14ac:dyDescent="0.15">
      <c r="A431" s="90">
        <v>43004</v>
      </c>
      <c r="B431">
        <v>43.74</v>
      </c>
      <c r="C431" s="93">
        <f t="shared" ref="C431" si="602">B431/B430-1</f>
        <v>8.0663747407236919E-3</v>
      </c>
      <c r="D431" s="38">
        <f t="shared" ref="D431" si="603">+F430*(1+L431)</f>
        <v>43.788449530128304</v>
      </c>
      <c r="E431" s="92"/>
      <c r="F431">
        <v>43.78</v>
      </c>
      <c r="G431" s="42">
        <f t="shared" ref="G431" si="604">+B431/D431-1</f>
        <v>-1.1064454359126508E-3</v>
      </c>
      <c r="H431" s="92"/>
      <c r="I431" s="93">
        <f t="shared" si="389"/>
        <v>-9.1365920511643495E-4</v>
      </c>
      <c r="J431">
        <v>19202.05</v>
      </c>
      <c r="K431">
        <v>19289.47</v>
      </c>
      <c r="L431" s="93">
        <f t="shared" ref="L431" si="605">+K431/J431-1</f>
        <v>4.5526389109498133E-3</v>
      </c>
      <c r="M431" s="92">
        <f t="shared" ref="M431" si="606">WEEKDAY(A431,2)</f>
        <v>2</v>
      </c>
    </row>
    <row r="432" spans="1:13" x14ac:dyDescent="0.15">
      <c r="A432" s="90">
        <v>43005</v>
      </c>
      <c r="B432">
        <v>43.9</v>
      </c>
      <c r="C432" s="93">
        <f t="shared" ref="C432" si="607">B432/B431-1</f>
        <v>3.6579789666209006E-3</v>
      </c>
      <c r="D432" s="38">
        <f t="shared" ref="D432" si="608">+F431*(1+L432)</f>
        <v>44.148406679913968</v>
      </c>
      <c r="E432" s="92"/>
      <c r="F432">
        <v>44.15</v>
      </c>
      <c r="G432" s="42">
        <f t="shared" ref="G432" si="609">+B432/D432-1</f>
        <v>-5.6266284243273734E-3</v>
      </c>
      <c r="H432" s="92"/>
      <c r="I432" s="93">
        <f t="shared" si="389"/>
        <v>-5.6625141562853809E-3</v>
      </c>
      <c r="J432">
        <v>19289.47</v>
      </c>
      <c r="K432">
        <v>19451.79</v>
      </c>
      <c r="L432" s="93">
        <f t="shared" ref="L432" si="610">+K432/J432-1</f>
        <v>8.4149538582449779E-3</v>
      </c>
      <c r="M432" s="92">
        <f t="shared" ref="M432" si="611">WEEKDAY(A432,2)</f>
        <v>3</v>
      </c>
    </row>
    <row r="433" spans="1:14" x14ac:dyDescent="0.15">
      <c r="A433" s="90">
        <v>43006</v>
      </c>
      <c r="B433">
        <v>43.53</v>
      </c>
      <c r="C433" s="93">
        <f t="shared" ref="C433" si="612">B433/B432-1</f>
        <v>-8.4282460136673176E-3</v>
      </c>
      <c r="D433" s="38">
        <f t="shared" ref="D433" si="613">+F432*(1+L433)</f>
        <v>43.487470484721456</v>
      </c>
      <c r="E433" s="92"/>
      <c r="F433">
        <v>43.49</v>
      </c>
      <c r="G433" s="42">
        <f t="shared" ref="G433" si="614">+B433/D433-1</f>
        <v>9.7797169631852476E-4</v>
      </c>
      <c r="H433" s="92"/>
      <c r="I433" s="93">
        <f t="shared" si="389"/>
        <v>9.1975166704982847E-4</v>
      </c>
      <c r="J433">
        <v>19451.79</v>
      </c>
      <c r="K433">
        <v>19159.89</v>
      </c>
      <c r="L433" s="93">
        <f t="shared" ref="L433" si="615">+K433/J433-1</f>
        <v>-1.5006331036886644E-2</v>
      </c>
      <c r="M433" s="92">
        <f t="shared" ref="M433" si="616">WEEKDAY(A433,2)</f>
        <v>4</v>
      </c>
    </row>
    <row r="434" spans="1:14" x14ac:dyDescent="0.15">
      <c r="A434" s="90">
        <v>43007</v>
      </c>
      <c r="B434">
        <v>44.04</v>
      </c>
      <c r="C434" s="93">
        <f t="shared" ref="C434" si="617">B434/B433-1</f>
        <v>1.1716057891109521E-2</v>
      </c>
      <c r="D434" s="38">
        <f t="shared" ref="D434" si="618">+F433*(1+L434)</f>
        <v>43.686977237343221</v>
      </c>
      <c r="E434" s="92"/>
      <c r="F434">
        <v>43.69</v>
      </c>
      <c r="G434" s="42">
        <f t="shared" ref="G434" si="619">+B434/D434-1</f>
        <v>8.0807321765219431E-3</v>
      </c>
      <c r="H434" s="92"/>
      <c r="I434" s="93">
        <f t="shared" si="389"/>
        <v>8.010986495765593E-3</v>
      </c>
      <c r="J434">
        <v>19159.89</v>
      </c>
      <c r="K434">
        <v>19246.669999999998</v>
      </c>
      <c r="L434" s="93">
        <f t="shared" ref="L434" si="620">+K434/J434-1</f>
        <v>4.5292535604326556E-3</v>
      </c>
      <c r="M434" s="92">
        <f t="shared" ref="M434" si="621">WEEKDAY(A434,2)</f>
        <v>5</v>
      </c>
    </row>
    <row r="435" spans="1:14" x14ac:dyDescent="0.15">
      <c r="A435" s="90">
        <v>43010</v>
      </c>
      <c r="B435">
        <v>44.18</v>
      </c>
      <c r="C435" s="93">
        <f t="shared" ref="C435" si="622">B435/B434-1</f>
        <v>3.1789282470482405E-3</v>
      </c>
      <c r="D435" s="38">
        <f t="shared" ref="D435" si="623">+F434*(1+L435)</f>
        <v>43.69</v>
      </c>
      <c r="E435" s="92"/>
      <c r="F435">
        <v>43.7</v>
      </c>
      <c r="G435" s="42">
        <f t="shared" ref="G435" si="624">+B435/D435-1</f>
        <v>1.121538109407183E-2</v>
      </c>
      <c r="H435" s="92"/>
      <c r="I435" s="93">
        <f t="shared" si="389"/>
        <v>1.0983981693363676E-2</v>
      </c>
      <c r="J435">
        <v>19246.669999999998</v>
      </c>
      <c r="K435">
        <v>19246.669999999998</v>
      </c>
      <c r="L435" s="93">
        <f t="shared" ref="L435" si="625">+K435/J435-1</f>
        <v>0</v>
      </c>
      <c r="M435" s="92">
        <f t="shared" ref="M435" si="626">WEEKDAY(A435,2)</f>
        <v>1</v>
      </c>
    </row>
    <row r="436" spans="1:14" x14ac:dyDescent="0.15">
      <c r="A436" s="90">
        <v>43011</v>
      </c>
      <c r="B436">
        <v>45.53</v>
      </c>
      <c r="C436" s="93">
        <f t="shared" ref="C436" si="627">B436/B435-1</f>
        <v>3.0556813037573516E-2</v>
      </c>
      <c r="D436" s="38">
        <f t="shared" ref="D436" si="628">+F435*(1+L436)</f>
        <v>45.221409106094725</v>
      </c>
      <c r="E436" s="92"/>
      <c r="F436">
        <v>45.21</v>
      </c>
      <c r="G436" s="42">
        <f t="shared" ref="G436" si="629">+B436/D436-1</f>
        <v>6.8239999594281731E-3</v>
      </c>
      <c r="H436" s="92"/>
      <c r="I436" s="93">
        <f t="shared" si="389"/>
        <v>7.0780800707808122E-3</v>
      </c>
      <c r="J436">
        <v>19246.669999999998</v>
      </c>
      <c r="K436">
        <v>19916.740000000002</v>
      </c>
      <c r="L436" s="93">
        <f t="shared" ref="L436" si="630">+K436/J436-1</f>
        <v>3.4814853686378155E-2</v>
      </c>
      <c r="M436" s="92">
        <f t="shared" ref="M436" si="631">WEEKDAY(A436,2)</f>
        <v>2</v>
      </c>
      <c r="N436" s="50" t="s">
        <v>462</v>
      </c>
    </row>
    <row r="437" spans="1:14" x14ac:dyDescent="0.15">
      <c r="A437" s="90">
        <v>43012</v>
      </c>
      <c r="B437">
        <v>45.64</v>
      </c>
      <c r="C437" s="93">
        <f t="shared" ref="C437" si="632">B437/B436-1</f>
        <v>2.4159894575004337E-3</v>
      </c>
      <c r="D437" s="38">
        <f t="shared" ref="D437" si="633">+F436*(1+L437)</f>
        <v>45.691047761832507</v>
      </c>
      <c r="E437" s="92"/>
      <c r="F437">
        <v>45.69</v>
      </c>
      <c r="G437" s="42">
        <f t="shared" ref="G437" si="634">+B437/D437-1</f>
        <v>-1.1172377157686597E-3</v>
      </c>
      <c r="H437" s="92"/>
      <c r="I437" s="93">
        <f t="shared" si="389"/>
        <v>-1.0943313635368712E-3</v>
      </c>
      <c r="J437">
        <v>19916.740000000002</v>
      </c>
      <c r="K437">
        <v>20128.66</v>
      </c>
      <c r="L437" s="93">
        <f t="shared" ref="L437" si="635">+K437/J437-1</f>
        <v>1.0640295550376155E-2</v>
      </c>
      <c r="M437" s="92">
        <f t="shared" ref="M437" si="636">WEEKDAY(A437,2)</f>
        <v>3</v>
      </c>
      <c r="N437" s="50" t="s">
        <v>464</v>
      </c>
    </row>
    <row r="438" spans="1:14" x14ac:dyDescent="0.15">
      <c r="A438" s="90">
        <v>43013</v>
      </c>
      <c r="B438">
        <v>46.37</v>
      </c>
      <c r="C438" s="93">
        <f t="shared" ref="C438" si="637">B438/B437-1</f>
        <v>1.5994741454864014E-2</v>
      </c>
      <c r="D438" s="38">
        <f t="shared" ref="D438" si="638">+F437*(1+L438)</f>
        <v>45.69</v>
      </c>
      <c r="E438" s="92"/>
      <c r="F438">
        <v>45.67</v>
      </c>
      <c r="G438" s="42">
        <f t="shared" ref="G438" si="639">+B438/D438-1</f>
        <v>1.4882906544101626E-2</v>
      </c>
      <c r="H438" s="92"/>
      <c r="I438" s="93">
        <f t="shared" si="389"/>
        <v>1.5327348368732174E-2</v>
      </c>
      <c r="J438">
        <v>20128.66</v>
      </c>
      <c r="K438">
        <v>20128.66</v>
      </c>
      <c r="L438" s="93">
        <f t="shared" ref="L438" si="640">+K438/J438-1</f>
        <v>0</v>
      </c>
      <c r="M438" s="92">
        <f t="shared" ref="M438" si="641">WEEKDAY(A438,2)</f>
        <v>4</v>
      </c>
      <c r="N438" s="50" t="s">
        <v>467</v>
      </c>
    </row>
    <row r="439" spans="1:14" x14ac:dyDescent="0.15">
      <c r="A439" s="90">
        <v>43014</v>
      </c>
      <c r="B439">
        <v>45.82</v>
      </c>
      <c r="C439" s="93">
        <f t="shared" ref="C439" si="642">B439/B438-1</f>
        <v>-1.1861117101574226E-2</v>
      </c>
      <c r="D439" s="38">
        <f t="shared" ref="D439" si="643">+F438*(1+L439)</f>
        <v>45.955382762687627</v>
      </c>
      <c r="E439" s="92"/>
      <c r="F439">
        <v>45.97</v>
      </c>
      <c r="G439" s="42">
        <f t="shared" ref="G439" si="644">+B439/D439-1</f>
        <v>-2.9459609418713839E-3</v>
      </c>
      <c r="H439" s="92"/>
      <c r="I439" s="93">
        <f t="shared" si="389"/>
        <v>-3.2629976071351097E-3</v>
      </c>
      <c r="J439">
        <v>20128.66</v>
      </c>
      <c r="K439">
        <v>20254.439999999999</v>
      </c>
      <c r="L439" s="93">
        <f t="shared" ref="L439" si="645">+K439/J439-1</f>
        <v>6.2488014602064545E-3</v>
      </c>
      <c r="M439" s="92">
        <f t="shared" ref="M439" si="646">WEEKDAY(A439,2)</f>
        <v>5</v>
      </c>
      <c r="N439" s="50" t="s">
        <v>471</v>
      </c>
    </row>
    <row r="440" spans="1:14" x14ac:dyDescent="0.15">
      <c r="A440" s="90">
        <v>43017</v>
      </c>
      <c r="B440">
        <v>45.63</v>
      </c>
      <c r="C440" s="93">
        <f t="shared" ref="C440" si="647">B440/B439-1</f>
        <v>-4.1466608467917165E-3</v>
      </c>
      <c r="D440" s="38">
        <f t="shared" ref="D440" si="648">+F439*(1+L440)</f>
        <v>45.560468716982555</v>
      </c>
      <c r="E440" s="92"/>
      <c r="F440">
        <v>45.56</v>
      </c>
      <c r="G440" s="42">
        <f t="shared" ref="G440" si="649">+B440/D440-1</f>
        <v>1.5261318633346121E-3</v>
      </c>
      <c r="H440" s="92"/>
      <c r="I440" s="93">
        <f t="shared" si="389"/>
        <v>1.5364354697102733E-3</v>
      </c>
      <c r="J440">
        <v>20254.439999999999</v>
      </c>
      <c r="K440">
        <v>20074</v>
      </c>
      <c r="L440" s="93">
        <f t="shared" ref="L440" si="650">+K440/J440-1</f>
        <v>-8.9086639768859444E-3</v>
      </c>
      <c r="M440" s="92">
        <f t="shared" ref="M440" si="651">WEEKDAY(A440,2)</f>
        <v>1</v>
      </c>
      <c r="N440" s="50" t="s">
        <v>478</v>
      </c>
    </row>
    <row r="441" spans="1:14" x14ac:dyDescent="0.15">
      <c r="A441" s="90">
        <v>43018</v>
      </c>
      <c r="B441">
        <v>46.03</v>
      </c>
      <c r="C441" s="93">
        <f t="shared" ref="C441" si="652">B441/B440-1</f>
        <v>8.7661626123163305E-3</v>
      </c>
      <c r="D441" s="38">
        <f t="shared" ref="D441" si="653">+F440*(1+L441)</f>
        <v>45.750964351897984</v>
      </c>
      <c r="E441" s="92"/>
      <c r="F441">
        <v>45.75</v>
      </c>
      <c r="G441" s="42">
        <f t="shared" ref="G441" si="654">+B441/D441-1</f>
        <v>6.0990112898120508E-3</v>
      </c>
      <c r="H441" s="92"/>
      <c r="I441" s="93">
        <f t="shared" si="389"/>
        <v>6.1202185792350594E-3</v>
      </c>
      <c r="J441">
        <v>20074</v>
      </c>
      <c r="K441">
        <v>20158.14</v>
      </c>
      <c r="L441" s="93">
        <f t="shared" ref="L441" si="655">+K441/J441-1</f>
        <v>4.1914914815184279E-3</v>
      </c>
      <c r="M441" s="92">
        <f t="shared" ref="M441" si="656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657">B442/B441-1</f>
        <v>-3.9104931566369405E-3</v>
      </c>
      <c r="D442" s="38">
        <f t="shared" ref="D442" si="658">+F441*(1+L442)</f>
        <v>45.626445445859595</v>
      </c>
      <c r="E442" s="92"/>
      <c r="F442">
        <v>45.62</v>
      </c>
      <c r="G442" s="42">
        <f t="shared" ref="G442" si="659">+B442/D442-1</f>
        <v>4.8996706176833715E-3</v>
      </c>
      <c r="H442" s="92"/>
      <c r="I442" s="93">
        <f t="shared" si="389"/>
        <v>5.0416483998247941E-3</v>
      </c>
      <c r="J442">
        <v>20158.14</v>
      </c>
      <c r="K442">
        <v>20103.7</v>
      </c>
      <c r="L442" s="93">
        <f t="shared" ref="L442" si="660">+K442/J442-1</f>
        <v>-2.7006459921400383E-3</v>
      </c>
      <c r="M442" s="92">
        <f t="shared" ref="M442" si="661">WEEKDAY(A442,2)</f>
        <v>3</v>
      </c>
      <c r="N442" s="50" t="s">
        <v>485</v>
      </c>
    </row>
    <row r="443" spans="1:14" x14ac:dyDescent="0.15">
      <c r="A443" s="90">
        <v>43020</v>
      </c>
      <c r="B443">
        <v>45.87</v>
      </c>
      <c r="C443" s="93">
        <f t="shared" ref="C443" si="662">B443/B442-1</f>
        <v>4.3620501635754927E-4</v>
      </c>
      <c r="D443" s="38">
        <f t="shared" ref="D443" si="663">+F442*(1+L443)</f>
        <v>45.859426881618802</v>
      </c>
      <c r="E443" s="92"/>
      <c r="F443">
        <v>45.86</v>
      </c>
      <c r="G443" s="42">
        <f t="shared" ref="G443" si="664">+B443/D443-1</f>
        <v>2.3055496110946372E-4</v>
      </c>
      <c r="H443" s="92"/>
      <c r="I443" s="93">
        <f t="shared" si="389"/>
        <v>2.1805494984739049E-4</v>
      </c>
      <c r="J443">
        <v>20103.7</v>
      </c>
      <c r="K443">
        <v>20209.21</v>
      </c>
      <c r="L443" s="93">
        <f t="shared" ref="L443" si="665">+K443/J443-1</f>
        <v>5.2482876286454871E-3</v>
      </c>
      <c r="M443" s="92">
        <f t="shared" ref="M443" si="666">WEEKDAY(A443,2)</f>
        <v>4</v>
      </c>
    </row>
    <row r="444" spans="1:14" x14ac:dyDescent="0.15">
      <c r="A444" s="90">
        <v>43021</v>
      </c>
      <c r="B444">
        <v>46.23</v>
      </c>
      <c r="C444" s="93">
        <f t="shared" ref="C444" si="667">B444/B443-1</f>
        <v>7.8482668410726486E-3</v>
      </c>
      <c r="D444" s="38">
        <f t="shared" ref="D444" si="668">+F443*(1+L444)</f>
        <v>45.922608949088065</v>
      </c>
      <c r="E444" s="92"/>
      <c r="F444">
        <v>45.92</v>
      </c>
      <c r="G444" s="42">
        <f t="shared" ref="G444" si="669">+B444/D444-1</f>
        <v>6.6936756849489409E-3</v>
      </c>
      <c r="H444" s="92"/>
      <c r="I444" s="93">
        <f t="shared" si="389"/>
        <v>6.7508710801391647E-3</v>
      </c>
      <c r="J444">
        <v>20209.21</v>
      </c>
      <c r="K444">
        <v>20236.8</v>
      </c>
      <c r="L444" s="93">
        <f t="shared" ref="L444" si="670">+K444/J444-1</f>
        <v>1.3652191253394896E-3</v>
      </c>
      <c r="M444" s="92">
        <f t="shared" ref="M444" si="671">WEEKDAY(A444,2)</f>
        <v>5</v>
      </c>
    </row>
    <row r="445" spans="1:14" x14ac:dyDescent="0.15">
      <c r="A445" s="90">
        <v>43024</v>
      </c>
      <c r="B445">
        <v>46.3</v>
      </c>
      <c r="C445" s="93">
        <f t="shared" ref="C445" si="672">B445/B444-1</f>
        <v>1.51416828898987E-3</v>
      </c>
      <c r="D445" s="38">
        <f t="shared" ref="D445" si="673">+F444*(1+L445)</f>
        <v>46.239562065148647</v>
      </c>
      <c r="E445" s="92"/>
      <c r="F445">
        <v>46.24</v>
      </c>
      <c r="G445" s="42">
        <f t="shared" ref="G445" si="674">+B445/D445-1</f>
        <v>1.3070611431440504E-3</v>
      </c>
      <c r="H445" s="92"/>
      <c r="I445" s="93">
        <f t="shared" si="389"/>
        <v>1.2975778546711059E-3</v>
      </c>
      <c r="J445">
        <v>20236.8</v>
      </c>
      <c r="K445">
        <v>20377.63</v>
      </c>
      <c r="L445" s="93">
        <f t="shared" ref="L445" si="675">+K445/J445-1</f>
        <v>6.9591042061987185E-3</v>
      </c>
      <c r="M445" s="92">
        <f t="shared" ref="M445" si="676">WEEKDAY(A445,2)</f>
        <v>1</v>
      </c>
      <c r="N445" s="50" t="s">
        <v>499</v>
      </c>
    </row>
    <row r="446" spans="1:14" x14ac:dyDescent="0.15">
      <c r="A446" s="90">
        <v>43025</v>
      </c>
      <c r="B446">
        <v>46.02</v>
      </c>
      <c r="C446" s="93">
        <f t="shared" ref="C446" si="677">B446/B445-1</f>
        <v>-6.0475161987040282E-3</v>
      </c>
      <c r="D446" s="38">
        <f t="shared" ref="D446" si="678">+F445*(1+L446)</f>
        <v>46.14707810476488</v>
      </c>
      <c r="E446" s="92"/>
      <c r="F446">
        <v>46.15</v>
      </c>
      <c r="G446" s="42">
        <f t="shared" ref="G446" si="679">+B446/D446-1</f>
        <v>-2.7537627512705942E-3</v>
      </c>
      <c r="H446" s="92"/>
      <c r="I446" s="93">
        <f t="shared" si="389"/>
        <v>-2.8169014084505895E-3</v>
      </c>
      <c r="J446">
        <v>20377.63</v>
      </c>
      <c r="K446">
        <v>20336.68</v>
      </c>
      <c r="L446" s="93">
        <f t="shared" ref="L446" si="680">+K446/J446-1</f>
        <v>-2.009556557852954E-3</v>
      </c>
      <c r="M446" s="92">
        <f t="shared" ref="M446" si="681">WEEKDAY(A446,2)</f>
        <v>2</v>
      </c>
    </row>
    <row r="447" spans="1:14" x14ac:dyDescent="0.15">
      <c r="A447" s="90">
        <v>43026</v>
      </c>
      <c r="B447">
        <v>46.47</v>
      </c>
      <c r="C447" s="93">
        <f t="shared" ref="C447" si="682">B447/B446-1</f>
        <v>9.7783572359841919E-3</v>
      </c>
      <c r="D447" s="38">
        <f t="shared" ref="D447" si="683">+F446*(1+L447)</f>
        <v>46.323692116904041</v>
      </c>
      <c r="E447" s="92"/>
      <c r="F447">
        <v>46.32</v>
      </c>
      <c r="G447" s="42">
        <f t="shared" ref="G447" si="684">+B447/D447-1</f>
        <v>3.1583813036044628E-3</v>
      </c>
      <c r="H447" s="92"/>
      <c r="I447" s="93">
        <f t="shared" si="389"/>
        <v>3.2383419689119286E-3</v>
      </c>
      <c r="J447">
        <v>20336.68</v>
      </c>
      <c r="K447">
        <v>20413.22</v>
      </c>
      <c r="L447" s="93">
        <f t="shared" ref="L447" si="685">+K447/J447-1</f>
        <v>3.763642836490666E-3</v>
      </c>
      <c r="M447" s="92">
        <f t="shared" ref="M447" si="686">WEEKDAY(A447,2)</f>
        <v>3</v>
      </c>
    </row>
    <row r="448" spans="1:14" x14ac:dyDescent="0.15">
      <c r="A448" s="90">
        <v>43027</v>
      </c>
      <c r="B448">
        <v>45.56</v>
      </c>
      <c r="C448" s="93">
        <f t="shared" ref="C448" si="687">B448/B447-1</f>
        <v>-1.9582526361093144E-2</v>
      </c>
      <c r="D448" s="38">
        <f t="shared" ref="D448" si="688">+F447*(1+L448)</f>
        <v>45.234590211637361</v>
      </c>
      <c r="E448" s="92"/>
      <c r="F448">
        <v>45.24</v>
      </c>
      <c r="G448" s="42">
        <f t="shared" ref="G448" si="689">+B448/D448-1</f>
        <v>7.1938263802138191E-3</v>
      </c>
      <c r="H448" s="92"/>
      <c r="I448" s="93">
        <f t="shared" si="389"/>
        <v>7.0733863837311173E-3</v>
      </c>
      <c r="J448">
        <v>20413.22</v>
      </c>
      <c r="K448">
        <v>19934.88</v>
      </c>
      <c r="L448" s="93">
        <f t="shared" ref="L448" si="690">+K448/J448-1</f>
        <v>-2.3432853807483611E-2</v>
      </c>
      <c r="M448" s="92">
        <f t="shared" ref="M448" si="691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692">B449/B448-1</f>
        <v>1.2730465320456519E-2</v>
      </c>
      <c r="D449" s="38">
        <f t="shared" ref="D449" si="693">+F448*(1+L449)</f>
        <v>46.062472008860844</v>
      </c>
      <c r="E449" s="92"/>
      <c r="F449">
        <v>46.06</v>
      </c>
      <c r="G449" s="42">
        <f t="shared" ref="G449" si="694">+B449/D449-1</f>
        <v>1.6831053080312852E-3</v>
      </c>
      <c r="H449" s="92"/>
      <c r="I449" s="93">
        <f t="shared" si="389"/>
        <v>1.7368649587494733E-3</v>
      </c>
      <c r="J449">
        <v>19934.88</v>
      </c>
      <c r="K449">
        <v>20297.3</v>
      </c>
      <c r="L449" s="93">
        <f t="shared" ref="L449" si="695">+K449/J449-1</f>
        <v>1.8180194713988573E-2</v>
      </c>
      <c r="M449" s="92">
        <f t="shared" ref="M449" si="696">WEEKDAY(A449,2)</f>
        <v>5</v>
      </c>
      <c r="N449" s="50" t="s">
        <v>582</v>
      </c>
    </row>
    <row r="450" spans="1:14" ht="27" x14ac:dyDescent="0.15">
      <c r="A450" s="90">
        <v>43031</v>
      </c>
      <c r="B450">
        <v>45.61</v>
      </c>
      <c r="C450" s="93">
        <f t="shared" ref="C450" si="697">B450/B449-1</f>
        <v>-1.1486779367143485E-2</v>
      </c>
      <c r="D450" s="38">
        <f t="shared" ref="D450" si="698">+F449*(1+L450)</f>
        <v>45.773391534834687</v>
      </c>
      <c r="E450" s="92"/>
      <c r="F450">
        <v>45.77</v>
      </c>
      <c r="G450" s="42">
        <f t="shared" ref="G450" si="699">+B450/D450-1</f>
        <v>-3.5695745793785649E-3</v>
      </c>
      <c r="H450" s="92"/>
      <c r="I450" s="93">
        <f t="shared" si="389"/>
        <v>-3.495739567402345E-3</v>
      </c>
      <c r="J450">
        <v>20297.3</v>
      </c>
      <c r="K450">
        <v>20171</v>
      </c>
      <c r="L450" s="93">
        <f t="shared" ref="L450" si="700">+K450/J450-1</f>
        <v>-6.2225025003325163E-3</v>
      </c>
      <c r="M450" s="92">
        <f t="shared" ref="M450" si="701">WEEKDAY(A450,2)</f>
        <v>1</v>
      </c>
      <c r="N450" s="50" t="s">
        <v>519</v>
      </c>
    </row>
    <row r="451" spans="1:14" x14ac:dyDescent="0.15">
      <c r="A451" s="90">
        <v>43032</v>
      </c>
      <c r="B451">
        <v>45.63</v>
      </c>
      <c r="C451" s="93">
        <f t="shared" ref="C451" si="702">B451/B450-1</f>
        <v>4.3850032887537971E-4</v>
      </c>
      <c r="D451" s="38">
        <f t="shared" ref="D451" si="703">+F450*(1+L451)</f>
        <v>45.564419612314715</v>
      </c>
      <c r="E451" s="92"/>
      <c r="F451">
        <v>45.56</v>
      </c>
      <c r="G451" s="42">
        <f t="shared" ref="G451" si="704">+B451/D451-1</f>
        <v>1.4392894333621342E-3</v>
      </c>
      <c r="H451" s="92"/>
      <c r="I451" s="93">
        <f t="shared" si="389"/>
        <v>1.5364354697102733E-3</v>
      </c>
      <c r="J451">
        <v>20171</v>
      </c>
      <c r="K451">
        <v>20080.400000000001</v>
      </c>
      <c r="L451" s="93">
        <f t="shared" ref="L451" si="705">+K451/J451-1</f>
        <v>-4.4915968469584344E-3</v>
      </c>
      <c r="M451" s="92">
        <f t="shared" ref="M451" si="706">WEEKDAY(A451,2)</f>
        <v>2</v>
      </c>
    </row>
    <row r="452" spans="1:14" x14ac:dyDescent="0.15">
      <c r="A452" s="90">
        <v>43033</v>
      </c>
      <c r="B452">
        <v>45.7</v>
      </c>
      <c r="C452" s="93">
        <f t="shared" ref="C452" si="707">B452/B451-1</f>
        <v>1.5340784571553634E-3</v>
      </c>
      <c r="D452" s="38">
        <f t="shared" ref="D452" si="708">+F451*(1+L452)</f>
        <v>45.964949542837786</v>
      </c>
      <c r="E452" s="92"/>
      <c r="F452">
        <v>45.96</v>
      </c>
      <c r="G452" s="42">
        <f t="shared" ref="G452" si="709">+B452/D452-1</f>
        <v>-5.7641647706120347E-3</v>
      </c>
      <c r="H452" s="92"/>
      <c r="I452" s="93">
        <f t="shared" si="389"/>
        <v>-5.6570931244560585E-3</v>
      </c>
      <c r="J452">
        <v>20080.400000000001</v>
      </c>
      <c r="K452">
        <v>20258.88</v>
      </c>
      <c r="L452" s="93">
        <f t="shared" ref="L452" si="710">+K452/J452-1</f>
        <v>8.8882691579847961E-3</v>
      </c>
      <c r="M452" s="92">
        <f t="shared" ref="M452" si="711">WEEKDAY(A452,2)</f>
        <v>3</v>
      </c>
    </row>
    <row r="453" spans="1:14" x14ac:dyDescent="0.15">
      <c r="A453" s="90">
        <v>43034</v>
      </c>
      <c r="B453">
        <v>45.67</v>
      </c>
      <c r="C453" s="93">
        <f t="shared" ref="C453" si="712">B453/B452-1</f>
        <v>-6.5645514223200419E-4</v>
      </c>
      <c r="D453" s="38">
        <f t="shared" ref="D453" si="713">+F452*(1+L453)</f>
        <v>45.676307219352701</v>
      </c>
      <c r="E453" s="92"/>
      <c r="F453">
        <v>45.68</v>
      </c>
      <c r="G453" s="42">
        <f t="shared" ref="G453" si="714">+B453/D453-1</f>
        <v>-1.3808514165580821E-4</v>
      </c>
      <c r="H453" s="92"/>
      <c r="I453" s="93">
        <f t="shared" si="389"/>
        <v>-2.189141856392407E-4</v>
      </c>
      <c r="J453">
        <v>20258.88</v>
      </c>
      <c r="K453">
        <v>20133.830000000002</v>
      </c>
      <c r="L453" s="93">
        <f t="shared" ref="L453" si="715">+K453/J453-1</f>
        <v>-6.1726018417602724E-3</v>
      </c>
      <c r="M453" s="92">
        <f t="shared" ref="M453" si="716">WEEKDAY(A453,2)</f>
        <v>4</v>
      </c>
    </row>
    <row r="454" spans="1:14" x14ac:dyDescent="0.15">
      <c r="A454" s="90">
        <v>43035</v>
      </c>
      <c r="B454">
        <v>46.49</v>
      </c>
      <c r="C454" s="93">
        <f t="shared" ref="C454" si="717">B454/B453-1</f>
        <v>1.7954893803372007E-2</v>
      </c>
      <c r="D454" s="38">
        <f t="shared" ref="D454" si="718">+F453*(1+L454)</f>
        <v>46.131721704216233</v>
      </c>
      <c r="E454" s="92"/>
      <c r="F454">
        <v>46.13</v>
      </c>
      <c r="G454" s="42">
        <f t="shared" ref="G454" si="719">+B454/D454-1</f>
        <v>7.7664193433089057E-3</v>
      </c>
      <c r="H454" s="92"/>
      <c r="I454" s="93">
        <f t="shared" si="389"/>
        <v>7.8040320832430954E-3</v>
      </c>
      <c r="J454">
        <v>20133.830000000002</v>
      </c>
      <c r="K454">
        <v>20332.93</v>
      </c>
      <c r="L454" s="93">
        <f t="shared" ref="L454" si="720">+K454/J454-1</f>
        <v>9.8888289014060771E-3</v>
      </c>
      <c r="M454" s="92">
        <f t="shared" ref="M454" si="721">WEEKDAY(A454,2)</f>
        <v>5</v>
      </c>
      <c r="N454" s="50" t="s">
        <v>581</v>
      </c>
    </row>
    <row r="455" spans="1:14" x14ac:dyDescent="0.15">
      <c r="A455" s="90">
        <v>43038</v>
      </c>
      <c r="B455">
        <v>45.77</v>
      </c>
      <c r="C455" s="93">
        <f t="shared" ref="C455" si="722">B455/B454-1</f>
        <v>-1.5487201548720075E-2</v>
      </c>
      <c r="D455" s="38">
        <f t="shared" ref="D455" si="723">+F454*(1+L455)</f>
        <v>45.885838897787977</v>
      </c>
      <c r="E455" s="92"/>
      <c r="F455">
        <v>45.88</v>
      </c>
      <c r="G455" s="42">
        <f t="shared" ref="G455" si="724">+B455/D455-1</f>
        <v>-2.5245021246317334E-3</v>
      </c>
      <c r="H455" s="92"/>
      <c r="I455" s="93">
        <f t="shared" si="389"/>
        <v>-2.3975588491716993E-3</v>
      </c>
      <c r="J455">
        <v>20332.93</v>
      </c>
      <c r="K455">
        <v>20225.310000000001</v>
      </c>
      <c r="L455" s="93">
        <f t="shared" ref="L455" si="725">+K455/J455-1</f>
        <v>-5.2928918753961662E-3</v>
      </c>
      <c r="M455" s="92">
        <f t="shared" ref="M455" si="726">WEEKDAY(A455,2)</f>
        <v>1</v>
      </c>
    </row>
    <row r="456" spans="1:14" x14ac:dyDescent="0.15">
      <c r="A456" s="90">
        <v>43039</v>
      </c>
      <c r="B456">
        <v>45.93</v>
      </c>
      <c r="C456" s="93">
        <f t="shared" ref="C456" si="727">B456/B455-1</f>
        <v>3.495739567402234E-3</v>
      </c>
      <c r="D456" s="38">
        <f t="shared" ref="D456" si="728">+F455*(1+L456)</f>
        <v>45.77438120849569</v>
      </c>
      <c r="E456" s="92"/>
      <c r="F456">
        <v>45.78</v>
      </c>
      <c r="G456" s="42">
        <f t="shared" ref="G456" si="729">+B456/D456-1</f>
        <v>3.3996918668433018E-3</v>
      </c>
      <c r="H456" s="92"/>
      <c r="I456" s="93">
        <f t="shared" si="389"/>
        <v>3.2765399737877399E-3</v>
      </c>
      <c r="J456">
        <v>20225.310000000001</v>
      </c>
      <c r="K456">
        <v>20178.75</v>
      </c>
      <c r="L456" s="93">
        <f t="shared" ref="L456" si="730">+K456/J456-1</f>
        <v>-2.3020660746362331E-3</v>
      </c>
      <c r="M456" s="92">
        <f t="shared" ref="M456" si="731">WEEKDAY(A456,2)</f>
        <v>2</v>
      </c>
    </row>
    <row r="457" spans="1:14" x14ac:dyDescent="0.15">
      <c r="A457" s="90">
        <v>43040</v>
      </c>
      <c r="B457">
        <v>46.23</v>
      </c>
      <c r="C457" s="93">
        <f t="shared" ref="C457" si="732">B457/B456-1</f>
        <v>6.5316786414106875E-3</v>
      </c>
      <c r="D457" s="38">
        <f t="shared" ref="D457" si="733">+F456*(1+L457)</f>
        <v>46.299696443040325</v>
      </c>
      <c r="E457" s="92"/>
      <c r="F457">
        <v>46.3</v>
      </c>
      <c r="G457" s="42">
        <f t="shared" ref="G457" si="734">+B457/D457-1</f>
        <v>-1.5053326132725697E-3</v>
      </c>
      <c r="H457" s="92"/>
      <c r="I457" s="93">
        <f t="shared" si="389"/>
        <v>-1.5118790496759793E-3</v>
      </c>
      <c r="J457">
        <v>20178.75</v>
      </c>
      <c r="K457">
        <v>20407.82</v>
      </c>
      <c r="L457" s="93">
        <f t="shared" ref="L457" si="735">+K457/J457-1</f>
        <v>1.1352041132379309E-2</v>
      </c>
      <c r="M457" s="92">
        <f t="shared" ref="M457" si="736">WEEKDAY(A457,2)</f>
        <v>3</v>
      </c>
    </row>
    <row r="458" spans="1:14" x14ac:dyDescent="0.15">
      <c r="A458" s="90">
        <v>43041</v>
      </c>
      <c r="B458">
        <v>46.45</v>
      </c>
      <c r="C458" s="93">
        <f t="shared" ref="C458" si="737">B458/B457-1</f>
        <v>4.7588146225396866E-3</v>
      </c>
      <c r="D458" s="38">
        <f t="shared" ref="D458" si="738">+F457*(1+L458)</f>
        <v>46.217554055259207</v>
      </c>
      <c r="E458" s="92"/>
      <c r="F458">
        <v>46.21</v>
      </c>
      <c r="G458" s="42">
        <f t="shared" ref="G458" si="739">+B458/D458-1</f>
        <v>5.029386550029713E-3</v>
      </c>
      <c r="H458" s="92"/>
      <c r="I458" s="93">
        <f t="shared" si="389"/>
        <v>5.1936810214239237E-3</v>
      </c>
      <c r="J458">
        <v>20407.82</v>
      </c>
      <c r="K458">
        <v>20371.48</v>
      </c>
      <c r="L458" s="93">
        <f t="shared" ref="L458" si="740">+K458/J458-1</f>
        <v>-1.7806899512049501E-3</v>
      </c>
      <c r="M458" s="92">
        <f t="shared" ref="M458" si="741">WEEKDAY(A458,2)</f>
        <v>4</v>
      </c>
    </row>
    <row r="459" spans="1:14" x14ac:dyDescent="0.15">
      <c r="A459" s="90">
        <v>43042</v>
      </c>
      <c r="B459">
        <v>46.28</v>
      </c>
      <c r="C459" s="93">
        <f t="shared" ref="C459" si="742">B459/B458-1</f>
        <v>-3.659849300322926E-3</v>
      </c>
      <c r="D459" s="38">
        <f t="shared" ref="D459" si="743">+F458*(1+L459)</f>
        <v>46.299623193798389</v>
      </c>
      <c r="E459" s="92"/>
      <c r="F459">
        <v>46.3</v>
      </c>
      <c r="G459" s="42">
        <f t="shared" ref="G459" si="744">+B459/D459-1</f>
        <v>-4.238305291653921E-4</v>
      </c>
      <c r="H459" s="92"/>
      <c r="I459" s="93">
        <f t="shared" si="389"/>
        <v>-4.3196544276447035E-4</v>
      </c>
      <c r="J459">
        <v>20371.48</v>
      </c>
      <c r="K459">
        <v>20410.990000000002</v>
      </c>
      <c r="L459" s="93">
        <f t="shared" ref="L459" si="745">+K459/J459-1</f>
        <v>1.9394761696254204E-3</v>
      </c>
      <c r="M459" s="92">
        <f t="shared" ref="M459" si="746">WEEKDAY(A459,2)</f>
        <v>5</v>
      </c>
      <c r="N459" s="50" t="s">
        <v>580</v>
      </c>
    </row>
    <row r="460" spans="1:14" x14ac:dyDescent="0.15">
      <c r="A460" s="90">
        <v>43045</v>
      </c>
      <c r="B460">
        <v>46.45</v>
      </c>
      <c r="C460" s="93">
        <f t="shared" ref="C460" si="747">B460/B459-1</f>
        <v>3.6732929991356578E-3</v>
      </c>
      <c r="D460" s="38">
        <f t="shared" ref="D460" si="748">+F459*(1+L460)</f>
        <v>46.139466336517721</v>
      </c>
      <c r="E460" s="92"/>
      <c r="F460">
        <v>46.14</v>
      </c>
      <c r="G460" s="42">
        <f t="shared" ref="G460" si="749">+B460/D460-1</f>
        <v>6.7303262941407205E-3</v>
      </c>
      <c r="H460" s="92"/>
      <c r="I460" s="93">
        <f t="shared" si="389"/>
        <v>6.7186822713480865E-3</v>
      </c>
      <c r="J460">
        <v>20410.990000000002</v>
      </c>
      <c r="K460">
        <v>20340.22</v>
      </c>
      <c r="L460" s="93">
        <f t="shared" ref="L460" si="750">+K460/J460-1</f>
        <v>-3.4672497512370226E-3</v>
      </c>
      <c r="M460" s="92">
        <f t="shared" ref="M460" si="751">WEEKDAY(A460,2)</f>
        <v>1</v>
      </c>
      <c r="N460" s="50" t="s">
        <v>564</v>
      </c>
    </row>
    <row r="461" spans="1:14" x14ac:dyDescent="0.15">
      <c r="A461" s="90">
        <v>43046</v>
      </c>
      <c r="B461">
        <v>46.72</v>
      </c>
      <c r="C461" s="93">
        <f t="shared" ref="C461" si="752">B461/B460-1</f>
        <v>5.8127018299245492E-3</v>
      </c>
      <c r="D461" s="38">
        <f t="shared" ref="D461" si="753">+F460*(1+L461)</f>
        <v>46.90459096312626</v>
      </c>
      <c r="E461" s="92"/>
      <c r="F461">
        <v>46.9</v>
      </c>
      <c r="G461" s="42">
        <f t="shared" ref="G461" si="754">+B461/D461-1</f>
        <v>-3.935456195991005E-3</v>
      </c>
      <c r="H461" s="92"/>
      <c r="I461" s="93">
        <f t="shared" si="389"/>
        <v>-3.8379530916844429E-3</v>
      </c>
      <c r="J461">
        <v>20340.22</v>
      </c>
      <c r="K461">
        <v>20677.28</v>
      </c>
      <c r="L461" s="93">
        <f t="shared" ref="L461" si="755">+K461/J461-1</f>
        <v>1.6571108867062367E-2</v>
      </c>
      <c r="M461" s="92">
        <f t="shared" ref="M461" si="756">WEEKDAY(A461,2)</f>
        <v>2</v>
      </c>
      <c r="N461" s="50" t="s">
        <v>565</v>
      </c>
    </row>
    <row r="462" spans="1:14" x14ac:dyDescent="0.15">
      <c r="A462" s="90">
        <v>43047</v>
      </c>
      <c r="B462">
        <v>46.79</v>
      </c>
      <c r="C462" s="93">
        <f t="shared" ref="C462" si="757">B462/B461-1</f>
        <v>1.4982876712328341E-3</v>
      </c>
      <c r="D462" s="38">
        <f t="shared" ref="D462" si="758">+F461*(1+L462)</f>
        <v>46.663427781603772</v>
      </c>
      <c r="E462" s="92"/>
      <c r="F462">
        <v>46.66</v>
      </c>
      <c r="G462" s="42">
        <f t="shared" ref="G462" si="759">+B462/D462-1</f>
        <v>2.7124500795059348E-3</v>
      </c>
      <c r="H462" s="92"/>
      <c r="I462" s="93">
        <f t="shared" si="389"/>
        <v>2.7861123017574041E-3</v>
      </c>
      <c r="J462">
        <v>20677.28</v>
      </c>
      <c r="K462">
        <v>20572.98</v>
      </c>
      <c r="L462" s="93">
        <f t="shared" ref="L462" si="760">+K462/J462-1</f>
        <v>-5.0441837611135965E-3</v>
      </c>
      <c r="M462" s="92">
        <f t="shared" ref="M462" si="761">WEEKDAY(A462,2)</f>
        <v>3</v>
      </c>
    </row>
    <row r="463" spans="1:14" x14ac:dyDescent="0.15">
      <c r="A463" s="90">
        <v>43048</v>
      </c>
      <c r="B463">
        <v>46.84</v>
      </c>
      <c r="C463" s="93">
        <f t="shared" ref="C463" si="762">B463/B462-1</f>
        <v>1.0686044026502195E-3</v>
      </c>
      <c r="D463" s="38">
        <f t="shared" ref="D463" si="763">+F462*(1+L463)</f>
        <v>47.163297072179141</v>
      </c>
      <c r="E463" s="92"/>
      <c r="F463">
        <v>47.17</v>
      </c>
      <c r="G463" s="42">
        <f t="shared" ref="G463" si="764">+B463/D463-1</f>
        <v>-6.8548445984248918E-3</v>
      </c>
      <c r="H463" s="92"/>
      <c r="I463" s="93">
        <f t="shared" si="389"/>
        <v>-6.9959720161119066E-3</v>
      </c>
      <c r="J463">
        <v>20572.98</v>
      </c>
      <c r="K463">
        <v>20794.89</v>
      </c>
      <c r="L463" s="93">
        <f t="shared" ref="L463" si="765">+K463/J463-1</f>
        <v>1.0786478186436854E-2</v>
      </c>
      <c r="M463" s="92">
        <f t="shared" ref="M463" si="766">WEEKDAY(A463,2)</f>
        <v>4</v>
      </c>
    </row>
    <row r="464" spans="1:14" x14ac:dyDescent="0.15">
      <c r="A464" s="90">
        <v>43049</v>
      </c>
      <c r="B464">
        <v>47.12</v>
      </c>
      <c r="C464" s="93">
        <f t="shared" ref="C464" si="767">B464/B463-1</f>
        <v>5.9777967549101696E-3</v>
      </c>
      <c r="D464" s="38">
        <f t="shared" ref="D464" si="768">+F463*(1+L464)</f>
        <v>47.112769637156056</v>
      </c>
      <c r="E464" s="92"/>
      <c r="F464">
        <v>47.11</v>
      </c>
      <c r="G464" s="42">
        <f t="shared" ref="G464" si="769">+B464/D464-1</f>
        <v>1.5346928018944439E-4</v>
      </c>
      <c r="H464" s="92"/>
      <c r="I464" s="93">
        <f t="shared" si="389"/>
        <v>2.122691572914448E-4</v>
      </c>
      <c r="J464">
        <v>20794.89</v>
      </c>
      <c r="K464">
        <v>20769.66</v>
      </c>
      <c r="L464" s="93">
        <f t="shared" ref="L464" si="770">+K464/J464-1</f>
        <v>-1.2132788391763238E-3</v>
      </c>
      <c r="M464" s="92">
        <f t="shared" ref="M464" si="771">WEEKDAY(A464,2)</f>
        <v>5</v>
      </c>
      <c r="N464" s="50" t="s">
        <v>579</v>
      </c>
    </row>
    <row r="465" spans="1:13" x14ac:dyDescent="0.15">
      <c r="A465" s="90">
        <v>43052</v>
      </c>
      <c r="B465">
        <v>46.96</v>
      </c>
      <c r="C465" s="93">
        <f t="shared" ref="C465" si="772">B465/B464-1</f>
        <v>-3.3955857385398192E-3</v>
      </c>
      <c r="D465" s="38">
        <f t="shared" ref="D465" si="773">+F464*(1+L465)</f>
        <v>46.970187388719893</v>
      </c>
      <c r="E465" s="92"/>
      <c r="F465">
        <v>46.97</v>
      </c>
      <c r="G465" s="42">
        <f t="shared" ref="G465" si="774">+B465/D465-1</f>
        <v>-2.1689052750806237E-4</v>
      </c>
      <c r="H465" s="92"/>
      <c r="I465" s="93">
        <f t="shared" si="389"/>
        <v>-2.1290185224609459E-4</v>
      </c>
      <c r="J465">
        <v>20769.66</v>
      </c>
      <c r="K465">
        <v>20708.02</v>
      </c>
      <c r="L465" s="93">
        <f t="shared" ref="L465" si="775">+K465/J465-1</f>
        <v>-2.9677905175145014E-3</v>
      </c>
      <c r="M465" s="92">
        <f t="shared" ref="M465" si="776">WEEKDAY(A465,2)</f>
        <v>1</v>
      </c>
    </row>
    <row r="466" spans="1:13" x14ac:dyDescent="0.15">
      <c r="A466" s="90">
        <v>43053</v>
      </c>
      <c r="B466">
        <v>46.42</v>
      </c>
      <c r="C466" s="93">
        <f t="shared" ref="C466" si="777">B466/B465-1</f>
        <v>-1.1499148211243648E-2</v>
      </c>
      <c r="D466" s="38">
        <f t="shared" ref="D466" si="778">+F465*(1+L466)</f>
        <v>46.685748758210586</v>
      </c>
      <c r="E466" s="92"/>
      <c r="F466">
        <v>46.68</v>
      </c>
      <c r="G466" s="42">
        <f t="shared" ref="G466" si="779">+B466/D466-1</f>
        <v>-5.692288659370548E-3</v>
      </c>
      <c r="H466" s="92"/>
      <c r="I466" s="93">
        <f t="shared" si="389"/>
        <v>-5.569837189374427E-3</v>
      </c>
      <c r="J466">
        <v>20708.02</v>
      </c>
      <c r="K466">
        <v>20582.7</v>
      </c>
      <c r="L466" s="93">
        <f t="shared" ref="L466" si="780">+K466/J466-1</f>
        <v>-6.0517615880224529E-3</v>
      </c>
      <c r="M466" s="92">
        <f t="shared" ref="M466" si="781">WEEKDAY(A466,2)</f>
        <v>2</v>
      </c>
    </row>
    <row r="467" spans="1:13" x14ac:dyDescent="0.15">
      <c r="A467" s="90">
        <v>43054</v>
      </c>
      <c r="B467">
        <v>45.85</v>
      </c>
      <c r="C467" s="93">
        <f t="shared" ref="C467" si="782">B467/B466-1</f>
        <v>-1.2279190004308438E-2</v>
      </c>
      <c r="D467" s="38">
        <f t="shared" ref="D467" si="783">+F466*(1+L467)</f>
        <v>45.923670014138082</v>
      </c>
      <c r="E467" s="92"/>
      <c r="F467">
        <v>45.92</v>
      </c>
      <c r="G467" s="42">
        <f t="shared" ref="G467" si="784">+B467/D467-1</f>
        <v>-1.6041839451289563E-3</v>
      </c>
      <c r="H467" s="92"/>
      <c r="I467" s="93">
        <f t="shared" si="389"/>
        <v>-1.5243902439024959E-3</v>
      </c>
      <c r="J467">
        <v>20582.7</v>
      </c>
      <c r="K467">
        <v>20249.21</v>
      </c>
      <c r="L467" s="93">
        <f t="shared" ref="L467" si="785">+K467/J467-1</f>
        <v>-1.6202441856510652E-2</v>
      </c>
      <c r="M467" s="92">
        <f t="shared" ref="M467" si="786">WEEKDAY(A467,2)</f>
        <v>3</v>
      </c>
    </row>
    <row r="468" spans="1:13" x14ac:dyDescent="0.15">
      <c r="A468" s="90">
        <v>43055</v>
      </c>
      <c r="B468">
        <v>46.71</v>
      </c>
      <c r="C468" s="93">
        <f t="shared" ref="C468" si="787">B468/B467-1</f>
        <v>1.8756815703380614E-2</v>
      </c>
      <c r="D468" s="38">
        <f t="shared" ref="D468" si="788">+F467*(1+L468)</f>
        <v>46.333908414204799</v>
      </c>
      <c r="E468" s="92"/>
      <c r="G468" s="42">
        <f t="shared" ref="G468" si="789">+B468/D468-1</f>
        <v>8.1169838389869575E-3</v>
      </c>
      <c r="H468" s="92"/>
      <c r="J468">
        <v>20249.21</v>
      </c>
      <c r="K468">
        <v>20431.73</v>
      </c>
      <c r="L468" s="93">
        <f t="shared" ref="L468" si="790">+K468/J468-1</f>
        <v>9.0136849783275519E-3</v>
      </c>
      <c r="M468" s="92">
        <f t="shared" ref="M468" si="791">WEEKDAY(A468,2)</f>
        <v>4</v>
      </c>
    </row>
    <row r="469" spans="1:13" x14ac:dyDescent="0.15">
      <c r="A469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69"/>
  <sheetViews>
    <sheetView zoomScale="115" zoomScaleNormal="115" workbookViewId="0">
      <pane xSplit="1" ySplit="2" topLeftCell="B446" activePane="bottomRight" state="frozen"/>
      <selection pane="topRight" activeCell="B1" sqref="B1"/>
      <selection pane="bottomLeft" activeCell="A3" sqref="A3"/>
      <selection pane="bottomRight" activeCell="G468" sqref="G46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67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563</v>
      </c>
    </row>
    <row r="461" spans="1:14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1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1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1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x14ac:dyDescent="0.1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1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1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1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588</v>
      </c>
    </row>
    <row r="469" spans="1:14" x14ac:dyDescent="0.15">
      <c r="A469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69"/>
  <sheetViews>
    <sheetView zoomScale="115" zoomScaleNormal="115" workbookViewId="0">
      <pane xSplit="1" ySplit="2" topLeftCell="D444" activePane="bottomRight" state="frozen"/>
      <selection pane="topRight" activeCell="B1" sqref="B1"/>
      <selection pane="bottomLeft" activeCell="A3" sqref="A3"/>
      <selection pane="bottomRight" activeCell="I465" sqref="I46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562</v>
      </c>
    </row>
    <row r="461" spans="1:14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1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1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572</v>
      </c>
    </row>
    <row r="464" spans="1:14" x14ac:dyDescent="0.1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>+B464/F464-1</f>
        <v>4.9720343079973084E-3</v>
      </c>
      <c r="J464">
        <v>4075.9</v>
      </c>
      <c r="K464">
        <v>4111.91</v>
      </c>
      <c r="L464" s="93">
        <f t="shared" ref="L464" si="767">+K464/J464-1</f>
        <v>8.834858558845804E-3</v>
      </c>
      <c r="M464" s="92">
        <f t="shared" ref="M464" si="768">WEEKDAY(A464,2)</f>
        <v>5</v>
      </c>
      <c r="N464" s="50" t="s">
        <v>574</v>
      </c>
    </row>
    <row r="465" spans="1:14" x14ac:dyDescent="0.15">
      <c r="A465" s="90">
        <v>43052</v>
      </c>
      <c r="B465">
        <v>31.48</v>
      </c>
      <c r="C465" s="93">
        <f t="shared" ref="C465" si="769">B465/B464-1</f>
        <v>2.8671551449506172E-3</v>
      </c>
      <c r="D465" s="26">
        <f t="shared" ref="D465" si="770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1">+B465/D465-1</f>
        <v>3.9080391616310717E-3</v>
      </c>
      <c r="H465" s="93">
        <f>(B465/(D465*(1-VLOOKUP(A465,FX!A:M,13,0))))-1</f>
        <v>3.1117790567583015E-3</v>
      </c>
      <c r="I465" s="93">
        <f>+B465/F465-1</f>
        <v>3.1196127728865264E-3</v>
      </c>
      <c r="J465">
        <v>4111.91</v>
      </c>
      <c r="K465">
        <v>4128.07</v>
      </c>
      <c r="L465" s="93">
        <f t="shared" ref="L465" si="772">+K465/J465-1</f>
        <v>3.93004710706224E-3</v>
      </c>
      <c r="M465" s="92">
        <f t="shared" ref="M465" si="773">WEEKDAY(A465,2)</f>
        <v>1</v>
      </c>
      <c r="N465" s="50" t="s">
        <v>578</v>
      </c>
    </row>
    <row r="466" spans="1:14" x14ac:dyDescent="0.15">
      <c r="A466" s="90">
        <v>43053</v>
      </c>
      <c r="B466">
        <v>31.19</v>
      </c>
      <c r="C466" s="93">
        <f t="shared" ref="C466" si="774">B466/B465-1</f>
        <v>-9.21219822109276E-3</v>
      </c>
      <c r="D466" s="26">
        <f t="shared" ref="D466" si="775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6">+B466/D466-1</f>
        <v>8.4177888819003677E-4</v>
      </c>
      <c r="H466" s="93">
        <f>(B466/(D466*(1-VLOOKUP(A466,FX!A:M,13,0))))-1</f>
        <v>-1.9274470878465344E-3</v>
      </c>
      <c r="I466" s="93">
        <f>+B466/F466-1</f>
        <v>-1.7858400168981881E-3</v>
      </c>
      <c r="J466">
        <v>4128.07</v>
      </c>
      <c r="K466">
        <v>4099.3500000000004</v>
      </c>
      <c r="L466" s="93">
        <f t="shared" ref="L466" si="777">+K466/J466-1</f>
        <v>-6.9572463645236615E-3</v>
      </c>
      <c r="M466" s="92">
        <f t="shared" ref="M466" si="778">WEEKDAY(A466,2)</f>
        <v>2</v>
      </c>
      <c r="N466" s="50" t="s">
        <v>583</v>
      </c>
    </row>
    <row r="467" spans="1:14" x14ac:dyDescent="0.15">
      <c r="A467" s="90">
        <v>43054</v>
      </c>
      <c r="B467">
        <v>30.95</v>
      </c>
      <c r="C467" s="93">
        <f t="shared" ref="C467" si="779">B467/B466-1</f>
        <v>-7.6947739660148118E-3</v>
      </c>
      <c r="D467" s="26">
        <f t="shared" ref="D467" si="780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1">+B467/D467-1</f>
        <v>-3.2226525855830745E-3</v>
      </c>
      <c r="H467" s="93">
        <f>(B467/(D467*(1-VLOOKUP(A467,FX!A:M,13,0))))-1</f>
        <v>-3.7429193122893167E-3</v>
      </c>
      <c r="I467" s="93">
        <f>+B467/F467-1</f>
        <v>-3.477364930130733E-3</v>
      </c>
      <c r="J467">
        <v>4099.3500000000004</v>
      </c>
      <c r="K467">
        <v>4073.67</v>
      </c>
      <c r="L467" s="93">
        <f t="shared" ref="L467" si="782">+K467/J467-1</f>
        <v>-6.2644077719639091E-3</v>
      </c>
      <c r="M467" s="92">
        <f t="shared" ref="M467" si="783">WEEKDAY(A467,2)</f>
        <v>3</v>
      </c>
      <c r="N467" s="50" t="s">
        <v>586</v>
      </c>
    </row>
    <row r="468" spans="1:14" x14ac:dyDescent="0.15">
      <c r="A468" s="90">
        <v>43055</v>
      </c>
      <c r="B468">
        <v>31.43</v>
      </c>
      <c r="C468" s="93">
        <f t="shared" ref="C468" si="784">B468/B467-1</f>
        <v>1.5508885298869179E-2</v>
      </c>
      <c r="D468" s="26">
        <f t="shared" ref="D468" si="785">+F467*(1+L468)</f>
        <v>31.296938775109425</v>
      </c>
      <c r="E468" s="26">
        <f>D468*((1-VLOOKUP(A468,FX!A:M,13,0)))</f>
        <v>31.298542968428329</v>
      </c>
      <c r="G468" s="93">
        <f t="shared" ref="G468" si="786">+B468/D468-1</f>
        <v>4.2515731601329154E-3</v>
      </c>
      <c r="H468" s="93">
        <f>(B468/(D468*(1-VLOOKUP(A468,FX!A:M,13,0))))-1</f>
        <v>4.2001006789444961E-3</v>
      </c>
      <c r="J468">
        <v>4073.67</v>
      </c>
      <c r="K468">
        <v>4105.01</v>
      </c>
      <c r="L468" s="93">
        <f t="shared" ref="L468" si="787">+K468/J468-1</f>
        <v>7.693308490869466E-3</v>
      </c>
      <c r="M468" s="92">
        <f t="shared" ref="M468" si="788">WEEKDAY(A468,2)</f>
        <v>4</v>
      </c>
      <c r="N468" s="50" t="s">
        <v>587</v>
      </c>
    </row>
    <row r="469" spans="1:14" x14ac:dyDescent="0.15">
      <c r="A469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70"/>
  <sheetViews>
    <sheetView zoomScale="115" zoomScaleNormal="115" workbookViewId="0">
      <pane xSplit="1" ySplit="2" topLeftCell="B440" activePane="bottomRight" state="frozen"/>
      <selection pane="topRight" activeCell="B1" sqref="B1"/>
      <selection pane="bottomLeft" activeCell="A3" sqref="A3"/>
      <selection pane="bottomRight" activeCell="D469" sqref="D46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68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1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1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571</v>
      </c>
    </row>
    <row r="465" spans="1:14" x14ac:dyDescent="0.1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576</v>
      </c>
    </row>
    <row r="466" spans="1:14" x14ac:dyDescent="0.1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1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x14ac:dyDescent="0.1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1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589</v>
      </c>
    </row>
    <row r="470" spans="1:14" x14ac:dyDescent="0.15">
      <c r="A470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2017-11-16T23:10:49Z</dcterms:modified>
</cp:coreProperties>
</file>